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2.xml" ContentType="application/vnd.openxmlformats-officedocument.spreadsheetml.comments+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IRHACIENDA08.DQUINDIO\Desktop\Tri 2024\plan financiero por y para la gente\"/>
    </mc:Choice>
  </mc:AlternateContent>
  <xr:revisionPtr revIDLastSave="0" documentId="8_{68B23009-EAF0-4555-B354-0AABC1C2D6BC}" xr6:coauthVersionLast="36" xr6:coauthVersionMax="36" xr10:uidLastSave="{00000000-0000-0000-0000-000000000000}"/>
  <bookViews>
    <workbookView xWindow="0" yWindow="0" windowWidth="28800" windowHeight="11505" firstSheet="10" activeTab="10" xr2:uid="{00000000-000D-0000-FFFF-FFFF00000000}"/>
  </bookViews>
  <sheets>
    <sheet name="2015-2021" sheetId="5" state="hidden" r:id="rId1"/>
    <sheet name="MX6" sheetId="1" state="hidden" r:id="rId2"/>
    <sheet name="Gráficas" sheetId="46" state="hidden" r:id="rId3"/>
    <sheet name="Tablas Plan F" sheetId="45" state="hidden" r:id="rId4"/>
    <sheet name="Historico Plan Financiero 2023" sheetId="32" state="hidden" r:id="rId5"/>
    <sheet name="Historico Plan Financiero 2024" sheetId="52" state="hidden" r:id="rId6"/>
    <sheet name="F Y U 2024 Presupuesto" sheetId="53" state="hidden" r:id="rId7"/>
    <sheet name="F Y U 2024 Presupuesto OK RED" sheetId="57" r:id="rId8"/>
    <sheet name="FYU 2024-2027 inversion" sheetId="70" state="hidden" r:id="rId9"/>
    <sheet name=" Verdad Verdadera 24-27" sheetId="64" state="hidden" r:id="rId10"/>
    <sheet name="FYU 2024-2027 definitivo" sheetId="69" r:id="rId11"/>
    <sheet name="F Y U 2024 Presupuesto OK R (2)" sheetId="60" state="hidden" r:id="rId12"/>
    <sheet name="Categorizacion" sheetId="67" r:id="rId13"/>
    <sheet name="Asamblea 2024-2027" sheetId="66" r:id="rId14"/>
    <sheet name="Capacidad de Endeudamiento PA" sheetId="65" r:id="rId15"/>
    <sheet name="F Y U 2024 Presupuesto 15.09" sheetId="61" state="hidden" r:id="rId16"/>
    <sheet name="CCPET Ingre 2024" sheetId="62" state="hidden" r:id="rId17"/>
    <sheet name="CCPET Ingre 2024 (2)" sheetId="63" state="hidden" r:id="rId18"/>
    <sheet name="Tablas" sheetId="59" state="hidden" r:id="rId19"/>
    <sheet name="350 C.P  2024" sheetId="58" state="hidden" r:id="rId20"/>
    <sheet name="Salud 2024 " sheetId="56" state="hidden" r:id="rId21"/>
    <sheet name="Vicios Salud" sheetId="54" state="hidden" r:id="rId22"/>
    <sheet name="Ingresos 2023" sheetId="50" state="hidden" r:id="rId23"/>
    <sheet name="Recaudo Julio Dic 2022" sheetId="51" state="hidden" r:id="rId24"/>
    <sheet name="Ingresos 2022" sheetId="49" state="hidden" r:id="rId25"/>
    <sheet name="F Y U 2023 Prespupuesto" sheetId="43" state="hidden" r:id="rId26"/>
    <sheet name="Historico Plan Finan 15-23" sheetId="47" r:id="rId27"/>
    <sheet name="INVERSION 2023" sheetId="44" state="hidden" r:id="rId28"/>
    <sheet name="350 C.P  INCREMENTO SALARIAL" sheetId="37" state="hidden" r:id="rId29"/>
    <sheet name="Plan Financiero Ingresos" sheetId="20" state="hidden" r:id="rId30"/>
    <sheet name="F y U 2022 Presupuesto" sheetId="12" state="hidden" r:id="rId31"/>
    <sheet name="Inversion Incremento Salarial" sheetId="36" state="hidden" r:id="rId32"/>
    <sheet name="F y U 2022 Incremento Salarial" sheetId="29" state="hidden" r:id="rId33"/>
    <sheet name="Inversion " sheetId="19" state="hidden" r:id="rId34"/>
    <sheet name="Salud 2024" sheetId="55" state="hidden" r:id="rId35"/>
    <sheet name="Historico Plan Financiero 2 (2)" sheetId="48" state="hidden" r:id="rId36"/>
    <sheet name="Salud 2023" sheetId="25" state="hidden" r:id="rId37"/>
    <sheet name="Tablas Anteproyecto" sheetId="30" state="hidden" r:id="rId38"/>
    <sheet name="Plan Financiero MFMP" sheetId="33" state="hidden" r:id="rId39"/>
    <sheet name="MFMP Plan Financiero" sheetId="40" state="hidden" r:id="rId40"/>
    <sheet name="MFMP Plan Financiero GASTOS" sheetId="42" state="hidden" r:id="rId41"/>
    <sheet name="Hoja1" sheetId="41" state="hidden" r:id="rId42"/>
    <sheet name="Superávit Primario MFMP" sheetId="34" state="hidden" r:id="rId43"/>
    <sheet name="MFMP Superávit Primario" sheetId="39" state="hidden" r:id="rId44"/>
    <sheet name="Capacidad de Endeudamiento MFMP" sheetId="35" state="hidden" r:id="rId45"/>
    <sheet name="MFMP Endeudamiento con incremen" sheetId="38" state="hidden" r:id="rId46"/>
    <sheet name="Techos Funcionamiento" sheetId="27" state="hidden" r:id="rId47"/>
    <sheet name="350 C.P" sheetId="15" state="hidden" r:id="rId48"/>
    <sheet name="Sicodis" sheetId="26" state="hidden" r:id="rId49"/>
    <sheet name="Historico Gastos 2015-2021" sheetId="23" state="hidden" r:id="rId50"/>
    <sheet name="IPC" sheetId="22" state="hidden" r:id="rId51"/>
    <sheet name="Crecimiento 2021" sheetId="21" state="hidden" r:id="rId52"/>
    <sheet name="LEY 617" sheetId="16" state="hidden" r:id="rId53"/>
    <sheet name="F y U 2021" sheetId="3" state="hidden" r:id="rId54"/>
    <sheet name="Historico mes a mes" sheetId="10" state="hidden" r:id="rId55"/>
    <sheet name="F y U 2022" sheetId="4" state="hidden" r:id="rId56"/>
    <sheet name="Asamblea" sheetId="14" state="hidden" r:id="rId57"/>
    <sheet name="Deuda Nueva" sheetId="18" state="hidden" r:id="rId58"/>
    <sheet name="Deuda 2022" sheetId="17" state="hidden" r:id="rId59"/>
    <sheet name="Monopolio 2019" sheetId="9" state="hidden" r:id="rId60"/>
    <sheet name="2019" sheetId="8" state="hidden" r:id="rId61"/>
    <sheet name="Calculos Ingresos" sheetId="6" state="hidden"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xlnm._FilterDatabase" localSheetId="9" hidden="1">' Verdad Verdadera 24-27'!$A$6:$D$53</definedName>
    <definedName name="_xlnm._FilterDatabase" localSheetId="0" hidden="1">'2015-2021'!$AD$1:$AD$98</definedName>
    <definedName name="_xlnm._FilterDatabase" localSheetId="60" hidden="1">'2019'!$A$1:$AS$397</definedName>
    <definedName name="_xlnm._FilterDatabase" localSheetId="55" hidden="1">'F y U 2022'!$A$1:$A$159</definedName>
    <definedName name="_xlnm._FilterDatabase" localSheetId="30" hidden="1">'F y U 2022 Presupuesto'!$A$1:$A$148</definedName>
    <definedName name="_xlnm._FilterDatabase" localSheetId="25" hidden="1">'F Y U 2023 Prespupuesto'!$A$6:$XFC$53</definedName>
    <definedName name="_xlnm._FilterDatabase" localSheetId="6" hidden="1">'F Y U 2024 Presupuesto'!$A$6:$XFC$52</definedName>
    <definedName name="_xlnm._FilterDatabase" localSheetId="15" hidden="1">'F Y U 2024 Presupuesto 15.09'!$A$6:$XFC$52</definedName>
    <definedName name="_xlnm._FilterDatabase" localSheetId="11" hidden="1">'F Y U 2024 Presupuesto OK R (2)'!$A$6:$XFC$52</definedName>
    <definedName name="_xlnm._FilterDatabase" localSheetId="7" hidden="1">'F Y U 2024 Presupuesto OK RED'!$A$6:$XFC$52</definedName>
    <definedName name="_xlnm._FilterDatabase" localSheetId="10" hidden="1">'FYU 2024-2027 definitivo'!$6:$53</definedName>
    <definedName name="_xlnm._FilterDatabase" localSheetId="8" hidden="1">'FYU 2024-2027 inversion'!$A$6:$XEO$129</definedName>
    <definedName name="_xlnm._FilterDatabase" localSheetId="26" hidden="1">'Historico Plan Finan 15-23'!$A$1:$W$197</definedName>
    <definedName name="_xlnm._FilterDatabase" localSheetId="35" hidden="1">'Historico Plan Financiero 2 (2)'!$A$2:$V$200</definedName>
    <definedName name="_xlnm._FilterDatabase" localSheetId="4" hidden="1">'Historico Plan Financiero 2023'!$A$2:$AA$200</definedName>
    <definedName name="_xlnm._FilterDatabase" localSheetId="5" hidden="1">'Historico Plan Financiero 2024'!$A$2:$AA$143</definedName>
    <definedName name="_xlnm._FilterDatabase" localSheetId="24" hidden="1">'Ingresos 2022'!$A$1:$AR$489</definedName>
    <definedName name="_xlnm._FilterDatabase" localSheetId="22" hidden="1">'Ingresos 2023'!$A$1:$N$457</definedName>
    <definedName name="_xlnm._FilterDatabase" localSheetId="33" hidden="1">'Inversion '!$A$1:$A$72</definedName>
    <definedName name="_xlnm._FilterDatabase" localSheetId="52" hidden="1">'LEY 617'!$A$1:$A$147</definedName>
    <definedName name="_xlnm._FilterDatabase" localSheetId="40" hidden="1">'MFMP Plan Financiero GASTOS'!$T$1:$T$127</definedName>
    <definedName name="_xlnm._FilterDatabase" localSheetId="1" hidden="1">'MX6'!$A$1:$G$1</definedName>
    <definedName name="_xlnm._FilterDatabase" localSheetId="29" hidden="1">'Plan Financiero Ingresos'!$F$1:$F$168</definedName>
    <definedName name="_xlnm._FilterDatabase" localSheetId="23" hidden="1">'Recaudo Julio Dic 2022'!$A$1:$E$307</definedName>
    <definedName name="_xlnm._FilterDatabase" localSheetId="36" hidden="1">'Salud 2023'!$D$1:$D$26</definedName>
    <definedName name="_xlnm._FilterDatabase" localSheetId="34" hidden="1">'Salud 2024'!$D$1:$D$26</definedName>
    <definedName name="_xlnm._FilterDatabase" localSheetId="20" hidden="1">'Salud 2024 '!$D$1:$D$26</definedName>
    <definedName name="_xlnm._FilterDatabase" localSheetId="46" hidden="1">'Techos Funcionamiento'!$C$1:$C$20</definedName>
    <definedName name="_xlnm.Print_Titles" localSheetId="53">'F y U 2021'!$1:$6</definedName>
    <definedName name="_xlnm.Print_Titles" localSheetId="55">'F y U 2022'!$1:$6</definedName>
    <definedName name="_xlnm.Print_Titles" localSheetId="30">'F y U 2022 Presupuesto'!$1:$6</definedName>
    <definedName name="_xlnm.Print_Titles" localSheetId="33">'Inversion '!$1:$5</definedName>
    <definedName name="_xlnm.Print_Titles" localSheetId="52">'LEY 617'!$1:$6</definedName>
  </definedNames>
  <calcPr calcId="179021"/>
</workbook>
</file>

<file path=xl/calcChain.xml><?xml version="1.0" encoding="utf-8"?>
<calcChain xmlns="http://schemas.openxmlformats.org/spreadsheetml/2006/main">
  <c r="C203" i="69" l="1"/>
  <c r="C201" i="69"/>
  <c r="C200" i="69"/>
  <c r="C198" i="69"/>
  <c r="C197" i="69"/>
  <c r="C191" i="69"/>
  <c r="F158" i="69"/>
  <c r="D156" i="69"/>
  <c r="D149" i="69"/>
  <c r="D154" i="69"/>
  <c r="C156" i="69"/>
  <c r="C154" i="69"/>
  <c r="C149" i="69"/>
  <c r="C144" i="69"/>
  <c r="C116" i="69"/>
  <c r="C81" i="69"/>
  <c r="E81" i="69" s="1"/>
  <c r="B81" i="69"/>
  <c r="A81" i="69"/>
  <c r="C80" i="69"/>
  <c r="D80" i="69" s="1"/>
  <c r="B80" i="69"/>
  <c r="A80" i="69"/>
  <c r="C79" i="69"/>
  <c r="E79" i="69" s="1"/>
  <c r="B79" i="69"/>
  <c r="A79" i="69"/>
  <c r="C78" i="69"/>
  <c r="E78" i="69" s="1"/>
  <c r="B78" i="69"/>
  <c r="A78" i="69"/>
  <c r="C77" i="69"/>
  <c r="D77" i="69" s="1"/>
  <c r="B77" i="69"/>
  <c r="A77" i="69"/>
  <c r="C76" i="69"/>
  <c r="D76" i="69" s="1"/>
  <c r="B76" i="69"/>
  <c r="A76" i="69"/>
  <c r="C75" i="69"/>
  <c r="D75" i="69" s="1"/>
  <c r="B75" i="69"/>
  <c r="A75" i="69"/>
  <c r="C74" i="69"/>
  <c r="D74" i="69" s="1"/>
  <c r="B74" i="69"/>
  <c r="A74" i="69"/>
  <c r="C73" i="69"/>
  <c r="D73" i="69" s="1"/>
  <c r="B73" i="69"/>
  <c r="A73" i="69"/>
  <c r="C72" i="69"/>
  <c r="E72" i="69" s="1"/>
  <c r="B72" i="69"/>
  <c r="A72" i="69"/>
  <c r="C71" i="69"/>
  <c r="E71" i="69" s="1"/>
  <c r="B71" i="69"/>
  <c r="A71" i="69"/>
  <c r="C70" i="69"/>
  <c r="E70" i="69" s="1"/>
  <c r="B70" i="69"/>
  <c r="A70" i="69"/>
  <c r="C69" i="69"/>
  <c r="E69" i="69" s="1"/>
  <c r="B69" i="69"/>
  <c r="A69" i="69"/>
  <c r="C68" i="69"/>
  <c r="E68" i="69" s="1"/>
  <c r="B68" i="69"/>
  <c r="A68" i="69"/>
  <c r="C67" i="69"/>
  <c r="E67" i="69" s="1"/>
  <c r="B67" i="69"/>
  <c r="A67" i="69"/>
  <c r="C66" i="69"/>
  <c r="D66" i="69" s="1"/>
  <c r="B66" i="69"/>
  <c r="A66" i="69"/>
  <c r="C65" i="69"/>
  <c r="D65" i="69" s="1"/>
  <c r="B65" i="69"/>
  <c r="A65" i="69"/>
  <c r="C64" i="69"/>
  <c r="D64" i="69" s="1"/>
  <c r="B64" i="69"/>
  <c r="A64" i="69"/>
  <c r="C63" i="69"/>
  <c r="E63" i="69" s="1"/>
  <c r="B63" i="69"/>
  <c r="A63" i="69"/>
  <c r="C62" i="69"/>
  <c r="E62" i="69" s="1"/>
  <c r="B62" i="69"/>
  <c r="A62" i="69"/>
  <c r="C61" i="69"/>
  <c r="E61" i="69" s="1"/>
  <c r="B61" i="69"/>
  <c r="A61" i="69"/>
  <c r="C60" i="69"/>
  <c r="D60" i="69" s="1"/>
  <c r="B60" i="69"/>
  <c r="A60" i="69"/>
  <c r="C59" i="69"/>
  <c r="D59" i="69" s="1"/>
  <c r="B59" i="69"/>
  <c r="A59" i="69"/>
  <c r="C58" i="69"/>
  <c r="D58" i="69" s="1"/>
  <c r="B58" i="69"/>
  <c r="A58" i="69"/>
  <c r="C57" i="69"/>
  <c r="D57" i="69" s="1"/>
  <c r="B57" i="69"/>
  <c r="A57" i="69"/>
  <c r="E53" i="69" l="1"/>
  <c r="F53" i="69"/>
  <c r="D53" i="69"/>
  <c r="D144" i="69"/>
  <c r="D116" i="69"/>
  <c r="D82" i="69"/>
  <c r="D125" i="70"/>
  <c r="D130" i="70"/>
  <c r="AI130" i="70"/>
  <c r="AE130" i="70"/>
  <c r="AA130" i="70"/>
  <c r="W130" i="70"/>
  <c r="D122" i="70"/>
  <c r="D63" i="70"/>
  <c r="D64" i="70"/>
  <c r="D65" i="70"/>
  <c r="D66" i="70"/>
  <c r="D67" i="70"/>
  <c r="D68" i="70"/>
  <c r="D69" i="70"/>
  <c r="D70" i="70"/>
  <c r="D71" i="70"/>
  <c r="D72" i="70"/>
  <c r="D73" i="70"/>
  <c r="D62" i="70"/>
  <c r="B63" i="70"/>
  <c r="B64" i="70"/>
  <c r="B65" i="70"/>
  <c r="B66" i="70"/>
  <c r="B67" i="70"/>
  <c r="B68" i="70"/>
  <c r="B69" i="70"/>
  <c r="B70" i="70"/>
  <c r="B71" i="70"/>
  <c r="B72" i="70"/>
  <c r="B73" i="70"/>
  <c r="B62" i="70"/>
  <c r="A63" i="70"/>
  <c r="A64" i="70"/>
  <c r="A65" i="70"/>
  <c r="A66" i="70"/>
  <c r="A67" i="70"/>
  <c r="A68" i="70"/>
  <c r="A69" i="70"/>
  <c r="A70" i="70"/>
  <c r="A71" i="70"/>
  <c r="A72" i="70"/>
  <c r="A73" i="70"/>
  <c r="A62" i="70"/>
  <c r="C196" i="64"/>
  <c r="C194" i="64"/>
  <c r="D58" i="64"/>
  <c r="D59" i="64"/>
  <c r="D60" i="64"/>
  <c r="D61" i="64"/>
  <c r="D62" i="64"/>
  <c r="D63" i="64"/>
  <c r="D64" i="64"/>
  <c r="D65" i="64"/>
  <c r="D66" i="64"/>
  <c r="D67" i="64"/>
  <c r="D68" i="64"/>
  <c r="D57" i="64"/>
  <c r="D99" i="69" l="1"/>
  <c r="D158" i="69" s="1"/>
  <c r="AI129" i="70"/>
  <c r="AI125" i="70"/>
  <c r="AI124" i="70"/>
  <c r="AI123" i="70"/>
  <c r="AI120" i="70"/>
  <c r="AI117" i="70"/>
  <c r="AI114" i="70"/>
  <c r="AI113" i="70"/>
  <c r="AI112" i="70"/>
  <c r="AI111" i="70"/>
  <c r="AI110" i="70"/>
  <c r="AI109" i="70"/>
  <c r="AI108" i="70"/>
  <c r="AI107" i="70"/>
  <c r="AI106" i="70"/>
  <c r="AI105" i="70"/>
  <c r="AI104" i="70"/>
  <c r="AI103" i="70"/>
  <c r="AI102" i="70"/>
  <c r="AI101" i="70"/>
  <c r="AI100" i="70"/>
  <c r="AI99" i="70"/>
  <c r="AI98" i="70"/>
  <c r="AI97" i="70"/>
  <c r="AI96" i="70"/>
  <c r="AI95" i="70"/>
  <c r="AI94" i="70"/>
  <c r="AI90" i="70"/>
  <c r="AI89" i="70"/>
  <c r="AI88" i="70"/>
  <c r="AI87" i="70"/>
  <c r="AI86" i="70"/>
  <c r="AI85" i="70"/>
  <c r="AI84" i="70"/>
  <c r="AI80" i="70"/>
  <c r="AI78" i="70"/>
  <c r="AI77" i="70"/>
  <c r="AI75" i="70"/>
  <c r="AI74" i="70"/>
  <c r="AI61" i="70"/>
  <c r="AI60" i="70"/>
  <c r="AI59" i="70"/>
  <c r="AI56" i="70"/>
  <c r="AI51" i="70"/>
  <c r="AI45" i="70"/>
  <c r="AI44" i="70"/>
  <c r="AI39" i="70"/>
  <c r="AI29" i="70"/>
  <c r="AI28" i="70"/>
  <c r="AI27" i="70"/>
  <c r="AI26" i="70"/>
  <c r="AI25" i="70"/>
  <c r="AI21" i="70"/>
  <c r="AI12" i="70"/>
  <c r="AE122" i="70"/>
  <c r="AA122" i="70"/>
  <c r="W122" i="70"/>
  <c r="F99" i="69"/>
  <c r="E99" i="69"/>
  <c r="E158" i="69" s="1"/>
  <c r="C99" i="69"/>
  <c r="C158" i="69" s="1"/>
  <c r="C53" i="69"/>
  <c r="C10" i="65"/>
  <c r="D10" i="65"/>
  <c r="E10" i="65"/>
  <c r="AA181" i="64"/>
  <c r="AA180" i="64"/>
  <c r="W169" i="64"/>
  <c r="W175" i="64" s="1"/>
  <c r="C27" i="65"/>
  <c r="C33" i="65"/>
  <c r="C11" i="65" s="1"/>
  <c r="C1" i="67"/>
  <c r="D1" i="67" s="1"/>
  <c r="E1" i="67" s="1"/>
  <c r="B1" i="67"/>
  <c r="AD103" i="64"/>
  <c r="AA103" i="64"/>
  <c r="W103" i="64"/>
  <c r="AE103" i="64" s="1"/>
  <c r="AE181" i="64"/>
  <c r="AE180" i="64"/>
  <c r="V180" i="64"/>
  <c r="Z180" i="64" s="1"/>
  <c r="AD180" i="64" s="1"/>
  <c r="E33" i="65"/>
  <c r="E11" i="65" s="1"/>
  <c r="F33" i="65"/>
  <c r="G33" i="65"/>
  <c r="H33" i="65"/>
  <c r="I33" i="65"/>
  <c r="J33" i="65"/>
  <c r="K33" i="65"/>
  <c r="L33" i="65"/>
  <c r="M33" i="65"/>
  <c r="N33" i="65"/>
  <c r="AE169" i="64"/>
  <c r="AE175" i="64" s="1"/>
  <c r="AA169" i="64"/>
  <c r="AA175" i="64" s="1"/>
  <c r="AE117" i="64"/>
  <c r="AA117" i="64"/>
  <c r="C47" i="66"/>
  <c r="N12" i="66"/>
  <c r="M12" i="66"/>
  <c r="L12" i="66"/>
  <c r="E12" i="66"/>
  <c r="D12" i="66"/>
  <c r="F11" i="66"/>
  <c r="G11" i="66" s="1"/>
  <c r="Q5" i="66"/>
  <c r="O5" i="66"/>
  <c r="M5" i="66"/>
  <c r="L5" i="66"/>
  <c r="K5" i="66"/>
  <c r="J5" i="66"/>
  <c r="I5" i="66"/>
  <c r="D5" i="66"/>
  <c r="E4" i="66"/>
  <c r="N4" i="66" s="1"/>
  <c r="N5" i="66" s="1"/>
  <c r="C38" i="66" s="1"/>
  <c r="E30" i="65"/>
  <c r="N27" i="65"/>
  <c r="M27" i="65"/>
  <c r="P4" i="66" l="1"/>
  <c r="P5" i="66" s="1"/>
  <c r="F12" i="66"/>
  <c r="AI122" i="70"/>
  <c r="I11" i="66"/>
  <c r="I12" i="66" s="1"/>
  <c r="C24" i="66" s="1"/>
  <c r="H11" i="66"/>
  <c r="J11" i="66"/>
  <c r="J12" i="66" s="1"/>
  <c r="C23" i="66" s="1"/>
  <c r="G12" i="66"/>
  <c r="Q11" i="66"/>
  <c r="Q12" i="66" s="1"/>
  <c r="C40" i="66" s="1"/>
  <c r="G4" i="66"/>
  <c r="F27" i="65"/>
  <c r="G27" i="65"/>
  <c r="H27" i="65"/>
  <c r="K27" i="65"/>
  <c r="L27" i="65"/>
  <c r="I28" i="65"/>
  <c r="J28" i="65" s="1"/>
  <c r="J27" i="65" s="1"/>
  <c r="E28" i="65"/>
  <c r="E27" i="65" s="1"/>
  <c r="B35" i="65"/>
  <c r="B33" i="65" s="1"/>
  <c r="B11" i="65" s="1"/>
  <c r="D33" i="65"/>
  <c r="D11" i="65" s="1"/>
  <c r="B32" i="65"/>
  <c r="B31" i="65"/>
  <c r="B29" i="65"/>
  <c r="B27" i="65" s="1"/>
  <c r="D27" i="65"/>
  <c r="B24" i="65"/>
  <c r="B22" i="65" s="1"/>
  <c r="B18" i="65"/>
  <c r="D15" i="65"/>
  <c r="B15" i="65"/>
  <c r="B10" i="65"/>
  <c r="I27" i="65" l="1"/>
  <c r="O11" i="66"/>
  <c r="O12" i="66" s="1"/>
  <c r="C39" i="66" s="1"/>
  <c r="P11" i="66"/>
  <c r="R4" i="66"/>
  <c r="R5" i="66" s="1"/>
  <c r="H4" i="66"/>
  <c r="S4" i="66"/>
  <c r="U11" i="66"/>
  <c r="U12" i="66" s="1"/>
  <c r="H12" i="66"/>
  <c r="C22" i="66" s="1"/>
  <c r="X11" i="66"/>
  <c r="X12" i="66" s="1"/>
  <c r="V11" i="66"/>
  <c r="V12" i="66" s="1"/>
  <c r="B21" i="65"/>
  <c r="S5" i="66" l="1"/>
  <c r="T4" i="66"/>
  <c r="T5" i="66" s="1"/>
  <c r="X4" i="66"/>
  <c r="X5" i="66" s="1"/>
  <c r="C34" i="66" s="1"/>
  <c r="B16" i="66"/>
  <c r="H5" i="66"/>
  <c r="C28" i="66" s="1"/>
  <c r="W4" i="66"/>
  <c r="W5" i="66" s="1"/>
  <c r="U4" i="66"/>
  <c r="U5" i="66" s="1"/>
  <c r="C30" i="66" s="1"/>
  <c r="Z4" i="66"/>
  <c r="Z5" i="66" s="1"/>
  <c r="V4" i="66"/>
  <c r="V5" i="66" s="1"/>
  <c r="C29" i="66" s="1"/>
  <c r="Y4" i="66"/>
  <c r="AB4" i="66"/>
  <c r="AB5" i="66" s="1"/>
  <c r="P12" i="66"/>
  <c r="C26" i="66" s="1"/>
  <c r="R11" i="66"/>
  <c r="Z11" i="66"/>
  <c r="Z12" i="66" s="1"/>
  <c r="C23" i="65"/>
  <c r="C22" i="65" s="1"/>
  <c r="R12" i="66" l="1"/>
  <c r="C25" i="66" s="1"/>
  <c r="Y11" i="66"/>
  <c r="W11" i="66"/>
  <c r="W12" i="66" s="1"/>
  <c r="C32" i="66"/>
  <c r="Y5" i="66"/>
  <c r="AA4" i="66"/>
  <c r="AA5" i="66" s="1"/>
  <c r="AC4" i="66"/>
  <c r="AC5" i="66" s="1"/>
  <c r="B15" i="66" s="1"/>
  <c r="B17" i="66" s="1"/>
  <c r="C36" i="66"/>
  <c r="S11" i="66"/>
  <c r="AB11" i="66" s="1"/>
  <c r="AB12" i="66" s="1"/>
  <c r="C33" i="66" s="1"/>
  <c r="C21" i="65"/>
  <c r="AA11" i="66" l="1"/>
  <c r="AA12" i="66" s="1"/>
  <c r="C37" i="66" s="1"/>
  <c r="Y12" i="66"/>
  <c r="C35" i="66" s="1"/>
  <c r="S12" i="66"/>
  <c r="T11" i="66"/>
  <c r="T12" i="66" s="1"/>
  <c r="D23" i="65"/>
  <c r="D22" i="65" s="1"/>
  <c r="AC11" i="66" l="1"/>
  <c r="AC12" i="66" s="1"/>
  <c r="C31" i="66"/>
  <c r="C41" i="66" s="1"/>
  <c r="C45" i="66" s="1"/>
  <c r="C48" i="66" s="1"/>
  <c r="D21" i="65"/>
  <c r="E23" i="65" l="1"/>
  <c r="E22" i="65" s="1"/>
  <c r="E21" i="65" s="1"/>
  <c r="F49" i="64"/>
  <c r="W117" i="64"/>
  <c r="V49" i="64"/>
  <c r="Z49" i="64" s="1"/>
  <c r="J19" i="64"/>
  <c r="L127" i="64"/>
  <c r="L128" i="64" s="1"/>
  <c r="N155" i="64"/>
  <c r="O155" i="64" s="1"/>
  <c r="P155" i="64" s="1"/>
  <c r="N156" i="64"/>
  <c r="O156" i="64" s="1"/>
  <c r="P156" i="64" s="1"/>
  <c r="N157" i="64"/>
  <c r="O157" i="64" s="1"/>
  <c r="P157" i="64" s="1"/>
  <c r="N158" i="64"/>
  <c r="O158" i="64" s="1"/>
  <c r="P158" i="64" s="1"/>
  <c r="N159" i="64"/>
  <c r="O159" i="64" s="1"/>
  <c r="P159" i="64" s="1"/>
  <c r="C217" i="64"/>
  <c r="C215" i="64"/>
  <c r="C214" i="64"/>
  <c r="C181" i="64"/>
  <c r="C213" i="64" s="1"/>
  <c r="C179" i="64"/>
  <c r="C175" i="64"/>
  <c r="E159" i="64"/>
  <c r="C159" i="64"/>
  <c r="W159" i="64" s="1"/>
  <c r="AA159" i="64" s="1"/>
  <c r="AE159" i="64" s="1"/>
  <c r="F156" i="64"/>
  <c r="G156" i="64" s="1"/>
  <c r="B140" i="64"/>
  <c r="C137" i="64"/>
  <c r="C126" i="64"/>
  <c r="B126" i="64"/>
  <c r="C125" i="64"/>
  <c r="B125" i="64"/>
  <c r="C124" i="64"/>
  <c r="B124" i="64"/>
  <c r="C123" i="64"/>
  <c r="B123" i="64"/>
  <c r="D117" i="64"/>
  <c r="C116" i="64"/>
  <c r="D116" i="64" s="1"/>
  <c r="C56" i="64"/>
  <c r="E56" i="64" s="1"/>
  <c r="C55" i="64"/>
  <c r="E55" i="64" s="1"/>
  <c r="C50" i="64"/>
  <c r="F50" i="64" s="1"/>
  <c r="C48" i="64"/>
  <c r="F48" i="64" s="1"/>
  <c r="C46" i="64"/>
  <c r="C41" i="64"/>
  <c r="E41" i="64" s="1"/>
  <c r="C38" i="64"/>
  <c r="F38" i="64" s="1"/>
  <c r="C37" i="64"/>
  <c r="E37" i="64" s="1"/>
  <c r="C35" i="64"/>
  <c r="F35" i="64" s="1"/>
  <c r="C34" i="64"/>
  <c r="F34" i="64" s="1"/>
  <c r="E30" i="64"/>
  <c r="D29" i="64"/>
  <c r="D28" i="64"/>
  <c r="D27" i="64"/>
  <c r="I27" i="64"/>
  <c r="I26" i="64"/>
  <c r="E24" i="64"/>
  <c r="E23" i="64"/>
  <c r="E22" i="64"/>
  <c r="AD49" i="64" l="1"/>
  <c r="AG49" i="64" s="1"/>
  <c r="AC49" i="64"/>
  <c r="C212" i="64"/>
  <c r="W179" i="64"/>
  <c r="Y49" i="64"/>
  <c r="F23" i="65"/>
  <c r="F22" i="65" s="1"/>
  <c r="F21" i="65" s="1"/>
  <c r="D137" i="64"/>
  <c r="V137" i="64"/>
  <c r="Z137" i="64" s="1"/>
  <c r="AD137" i="64" s="1"/>
  <c r="D124" i="64"/>
  <c r="V124" i="64"/>
  <c r="Z124" i="64" s="1"/>
  <c r="AD124" i="64" s="1"/>
  <c r="D123" i="64"/>
  <c r="V123" i="64"/>
  <c r="Z123" i="64" s="1"/>
  <c r="AD123" i="64" s="1"/>
  <c r="D125" i="64"/>
  <c r="V125" i="64"/>
  <c r="Z125" i="64" s="1"/>
  <c r="AD125" i="64" s="1"/>
  <c r="C189" i="64"/>
  <c r="D126" i="64"/>
  <c r="V126" i="64"/>
  <c r="Z126" i="64" s="1"/>
  <c r="AD126" i="64" s="1"/>
  <c r="V23" i="64"/>
  <c r="V116" i="64"/>
  <c r="V25" i="64"/>
  <c r="V55" i="64"/>
  <c r="V37" i="64"/>
  <c r="V38" i="64"/>
  <c r="V30" i="64"/>
  <c r="V22" i="64"/>
  <c r="V56" i="64"/>
  <c r="V29" i="64"/>
  <c r="V48" i="64"/>
  <c r="V28" i="64"/>
  <c r="V41" i="64"/>
  <c r="V24" i="64"/>
  <c r="V27" i="64"/>
  <c r="V34" i="64"/>
  <c r="V50" i="64"/>
  <c r="V26" i="64"/>
  <c r="V35" i="64"/>
  <c r="P160" i="64"/>
  <c r="P161" i="64" s="1"/>
  <c r="I23" i="64"/>
  <c r="L32" i="64"/>
  <c r="L31" i="64"/>
  <c r="O31" i="64" s="1"/>
  <c r="I29" i="64"/>
  <c r="H25" i="64"/>
  <c r="H31" i="64"/>
  <c r="I28" i="64"/>
  <c r="I30" i="64"/>
  <c r="I24" i="64"/>
  <c r="C204" i="64"/>
  <c r="D46" i="64"/>
  <c r="D26" i="64"/>
  <c r="D25" i="64"/>
  <c r="C168" i="64"/>
  <c r="O11" i="62"/>
  <c r="O20" i="62"/>
  <c r="O83" i="62"/>
  <c r="O89" i="62"/>
  <c r="O87" i="62" s="1"/>
  <c r="O86" i="62" s="1"/>
  <c r="O91" i="62"/>
  <c r="AA179" i="64" l="1"/>
  <c r="W204" i="64"/>
  <c r="O82" i="62"/>
  <c r="O81" i="62" s="1"/>
  <c r="G23" i="65"/>
  <c r="G22" i="65" s="1"/>
  <c r="G21" i="65" s="1"/>
  <c r="Z24" i="64"/>
  <c r="X24" i="64"/>
  <c r="Z41" i="64"/>
  <c r="X41" i="64"/>
  <c r="Z22" i="64"/>
  <c r="X22" i="64"/>
  <c r="Z38" i="64"/>
  <c r="Y38" i="64"/>
  <c r="Z116" i="64"/>
  <c r="W116" i="64"/>
  <c r="Z35" i="64"/>
  <c r="Y35" i="64"/>
  <c r="Z30" i="64"/>
  <c r="X30" i="64"/>
  <c r="Z45" i="64"/>
  <c r="W45" i="64"/>
  <c r="Z23" i="64"/>
  <c r="X23" i="64"/>
  <c r="Z26" i="64"/>
  <c r="W26" i="64"/>
  <c r="Z28" i="64"/>
  <c r="W28" i="64"/>
  <c r="Z50" i="64"/>
  <c r="Y50" i="64"/>
  <c r="W125" i="64"/>
  <c r="W123" i="64"/>
  <c r="Z37" i="64"/>
  <c r="X37" i="64"/>
  <c r="Z25" i="64"/>
  <c r="W25" i="64"/>
  <c r="Z34" i="64"/>
  <c r="Y34" i="64"/>
  <c r="Z48" i="64"/>
  <c r="Y48" i="64"/>
  <c r="Z27" i="64"/>
  <c r="W27" i="64"/>
  <c r="W137" i="64"/>
  <c r="Z29" i="64"/>
  <c r="W29" i="64"/>
  <c r="Z56" i="64"/>
  <c r="X56" i="64"/>
  <c r="Z55" i="64"/>
  <c r="X55" i="64"/>
  <c r="W124" i="64"/>
  <c r="W126" i="64"/>
  <c r="O33" i="64"/>
  <c r="O30" i="64"/>
  <c r="S30" i="64" s="1"/>
  <c r="S31" i="64"/>
  <c r="T31" i="64" s="1"/>
  <c r="O32" i="64"/>
  <c r="H28" i="64"/>
  <c r="H30" i="64"/>
  <c r="H27" i="64"/>
  <c r="K25" i="64"/>
  <c r="H29" i="64"/>
  <c r="H26" i="64"/>
  <c r="H33" i="64"/>
  <c r="K33" i="64" s="1"/>
  <c r="H32" i="64"/>
  <c r="K32" i="64" s="1"/>
  <c r="M32" i="64" s="1"/>
  <c r="K31" i="64"/>
  <c r="P31" i="64" s="1"/>
  <c r="C190" i="64"/>
  <c r="I23" i="61"/>
  <c r="I24" i="61"/>
  <c r="C182" i="61"/>
  <c r="C180" i="61"/>
  <c r="C179" i="61"/>
  <c r="C147" i="61"/>
  <c r="C178" i="61" s="1"/>
  <c r="C145" i="61"/>
  <c r="C177" i="61" s="1"/>
  <c r="C141" i="61"/>
  <c r="N125" i="61"/>
  <c r="O125" i="61" s="1"/>
  <c r="P125" i="61" s="1"/>
  <c r="E125" i="61"/>
  <c r="C125" i="61"/>
  <c r="N124" i="61"/>
  <c r="O124" i="61" s="1"/>
  <c r="P124" i="61" s="1"/>
  <c r="O123" i="61"/>
  <c r="P123" i="61" s="1"/>
  <c r="N123" i="61"/>
  <c r="N122" i="61"/>
  <c r="O122" i="61" s="1"/>
  <c r="P122" i="61" s="1"/>
  <c r="F122" i="61"/>
  <c r="G122" i="61" s="1"/>
  <c r="N121" i="61"/>
  <c r="O121" i="61" s="1"/>
  <c r="P121" i="61" s="1"/>
  <c r="B106" i="61"/>
  <c r="D103" i="61"/>
  <c r="C103" i="61"/>
  <c r="L93" i="61"/>
  <c r="L94" i="61" s="1"/>
  <c r="C92" i="61"/>
  <c r="D92" i="61" s="1"/>
  <c r="B92" i="61"/>
  <c r="C91" i="61"/>
  <c r="D91" i="61" s="1"/>
  <c r="B91" i="61"/>
  <c r="C90" i="61"/>
  <c r="D90" i="61" s="1"/>
  <c r="B90" i="61"/>
  <c r="C89" i="61"/>
  <c r="D89" i="61" s="1"/>
  <c r="B89" i="61"/>
  <c r="D83" i="61"/>
  <c r="C82" i="61"/>
  <c r="D82" i="61" s="1"/>
  <c r="C55" i="61"/>
  <c r="C54" i="61"/>
  <c r="C49" i="61"/>
  <c r="O101" i="63" s="1"/>
  <c r="C48" i="61"/>
  <c r="O103" i="63" s="1"/>
  <c r="C46" i="61"/>
  <c r="D46" i="61" s="1"/>
  <c r="C41" i="61"/>
  <c r="E41" i="61" s="1"/>
  <c r="C38" i="61"/>
  <c r="F38" i="61" s="1"/>
  <c r="C37" i="61"/>
  <c r="F35" i="61"/>
  <c r="C35" i="61"/>
  <c r="C34" i="61"/>
  <c r="O137" i="63" s="1"/>
  <c r="D27" i="61"/>
  <c r="K23" i="61"/>
  <c r="E23" i="61"/>
  <c r="K22" i="61"/>
  <c r="E22" i="61"/>
  <c r="J19" i="61"/>
  <c r="C182" i="60"/>
  <c r="C180" i="60"/>
  <c r="C179" i="60"/>
  <c r="C147" i="60"/>
  <c r="C178" i="60" s="1"/>
  <c r="C145" i="60"/>
  <c r="C177" i="60" s="1"/>
  <c r="C141" i="60"/>
  <c r="N125" i="60"/>
  <c r="O125" i="60" s="1"/>
  <c r="P125" i="60" s="1"/>
  <c r="E125" i="60"/>
  <c r="C125" i="60"/>
  <c r="N124" i="60"/>
  <c r="O124" i="60" s="1"/>
  <c r="P124" i="60" s="1"/>
  <c r="N123" i="60"/>
  <c r="O123" i="60" s="1"/>
  <c r="P123" i="60" s="1"/>
  <c r="N122" i="60"/>
  <c r="O122" i="60" s="1"/>
  <c r="P122" i="60" s="1"/>
  <c r="F122" i="60"/>
  <c r="G122" i="60" s="1"/>
  <c r="N121" i="60"/>
  <c r="O121" i="60" s="1"/>
  <c r="P121" i="60" s="1"/>
  <c r="B106" i="60"/>
  <c r="C103" i="60"/>
  <c r="D103" i="60" s="1"/>
  <c r="L93" i="60"/>
  <c r="L94" i="60" s="1"/>
  <c r="C92" i="60"/>
  <c r="D92" i="60" s="1"/>
  <c r="B92" i="60"/>
  <c r="C91" i="60"/>
  <c r="D91" i="60" s="1"/>
  <c r="B91" i="60"/>
  <c r="C90" i="60"/>
  <c r="D90" i="60" s="1"/>
  <c r="B90" i="60"/>
  <c r="C89" i="60"/>
  <c r="D89" i="60" s="1"/>
  <c r="B89" i="60"/>
  <c r="D83" i="60"/>
  <c r="C82" i="60"/>
  <c r="D82" i="60" s="1"/>
  <c r="C55" i="60"/>
  <c r="E55" i="60" s="1"/>
  <c r="C54" i="60"/>
  <c r="C49" i="60"/>
  <c r="F49" i="60" s="1"/>
  <c r="C48" i="60"/>
  <c r="F48" i="60" s="1"/>
  <c r="C46" i="60"/>
  <c r="C41" i="60"/>
  <c r="E41" i="60" s="1"/>
  <c r="C38" i="60"/>
  <c r="F38" i="60" s="1"/>
  <c r="C37" i="60"/>
  <c r="E37" i="60" s="1"/>
  <c r="C35" i="60"/>
  <c r="F35" i="60" s="1"/>
  <c r="C34" i="60"/>
  <c r="F34" i="60" s="1"/>
  <c r="J19" i="60"/>
  <c r="F122" i="57"/>
  <c r="G122" i="57" s="1"/>
  <c r="E125" i="57"/>
  <c r="D84" i="59"/>
  <c r="C84" i="59"/>
  <c r="D83" i="59"/>
  <c r="D82" i="59"/>
  <c r="C82" i="59"/>
  <c r="C81" i="59"/>
  <c r="C80" i="59"/>
  <c r="D79" i="59"/>
  <c r="C79" i="59"/>
  <c r="B78" i="59"/>
  <c r="D76" i="59"/>
  <c r="C76" i="59"/>
  <c r="D75" i="59"/>
  <c r="C75" i="59"/>
  <c r="D74" i="59"/>
  <c r="C74" i="59"/>
  <c r="D73" i="59"/>
  <c r="B73" i="59"/>
  <c r="D71" i="59"/>
  <c r="C71" i="59"/>
  <c r="D69" i="59"/>
  <c r="C69" i="59"/>
  <c r="B68" i="59"/>
  <c r="C67" i="59"/>
  <c r="C64" i="59"/>
  <c r="C63" i="59"/>
  <c r="C62" i="59"/>
  <c r="C61" i="59"/>
  <c r="C60" i="59"/>
  <c r="C58" i="59"/>
  <c r="C57" i="59"/>
  <c r="C56" i="59"/>
  <c r="C55" i="59"/>
  <c r="C53" i="59"/>
  <c r="B51" i="59"/>
  <c r="C50" i="59"/>
  <c r="C49" i="59"/>
  <c r="C48" i="59"/>
  <c r="C47" i="59"/>
  <c r="A24" i="59"/>
  <c r="A30" i="59"/>
  <c r="A31" i="59"/>
  <c r="A29" i="59"/>
  <c r="A27" i="59"/>
  <c r="A26" i="59"/>
  <c r="B17" i="59"/>
  <c r="B19" i="59"/>
  <c r="A15" i="59"/>
  <c r="A16" i="59"/>
  <c r="A17" i="59"/>
  <c r="A18" i="59"/>
  <c r="A19" i="59"/>
  <c r="A20" i="59"/>
  <c r="A21" i="59"/>
  <c r="A22" i="59"/>
  <c r="A23" i="59"/>
  <c r="A14" i="59"/>
  <c r="C145" i="57"/>
  <c r="B18" i="59" s="1"/>
  <c r="C48" i="57"/>
  <c r="C49" i="57"/>
  <c r="B48" i="53"/>
  <c r="B49" i="53"/>
  <c r="B50" i="53"/>
  <c r="B47" i="53"/>
  <c r="D89" i="59" l="1"/>
  <c r="AE179" i="64"/>
  <c r="AA204" i="64"/>
  <c r="C51" i="59"/>
  <c r="H23" i="65"/>
  <c r="H22" i="65" s="1"/>
  <c r="H21" i="65" s="1"/>
  <c r="AD34" i="64"/>
  <c r="AG34" i="64" s="1"/>
  <c r="AC34" i="64"/>
  <c r="AD37" i="64"/>
  <c r="AF37" i="64" s="1"/>
  <c r="AB37" i="64"/>
  <c r="AD50" i="64"/>
  <c r="AG50" i="64" s="1"/>
  <c r="AC50" i="64"/>
  <c r="AD23" i="64"/>
  <c r="AB23" i="64"/>
  <c r="AD30" i="64"/>
  <c r="AF30" i="64" s="1"/>
  <c r="AB30" i="64"/>
  <c r="AD28" i="64"/>
  <c r="AE28" i="64" s="1"/>
  <c r="AA28" i="64"/>
  <c r="AD55" i="64"/>
  <c r="AB55" i="64"/>
  <c r="AD29" i="64"/>
  <c r="AE29" i="64" s="1"/>
  <c r="AA29" i="64"/>
  <c r="AD35" i="64"/>
  <c r="AG35" i="64" s="1"/>
  <c r="AC35" i="64"/>
  <c r="AD38" i="64"/>
  <c r="AG38" i="64" s="1"/>
  <c r="AC38" i="64"/>
  <c r="AD48" i="64"/>
  <c r="AG48" i="64" s="1"/>
  <c r="AC48" i="64"/>
  <c r="AD41" i="64"/>
  <c r="AF41" i="64" s="1"/>
  <c r="AB41" i="64"/>
  <c r="AD27" i="64"/>
  <c r="AE27" i="64" s="1"/>
  <c r="AA27" i="64"/>
  <c r="AD25" i="64"/>
  <c r="AE25" i="64" s="1"/>
  <c r="AA25" i="64"/>
  <c r="AD26" i="64"/>
  <c r="AE26" i="64" s="1"/>
  <c r="AA26" i="64"/>
  <c r="AD116" i="64"/>
  <c r="AE116" i="64" s="1"/>
  <c r="AA116" i="64"/>
  <c r="AD56" i="64"/>
  <c r="AF56" i="64" s="1"/>
  <c r="AB56" i="64"/>
  <c r="AD22" i="64"/>
  <c r="AF22" i="64" s="1"/>
  <c r="AB22" i="64"/>
  <c r="AD24" i="64"/>
  <c r="AF24" i="64" s="1"/>
  <c r="AB24" i="64"/>
  <c r="AE125" i="64"/>
  <c r="AA125" i="64"/>
  <c r="AE126" i="64"/>
  <c r="AA126" i="64"/>
  <c r="AE123" i="64"/>
  <c r="AA123" i="64"/>
  <c r="AE137" i="64"/>
  <c r="AA137" i="64"/>
  <c r="AE124" i="64"/>
  <c r="AA124" i="64"/>
  <c r="AD45" i="64"/>
  <c r="AE45" i="64" s="1"/>
  <c r="AA45" i="64"/>
  <c r="S32" i="64"/>
  <c r="K27" i="64"/>
  <c r="L27" i="64" s="1"/>
  <c r="J27" i="64"/>
  <c r="K30" i="64"/>
  <c r="L30" i="64" s="1"/>
  <c r="J30" i="64"/>
  <c r="J26" i="64"/>
  <c r="K26" i="64"/>
  <c r="L26" i="64" s="1"/>
  <c r="K29" i="64"/>
  <c r="L29" i="64" s="1"/>
  <c r="J29" i="64"/>
  <c r="J28" i="64"/>
  <c r="K28" i="64"/>
  <c r="L28" i="64" s="1"/>
  <c r="M31" i="64"/>
  <c r="M33" i="64"/>
  <c r="C188" i="64"/>
  <c r="C220" i="64"/>
  <c r="B89" i="59"/>
  <c r="B86" i="59"/>
  <c r="C78" i="59"/>
  <c r="E55" i="61"/>
  <c r="O356" i="63"/>
  <c r="O107" i="62"/>
  <c r="O106" i="62" s="1"/>
  <c r="C134" i="61"/>
  <c r="C156" i="61" s="1"/>
  <c r="O55" i="62"/>
  <c r="O54" i="62" s="1"/>
  <c r="O105" i="62"/>
  <c r="O104" i="62" s="1"/>
  <c r="O354" i="63"/>
  <c r="O46" i="62"/>
  <c r="E37" i="61"/>
  <c r="O48" i="62"/>
  <c r="O351" i="63"/>
  <c r="O102" i="62"/>
  <c r="O101" i="62" s="1"/>
  <c r="C73" i="59"/>
  <c r="C89" i="59" s="1"/>
  <c r="F34" i="61"/>
  <c r="E54" i="61"/>
  <c r="P126" i="61"/>
  <c r="P127" i="61" s="1"/>
  <c r="C155" i="61"/>
  <c r="K24" i="61"/>
  <c r="L24" i="61" s="1"/>
  <c r="L23" i="61"/>
  <c r="K32" i="61"/>
  <c r="K33" i="61"/>
  <c r="J24" i="61"/>
  <c r="D26" i="61"/>
  <c r="J23" i="61"/>
  <c r="C169" i="61"/>
  <c r="K21" i="61"/>
  <c r="L21" i="61" s="1"/>
  <c r="P126" i="60"/>
  <c r="P127" i="60" s="1"/>
  <c r="D46" i="60"/>
  <c r="C134" i="60"/>
  <c r="C155" i="60"/>
  <c r="C169" i="60"/>
  <c r="E54" i="60"/>
  <c r="C125" i="57"/>
  <c r="C182" i="57"/>
  <c r="C180" i="57"/>
  <c r="C179" i="57"/>
  <c r="C177" i="57"/>
  <c r="Z4" i="52"/>
  <c r="C81" i="53"/>
  <c r="C115" i="64" s="1"/>
  <c r="C79" i="53"/>
  <c r="C113" i="64" s="1"/>
  <c r="C78" i="53"/>
  <c r="C112" i="64" s="1"/>
  <c r="Y8" i="52"/>
  <c r="Y7" i="52"/>
  <c r="Y6" i="52"/>
  <c r="Y5" i="52"/>
  <c r="Y4" i="52"/>
  <c r="N121" i="57"/>
  <c r="O121" i="57" s="1"/>
  <c r="P121" i="57" s="1"/>
  <c r="N122" i="57"/>
  <c r="O122" i="57" s="1"/>
  <c r="P122" i="57" s="1"/>
  <c r="N123" i="57"/>
  <c r="O123" i="57" s="1"/>
  <c r="P123" i="57" s="1"/>
  <c r="N124" i="57"/>
  <c r="O124" i="57" s="1"/>
  <c r="P124" i="57" s="1"/>
  <c r="N125" i="57"/>
  <c r="O125" i="57" s="1"/>
  <c r="P125" i="57" s="1"/>
  <c r="C147" i="57"/>
  <c r="C178" i="57" s="1"/>
  <c r="D39" i="58"/>
  <c r="Y34" i="52"/>
  <c r="A55" i="58"/>
  <c r="A54" i="58"/>
  <c r="B34" i="58"/>
  <c r="B29" i="58"/>
  <c r="B45" i="58" s="1"/>
  <c r="B24" i="58"/>
  <c r="B7" i="58"/>
  <c r="C89" i="57"/>
  <c r="D89" i="57" s="1"/>
  <c r="C90" i="57"/>
  <c r="D90" i="57" s="1"/>
  <c r="C91" i="57"/>
  <c r="D91" i="57" s="1"/>
  <c r="C92" i="57"/>
  <c r="D92" i="57" s="1"/>
  <c r="C103" i="57"/>
  <c r="D103" i="57" s="1"/>
  <c r="C81" i="57"/>
  <c r="D81" i="57" s="1"/>
  <c r="C82" i="57"/>
  <c r="D82" i="57" s="1"/>
  <c r="C55" i="57"/>
  <c r="E55" i="57" s="1"/>
  <c r="C54" i="57"/>
  <c r="C34" i="57"/>
  <c r="F34" i="57" s="1"/>
  <c r="C35" i="57"/>
  <c r="F35" i="57" s="1"/>
  <c r="C37" i="57"/>
  <c r="E37" i="57" s="1"/>
  <c r="C38" i="57"/>
  <c r="F38" i="57" s="1"/>
  <c r="C41" i="57"/>
  <c r="E41" i="57" s="1"/>
  <c r="C46" i="57"/>
  <c r="C134" i="57" s="1"/>
  <c r="C141" i="57"/>
  <c r="B106" i="57"/>
  <c r="L93" i="57"/>
  <c r="L94" i="57" s="1"/>
  <c r="B92" i="57"/>
  <c r="B91" i="57"/>
  <c r="B90" i="57"/>
  <c r="B89" i="57"/>
  <c r="D83" i="57"/>
  <c r="J19" i="57"/>
  <c r="L25" i="56"/>
  <c r="M24" i="56"/>
  <c r="I24" i="56"/>
  <c r="C21" i="56"/>
  <c r="D21" i="56" s="1"/>
  <c r="F24" i="56"/>
  <c r="F23" i="56"/>
  <c r="F22" i="56"/>
  <c r="F21" i="56"/>
  <c r="F13" i="56"/>
  <c r="E13" i="56"/>
  <c r="C13" i="56"/>
  <c r="D13" i="56" s="1"/>
  <c r="F12" i="56"/>
  <c r="E12" i="56"/>
  <c r="C12" i="56"/>
  <c r="D12" i="56" s="1"/>
  <c r="F11" i="56"/>
  <c r="C11" i="56"/>
  <c r="D11" i="56" s="1"/>
  <c r="F10" i="56"/>
  <c r="C10" i="56"/>
  <c r="D10" i="56" s="1"/>
  <c r="M10" i="56" s="1"/>
  <c r="F6" i="56"/>
  <c r="F5" i="56"/>
  <c r="F4" i="56"/>
  <c r="L25" i="55"/>
  <c r="P24" i="55"/>
  <c r="N24" i="55"/>
  <c r="O24" i="55" s="1"/>
  <c r="F24" i="55"/>
  <c r="Q24" i="55" s="1"/>
  <c r="C24" i="55"/>
  <c r="D24" i="55" s="1"/>
  <c r="P23" i="55"/>
  <c r="F23" i="55"/>
  <c r="Q23" i="55" s="1"/>
  <c r="C23" i="55"/>
  <c r="D23" i="55" s="1"/>
  <c r="H23" i="55" s="1"/>
  <c r="P22" i="55"/>
  <c r="F22" i="55"/>
  <c r="C22" i="55"/>
  <c r="D22" i="55" s="1"/>
  <c r="H22" i="55" s="1"/>
  <c r="P21" i="55"/>
  <c r="F21" i="55"/>
  <c r="C21" i="55"/>
  <c r="D21" i="55" s="1"/>
  <c r="H21" i="55" s="1"/>
  <c r="C20" i="55"/>
  <c r="D20" i="55" s="1"/>
  <c r="C19" i="55"/>
  <c r="D19" i="55" s="1"/>
  <c r="K19" i="55" s="1"/>
  <c r="C18" i="55"/>
  <c r="D18" i="55" s="1"/>
  <c r="C17" i="55"/>
  <c r="D17" i="55" s="1"/>
  <c r="C16" i="55"/>
  <c r="D16" i="55" s="1"/>
  <c r="C15" i="55"/>
  <c r="D15" i="55" s="1"/>
  <c r="C14" i="55"/>
  <c r="D14" i="55" s="1"/>
  <c r="P13" i="55"/>
  <c r="N13" i="55"/>
  <c r="F13" i="55"/>
  <c r="Q13" i="55" s="1"/>
  <c r="E13" i="55"/>
  <c r="O13" i="55" s="1"/>
  <c r="C13" i="55"/>
  <c r="D13" i="55" s="1"/>
  <c r="P12" i="55"/>
  <c r="N12" i="55"/>
  <c r="F12" i="55"/>
  <c r="Q12" i="55" s="1"/>
  <c r="E12" i="55"/>
  <c r="C12" i="55"/>
  <c r="D12" i="55" s="1"/>
  <c r="P11" i="55"/>
  <c r="F11" i="55"/>
  <c r="C11" i="55"/>
  <c r="D11" i="55" s="1"/>
  <c r="I11" i="55" s="1"/>
  <c r="P10" i="55"/>
  <c r="F10" i="55"/>
  <c r="Q10" i="55" s="1"/>
  <c r="C10" i="55"/>
  <c r="D10" i="55" s="1"/>
  <c r="M10" i="55" s="1"/>
  <c r="C9" i="55"/>
  <c r="D9" i="55" s="1"/>
  <c r="K9" i="55" s="1"/>
  <c r="C8" i="55"/>
  <c r="D8" i="55" s="1"/>
  <c r="P7" i="55"/>
  <c r="F7" i="55"/>
  <c r="C7" i="55"/>
  <c r="D7" i="55" s="1"/>
  <c r="P6" i="55"/>
  <c r="F6" i="55"/>
  <c r="C6" i="55"/>
  <c r="D6" i="55" s="1"/>
  <c r="M6" i="55" s="1"/>
  <c r="N6" i="55" s="1"/>
  <c r="P5" i="55"/>
  <c r="F5" i="55"/>
  <c r="Q5" i="55" s="1"/>
  <c r="P4" i="55"/>
  <c r="F4" i="55"/>
  <c r="Q4" i="55" s="1"/>
  <c r="D113" i="64" l="1"/>
  <c r="V113" i="64"/>
  <c r="V115" i="64"/>
  <c r="D115" i="64"/>
  <c r="C86" i="59"/>
  <c r="E54" i="57"/>
  <c r="AE204" i="64"/>
  <c r="D112" i="64"/>
  <c r="V112" i="64"/>
  <c r="AF23" i="64"/>
  <c r="I23" i="65"/>
  <c r="I22" i="65" s="1"/>
  <c r="I21" i="65" s="1"/>
  <c r="AF55" i="64"/>
  <c r="K17" i="55"/>
  <c r="H17" i="55"/>
  <c r="E17" i="55" s="1"/>
  <c r="C78" i="61"/>
  <c r="D78" i="61" s="1"/>
  <c r="C78" i="60"/>
  <c r="D78" i="60" s="1"/>
  <c r="C78" i="57"/>
  <c r="D78" i="57" s="1"/>
  <c r="C81" i="60"/>
  <c r="D81" i="60" s="1"/>
  <c r="C81" i="61"/>
  <c r="D81" i="61" s="1"/>
  <c r="Q6" i="55"/>
  <c r="O12" i="55"/>
  <c r="C169" i="57"/>
  <c r="B20" i="59"/>
  <c r="Q11" i="55"/>
  <c r="B14" i="59"/>
  <c r="C79" i="57"/>
  <c r="D79" i="57" s="1"/>
  <c r="C79" i="61"/>
  <c r="D79" i="61" s="1"/>
  <c r="C79" i="60"/>
  <c r="D79" i="60" s="1"/>
  <c r="Q21" i="55"/>
  <c r="O103" i="62"/>
  <c r="L27" i="61"/>
  <c r="L28" i="61"/>
  <c r="L26" i="61"/>
  <c r="L30" i="61"/>
  <c r="C154" i="61"/>
  <c r="C185" i="61"/>
  <c r="L29" i="61"/>
  <c r="C156" i="60"/>
  <c r="C91" i="59"/>
  <c r="K14" i="55"/>
  <c r="J14" i="55"/>
  <c r="F14" i="55" s="1"/>
  <c r="H14" i="55"/>
  <c r="E14" i="55" s="1"/>
  <c r="Q7" i="55"/>
  <c r="I11" i="56"/>
  <c r="E11" i="56" s="1"/>
  <c r="Q22" i="55"/>
  <c r="H21" i="56"/>
  <c r="E21" i="56" s="1"/>
  <c r="N17" i="55"/>
  <c r="O17" i="55" s="1"/>
  <c r="P126" i="57"/>
  <c r="P127" i="57" s="1"/>
  <c r="C155" i="57"/>
  <c r="B26" i="59" s="1"/>
  <c r="D46" i="57"/>
  <c r="B42" i="58"/>
  <c r="C156" i="57"/>
  <c r="B27" i="59" s="1"/>
  <c r="E10" i="56"/>
  <c r="E11" i="55"/>
  <c r="N11" i="55"/>
  <c r="K18" i="55"/>
  <c r="J18" i="55"/>
  <c r="H18" i="55"/>
  <c r="K20" i="55"/>
  <c r="H20" i="55"/>
  <c r="N23" i="55"/>
  <c r="E23" i="55"/>
  <c r="E21" i="55"/>
  <c r="N21" i="55"/>
  <c r="H7" i="55"/>
  <c r="I7" i="55"/>
  <c r="P9" i="55"/>
  <c r="F9" i="55"/>
  <c r="J16" i="55"/>
  <c r="H16" i="55"/>
  <c r="K16" i="55"/>
  <c r="E22" i="55"/>
  <c r="N22" i="55"/>
  <c r="K8" i="55"/>
  <c r="H8" i="55"/>
  <c r="I8" i="55"/>
  <c r="H15" i="55"/>
  <c r="J15" i="55"/>
  <c r="K15" i="55"/>
  <c r="N10" i="55"/>
  <c r="E10" i="55"/>
  <c r="O10" i="55" s="1"/>
  <c r="H9" i="55"/>
  <c r="I9" i="55"/>
  <c r="P14" i="55"/>
  <c r="Q14" i="55" s="1"/>
  <c r="E6" i="55"/>
  <c r="O6" i="55" s="1"/>
  <c r="H19" i="55"/>
  <c r="J19" i="55"/>
  <c r="J17" i="55"/>
  <c r="N14" i="55" l="1"/>
  <c r="O14" i="55" s="1"/>
  <c r="Z112" i="64"/>
  <c r="W112" i="64"/>
  <c r="Z115" i="64"/>
  <c r="W115" i="64"/>
  <c r="Z113" i="64"/>
  <c r="W113" i="64"/>
  <c r="J23" i="65"/>
  <c r="J22" i="65" s="1"/>
  <c r="J21" i="65" s="1"/>
  <c r="B25" i="59"/>
  <c r="C154" i="60"/>
  <c r="C185" i="60"/>
  <c r="C154" i="57"/>
  <c r="D27" i="58" s="1"/>
  <c r="C185" i="57"/>
  <c r="O21" i="55"/>
  <c r="O22" i="55"/>
  <c r="Q9" i="55"/>
  <c r="O23" i="55"/>
  <c r="F17" i="55"/>
  <c r="P17" i="55"/>
  <c r="F16" i="55"/>
  <c r="P16" i="55"/>
  <c r="P20" i="55"/>
  <c r="F20" i="55"/>
  <c r="N9" i="55"/>
  <c r="E9" i="55"/>
  <c r="F15" i="55"/>
  <c r="P15" i="55"/>
  <c r="N18" i="55"/>
  <c r="E18" i="55"/>
  <c r="N20" i="55"/>
  <c r="E20" i="55"/>
  <c r="O20" i="55" s="1"/>
  <c r="E15" i="55"/>
  <c r="N15" i="55"/>
  <c r="F18" i="55"/>
  <c r="P18" i="55"/>
  <c r="E16" i="55"/>
  <c r="N16" i="55"/>
  <c r="F19" i="55"/>
  <c r="P19" i="55"/>
  <c r="N19" i="55"/>
  <c r="E19" i="55"/>
  <c r="H25" i="55"/>
  <c r="I1" i="55"/>
  <c r="N7" i="55"/>
  <c r="E7" i="55"/>
  <c r="J25" i="55"/>
  <c r="E8" i="55"/>
  <c r="N8" i="55"/>
  <c r="P8" i="55"/>
  <c r="K25" i="55"/>
  <c r="F8" i="55"/>
  <c r="O11" i="55"/>
  <c r="AD115" i="64" l="1"/>
  <c r="AE115" i="64" s="1"/>
  <c r="AA115" i="64"/>
  <c r="AD113" i="64"/>
  <c r="AE113" i="64" s="1"/>
  <c r="AA113" i="64"/>
  <c r="AD112" i="64"/>
  <c r="AE112" i="64" s="1"/>
  <c r="AA112" i="64"/>
  <c r="K23" i="65"/>
  <c r="K22" i="65" s="1"/>
  <c r="K21" i="65" s="1"/>
  <c r="O7" i="55"/>
  <c r="P25" i="55"/>
  <c r="Q19" i="55"/>
  <c r="Q15" i="55"/>
  <c r="O16" i="55"/>
  <c r="O9" i="55"/>
  <c r="Q18" i="55"/>
  <c r="O15" i="55"/>
  <c r="Q20" i="55"/>
  <c r="O19" i="55"/>
  <c r="O18" i="55"/>
  <c r="Q16" i="55"/>
  <c r="J30" i="55"/>
  <c r="J26" i="55"/>
  <c r="O8" i="55"/>
  <c r="Q8" i="55"/>
  <c r="F25" i="55"/>
  <c r="Q17" i="55"/>
  <c r="L23" i="65" l="1"/>
  <c r="L22" i="65" s="1"/>
  <c r="L21" i="65" s="1"/>
  <c r="Q25" i="55"/>
  <c r="M23" i="65" l="1"/>
  <c r="M22" i="65" s="1"/>
  <c r="M21" i="65" s="1"/>
  <c r="Q26" i="55"/>
  <c r="P26" i="55"/>
  <c r="P28" i="55" s="1"/>
  <c r="N23" i="65" l="1"/>
  <c r="N22" i="65" s="1"/>
  <c r="N21" i="65" s="1"/>
  <c r="F28" i="54"/>
  <c r="C104" i="53" s="1"/>
  <c r="C138" i="64" s="1"/>
  <c r="E28" i="54"/>
  <c r="D28" i="54"/>
  <c r="B28" i="54" s="1"/>
  <c r="M21" i="54"/>
  <c r="M17" i="54"/>
  <c r="M24" i="50"/>
  <c r="M25" i="50" s="1"/>
  <c r="L23" i="50"/>
  <c r="M291" i="50" s="1"/>
  <c r="D138" i="64" l="1"/>
  <c r="V138" i="64"/>
  <c r="C104" i="61"/>
  <c r="C104" i="60"/>
  <c r="D104" i="60" s="1"/>
  <c r="C104" i="57"/>
  <c r="D104" i="57" s="1"/>
  <c r="C22" i="56"/>
  <c r="M26" i="50"/>
  <c r="M290" i="50"/>
  <c r="M292" i="50" s="1"/>
  <c r="M23" i="50"/>
  <c r="Z138" i="64" l="1"/>
  <c r="W138" i="64"/>
  <c r="O27" i="63"/>
  <c r="D104" i="61"/>
  <c r="O27" i="62"/>
  <c r="O26" i="62" s="1"/>
  <c r="D22" i="56"/>
  <c r="H22" i="56" s="1"/>
  <c r="E22" i="56" s="1"/>
  <c r="C154" i="53"/>
  <c r="C134" i="53"/>
  <c r="C115" i="53"/>
  <c r="C149" i="64" s="1"/>
  <c r="C111" i="53"/>
  <c r="C101" i="53"/>
  <c r="C135" i="64" s="1"/>
  <c r="C100" i="53"/>
  <c r="C134" i="64" s="1"/>
  <c r="C95" i="53"/>
  <c r="C129" i="64" s="1"/>
  <c r="C83" i="53"/>
  <c r="C80" i="53"/>
  <c r="C114" i="64" s="1"/>
  <c r="C70" i="53"/>
  <c r="C104" i="64" s="1"/>
  <c r="C69" i="53"/>
  <c r="C102" i="64" s="1"/>
  <c r="C68" i="53"/>
  <c r="C101" i="64" s="1"/>
  <c r="C67" i="53"/>
  <c r="C100" i="64" s="1"/>
  <c r="C66" i="53"/>
  <c r="C99" i="64" s="1"/>
  <c r="C61" i="53"/>
  <c r="C94" i="64" s="1"/>
  <c r="C62" i="53"/>
  <c r="C95" i="64" s="1"/>
  <c r="C63" i="53"/>
  <c r="C96" i="64" s="1"/>
  <c r="C64" i="53"/>
  <c r="C97" i="64" s="1"/>
  <c r="C65" i="53"/>
  <c r="C98" i="64" s="1"/>
  <c r="C60" i="53"/>
  <c r="C93" i="64" s="1"/>
  <c r="C58" i="53"/>
  <c r="C91" i="64" s="1"/>
  <c r="C57" i="53"/>
  <c r="C90" i="64" s="1"/>
  <c r="C56" i="53"/>
  <c r="C89" i="64" s="1"/>
  <c r="D97" i="64" l="1"/>
  <c r="V97" i="64"/>
  <c r="F104" i="64"/>
  <c r="V104" i="64"/>
  <c r="D96" i="64"/>
  <c r="V96" i="64"/>
  <c r="D114" i="64"/>
  <c r="V114" i="64"/>
  <c r="F89" i="64"/>
  <c r="V89" i="64"/>
  <c r="F90" i="64"/>
  <c r="V90" i="64"/>
  <c r="E99" i="64"/>
  <c r="V99" i="64"/>
  <c r="D134" i="64"/>
  <c r="V134" i="64"/>
  <c r="D94" i="64"/>
  <c r="V94" i="64"/>
  <c r="D91" i="64"/>
  <c r="V91" i="64"/>
  <c r="D100" i="64"/>
  <c r="V100" i="64"/>
  <c r="D135" i="64"/>
  <c r="V135" i="64"/>
  <c r="V129" i="64"/>
  <c r="D129" i="64"/>
  <c r="E93" i="64"/>
  <c r="V93" i="64"/>
  <c r="D101" i="64"/>
  <c r="V101" i="64"/>
  <c r="C111" i="57"/>
  <c r="D111" i="57" s="1"/>
  <c r="C145" i="64"/>
  <c r="D95" i="64"/>
  <c r="V95" i="64"/>
  <c r="D98" i="64"/>
  <c r="V98" i="64"/>
  <c r="E102" i="64"/>
  <c r="V102" i="64"/>
  <c r="V149" i="64"/>
  <c r="C150" i="64"/>
  <c r="D149" i="64"/>
  <c r="AD138" i="64"/>
  <c r="AE138" i="64" s="1"/>
  <c r="AA138" i="64"/>
  <c r="C62" i="57"/>
  <c r="D62" i="57" s="1"/>
  <c r="C62" i="61"/>
  <c r="D62" i="61" s="1"/>
  <c r="C62" i="60"/>
  <c r="D62" i="60" s="1"/>
  <c r="C56" i="57"/>
  <c r="C56" i="61"/>
  <c r="C56" i="60"/>
  <c r="C95" i="61"/>
  <c r="C95" i="60"/>
  <c r="D95" i="60" s="1"/>
  <c r="C57" i="57"/>
  <c r="F57" i="57" s="1"/>
  <c r="C57" i="61"/>
  <c r="C57" i="60"/>
  <c r="F57" i="60" s="1"/>
  <c r="C100" i="61"/>
  <c r="C100" i="60"/>
  <c r="D100" i="60" s="1"/>
  <c r="C101" i="61"/>
  <c r="C101" i="60"/>
  <c r="D101" i="60" s="1"/>
  <c r="C60" i="57"/>
  <c r="E60" i="57" s="1"/>
  <c r="C60" i="61"/>
  <c r="E60" i="61" s="1"/>
  <c r="C60" i="60"/>
  <c r="E60" i="60" s="1"/>
  <c r="C68" i="57"/>
  <c r="D68" i="57" s="1"/>
  <c r="C68" i="61"/>
  <c r="D68" i="61" s="1"/>
  <c r="C68" i="60"/>
  <c r="D68" i="60" s="1"/>
  <c r="C111" i="61"/>
  <c r="C111" i="60"/>
  <c r="C115" i="57"/>
  <c r="C115" i="61"/>
  <c r="C115" i="60"/>
  <c r="C66" i="57"/>
  <c r="E66" i="57" s="1"/>
  <c r="C66" i="60"/>
  <c r="E66" i="60" s="1"/>
  <c r="C58" i="57"/>
  <c r="D58" i="57" s="1"/>
  <c r="C58" i="61"/>
  <c r="D58" i="61" s="1"/>
  <c r="C58" i="60"/>
  <c r="D58" i="60" s="1"/>
  <c r="C67" i="57"/>
  <c r="D67" i="57" s="1"/>
  <c r="C67" i="60"/>
  <c r="D67" i="60" s="1"/>
  <c r="C67" i="61"/>
  <c r="D67" i="61" s="1"/>
  <c r="C69" i="57"/>
  <c r="E69" i="57" s="1"/>
  <c r="C69" i="61"/>
  <c r="E69" i="61" s="1"/>
  <c r="C69" i="60"/>
  <c r="E69" i="60" s="1"/>
  <c r="C64" i="57"/>
  <c r="D64" i="57" s="1"/>
  <c r="C64" i="61"/>
  <c r="D64" i="61" s="1"/>
  <c r="C64" i="60"/>
  <c r="D64" i="60" s="1"/>
  <c r="C70" i="57"/>
  <c r="F70" i="57" s="1"/>
  <c r="C70" i="60"/>
  <c r="F70" i="60" s="1"/>
  <c r="C70" i="61"/>
  <c r="C61" i="57"/>
  <c r="D61" i="57" s="1"/>
  <c r="C61" i="61"/>
  <c r="D61" i="61" s="1"/>
  <c r="C61" i="60"/>
  <c r="D61" i="60" s="1"/>
  <c r="C65" i="57"/>
  <c r="D65" i="57" s="1"/>
  <c r="C65" i="61"/>
  <c r="D65" i="61" s="1"/>
  <c r="C65" i="60"/>
  <c r="D65" i="60" s="1"/>
  <c r="C63" i="57"/>
  <c r="D63" i="57" s="1"/>
  <c r="C63" i="60"/>
  <c r="D63" i="60" s="1"/>
  <c r="C63" i="61"/>
  <c r="D63" i="61" s="1"/>
  <c r="C80" i="61"/>
  <c r="D80" i="61" s="1"/>
  <c r="C80" i="60"/>
  <c r="D80" i="60" s="1"/>
  <c r="C80" i="57"/>
  <c r="D80" i="57" s="1"/>
  <c r="C100" i="57"/>
  <c r="D100" i="57" s="1"/>
  <c r="C15" i="56"/>
  <c r="D15" i="56" s="1"/>
  <c r="C14" i="56"/>
  <c r="D14" i="56" s="1"/>
  <c r="C95" i="57"/>
  <c r="D95" i="57" s="1"/>
  <c r="C101" i="57"/>
  <c r="D101" i="57" s="1"/>
  <c r="C16" i="56"/>
  <c r="D16" i="56" s="1"/>
  <c r="C116" i="57"/>
  <c r="D115" i="57"/>
  <c r="Z149" i="64" l="1"/>
  <c r="V150" i="64"/>
  <c r="W149" i="64"/>
  <c r="Z114" i="64"/>
  <c r="W114" i="64"/>
  <c r="Z102" i="64"/>
  <c r="X102" i="64"/>
  <c r="Z101" i="64"/>
  <c r="W101" i="64"/>
  <c r="Z100" i="64"/>
  <c r="W100" i="64"/>
  <c r="Z99" i="64"/>
  <c r="X99" i="64"/>
  <c r="Z91" i="64"/>
  <c r="W91" i="64"/>
  <c r="D105" i="64"/>
  <c r="Z104" i="64"/>
  <c r="Y104" i="64"/>
  <c r="Z96" i="64"/>
  <c r="W96" i="64"/>
  <c r="Y90" i="64"/>
  <c r="Z90" i="64"/>
  <c r="F56" i="57"/>
  <c r="F71" i="57" s="1"/>
  <c r="G130" i="57" s="1"/>
  <c r="C112" i="57"/>
  <c r="D71" i="60"/>
  <c r="W95" i="64"/>
  <c r="Z95" i="64"/>
  <c r="Z94" i="64"/>
  <c r="W94" i="64"/>
  <c r="Z98" i="64"/>
  <c r="W98" i="64"/>
  <c r="Z93" i="64"/>
  <c r="X93" i="64"/>
  <c r="Z129" i="64"/>
  <c r="W129" i="64"/>
  <c r="Z89" i="64"/>
  <c r="Y89" i="64"/>
  <c r="Z97" i="64"/>
  <c r="W97" i="64"/>
  <c r="D71" i="57"/>
  <c r="D145" i="64"/>
  <c r="V145" i="64"/>
  <c r="C146" i="64"/>
  <c r="Z135" i="64"/>
  <c r="W135" i="64"/>
  <c r="Z134" i="64"/>
  <c r="W134" i="64"/>
  <c r="F105" i="64"/>
  <c r="D71" i="61"/>
  <c r="D101" i="61"/>
  <c r="O9" i="63"/>
  <c r="O9" i="62"/>
  <c r="F56" i="61"/>
  <c r="O358" i="63"/>
  <c r="O109" i="62"/>
  <c r="O108" i="62" s="1"/>
  <c r="O95" i="62"/>
  <c r="O94" i="62" s="1"/>
  <c r="O287" i="63"/>
  <c r="F70" i="61"/>
  <c r="O235" i="63"/>
  <c r="D100" i="61"/>
  <c r="O77" i="62"/>
  <c r="C116" i="60"/>
  <c r="D115" i="60"/>
  <c r="O161" i="63"/>
  <c r="C112" i="61"/>
  <c r="D111" i="61"/>
  <c r="O64" i="62"/>
  <c r="O236" i="63"/>
  <c r="D95" i="61"/>
  <c r="O78" i="62"/>
  <c r="C116" i="61"/>
  <c r="O41" i="63"/>
  <c r="D115" i="61"/>
  <c r="O40" i="62"/>
  <c r="O39" i="62" s="1"/>
  <c r="F57" i="61"/>
  <c r="C112" i="60"/>
  <c r="D111" i="60"/>
  <c r="F56" i="60"/>
  <c r="F71" i="60" s="1"/>
  <c r="G130" i="60" s="1"/>
  <c r="K14" i="56"/>
  <c r="J14" i="56"/>
  <c r="F14" i="56" s="1"/>
  <c r="H14" i="56"/>
  <c r="E14" i="56" s="1"/>
  <c r="J16" i="56"/>
  <c r="H16" i="56"/>
  <c r="E16" i="56" s="1"/>
  <c r="K16" i="56"/>
  <c r="H15" i="56"/>
  <c r="E15" i="56" s="1"/>
  <c r="J15" i="56"/>
  <c r="K15" i="56"/>
  <c r="C44" i="53"/>
  <c r="C44" i="64" s="1"/>
  <c r="C43" i="53"/>
  <c r="C43" i="64" s="1"/>
  <c r="C32" i="53"/>
  <c r="C32" i="64" s="1"/>
  <c r="C29" i="53"/>
  <c r="C155" i="53"/>
  <c r="C153" i="53" s="1"/>
  <c r="C141" i="53"/>
  <c r="C125" i="53"/>
  <c r="D115" i="53"/>
  <c r="C112" i="53"/>
  <c r="D111" i="53"/>
  <c r="B106" i="53"/>
  <c r="D101" i="53"/>
  <c r="D100" i="53"/>
  <c r="D95" i="53"/>
  <c r="L93" i="53"/>
  <c r="L94" i="53" s="1"/>
  <c r="D92" i="53"/>
  <c r="B92" i="53"/>
  <c r="D91" i="53"/>
  <c r="B91" i="53"/>
  <c r="D90" i="53"/>
  <c r="B90" i="53"/>
  <c r="D89" i="53"/>
  <c r="B89" i="53"/>
  <c r="D83" i="53"/>
  <c r="D82" i="53"/>
  <c r="D81" i="53"/>
  <c r="D80" i="53"/>
  <c r="D79" i="53"/>
  <c r="D78" i="53"/>
  <c r="F70" i="53"/>
  <c r="E69" i="53"/>
  <c r="D68" i="53"/>
  <c r="D67" i="53"/>
  <c r="E66" i="53"/>
  <c r="D65" i="53"/>
  <c r="D64" i="53"/>
  <c r="D63" i="53"/>
  <c r="D62" i="53"/>
  <c r="D61" i="53"/>
  <c r="E60" i="53"/>
  <c r="E59" i="53"/>
  <c r="D58" i="53"/>
  <c r="F57" i="53"/>
  <c r="F56" i="53"/>
  <c r="E55" i="53"/>
  <c r="E54" i="53"/>
  <c r="E41" i="53"/>
  <c r="F38" i="53"/>
  <c r="E37" i="53"/>
  <c r="F35" i="53"/>
  <c r="F34" i="53"/>
  <c r="J19" i="53"/>
  <c r="I461" i="50"/>
  <c r="Y117" i="52"/>
  <c r="C59" i="53" s="1"/>
  <c r="C92" i="64" s="1"/>
  <c r="X5" i="52"/>
  <c r="X138" i="52"/>
  <c r="W143" i="52"/>
  <c r="S143" i="52"/>
  <c r="U143" i="52" s="1"/>
  <c r="R143" i="52"/>
  <c r="Q143" i="52"/>
  <c r="W142" i="52"/>
  <c r="S142" i="52"/>
  <c r="U142" i="52" s="1"/>
  <c r="X142" i="52" s="1"/>
  <c r="R142" i="52"/>
  <c r="Q142" i="52"/>
  <c r="L142" i="52"/>
  <c r="J142" i="52"/>
  <c r="H142" i="52"/>
  <c r="F142" i="52"/>
  <c r="D142" i="52"/>
  <c r="W141" i="52"/>
  <c r="S141" i="52"/>
  <c r="U141" i="52" s="1"/>
  <c r="R141" i="52"/>
  <c r="Q141" i="52"/>
  <c r="T140" i="52"/>
  <c r="S140" i="52"/>
  <c r="R140" i="52"/>
  <c r="Q140" i="52"/>
  <c r="O140" i="52"/>
  <c r="P140" i="52" s="1"/>
  <c r="N140" i="52"/>
  <c r="W139" i="52"/>
  <c r="X139" i="52" s="1"/>
  <c r="U139" i="52"/>
  <c r="L139" i="52"/>
  <c r="H139" i="52"/>
  <c r="U138" i="52"/>
  <c r="P138" i="52"/>
  <c r="N138" i="52"/>
  <c r="U137" i="52"/>
  <c r="X137" i="52" s="1"/>
  <c r="P137" i="52"/>
  <c r="N137" i="52"/>
  <c r="W136" i="52"/>
  <c r="X136" i="52" s="1"/>
  <c r="U136" i="52"/>
  <c r="W135" i="52"/>
  <c r="U135" i="52"/>
  <c r="U134" i="52"/>
  <c r="P134" i="52"/>
  <c r="N134" i="52"/>
  <c r="W133" i="52"/>
  <c r="T133" i="52"/>
  <c r="U133" i="52" s="1"/>
  <c r="U132" i="52"/>
  <c r="P132" i="52"/>
  <c r="N132" i="52"/>
  <c r="L132" i="52"/>
  <c r="J132" i="52"/>
  <c r="H132" i="52"/>
  <c r="F132" i="52"/>
  <c r="T131" i="52"/>
  <c r="S131" i="52"/>
  <c r="R131" i="52"/>
  <c r="Q131" i="52"/>
  <c r="O131" i="52"/>
  <c r="P131" i="52" s="1"/>
  <c r="N131" i="52"/>
  <c r="L131" i="52"/>
  <c r="J131" i="52"/>
  <c r="H131" i="52"/>
  <c r="F131" i="52"/>
  <c r="T130" i="52"/>
  <c r="S130" i="52"/>
  <c r="R130" i="52"/>
  <c r="Q130" i="52"/>
  <c r="O130" i="52"/>
  <c r="P130" i="52" s="1"/>
  <c r="N130" i="52"/>
  <c r="L130" i="52"/>
  <c r="J130" i="52"/>
  <c r="H130" i="52"/>
  <c r="F130" i="52"/>
  <c r="W129" i="52"/>
  <c r="U129" i="52"/>
  <c r="X129" i="52" s="1"/>
  <c r="L129" i="52"/>
  <c r="H129" i="52"/>
  <c r="F129" i="52"/>
  <c r="W128" i="52"/>
  <c r="T128" i="52"/>
  <c r="U128" i="52" s="1"/>
  <c r="X128" i="52" s="1"/>
  <c r="L128" i="52"/>
  <c r="J128" i="52"/>
  <c r="H128" i="52"/>
  <c r="F128" i="52"/>
  <c r="T127" i="52"/>
  <c r="S127" i="52"/>
  <c r="R127" i="52"/>
  <c r="Q127" i="52"/>
  <c r="O127" i="52"/>
  <c r="P127" i="52" s="1"/>
  <c r="N127" i="52"/>
  <c r="L127" i="52"/>
  <c r="J127" i="52"/>
  <c r="H127" i="52"/>
  <c r="F127" i="52"/>
  <c r="U126" i="52"/>
  <c r="X126" i="52" s="1"/>
  <c r="P126" i="52"/>
  <c r="N126" i="52"/>
  <c r="T125" i="52"/>
  <c r="S125" i="52"/>
  <c r="R125" i="52"/>
  <c r="Q125" i="52"/>
  <c r="O125" i="52"/>
  <c r="P125" i="52" s="1"/>
  <c r="N125" i="52"/>
  <c r="L125" i="52"/>
  <c r="J125" i="52"/>
  <c r="H125" i="52"/>
  <c r="T124" i="52"/>
  <c r="S124" i="52"/>
  <c r="R124" i="52"/>
  <c r="Q124" i="52"/>
  <c r="O124" i="52"/>
  <c r="P124" i="52" s="1"/>
  <c r="N124" i="52"/>
  <c r="L124" i="52"/>
  <c r="J124" i="52"/>
  <c r="H124" i="52"/>
  <c r="F124" i="52"/>
  <c r="T123" i="52"/>
  <c r="S123" i="52"/>
  <c r="R123" i="52"/>
  <c r="Q123" i="52"/>
  <c r="O123" i="52"/>
  <c r="P123" i="52" s="1"/>
  <c r="N123" i="52"/>
  <c r="L123" i="52"/>
  <c r="J123" i="52"/>
  <c r="H123" i="52"/>
  <c r="F123" i="52"/>
  <c r="T122" i="52"/>
  <c r="S122" i="52"/>
  <c r="R122" i="52"/>
  <c r="Q122" i="52"/>
  <c r="O122" i="52"/>
  <c r="P122" i="52" s="1"/>
  <c r="N122" i="52"/>
  <c r="L122" i="52"/>
  <c r="J122" i="52"/>
  <c r="H122" i="52"/>
  <c r="F122" i="52"/>
  <c r="T121" i="52"/>
  <c r="S121" i="52"/>
  <c r="R121" i="52"/>
  <c r="Q121" i="52"/>
  <c r="O121" i="52"/>
  <c r="P121" i="52" s="1"/>
  <c r="N121" i="52"/>
  <c r="L121" i="52"/>
  <c r="J121" i="52"/>
  <c r="H121" i="52"/>
  <c r="F121" i="52"/>
  <c r="T120" i="52"/>
  <c r="S120" i="52"/>
  <c r="R120" i="52"/>
  <c r="Q120" i="52"/>
  <c r="O120" i="52"/>
  <c r="P120" i="52" s="1"/>
  <c r="N120" i="52"/>
  <c r="L120" i="52"/>
  <c r="J120" i="52"/>
  <c r="H120" i="52"/>
  <c r="F120" i="52"/>
  <c r="T119" i="52"/>
  <c r="S119" i="52"/>
  <c r="R119" i="52"/>
  <c r="Q119" i="52"/>
  <c r="O119" i="52"/>
  <c r="N119" i="52"/>
  <c r="L119" i="52"/>
  <c r="J119" i="52"/>
  <c r="H119" i="52"/>
  <c r="F119" i="52"/>
  <c r="U118" i="52"/>
  <c r="P118" i="52"/>
  <c r="N118" i="52"/>
  <c r="L118" i="52"/>
  <c r="J118" i="52"/>
  <c r="H118" i="52"/>
  <c r="T117" i="52"/>
  <c r="S117" i="52"/>
  <c r="R117" i="52"/>
  <c r="Q117" i="52"/>
  <c r="O117" i="52"/>
  <c r="P117" i="52" s="1"/>
  <c r="N117" i="52"/>
  <c r="L117" i="52"/>
  <c r="J117" i="52"/>
  <c r="H117" i="52"/>
  <c r="T116" i="52"/>
  <c r="S116" i="52"/>
  <c r="R116" i="52"/>
  <c r="Q116" i="52"/>
  <c r="O116" i="52"/>
  <c r="P116" i="52" s="1"/>
  <c r="N116" i="52"/>
  <c r="L116" i="52"/>
  <c r="J116" i="52"/>
  <c r="H116" i="52"/>
  <c r="F116" i="52"/>
  <c r="T115" i="52"/>
  <c r="S115" i="52"/>
  <c r="R115" i="52"/>
  <c r="Q115" i="52"/>
  <c r="O115" i="52"/>
  <c r="P115" i="52" s="1"/>
  <c r="N115" i="52"/>
  <c r="L115" i="52"/>
  <c r="J115" i="52"/>
  <c r="H115" i="52"/>
  <c r="F115" i="52"/>
  <c r="D115" i="52"/>
  <c r="U114" i="52"/>
  <c r="O114" i="52"/>
  <c r="L114" i="52"/>
  <c r="J114" i="52"/>
  <c r="H114" i="52"/>
  <c r="F114" i="52"/>
  <c r="D114" i="52"/>
  <c r="W113" i="52"/>
  <c r="S113" i="52"/>
  <c r="U113" i="52" s="1"/>
  <c r="X113" i="52" s="1"/>
  <c r="R113" i="52"/>
  <c r="Q113" i="52"/>
  <c r="L113" i="52"/>
  <c r="J113" i="52"/>
  <c r="H113" i="52"/>
  <c r="D113" i="52"/>
  <c r="W112" i="52"/>
  <c r="T112" i="52"/>
  <c r="U112" i="52" s="1"/>
  <c r="X112" i="52" s="1"/>
  <c r="O112" i="52"/>
  <c r="M112" i="52"/>
  <c r="K112" i="52"/>
  <c r="F112" i="52"/>
  <c r="D112" i="52"/>
  <c r="W111" i="52"/>
  <c r="U111" i="52"/>
  <c r="X111" i="52" s="1"/>
  <c r="L111" i="52"/>
  <c r="J111" i="52"/>
  <c r="H111" i="52"/>
  <c r="F111" i="52"/>
  <c r="W110" i="52"/>
  <c r="U110" i="52"/>
  <c r="X110" i="52" s="1"/>
  <c r="L110" i="52"/>
  <c r="J110" i="52"/>
  <c r="H110" i="52"/>
  <c r="F110" i="52"/>
  <c r="W109" i="52"/>
  <c r="U109" i="52"/>
  <c r="X109" i="52" s="1"/>
  <c r="L109" i="52"/>
  <c r="J109" i="52"/>
  <c r="H109" i="52"/>
  <c r="F109" i="52"/>
  <c r="D109" i="52"/>
  <c r="T108" i="52"/>
  <c r="S108" i="52"/>
  <c r="R108" i="52"/>
  <c r="Q108" i="52"/>
  <c r="T107" i="52"/>
  <c r="S107" i="52"/>
  <c r="R107" i="52"/>
  <c r="Y107" i="52" s="1"/>
  <c r="C107" i="53" s="1"/>
  <c r="C141" i="64" s="1"/>
  <c r="Q107" i="52"/>
  <c r="O107" i="52"/>
  <c r="N107" i="52"/>
  <c r="L107" i="52"/>
  <c r="J107" i="52"/>
  <c r="H107" i="52"/>
  <c r="F107" i="52"/>
  <c r="D107" i="52"/>
  <c r="W106" i="52"/>
  <c r="U106" i="52"/>
  <c r="X106" i="52" s="1"/>
  <c r="H106" i="52"/>
  <c r="F106" i="52"/>
  <c r="D106" i="52"/>
  <c r="W105" i="52"/>
  <c r="U105" i="52"/>
  <c r="H105" i="52"/>
  <c r="F105" i="52"/>
  <c r="D105" i="52"/>
  <c r="T104" i="52"/>
  <c r="S104" i="52"/>
  <c r="R104" i="52"/>
  <c r="Q104" i="52"/>
  <c r="O104" i="52"/>
  <c r="P104" i="52" s="1"/>
  <c r="N104" i="52"/>
  <c r="L104" i="52"/>
  <c r="J104" i="52"/>
  <c r="H104" i="52"/>
  <c r="F104" i="52"/>
  <c r="D104" i="52"/>
  <c r="T103" i="52"/>
  <c r="S103" i="52"/>
  <c r="R103" i="52"/>
  <c r="Q103" i="52"/>
  <c r="O103" i="52"/>
  <c r="P103" i="52" s="1"/>
  <c r="N103" i="52"/>
  <c r="J103" i="52"/>
  <c r="T102" i="52"/>
  <c r="S102" i="52"/>
  <c r="R102" i="52"/>
  <c r="Q102" i="52"/>
  <c r="O102" i="52"/>
  <c r="P102" i="52" s="1"/>
  <c r="N102" i="52"/>
  <c r="L102" i="52"/>
  <c r="J102" i="52"/>
  <c r="H102" i="52"/>
  <c r="F102" i="52"/>
  <c r="D102" i="52"/>
  <c r="W101" i="52"/>
  <c r="U101" i="52"/>
  <c r="X101" i="52" s="1"/>
  <c r="H101" i="52"/>
  <c r="F101" i="52"/>
  <c r="T100" i="52"/>
  <c r="S100" i="52"/>
  <c r="R100" i="52"/>
  <c r="Q100" i="52"/>
  <c r="C102" i="53" s="1"/>
  <c r="C136" i="64" s="1"/>
  <c r="O100" i="52"/>
  <c r="P100" i="52" s="1"/>
  <c r="N100" i="52"/>
  <c r="L100" i="52"/>
  <c r="J100" i="52"/>
  <c r="H100" i="52"/>
  <c r="F100" i="52"/>
  <c r="D100" i="52"/>
  <c r="U99" i="52"/>
  <c r="O99" i="52"/>
  <c r="P99" i="52" s="1"/>
  <c r="N99" i="52"/>
  <c r="L99" i="52"/>
  <c r="J99" i="52"/>
  <c r="H99" i="52"/>
  <c r="F99" i="52"/>
  <c r="D99" i="52"/>
  <c r="T98" i="52"/>
  <c r="S98" i="52"/>
  <c r="R98" i="52"/>
  <c r="Q98" i="52"/>
  <c r="P98" i="52"/>
  <c r="N98" i="52"/>
  <c r="F98" i="52"/>
  <c r="W97" i="52"/>
  <c r="T97" i="52"/>
  <c r="S97" i="52"/>
  <c r="R97" i="52"/>
  <c r="Q97" i="52"/>
  <c r="L97" i="52"/>
  <c r="J97" i="52"/>
  <c r="H97" i="52"/>
  <c r="F97" i="52"/>
  <c r="D97" i="52"/>
  <c r="W96" i="52"/>
  <c r="U96" i="52"/>
  <c r="X96" i="52" s="1"/>
  <c r="T95" i="52"/>
  <c r="S95" i="52"/>
  <c r="R95" i="52"/>
  <c r="Q95" i="52"/>
  <c r="O95" i="52"/>
  <c r="P95" i="52" s="1"/>
  <c r="N95" i="52"/>
  <c r="T94" i="52"/>
  <c r="S94" i="52"/>
  <c r="R94" i="52"/>
  <c r="Q94" i="52"/>
  <c r="O94" i="52"/>
  <c r="P94" i="52" s="1"/>
  <c r="N94" i="52"/>
  <c r="L94" i="52"/>
  <c r="J94" i="52"/>
  <c r="H94" i="52"/>
  <c r="F94" i="52"/>
  <c r="D94" i="52"/>
  <c r="T93" i="52"/>
  <c r="S93" i="52"/>
  <c r="R93" i="52"/>
  <c r="Q93" i="52"/>
  <c r="O93" i="52"/>
  <c r="P93" i="52" s="1"/>
  <c r="N93" i="52"/>
  <c r="L93" i="52"/>
  <c r="J93" i="52"/>
  <c r="H93" i="52"/>
  <c r="F93" i="52"/>
  <c r="D93" i="52"/>
  <c r="S92" i="52"/>
  <c r="U92" i="52" s="1"/>
  <c r="Y92" i="52" s="1"/>
  <c r="R92" i="52"/>
  <c r="Q92" i="52"/>
  <c r="P92" i="52"/>
  <c r="N92" i="52"/>
  <c r="F92" i="52"/>
  <c r="T91" i="52"/>
  <c r="S91" i="52"/>
  <c r="R91" i="52"/>
  <c r="Q91" i="52"/>
  <c r="O91" i="52"/>
  <c r="P91" i="52" s="1"/>
  <c r="N91" i="52"/>
  <c r="L91" i="52"/>
  <c r="J91" i="52"/>
  <c r="H91" i="52"/>
  <c r="F91" i="52"/>
  <c r="T90" i="52"/>
  <c r="S90" i="52"/>
  <c r="R90" i="52"/>
  <c r="Q90" i="52"/>
  <c r="O90" i="52"/>
  <c r="P90" i="52" s="1"/>
  <c r="N90" i="52"/>
  <c r="L90" i="52"/>
  <c r="J90" i="52"/>
  <c r="H90" i="52"/>
  <c r="F90" i="52"/>
  <c r="T89" i="52"/>
  <c r="S89" i="52"/>
  <c r="R89" i="52"/>
  <c r="Q89" i="52"/>
  <c r="O89" i="52"/>
  <c r="P89" i="52" s="1"/>
  <c r="N89" i="52"/>
  <c r="L89" i="52"/>
  <c r="J89" i="52"/>
  <c r="H89" i="52"/>
  <c r="F89" i="52"/>
  <c r="D89" i="52"/>
  <c r="T88" i="52"/>
  <c r="S88" i="52"/>
  <c r="R88" i="52"/>
  <c r="Q88" i="52"/>
  <c r="O88" i="52"/>
  <c r="P88" i="52" s="1"/>
  <c r="N88" i="52"/>
  <c r="L88" i="52"/>
  <c r="J88" i="52"/>
  <c r="H88" i="52"/>
  <c r="F88" i="52"/>
  <c r="D88" i="52"/>
  <c r="T87" i="52"/>
  <c r="S87" i="52"/>
  <c r="R87" i="52"/>
  <c r="Q87" i="52"/>
  <c r="O87" i="52"/>
  <c r="P87" i="52" s="1"/>
  <c r="N87" i="52"/>
  <c r="L87" i="52"/>
  <c r="J87" i="52"/>
  <c r="H87" i="52"/>
  <c r="F87" i="52"/>
  <c r="D87" i="52"/>
  <c r="U86" i="52"/>
  <c r="N86" i="52"/>
  <c r="W86" i="52" s="1"/>
  <c r="J86" i="52"/>
  <c r="H86" i="52"/>
  <c r="F86" i="52"/>
  <c r="D86" i="52"/>
  <c r="W85" i="52"/>
  <c r="U85" i="52"/>
  <c r="X85" i="52" s="1"/>
  <c r="U84" i="52"/>
  <c r="P84" i="52"/>
  <c r="N84" i="52"/>
  <c r="U83" i="52"/>
  <c r="P83" i="52"/>
  <c r="N83" i="52"/>
  <c r="L83" i="52"/>
  <c r="J83" i="52"/>
  <c r="H83" i="52"/>
  <c r="F83" i="52"/>
  <c r="D83" i="52"/>
  <c r="T82" i="52"/>
  <c r="S82" i="52"/>
  <c r="R82" i="52"/>
  <c r="Y82" i="52" s="1"/>
  <c r="C88" i="53" s="1"/>
  <c r="C122" i="64" s="1"/>
  <c r="Q82" i="52"/>
  <c r="O82" i="52"/>
  <c r="P82" i="52" s="1"/>
  <c r="N82" i="52"/>
  <c r="L82" i="52"/>
  <c r="J82" i="52"/>
  <c r="H82" i="52"/>
  <c r="F82" i="52"/>
  <c r="D82" i="52"/>
  <c r="T81" i="52"/>
  <c r="S81" i="52"/>
  <c r="R81" i="52"/>
  <c r="Y81" i="52" s="1"/>
  <c r="C87" i="53" s="1"/>
  <c r="C121" i="64" s="1"/>
  <c r="Q81" i="52"/>
  <c r="O81" i="52"/>
  <c r="P81" i="52" s="1"/>
  <c r="N81" i="52"/>
  <c r="L81" i="52"/>
  <c r="J81" i="52"/>
  <c r="H81" i="52"/>
  <c r="F81" i="52"/>
  <c r="D81" i="52"/>
  <c r="U80" i="52"/>
  <c r="X80" i="52" s="1"/>
  <c r="N80" i="52"/>
  <c r="W80" i="52" s="1"/>
  <c r="L80" i="52"/>
  <c r="J80" i="52"/>
  <c r="H80" i="52"/>
  <c r="F80" i="52"/>
  <c r="D80" i="52"/>
  <c r="W79" i="52"/>
  <c r="U79" i="52"/>
  <c r="X79" i="52" s="1"/>
  <c r="U78" i="52"/>
  <c r="P78" i="52"/>
  <c r="N78" i="52"/>
  <c r="L78" i="52"/>
  <c r="J78" i="52"/>
  <c r="H78" i="52"/>
  <c r="F78" i="52"/>
  <c r="D78" i="52"/>
  <c r="W77" i="52"/>
  <c r="T77" i="52"/>
  <c r="S77" i="52"/>
  <c r="R77" i="52"/>
  <c r="Q77" i="52"/>
  <c r="T76" i="52"/>
  <c r="S76" i="52"/>
  <c r="R76" i="52"/>
  <c r="Q76" i="52"/>
  <c r="P76" i="52"/>
  <c r="N76" i="52"/>
  <c r="L76" i="52"/>
  <c r="J76" i="52"/>
  <c r="H76" i="52"/>
  <c r="F76" i="52"/>
  <c r="D76" i="52"/>
  <c r="W75" i="52"/>
  <c r="U75" i="52"/>
  <c r="X75" i="52" s="1"/>
  <c r="T74" i="52"/>
  <c r="S74" i="52"/>
  <c r="R74" i="52"/>
  <c r="Q74" i="52"/>
  <c r="O74" i="52"/>
  <c r="P74" i="52" s="1"/>
  <c r="N74" i="52"/>
  <c r="L74" i="52"/>
  <c r="J74" i="52"/>
  <c r="D74" i="52"/>
  <c r="U73" i="52"/>
  <c r="O73" i="52"/>
  <c r="P73" i="52" s="1"/>
  <c r="N73" i="52"/>
  <c r="L73" i="52"/>
  <c r="J73" i="52"/>
  <c r="H73" i="52"/>
  <c r="F73" i="52"/>
  <c r="D73" i="52"/>
  <c r="U72" i="52"/>
  <c r="O72" i="52"/>
  <c r="U71" i="52"/>
  <c r="P71" i="52"/>
  <c r="N71" i="52"/>
  <c r="L71" i="52"/>
  <c r="J71" i="52"/>
  <c r="E71" i="52"/>
  <c r="H71" i="52" s="1"/>
  <c r="W70" i="52"/>
  <c r="U70" i="52"/>
  <c r="X70" i="52" s="1"/>
  <c r="H70" i="52"/>
  <c r="F70" i="52"/>
  <c r="D70" i="52"/>
  <c r="T69" i="52"/>
  <c r="S69" i="52"/>
  <c r="R69" i="52"/>
  <c r="Q69" i="52"/>
  <c r="P69" i="52"/>
  <c r="N69" i="52"/>
  <c r="L69" i="52"/>
  <c r="J69" i="52"/>
  <c r="H69" i="52"/>
  <c r="F69" i="52"/>
  <c r="D69" i="52"/>
  <c r="U68" i="52"/>
  <c r="X68" i="52" s="1"/>
  <c r="P68" i="52"/>
  <c r="N68" i="52"/>
  <c r="L68" i="52"/>
  <c r="J68" i="52"/>
  <c r="W67" i="52"/>
  <c r="U67" i="52"/>
  <c r="X67" i="52" s="1"/>
  <c r="L67" i="52"/>
  <c r="J67" i="52"/>
  <c r="H67" i="52"/>
  <c r="F67" i="52"/>
  <c r="U66" i="52"/>
  <c r="O66" i="52"/>
  <c r="H66" i="52"/>
  <c r="F66" i="52"/>
  <c r="D66" i="52"/>
  <c r="W65" i="52"/>
  <c r="U65" i="52"/>
  <c r="X65" i="52" s="1"/>
  <c r="L65" i="52"/>
  <c r="J65" i="52"/>
  <c r="H65" i="52"/>
  <c r="F65" i="52"/>
  <c r="D65" i="52"/>
  <c r="T64" i="52"/>
  <c r="S64" i="52"/>
  <c r="R64" i="52"/>
  <c r="Q64" i="52"/>
  <c r="Y64" i="52" s="1"/>
  <c r="C77" i="53" s="1"/>
  <c r="C111" i="64" s="1"/>
  <c r="P64" i="52"/>
  <c r="N64" i="52"/>
  <c r="L64" i="52"/>
  <c r="J64" i="52"/>
  <c r="H64" i="52"/>
  <c r="F64" i="52"/>
  <c r="D64" i="52"/>
  <c r="T63" i="52"/>
  <c r="S63" i="52"/>
  <c r="R63" i="52"/>
  <c r="Q63" i="52"/>
  <c r="C76" i="53" s="1"/>
  <c r="C110" i="64" s="1"/>
  <c r="O63" i="52"/>
  <c r="N63" i="52"/>
  <c r="L63" i="52"/>
  <c r="J63" i="52"/>
  <c r="H63" i="52"/>
  <c r="F63" i="52"/>
  <c r="D63" i="52"/>
  <c r="U62" i="52"/>
  <c r="P62" i="52"/>
  <c r="N62" i="52"/>
  <c r="L62" i="52"/>
  <c r="J62" i="52"/>
  <c r="U61" i="52"/>
  <c r="O61" i="52"/>
  <c r="O60" i="52" s="1"/>
  <c r="L61" i="52"/>
  <c r="J61" i="52"/>
  <c r="H61" i="52"/>
  <c r="F61" i="52"/>
  <c r="D61" i="52"/>
  <c r="T60" i="52"/>
  <c r="U60" i="52" s="1"/>
  <c r="M60" i="52"/>
  <c r="K60" i="52"/>
  <c r="I60" i="52"/>
  <c r="G60" i="52"/>
  <c r="E60" i="52"/>
  <c r="C60" i="52"/>
  <c r="B60" i="52"/>
  <c r="W59" i="52"/>
  <c r="U59" i="52"/>
  <c r="X59" i="52" s="1"/>
  <c r="H59" i="52"/>
  <c r="F59" i="52"/>
  <c r="D59" i="52"/>
  <c r="T58" i="52"/>
  <c r="S58" i="52"/>
  <c r="Y58" i="52" s="1"/>
  <c r="C51" i="53" s="1"/>
  <c r="C52" i="64" s="1"/>
  <c r="R58" i="52"/>
  <c r="Q58" i="52"/>
  <c r="O58" i="52"/>
  <c r="N58" i="52"/>
  <c r="L58" i="52"/>
  <c r="J58" i="52"/>
  <c r="H58" i="52"/>
  <c r="F58" i="52"/>
  <c r="D58" i="52"/>
  <c r="W57" i="52"/>
  <c r="U57" i="52"/>
  <c r="L57" i="52"/>
  <c r="J57" i="52"/>
  <c r="F57" i="52"/>
  <c r="T56" i="52"/>
  <c r="S56" i="52"/>
  <c r="R56" i="52"/>
  <c r="Q56" i="52"/>
  <c r="O56" i="52"/>
  <c r="Y56" i="52" s="1"/>
  <c r="C45" i="53" s="1"/>
  <c r="C45" i="64" s="1"/>
  <c r="N56" i="52"/>
  <c r="L56" i="52"/>
  <c r="J56" i="52"/>
  <c r="H56" i="52"/>
  <c r="F56" i="52"/>
  <c r="D56" i="52"/>
  <c r="U55" i="52"/>
  <c r="X55" i="52" s="1"/>
  <c r="P55" i="52"/>
  <c r="N55" i="52"/>
  <c r="L55" i="52"/>
  <c r="J55" i="52"/>
  <c r="H55" i="52"/>
  <c r="F55" i="52"/>
  <c r="S54" i="52"/>
  <c r="U54" i="52" s="1"/>
  <c r="R54" i="52"/>
  <c r="Q54" i="52"/>
  <c r="O54" i="52"/>
  <c r="P54" i="52" s="1"/>
  <c r="N54" i="52"/>
  <c r="L54" i="52"/>
  <c r="J54" i="52"/>
  <c r="H54" i="52"/>
  <c r="F54" i="52"/>
  <c r="W53" i="52"/>
  <c r="U53" i="52"/>
  <c r="X53" i="52" s="1"/>
  <c r="T52" i="52"/>
  <c r="S52" i="52"/>
  <c r="R52" i="52"/>
  <c r="Q52" i="52"/>
  <c r="O52" i="52"/>
  <c r="N52" i="52"/>
  <c r="L52" i="52"/>
  <c r="J52" i="52"/>
  <c r="H52" i="52"/>
  <c r="F52" i="52"/>
  <c r="D52" i="52"/>
  <c r="U51" i="52"/>
  <c r="X51" i="52" s="1"/>
  <c r="P51" i="52"/>
  <c r="N51" i="52"/>
  <c r="J51" i="52"/>
  <c r="W50" i="52"/>
  <c r="T50" i="52"/>
  <c r="S50" i="52"/>
  <c r="R50" i="52"/>
  <c r="Q50" i="52"/>
  <c r="J50" i="52"/>
  <c r="T49" i="52"/>
  <c r="S49" i="52"/>
  <c r="R49" i="52"/>
  <c r="Q49" i="52"/>
  <c r="O49" i="52"/>
  <c r="L49" i="52"/>
  <c r="J49" i="52"/>
  <c r="H49" i="52"/>
  <c r="F49" i="52"/>
  <c r="D49" i="52"/>
  <c r="T48" i="52"/>
  <c r="S48" i="52"/>
  <c r="R48" i="52"/>
  <c r="Q48" i="52"/>
  <c r="O48" i="52"/>
  <c r="P48" i="52" s="1"/>
  <c r="N48" i="52"/>
  <c r="L48" i="52"/>
  <c r="J48" i="52"/>
  <c r="H48" i="52"/>
  <c r="F48" i="52"/>
  <c r="D48" i="52"/>
  <c r="W47" i="52"/>
  <c r="U47" i="52"/>
  <c r="X47" i="52" s="1"/>
  <c r="D47" i="52"/>
  <c r="U46" i="52"/>
  <c r="X46" i="52" s="1"/>
  <c r="P46" i="52"/>
  <c r="N46" i="52"/>
  <c r="D46" i="52"/>
  <c r="T45" i="52"/>
  <c r="S45" i="52"/>
  <c r="R45" i="52"/>
  <c r="Q45" i="52"/>
  <c r="O45" i="52"/>
  <c r="C36" i="53" s="1"/>
  <c r="C36" i="64" s="1"/>
  <c r="T44" i="52"/>
  <c r="S44" i="52"/>
  <c r="R44" i="52"/>
  <c r="Q44" i="52"/>
  <c r="O44" i="52"/>
  <c r="P44" i="52" s="1"/>
  <c r="N44" i="52"/>
  <c r="T43" i="52"/>
  <c r="S43" i="52"/>
  <c r="R43" i="52"/>
  <c r="Q43" i="52"/>
  <c r="O43" i="52"/>
  <c r="N43" i="52"/>
  <c r="T42" i="52"/>
  <c r="S42" i="52"/>
  <c r="R42" i="52"/>
  <c r="Q42" i="52"/>
  <c r="O42" i="52"/>
  <c r="P42" i="52" s="1"/>
  <c r="N42" i="52"/>
  <c r="L42" i="52"/>
  <c r="J42" i="52"/>
  <c r="H42" i="52"/>
  <c r="F42" i="52"/>
  <c r="D42" i="52"/>
  <c r="T41" i="52"/>
  <c r="S41" i="52"/>
  <c r="R41" i="52"/>
  <c r="Q41" i="52"/>
  <c r="O41" i="52"/>
  <c r="P41" i="52" s="1"/>
  <c r="N41" i="52"/>
  <c r="L41" i="52"/>
  <c r="J41" i="52"/>
  <c r="H41" i="52"/>
  <c r="F41" i="52"/>
  <c r="D41" i="52"/>
  <c r="U40" i="52"/>
  <c r="X40" i="52" s="1"/>
  <c r="P40" i="52"/>
  <c r="N40" i="52"/>
  <c r="U39" i="52"/>
  <c r="O39" i="52"/>
  <c r="N39" i="52"/>
  <c r="L39" i="52"/>
  <c r="J39" i="52"/>
  <c r="H39" i="52"/>
  <c r="F39" i="52"/>
  <c r="D39" i="52"/>
  <c r="W38" i="52"/>
  <c r="U38" i="52"/>
  <c r="J38" i="52"/>
  <c r="H38" i="52"/>
  <c r="F38" i="52"/>
  <c r="W37" i="52"/>
  <c r="U37" i="52"/>
  <c r="X37" i="52" s="1"/>
  <c r="L37" i="52"/>
  <c r="J37" i="52"/>
  <c r="H37" i="52"/>
  <c r="F37" i="52"/>
  <c r="T36" i="52"/>
  <c r="S36" i="52"/>
  <c r="R36" i="52"/>
  <c r="Q36" i="52"/>
  <c r="O36" i="52"/>
  <c r="L36" i="52"/>
  <c r="J36" i="52"/>
  <c r="H36" i="52"/>
  <c r="F36" i="52"/>
  <c r="D36" i="52"/>
  <c r="T35" i="52"/>
  <c r="S35" i="52"/>
  <c r="R35" i="52"/>
  <c r="Q35" i="52"/>
  <c r="P35" i="52"/>
  <c r="N35" i="52"/>
  <c r="L35" i="52"/>
  <c r="J35" i="52"/>
  <c r="H35" i="52"/>
  <c r="F35" i="52"/>
  <c r="D35" i="52"/>
  <c r="U34" i="52"/>
  <c r="O34" i="52"/>
  <c r="T33" i="52"/>
  <c r="S33" i="52"/>
  <c r="R33" i="52"/>
  <c r="Q33" i="52"/>
  <c r="O33" i="52"/>
  <c r="P33" i="52" s="1"/>
  <c r="W32" i="52"/>
  <c r="S32" i="52"/>
  <c r="U32" i="52" s="1"/>
  <c r="R32" i="52"/>
  <c r="Q32" i="52"/>
  <c r="S31" i="52"/>
  <c r="U31" i="52" s="1"/>
  <c r="R31" i="52"/>
  <c r="Y31" i="52" s="1"/>
  <c r="C31" i="53" s="1"/>
  <c r="C31" i="64" s="1"/>
  <c r="Q31" i="52"/>
  <c r="P31" i="52"/>
  <c r="N31" i="52"/>
  <c r="L31" i="52"/>
  <c r="J31" i="52"/>
  <c r="H31" i="52"/>
  <c r="F31" i="52"/>
  <c r="D31" i="52"/>
  <c r="T30" i="52"/>
  <c r="S30" i="52"/>
  <c r="R30" i="52"/>
  <c r="Q30" i="52"/>
  <c r="O30" i="52"/>
  <c r="N30" i="52"/>
  <c r="L30" i="52"/>
  <c r="J30" i="52"/>
  <c r="H30" i="52"/>
  <c r="F30" i="52"/>
  <c r="T29" i="52"/>
  <c r="S29" i="52"/>
  <c r="R29" i="52"/>
  <c r="Q29" i="52"/>
  <c r="O29" i="52"/>
  <c r="Y29" i="52" s="1"/>
  <c r="N29" i="52"/>
  <c r="L29" i="52"/>
  <c r="J29" i="52"/>
  <c r="H29" i="52"/>
  <c r="F29" i="52"/>
  <c r="T28" i="52"/>
  <c r="S28" i="52"/>
  <c r="R28" i="52"/>
  <c r="Q28" i="52"/>
  <c r="O28" i="52"/>
  <c r="N28" i="52"/>
  <c r="L28" i="52"/>
  <c r="J28" i="52"/>
  <c r="H28" i="52"/>
  <c r="F28" i="52"/>
  <c r="T27" i="52"/>
  <c r="S27" i="52"/>
  <c r="R27" i="52"/>
  <c r="Q27" i="52"/>
  <c r="O27" i="52"/>
  <c r="N27" i="52"/>
  <c r="L27" i="52"/>
  <c r="J27" i="52"/>
  <c r="H27" i="52"/>
  <c r="F27" i="52"/>
  <c r="T26" i="52"/>
  <c r="S26" i="52"/>
  <c r="R26" i="52"/>
  <c r="Q26" i="52"/>
  <c r="O26" i="52"/>
  <c r="N26" i="52"/>
  <c r="L26" i="52"/>
  <c r="J26" i="52"/>
  <c r="H26" i="52"/>
  <c r="F26" i="52"/>
  <c r="T25" i="52"/>
  <c r="S25" i="52"/>
  <c r="R25" i="52"/>
  <c r="Q25" i="52"/>
  <c r="O25" i="52"/>
  <c r="N25" i="52"/>
  <c r="L25" i="52"/>
  <c r="J25" i="52"/>
  <c r="H25" i="52"/>
  <c r="F25" i="52"/>
  <c r="T24" i="52"/>
  <c r="S24" i="52"/>
  <c r="R24" i="52"/>
  <c r="Q24" i="52"/>
  <c r="O24" i="52"/>
  <c r="Y24" i="52" s="1"/>
  <c r="C24" i="53" s="1"/>
  <c r="N24" i="52"/>
  <c r="L24" i="52"/>
  <c r="J24" i="52"/>
  <c r="H24" i="52"/>
  <c r="F24" i="52"/>
  <c r="T23" i="52"/>
  <c r="S23" i="52"/>
  <c r="R23" i="52"/>
  <c r="Q23" i="52"/>
  <c r="O23" i="52"/>
  <c r="N23" i="52"/>
  <c r="L23" i="52"/>
  <c r="J23" i="52"/>
  <c r="H23" i="52"/>
  <c r="F23" i="52"/>
  <c r="T22" i="52"/>
  <c r="S22" i="52"/>
  <c r="R22" i="52"/>
  <c r="Q22" i="52"/>
  <c r="O22" i="52"/>
  <c r="N22" i="52"/>
  <c r="L22" i="52"/>
  <c r="J22" i="52"/>
  <c r="H22" i="52"/>
  <c r="F22" i="52"/>
  <c r="T21" i="52"/>
  <c r="S21" i="52"/>
  <c r="R21" i="52"/>
  <c r="Q21" i="52"/>
  <c r="O21" i="52"/>
  <c r="Y21" i="52" s="1"/>
  <c r="C21" i="53" s="1"/>
  <c r="C21" i="64" s="1"/>
  <c r="N21" i="52"/>
  <c r="L21" i="52"/>
  <c r="J21" i="52"/>
  <c r="H21" i="52"/>
  <c r="F21" i="52"/>
  <c r="T20" i="52"/>
  <c r="S20" i="52"/>
  <c r="R20" i="52"/>
  <c r="Q20" i="52"/>
  <c r="O20" i="52"/>
  <c r="N20" i="52"/>
  <c r="L20" i="52"/>
  <c r="J20" i="52"/>
  <c r="H20" i="52"/>
  <c r="F20" i="52"/>
  <c r="D20" i="52"/>
  <c r="T19" i="52"/>
  <c r="S19" i="52"/>
  <c r="R19" i="52"/>
  <c r="Y19" i="52" s="1"/>
  <c r="Q19" i="52"/>
  <c r="O19" i="52"/>
  <c r="P19" i="52" s="1"/>
  <c r="N19" i="52"/>
  <c r="L19" i="52"/>
  <c r="J19" i="52"/>
  <c r="H19" i="52"/>
  <c r="F19" i="52"/>
  <c r="D19" i="52"/>
  <c r="W18" i="52"/>
  <c r="U18" i="52"/>
  <c r="X18" i="52" s="1"/>
  <c r="T17" i="52"/>
  <c r="S17" i="52"/>
  <c r="R17" i="52"/>
  <c r="Q17" i="52"/>
  <c r="O17" i="52"/>
  <c r="Y17" i="52" s="1"/>
  <c r="C18" i="53" s="1"/>
  <c r="C18" i="64" s="1"/>
  <c r="N17" i="52"/>
  <c r="L17" i="52"/>
  <c r="J17" i="52"/>
  <c r="H17" i="52"/>
  <c r="F17" i="52"/>
  <c r="D17" i="52"/>
  <c r="W16" i="52"/>
  <c r="U16" i="52"/>
  <c r="X16" i="52" s="1"/>
  <c r="L16" i="52"/>
  <c r="J16" i="52"/>
  <c r="H16" i="52"/>
  <c r="F16" i="52"/>
  <c r="D16" i="52"/>
  <c r="T15" i="52"/>
  <c r="S15" i="52"/>
  <c r="R15" i="52"/>
  <c r="Q15" i="52"/>
  <c r="O15" i="52"/>
  <c r="P15" i="52" s="1"/>
  <c r="N15" i="52"/>
  <c r="L15" i="52"/>
  <c r="J15" i="52"/>
  <c r="H15" i="52"/>
  <c r="F15" i="52"/>
  <c r="D15" i="52"/>
  <c r="T14" i="52"/>
  <c r="S14" i="52"/>
  <c r="R14" i="52"/>
  <c r="Q14" i="52"/>
  <c r="O14" i="52"/>
  <c r="N14" i="52"/>
  <c r="L14" i="52"/>
  <c r="J14" i="52"/>
  <c r="H14" i="52"/>
  <c r="F14" i="52"/>
  <c r="D14" i="52"/>
  <c r="U13" i="52"/>
  <c r="O13" i="52"/>
  <c r="W12" i="52"/>
  <c r="T12" i="52"/>
  <c r="S12" i="52"/>
  <c r="R12" i="52"/>
  <c r="Q12" i="52"/>
  <c r="W11" i="52"/>
  <c r="U11" i="52"/>
  <c r="T10" i="52"/>
  <c r="S10" i="52"/>
  <c r="R10" i="52"/>
  <c r="Q10" i="52"/>
  <c r="O10" i="52"/>
  <c r="N10" i="52"/>
  <c r="L10" i="52"/>
  <c r="J10" i="52"/>
  <c r="H10" i="52"/>
  <c r="F10" i="52"/>
  <c r="D10" i="52"/>
  <c r="T9" i="52"/>
  <c r="S9" i="52"/>
  <c r="R9" i="52"/>
  <c r="Q9" i="52"/>
  <c r="O9" i="52"/>
  <c r="N9" i="52"/>
  <c r="L9" i="52"/>
  <c r="J9" i="52"/>
  <c r="H9" i="52"/>
  <c r="F9" i="52"/>
  <c r="D9" i="52"/>
  <c r="T8" i="52"/>
  <c r="S8" i="52"/>
  <c r="R8" i="52"/>
  <c r="Q8" i="52"/>
  <c r="O8" i="52"/>
  <c r="P8" i="52" s="1"/>
  <c r="N8" i="52"/>
  <c r="L8" i="52"/>
  <c r="J8" i="52"/>
  <c r="H8" i="52"/>
  <c r="F8" i="52"/>
  <c r="D8" i="52"/>
  <c r="T7" i="52"/>
  <c r="S7" i="52"/>
  <c r="R7" i="52"/>
  <c r="Q7" i="52"/>
  <c r="O7" i="52"/>
  <c r="P7" i="52" s="1"/>
  <c r="N7" i="52"/>
  <c r="L7" i="52"/>
  <c r="J7" i="52"/>
  <c r="H7" i="52"/>
  <c r="F7" i="52"/>
  <c r="D7" i="52"/>
  <c r="T6" i="52"/>
  <c r="S6" i="52"/>
  <c r="R6" i="52"/>
  <c r="Q6" i="52"/>
  <c r="O6" i="52"/>
  <c r="P6" i="52" s="1"/>
  <c r="N6" i="52"/>
  <c r="L6" i="52"/>
  <c r="J6" i="52"/>
  <c r="H6" i="52"/>
  <c r="F6" i="52"/>
  <c r="D6" i="52"/>
  <c r="S5" i="52"/>
  <c r="U5" i="52" s="1"/>
  <c r="R5" i="52"/>
  <c r="Q5" i="52"/>
  <c r="O5" i="52"/>
  <c r="P5" i="52" s="1"/>
  <c r="N5" i="52"/>
  <c r="L5" i="52"/>
  <c r="J5" i="52"/>
  <c r="H5" i="52"/>
  <c r="F5" i="52"/>
  <c r="D5" i="52"/>
  <c r="T4" i="52"/>
  <c r="S4" i="52"/>
  <c r="R4" i="52"/>
  <c r="Q4" i="52"/>
  <c r="O4" i="52"/>
  <c r="N4" i="52"/>
  <c r="L4" i="52"/>
  <c r="J4" i="52"/>
  <c r="H4" i="52"/>
  <c r="F4" i="52"/>
  <c r="D4" i="52"/>
  <c r="T3" i="52"/>
  <c r="S3" i="52"/>
  <c r="R3" i="52"/>
  <c r="Q3" i="52"/>
  <c r="O3" i="52"/>
  <c r="P3" i="52" s="1"/>
  <c r="N3" i="52"/>
  <c r="L3" i="52"/>
  <c r="J3" i="52"/>
  <c r="H3" i="52"/>
  <c r="F3" i="52"/>
  <c r="D3" i="52"/>
  <c r="W20" i="32"/>
  <c r="W21" i="32"/>
  <c r="W27" i="32"/>
  <c r="W29" i="32"/>
  <c r="W50" i="32"/>
  <c r="W57" i="32"/>
  <c r="W58" i="32"/>
  <c r="W68" i="32"/>
  <c r="W72" i="32"/>
  <c r="W76" i="32"/>
  <c r="W83" i="32"/>
  <c r="W86" i="32"/>
  <c r="W89" i="32"/>
  <c r="W92" i="32"/>
  <c r="W96" i="32"/>
  <c r="W98" i="32"/>
  <c r="W101" i="32"/>
  <c r="W106" i="32"/>
  <c r="W108" i="32"/>
  <c r="W110" i="32"/>
  <c r="W116" i="32"/>
  <c r="W119" i="32"/>
  <c r="W131" i="32"/>
  <c r="W132" i="32"/>
  <c r="W133" i="32"/>
  <c r="W137" i="32"/>
  <c r="W141" i="32"/>
  <c r="W142" i="32"/>
  <c r="W147" i="32"/>
  <c r="W151" i="32"/>
  <c r="W152" i="32"/>
  <c r="W153" i="32"/>
  <c r="W154" i="32"/>
  <c r="W155" i="32"/>
  <c r="W157" i="32"/>
  <c r="W158" i="32"/>
  <c r="W159" i="32"/>
  <c r="W160" i="32"/>
  <c r="W161" i="32"/>
  <c r="W162" i="32"/>
  <c r="W169" i="32"/>
  <c r="W182" i="32"/>
  <c r="W183" i="32"/>
  <c r="W187" i="32"/>
  <c r="W189" i="32"/>
  <c r="W190" i="32"/>
  <c r="W193" i="32"/>
  <c r="W194" i="32"/>
  <c r="W197" i="32"/>
  <c r="W198" i="32"/>
  <c r="W199" i="32"/>
  <c r="W200" i="32"/>
  <c r="T144" i="32"/>
  <c r="T140" i="32"/>
  <c r="T122" i="32"/>
  <c r="T125" i="32"/>
  <c r="T126" i="32"/>
  <c r="T124" i="32"/>
  <c r="T133" i="32"/>
  <c r="T134" i="32"/>
  <c r="T143" i="32"/>
  <c r="T115" i="32"/>
  <c r="T114" i="32"/>
  <c r="T136" i="32"/>
  <c r="T139" i="32"/>
  <c r="T138" i="32"/>
  <c r="T123" i="32"/>
  <c r="T128" i="32"/>
  <c r="T129" i="32"/>
  <c r="T130" i="32"/>
  <c r="T105" i="32"/>
  <c r="T107" i="32"/>
  <c r="T108" i="32"/>
  <c r="T100" i="32"/>
  <c r="T95" i="32"/>
  <c r="T94" i="32"/>
  <c r="R143" i="32"/>
  <c r="S143" i="32"/>
  <c r="Q143" i="32"/>
  <c r="R144" i="32"/>
  <c r="S144" i="32"/>
  <c r="Q144" i="32"/>
  <c r="R140" i="32"/>
  <c r="S140" i="32"/>
  <c r="Q140" i="32"/>
  <c r="R134" i="32"/>
  <c r="S134" i="32"/>
  <c r="Q134" i="32"/>
  <c r="R133" i="32"/>
  <c r="S133" i="32"/>
  <c r="Q133" i="32"/>
  <c r="R136" i="32"/>
  <c r="S136" i="32"/>
  <c r="Q136" i="32"/>
  <c r="R139" i="32"/>
  <c r="S139" i="32"/>
  <c r="R138" i="32"/>
  <c r="S138" i="32"/>
  <c r="Q139" i="32"/>
  <c r="Q138" i="32"/>
  <c r="R130" i="32"/>
  <c r="S130" i="32"/>
  <c r="Q130" i="32"/>
  <c r="R129" i="32"/>
  <c r="S129" i="32"/>
  <c r="Q129" i="32"/>
  <c r="R127" i="32"/>
  <c r="S127" i="32"/>
  <c r="U127" i="32" s="1"/>
  <c r="Q127" i="32"/>
  <c r="R128" i="32"/>
  <c r="S128" i="32"/>
  <c r="Q128" i="32"/>
  <c r="R126" i="32"/>
  <c r="S126" i="32"/>
  <c r="Q126" i="32"/>
  <c r="R125" i="32"/>
  <c r="S125" i="32"/>
  <c r="Q125" i="32"/>
  <c r="R124" i="32"/>
  <c r="S124" i="32"/>
  <c r="Q124" i="32"/>
  <c r="R123" i="32"/>
  <c r="S123" i="32"/>
  <c r="Q123" i="32"/>
  <c r="R122" i="32"/>
  <c r="S122" i="32"/>
  <c r="Q122" i="32"/>
  <c r="R115" i="32"/>
  <c r="S115" i="32"/>
  <c r="Q115" i="32"/>
  <c r="R114" i="32"/>
  <c r="S114" i="32"/>
  <c r="Q114" i="32"/>
  <c r="R105" i="32"/>
  <c r="S105" i="32"/>
  <c r="Q105" i="32"/>
  <c r="R107" i="32"/>
  <c r="S107" i="32"/>
  <c r="Q107" i="32"/>
  <c r="R108" i="32"/>
  <c r="S108" i="32"/>
  <c r="Q108" i="32"/>
  <c r="R100" i="32"/>
  <c r="S100" i="32"/>
  <c r="Q100" i="32"/>
  <c r="R95" i="32"/>
  <c r="S95" i="32"/>
  <c r="Q95" i="32"/>
  <c r="R94" i="32"/>
  <c r="S94" i="32"/>
  <c r="U94" i="32" s="1"/>
  <c r="Q94" i="32"/>
  <c r="E309" i="51"/>
  <c r="T196" i="32"/>
  <c r="T187" i="32"/>
  <c r="T182" i="32"/>
  <c r="U182" i="32" s="1"/>
  <c r="T167" i="32"/>
  <c r="T184" i="32"/>
  <c r="T185" i="32"/>
  <c r="T181" i="32"/>
  <c r="T179" i="32"/>
  <c r="T178" i="32"/>
  <c r="T174" i="32"/>
  <c r="T175" i="32"/>
  <c r="T176" i="32"/>
  <c r="T177" i="32"/>
  <c r="T173" i="32"/>
  <c r="T171" i="32"/>
  <c r="T170" i="32"/>
  <c r="T66" i="32"/>
  <c r="R197" i="32"/>
  <c r="S197" i="32"/>
  <c r="U197" i="32" s="1"/>
  <c r="R196" i="32"/>
  <c r="S196" i="32"/>
  <c r="T70" i="32"/>
  <c r="T71" i="32"/>
  <c r="T72" i="32"/>
  <c r="T85" i="32"/>
  <c r="T84" i="32" s="1"/>
  <c r="T55" i="32"/>
  <c r="T56" i="32"/>
  <c r="T65" i="32"/>
  <c r="T62" i="32"/>
  <c r="T82" i="32"/>
  <c r="T81" i="32" s="1"/>
  <c r="T52" i="32"/>
  <c r="T51" i="32" s="1"/>
  <c r="U51" i="32" s="1"/>
  <c r="U20" i="32"/>
  <c r="U22" i="32"/>
  <c r="U27" i="32"/>
  <c r="U29" i="32"/>
  <c r="U49" i="32"/>
  <c r="U53" i="32"/>
  <c r="U57" i="32"/>
  <c r="U58" i="32"/>
  <c r="U59" i="32"/>
  <c r="U60" i="32"/>
  <c r="U67" i="32"/>
  <c r="U68" i="32"/>
  <c r="U73" i="32"/>
  <c r="U76" i="32"/>
  <c r="U80" i="32"/>
  <c r="U83" i="32"/>
  <c r="U86" i="32"/>
  <c r="U88" i="32"/>
  <c r="U89" i="32"/>
  <c r="U90" i="32"/>
  <c r="U96" i="32"/>
  <c r="U97" i="32"/>
  <c r="U98" i="32"/>
  <c r="U99" i="32"/>
  <c r="U101" i="32"/>
  <c r="U102" i="32"/>
  <c r="U103" i="32"/>
  <c r="U104" i="32"/>
  <c r="U106" i="32"/>
  <c r="U109" i="32"/>
  <c r="U110" i="32"/>
  <c r="U113" i="32"/>
  <c r="U116" i="32"/>
  <c r="U117" i="32"/>
  <c r="U118" i="32"/>
  <c r="U119" i="32"/>
  <c r="U120" i="32"/>
  <c r="U131" i="32"/>
  <c r="U132" i="32"/>
  <c r="U135" i="32"/>
  <c r="U137" i="32"/>
  <c r="U141" i="32"/>
  <c r="U142" i="32"/>
  <c r="U146" i="32"/>
  <c r="U147" i="32"/>
  <c r="U149" i="32"/>
  <c r="U153" i="32"/>
  <c r="U154" i="32"/>
  <c r="U155" i="32"/>
  <c r="U158" i="32"/>
  <c r="U159" i="32"/>
  <c r="U160" i="32"/>
  <c r="U164" i="32"/>
  <c r="U172" i="32"/>
  <c r="U180" i="32"/>
  <c r="U183" i="32"/>
  <c r="U186" i="32"/>
  <c r="U188" i="32"/>
  <c r="U189" i="32"/>
  <c r="U190" i="32"/>
  <c r="U191" i="32"/>
  <c r="U192" i="32"/>
  <c r="U194" i="32"/>
  <c r="U195" i="32"/>
  <c r="U198" i="32"/>
  <c r="T63" i="32"/>
  <c r="T64" i="32"/>
  <c r="T75" i="32"/>
  <c r="T74" i="32" s="1"/>
  <c r="T92" i="32"/>
  <c r="T47" i="32"/>
  <c r="T46" i="32"/>
  <c r="T41" i="32"/>
  <c r="T42" i="32"/>
  <c r="T43" i="32"/>
  <c r="T44" i="32"/>
  <c r="T40" i="32"/>
  <c r="T37" i="32"/>
  <c r="T38" i="32"/>
  <c r="T36" i="32"/>
  <c r="T33" i="32"/>
  <c r="T32" i="32" s="1"/>
  <c r="T28" i="32"/>
  <c r="T26" i="32" s="1"/>
  <c r="T25" i="32"/>
  <c r="T24" i="32"/>
  <c r="T21" i="32"/>
  <c r="T19" i="32"/>
  <c r="T18" i="32"/>
  <c r="T31" i="32"/>
  <c r="T30" i="32" s="1"/>
  <c r="T15" i="32"/>
  <c r="T14" i="32"/>
  <c r="T13" i="32"/>
  <c r="T10" i="32"/>
  <c r="T8" i="32"/>
  <c r="T7" i="32" s="1"/>
  <c r="V7" i="32" s="1"/>
  <c r="I459" i="50"/>
  <c r="R162" i="32"/>
  <c r="S162" i="32"/>
  <c r="U162" i="32" s="1"/>
  <c r="Q162" i="32"/>
  <c r="R200" i="32"/>
  <c r="S200" i="32"/>
  <c r="U200" i="32" s="1"/>
  <c r="Q200" i="32"/>
  <c r="Q196" i="32"/>
  <c r="Q197" i="32"/>
  <c r="R167" i="32"/>
  <c r="S167" i="32"/>
  <c r="Q167" i="32"/>
  <c r="R184" i="32"/>
  <c r="S184" i="32"/>
  <c r="Q184" i="32"/>
  <c r="R181" i="32"/>
  <c r="S181" i="32"/>
  <c r="Q181" i="32"/>
  <c r="R185" i="32"/>
  <c r="S185" i="32"/>
  <c r="Q185" i="32"/>
  <c r="R178" i="32"/>
  <c r="S178" i="32"/>
  <c r="R179" i="32"/>
  <c r="S179" i="32"/>
  <c r="Q179" i="32"/>
  <c r="Q178" i="32"/>
  <c r="R170" i="32"/>
  <c r="S170" i="32"/>
  <c r="R171" i="32"/>
  <c r="S171" i="32"/>
  <c r="R173" i="32"/>
  <c r="S173" i="32"/>
  <c r="R174" i="32"/>
  <c r="S174" i="32"/>
  <c r="R175" i="32"/>
  <c r="S175" i="32"/>
  <c r="R176" i="32"/>
  <c r="S176" i="32"/>
  <c r="R177" i="32"/>
  <c r="S177" i="32"/>
  <c r="Q174" i="32"/>
  <c r="Q175" i="32"/>
  <c r="Q176" i="32"/>
  <c r="Q177" i="32"/>
  <c r="Q173" i="32"/>
  <c r="Q171" i="32"/>
  <c r="Q170" i="32"/>
  <c r="R199" i="32"/>
  <c r="S199" i="32"/>
  <c r="U199" i="32" s="1"/>
  <c r="Q199" i="32"/>
  <c r="R72" i="32"/>
  <c r="S72" i="32"/>
  <c r="Q72" i="32"/>
  <c r="R71" i="32"/>
  <c r="S71" i="32"/>
  <c r="Q71" i="32"/>
  <c r="R70" i="32"/>
  <c r="S70" i="32"/>
  <c r="Q70" i="32"/>
  <c r="R79" i="32"/>
  <c r="S79" i="32"/>
  <c r="U79" i="32" s="1"/>
  <c r="Q79" i="32"/>
  <c r="R85" i="32"/>
  <c r="R84" i="32" s="1"/>
  <c r="S85" i="32"/>
  <c r="Q85" i="32"/>
  <c r="Q84" i="32" s="1"/>
  <c r="R82" i="32"/>
  <c r="R81" i="32" s="1"/>
  <c r="S82" i="32"/>
  <c r="Q82" i="32"/>
  <c r="Q81" i="32" s="1"/>
  <c r="R56" i="32"/>
  <c r="S56" i="32"/>
  <c r="Q56" i="32"/>
  <c r="R55" i="32"/>
  <c r="S55" i="32"/>
  <c r="Q55" i="32"/>
  <c r="R63" i="32"/>
  <c r="S63" i="32"/>
  <c r="R62" i="32"/>
  <c r="S62" i="32"/>
  <c r="Q62" i="32"/>
  <c r="Q63" i="32"/>
  <c r="R66" i="32"/>
  <c r="S66" i="32"/>
  <c r="Q66" i="32"/>
  <c r="R65" i="32"/>
  <c r="S65" i="32"/>
  <c r="Q65" i="32"/>
  <c r="R64" i="32"/>
  <c r="S64" i="32"/>
  <c r="Q64" i="32"/>
  <c r="R92" i="32"/>
  <c r="S92" i="32"/>
  <c r="R75" i="32"/>
  <c r="R74" i="32" s="1"/>
  <c r="S75" i="32"/>
  <c r="Q92" i="32"/>
  <c r="Q75" i="32"/>
  <c r="Q74" i="32" s="1"/>
  <c r="S193" i="32"/>
  <c r="U193" i="32" s="1"/>
  <c r="R193" i="32"/>
  <c r="S148" i="32"/>
  <c r="R148" i="32"/>
  <c r="P49" i="32"/>
  <c r="N48" i="32"/>
  <c r="N49" i="32"/>
  <c r="N55" i="32"/>
  <c r="R52" i="32"/>
  <c r="S52" i="32"/>
  <c r="Q52" i="32"/>
  <c r="R48" i="32"/>
  <c r="S48" i="32"/>
  <c r="U48" i="32" s="1"/>
  <c r="Q48" i="32"/>
  <c r="R40" i="32"/>
  <c r="S40" i="32"/>
  <c r="R41" i="32"/>
  <c r="S41" i="32"/>
  <c r="R42" i="32"/>
  <c r="S42" i="32"/>
  <c r="R43" i="32"/>
  <c r="S43" i="32"/>
  <c r="R44" i="32"/>
  <c r="S44" i="32"/>
  <c r="Q41" i="32"/>
  <c r="Q42" i="32"/>
  <c r="Q43" i="32"/>
  <c r="Q44" i="32"/>
  <c r="Q40" i="32"/>
  <c r="R36" i="32"/>
  <c r="S36" i="32"/>
  <c r="R37" i="32"/>
  <c r="S37" i="32"/>
  <c r="U37" i="32" s="1"/>
  <c r="R38" i="32"/>
  <c r="S38" i="32"/>
  <c r="U38" i="32" s="1"/>
  <c r="V38" i="32" s="1"/>
  <c r="Q37" i="32"/>
  <c r="Q38" i="32"/>
  <c r="Q36" i="32"/>
  <c r="R46" i="32"/>
  <c r="S46" i="32"/>
  <c r="R47" i="32"/>
  <c r="S47" i="32"/>
  <c r="Q47" i="32"/>
  <c r="Q46" i="32"/>
  <c r="R50" i="32"/>
  <c r="S50" i="32"/>
  <c r="U50" i="32" s="1"/>
  <c r="Q50" i="32"/>
  <c r="R33" i="32"/>
  <c r="R32" i="32" s="1"/>
  <c r="S33" i="32"/>
  <c r="Q33" i="32"/>
  <c r="Q32" i="32" s="1"/>
  <c r="R31" i="32"/>
  <c r="R30" i="32" s="1"/>
  <c r="S31" i="32"/>
  <c r="Q31" i="32"/>
  <c r="Q30" i="32" s="1"/>
  <c r="R28" i="32"/>
  <c r="R26" i="32" s="1"/>
  <c r="S28" i="32"/>
  <c r="Q28" i="32"/>
  <c r="Q26" i="32" s="1"/>
  <c r="R25" i="32"/>
  <c r="S25" i="32"/>
  <c r="R24" i="32"/>
  <c r="S24" i="32"/>
  <c r="Q25" i="32"/>
  <c r="Q24" i="32"/>
  <c r="Q21" i="32"/>
  <c r="Q19" i="32"/>
  <c r="Q18" i="32"/>
  <c r="R19" i="32"/>
  <c r="S19" i="32"/>
  <c r="R18" i="32"/>
  <c r="S18" i="32"/>
  <c r="R15" i="32"/>
  <c r="S15" i="32"/>
  <c r="Q15" i="32"/>
  <c r="R12" i="32"/>
  <c r="S12" i="32"/>
  <c r="U12" i="32" s="1"/>
  <c r="Q12" i="32"/>
  <c r="R10" i="32"/>
  <c r="S10" i="32"/>
  <c r="Q10" i="32"/>
  <c r="R14" i="32"/>
  <c r="S14" i="32"/>
  <c r="Q14" i="32"/>
  <c r="R13" i="32"/>
  <c r="S13" i="32"/>
  <c r="U13" i="32" s="1"/>
  <c r="Q13" i="32"/>
  <c r="R8" i="32"/>
  <c r="R7" i="32" s="1"/>
  <c r="S8" i="32"/>
  <c r="Q8" i="32"/>
  <c r="Q7" i="32" s="1"/>
  <c r="AE491" i="49"/>
  <c r="O143" i="32"/>
  <c r="P143" i="32" s="1"/>
  <c r="O140" i="32"/>
  <c r="P140" i="32" s="1"/>
  <c r="O136" i="32"/>
  <c r="P136" i="32" s="1"/>
  <c r="O129" i="32"/>
  <c r="P129" i="32" s="1"/>
  <c r="O135" i="32"/>
  <c r="P135" i="32" s="1"/>
  <c r="O130" i="32"/>
  <c r="P130" i="32" s="1"/>
  <c r="O126" i="32"/>
  <c r="P126" i="32" s="1"/>
  <c r="O125" i="32"/>
  <c r="P125" i="32" s="1"/>
  <c r="O124" i="32"/>
  <c r="P124" i="32" s="1"/>
  <c r="O128" i="32"/>
  <c r="P128" i="32" s="1"/>
  <c r="O138" i="32"/>
  <c r="P138" i="32" s="1"/>
  <c r="O139" i="32"/>
  <c r="P139" i="32" s="1"/>
  <c r="O123" i="32"/>
  <c r="P123" i="32" s="1"/>
  <c r="O122" i="32"/>
  <c r="P122" i="32" s="1"/>
  <c r="O115" i="32"/>
  <c r="O114" i="32"/>
  <c r="P114" i="32" s="1"/>
  <c r="O105" i="32"/>
  <c r="P105" i="32" s="1"/>
  <c r="O104" i="32"/>
  <c r="P104" i="32" s="1"/>
  <c r="O103" i="32"/>
  <c r="O97" i="32"/>
  <c r="O94" i="32"/>
  <c r="AS223" i="49"/>
  <c r="O196" i="32"/>
  <c r="P196" i="32" s="1"/>
  <c r="O185" i="32"/>
  <c r="P185" i="32" s="1"/>
  <c r="O184" i="32"/>
  <c r="P184" i="32" s="1"/>
  <c r="O181" i="32"/>
  <c r="P181" i="32" s="1"/>
  <c r="O179" i="32"/>
  <c r="P179" i="32" s="1"/>
  <c r="O178" i="32"/>
  <c r="P178" i="32" s="1"/>
  <c r="O177" i="32"/>
  <c r="P177" i="32" s="1"/>
  <c r="O176" i="32"/>
  <c r="P176" i="32" s="1"/>
  <c r="O175" i="32"/>
  <c r="P175" i="32" s="1"/>
  <c r="O174" i="32"/>
  <c r="P174" i="32" s="1"/>
  <c r="O173" i="32"/>
  <c r="P173" i="32" s="1"/>
  <c r="O171" i="32"/>
  <c r="P171" i="32" s="1"/>
  <c r="O170" i="32"/>
  <c r="P170" i="32" s="1"/>
  <c r="O167" i="32"/>
  <c r="P167" i="32" s="1"/>
  <c r="O164" i="32"/>
  <c r="O163" i="32" s="1"/>
  <c r="O70" i="32"/>
  <c r="P70" i="32" s="1"/>
  <c r="O88" i="32"/>
  <c r="O87" i="32" s="1"/>
  <c r="O71" i="32"/>
  <c r="O79" i="32"/>
  <c r="P79" i="32" s="1"/>
  <c r="O85" i="32"/>
  <c r="O84" i="32" s="1"/>
  <c r="O82" i="32"/>
  <c r="O81" i="32" s="1"/>
  <c r="O75" i="32"/>
  <c r="O74" i="32" s="1"/>
  <c r="O31" i="32"/>
  <c r="O30" i="32" s="1"/>
  <c r="O66" i="32"/>
  <c r="O65" i="32"/>
  <c r="P65" i="32" s="1"/>
  <c r="O64" i="32"/>
  <c r="P64" i="32" s="1"/>
  <c r="O63" i="32"/>
  <c r="P63" i="32" s="1"/>
  <c r="O62" i="32"/>
  <c r="P62" i="32" s="1"/>
  <c r="O59" i="32"/>
  <c r="O56" i="32"/>
  <c r="O53" i="32"/>
  <c r="P53" i="32" s="1"/>
  <c r="O52" i="32"/>
  <c r="O51" i="32" s="1"/>
  <c r="P51" i="32" s="1"/>
  <c r="O47" i="32"/>
  <c r="O46" i="32"/>
  <c r="P46" i="32" s="1"/>
  <c r="O44" i="32"/>
  <c r="P44" i="32" s="1"/>
  <c r="O43" i="32"/>
  <c r="P43" i="32" s="1"/>
  <c r="O42" i="32"/>
  <c r="P42" i="32" s="1"/>
  <c r="O41" i="32"/>
  <c r="P41" i="32" s="1"/>
  <c r="O40" i="32"/>
  <c r="O38" i="32"/>
  <c r="P38" i="32" s="1"/>
  <c r="O37" i="32"/>
  <c r="P37" i="32" s="1"/>
  <c r="O36" i="32"/>
  <c r="P36" i="32" s="1"/>
  <c r="O33" i="32"/>
  <c r="P33" i="32" s="1"/>
  <c r="O28" i="32"/>
  <c r="O26" i="32" s="1"/>
  <c r="O25" i="32"/>
  <c r="P25" i="32" s="1"/>
  <c r="O24" i="32"/>
  <c r="P24" i="32" s="1"/>
  <c r="O22" i="32"/>
  <c r="O19" i="32"/>
  <c r="P19" i="32" s="1"/>
  <c r="O18" i="32"/>
  <c r="X168" i="32"/>
  <c r="X166" i="32" s="1"/>
  <c r="X165" i="32" s="1"/>
  <c r="X163" i="32"/>
  <c r="X161" i="32"/>
  <c r="X157" i="32"/>
  <c r="X152" i="32"/>
  <c r="X151" i="32" s="1"/>
  <c r="X148" i="32"/>
  <c r="X145" i="32"/>
  <c r="X121" i="32"/>
  <c r="X112" i="32"/>
  <c r="X93" i="32"/>
  <c r="X87" i="32"/>
  <c r="X84" i="32"/>
  <c r="X81" i="32"/>
  <c r="X74" i="32"/>
  <c r="X69" i="32"/>
  <c r="X61" i="32"/>
  <c r="X54" i="32"/>
  <c r="X51" i="32"/>
  <c r="X45" i="32"/>
  <c r="X39" i="32"/>
  <c r="X35" i="32"/>
  <c r="X32" i="32"/>
  <c r="X30" i="32"/>
  <c r="X26" i="32"/>
  <c r="X23" i="32"/>
  <c r="X17" i="32"/>
  <c r="X11" i="32"/>
  <c r="X9" i="32" s="1"/>
  <c r="T163" i="32"/>
  <c r="U163" i="32" s="1"/>
  <c r="T161" i="32"/>
  <c r="U161" i="32" s="1"/>
  <c r="T157" i="32"/>
  <c r="U157" i="32" s="1"/>
  <c r="T152" i="32"/>
  <c r="T148" i="32"/>
  <c r="T145" i="32"/>
  <c r="U145" i="32" s="1"/>
  <c r="T87" i="32"/>
  <c r="U87" i="32" s="1"/>
  <c r="O15" i="32"/>
  <c r="P15" i="32" s="1"/>
  <c r="O14" i="32"/>
  <c r="P14" i="32" s="1"/>
  <c r="O13" i="32"/>
  <c r="P13" i="32" s="1"/>
  <c r="O12" i="32"/>
  <c r="P12" i="32" s="1"/>
  <c r="O10" i="32"/>
  <c r="P10" i="32" s="1"/>
  <c r="O8" i="32"/>
  <c r="O7" i="32" s="1"/>
  <c r="P195" i="32"/>
  <c r="P192" i="32"/>
  <c r="P191" i="32"/>
  <c r="P188" i="32"/>
  <c r="P186" i="32"/>
  <c r="P180" i="32"/>
  <c r="P172" i="32"/>
  <c r="O161" i="32"/>
  <c r="O157" i="32"/>
  <c r="O152" i="32"/>
  <c r="O151" i="32" s="1"/>
  <c r="P149" i="32"/>
  <c r="O148" i="32"/>
  <c r="P146" i="32"/>
  <c r="P134" i="32"/>
  <c r="P127" i="32"/>
  <c r="P118" i="32"/>
  <c r="P117" i="32"/>
  <c r="P109" i="32"/>
  <c r="P107" i="32"/>
  <c r="P102" i="32"/>
  <c r="P100" i="32"/>
  <c r="P99" i="32"/>
  <c r="P95" i="32"/>
  <c r="P90" i="32"/>
  <c r="P80" i="32"/>
  <c r="P73" i="32"/>
  <c r="P67" i="32"/>
  <c r="P60" i="32"/>
  <c r="P55" i="32"/>
  <c r="P48" i="32"/>
  <c r="W48" i="32" s="1"/>
  <c r="Q200" i="48"/>
  <c r="P200" i="48"/>
  <c r="O200" i="48"/>
  <c r="L199" i="48"/>
  <c r="J199" i="48"/>
  <c r="H199" i="48"/>
  <c r="F199" i="48"/>
  <c r="D199" i="48"/>
  <c r="K198" i="48"/>
  <c r="I198" i="48"/>
  <c r="G198" i="48"/>
  <c r="E198" i="48"/>
  <c r="C198" i="48"/>
  <c r="B198" i="48"/>
  <c r="Q197" i="48"/>
  <c r="P197" i="48"/>
  <c r="O197" i="48"/>
  <c r="N197" i="48"/>
  <c r="P196" i="48"/>
  <c r="P194" i="48" s="1"/>
  <c r="O196" i="48"/>
  <c r="O194" i="48" s="1"/>
  <c r="N196" i="48"/>
  <c r="L195" i="48"/>
  <c r="H195" i="48"/>
  <c r="R194" i="48"/>
  <c r="R151" i="48" s="1"/>
  <c r="Q194" i="48"/>
  <c r="N193" i="48"/>
  <c r="N192" i="48"/>
  <c r="Q189" i="48"/>
  <c r="P189" i="48"/>
  <c r="O189" i="48"/>
  <c r="N189" i="48"/>
  <c r="Q188" i="48"/>
  <c r="P188" i="48"/>
  <c r="O188" i="48"/>
  <c r="Q187" i="48"/>
  <c r="P187" i="48"/>
  <c r="O187" i="48"/>
  <c r="N187" i="48"/>
  <c r="L187" i="48"/>
  <c r="J187" i="48"/>
  <c r="H187" i="48"/>
  <c r="F187" i="48"/>
  <c r="Q186" i="48"/>
  <c r="P186" i="48"/>
  <c r="O186" i="48"/>
  <c r="N186" i="48"/>
  <c r="L186" i="48"/>
  <c r="J186" i="48"/>
  <c r="H186" i="48"/>
  <c r="F186" i="48"/>
  <c r="Q185" i="48"/>
  <c r="P185" i="48"/>
  <c r="O185" i="48"/>
  <c r="N185" i="48"/>
  <c r="L185" i="48"/>
  <c r="J185" i="48"/>
  <c r="H185" i="48"/>
  <c r="F185" i="48"/>
  <c r="L184" i="48"/>
  <c r="H184" i="48"/>
  <c r="F184" i="48"/>
  <c r="Q183" i="48"/>
  <c r="P183" i="48"/>
  <c r="O183" i="48"/>
  <c r="L183" i="48"/>
  <c r="J183" i="48"/>
  <c r="H183" i="48"/>
  <c r="F183" i="48"/>
  <c r="Q182" i="48"/>
  <c r="P182" i="48"/>
  <c r="O182" i="48"/>
  <c r="N182" i="48"/>
  <c r="L182" i="48"/>
  <c r="J182" i="48"/>
  <c r="H182" i="48"/>
  <c r="F182" i="48"/>
  <c r="Q181" i="48"/>
  <c r="P181" i="48"/>
  <c r="O181" i="48"/>
  <c r="N181" i="48"/>
  <c r="Q180" i="48"/>
  <c r="P180" i="48"/>
  <c r="O180" i="48"/>
  <c r="N180" i="48"/>
  <c r="L180" i="48"/>
  <c r="J180" i="48"/>
  <c r="H180" i="48"/>
  <c r="Q179" i="48"/>
  <c r="P179" i="48"/>
  <c r="O179" i="48"/>
  <c r="N179" i="48"/>
  <c r="L179" i="48"/>
  <c r="J179" i="48"/>
  <c r="H179" i="48"/>
  <c r="F179" i="48"/>
  <c r="Q178" i="48"/>
  <c r="P178" i="48"/>
  <c r="O178" i="48"/>
  <c r="N178" i="48"/>
  <c r="L178" i="48"/>
  <c r="J178" i="48"/>
  <c r="H178" i="48"/>
  <c r="F178" i="48"/>
  <c r="Q177" i="48"/>
  <c r="P177" i="48"/>
  <c r="O177" i="48"/>
  <c r="N177" i="48"/>
  <c r="L177" i="48"/>
  <c r="J177" i="48"/>
  <c r="H177" i="48"/>
  <c r="F177" i="48"/>
  <c r="Q176" i="48"/>
  <c r="P176" i="48"/>
  <c r="O176" i="48"/>
  <c r="N176" i="48"/>
  <c r="L176" i="48"/>
  <c r="J176" i="48"/>
  <c r="H176" i="48"/>
  <c r="F176" i="48"/>
  <c r="Q175" i="48"/>
  <c r="P175" i="48"/>
  <c r="O175" i="48"/>
  <c r="N175" i="48"/>
  <c r="L175" i="48"/>
  <c r="J175" i="48"/>
  <c r="H175" i="48"/>
  <c r="F175" i="48"/>
  <c r="Q174" i="48"/>
  <c r="P174" i="48"/>
  <c r="O174" i="48"/>
  <c r="N174" i="48"/>
  <c r="L174" i="48"/>
  <c r="J174" i="48"/>
  <c r="H174" i="48"/>
  <c r="F174" i="48"/>
  <c r="Q173" i="48"/>
  <c r="P173" i="48"/>
  <c r="O173" i="48"/>
  <c r="N173" i="48"/>
  <c r="L173" i="48"/>
  <c r="J173" i="48"/>
  <c r="H173" i="48"/>
  <c r="Q172" i="48"/>
  <c r="P172" i="48"/>
  <c r="O172" i="48"/>
  <c r="N172" i="48"/>
  <c r="L172" i="48"/>
  <c r="J172" i="48"/>
  <c r="H172" i="48"/>
  <c r="Q171" i="48"/>
  <c r="P171" i="48"/>
  <c r="O171" i="48"/>
  <c r="N171" i="48"/>
  <c r="L171" i="48"/>
  <c r="J171" i="48"/>
  <c r="H171" i="48"/>
  <c r="F171" i="48"/>
  <c r="M169" i="48"/>
  <c r="M167" i="48" s="1"/>
  <c r="M166" i="48" s="1"/>
  <c r="K169" i="48"/>
  <c r="I169" i="48"/>
  <c r="I167" i="48" s="1"/>
  <c r="G169" i="48"/>
  <c r="E169" i="48"/>
  <c r="E167" i="48" s="1"/>
  <c r="C169" i="48"/>
  <c r="D169" i="48" s="1"/>
  <c r="N168" i="48"/>
  <c r="L168" i="48"/>
  <c r="J168" i="48"/>
  <c r="H168" i="48"/>
  <c r="F168" i="48"/>
  <c r="D168" i="48"/>
  <c r="K167" i="48"/>
  <c r="B167" i="48"/>
  <c r="L165" i="48"/>
  <c r="J165" i="48"/>
  <c r="H165" i="48"/>
  <c r="F165" i="48"/>
  <c r="D165" i="48"/>
  <c r="M164" i="48"/>
  <c r="K164" i="48"/>
  <c r="I164" i="48"/>
  <c r="G164" i="48"/>
  <c r="E164" i="48"/>
  <c r="C164" i="48"/>
  <c r="B164" i="48"/>
  <c r="L163" i="48"/>
  <c r="J163" i="48"/>
  <c r="H163" i="48"/>
  <c r="D163" i="48"/>
  <c r="M162" i="48"/>
  <c r="K162" i="48"/>
  <c r="K157" i="48" s="1"/>
  <c r="F162" i="48"/>
  <c r="D162" i="48"/>
  <c r="L161" i="48"/>
  <c r="J161" i="48"/>
  <c r="H161" i="48"/>
  <c r="F161" i="48"/>
  <c r="L160" i="48"/>
  <c r="J160" i="48"/>
  <c r="H160" i="48"/>
  <c r="F160" i="48"/>
  <c r="L159" i="48"/>
  <c r="J159" i="48"/>
  <c r="H159" i="48"/>
  <c r="F159" i="48"/>
  <c r="D159" i="48"/>
  <c r="M158" i="48"/>
  <c r="K158" i="48"/>
  <c r="I158" i="48"/>
  <c r="I157" i="48" s="1"/>
  <c r="G158" i="48"/>
  <c r="E158" i="48"/>
  <c r="E157" i="48" s="1"/>
  <c r="C158" i="48"/>
  <c r="C157" i="48" s="1"/>
  <c r="D157" i="48" s="1"/>
  <c r="B158" i="48"/>
  <c r="B157" i="48" s="1"/>
  <c r="L155" i="48"/>
  <c r="J155" i="48"/>
  <c r="D154" i="48"/>
  <c r="M153" i="48"/>
  <c r="M152" i="48" s="1"/>
  <c r="K153" i="48"/>
  <c r="K152" i="48" s="1"/>
  <c r="I153" i="48"/>
  <c r="I152" i="48" s="1"/>
  <c r="G153" i="48"/>
  <c r="G152" i="48" s="1"/>
  <c r="E153" i="48"/>
  <c r="E152" i="48" s="1"/>
  <c r="C153" i="48"/>
  <c r="C152" i="48" s="1"/>
  <c r="B153" i="48"/>
  <c r="B152" i="48" s="1"/>
  <c r="Q151" i="48"/>
  <c r="P151" i="48"/>
  <c r="O151" i="48"/>
  <c r="Q150" i="48"/>
  <c r="Q149" i="48" s="1"/>
  <c r="P150" i="48"/>
  <c r="P149" i="48" s="1"/>
  <c r="O150" i="48"/>
  <c r="O149" i="48" s="1"/>
  <c r="N150" i="48"/>
  <c r="L150" i="48"/>
  <c r="J150" i="48"/>
  <c r="H150" i="48"/>
  <c r="F150" i="48"/>
  <c r="D150" i="48"/>
  <c r="M149" i="48"/>
  <c r="K149" i="48"/>
  <c r="I149" i="48"/>
  <c r="G149" i="48"/>
  <c r="E149" i="48"/>
  <c r="C149" i="48"/>
  <c r="B149" i="48"/>
  <c r="D148" i="48"/>
  <c r="Q147" i="48"/>
  <c r="P147" i="48"/>
  <c r="O147" i="48"/>
  <c r="N147" i="48"/>
  <c r="L147" i="48"/>
  <c r="J147" i="48"/>
  <c r="H147" i="48"/>
  <c r="F147" i="48"/>
  <c r="D147" i="48"/>
  <c r="Q146" i="48"/>
  <c r="P146" i="48"/>
  <c r="O146" i="48"/>
  <c r="M146" i="48"/>
  <c r="K146" i="48"/>
  <c r="I146" i="48"/>
  <c r="G146" i="48"/>
  <c r="E146" i="48"/>
  <c r="C146" i="48"/>
  <c r="B146" i="48"/>
  <c r="Q145" i="48"/>
  <c r="P145" i="48"/>
  <c r="O145" i="48"/>
  <c r="Q144" i="48"/>
  <c r="P144" i="48"/>
  <c r="O144" i="48"/>
  <c r="N144" i="48"/>
  <c r="L144" i="48"/>
  <c r="J144" i="48"/>
  <c r="H144" i="48"/>
  <c r="F144" i="48"/>
  <c r="D144" i="48"/>
  <c r="H143" i="48"/>
  <c r="F143" i="48"/>
  <c r="D143" i="48"/>
  <c r="H142" i="48"/>
  <c r="F142" i="48"/>
  <c r="D142" i="48"/>
  <c r="Q141" i="48"/>
  <c r="P141" i="48"/>
  <c r="O141" i="48"/>
  <c r="N141" i="48"/>
  <c r="L141" i="48"/>
  <c r="J141" i="48"/>
  <c r="H141" i="48"/>
  <c r="F141" i="48"/>
  <c r="D141" i="48"/>
  <c r="Q140" i="48"/>
  <c r="P140" i="48"/>
  <c r="O140" i="48"/>
  <c r="N140" i="48"/>
  <c r="J140" i="48"/>
  <c r="Q139" i="48"/>
  <c r="P139" i="48"/>
  <c r="O139" i="48"/>
  <c r="N139" i="48"/>
  <c r="L139" i="48"/>
  <c r="J139" i="48"/>
  <c r="H139" i="48"/>
  <c r="F139" i="48"/>
  <c r="D139" i="48"/>
  <c r="H138" i="48"/>
  <c r="F138" i="48"/>
  <c r="Q137" i="48"/>
  <c r="P137" i="48"/>
  <c r="O137" i="48"/>
  <c r="N137" i="48"/>
  <c r="L137" i="48"/>
  <c r="J137" i="48"/>
  <c r="H137" i="48"/>
  <c r="F137" i="48"/>
  <c r="D137" i="48"/>
  <c r="Q136" i="48"/>
  <c r="P136" i="48"/>
  <c r="O136" i="48"/>
  <c r="N136" i="48"/>
  <c r="L136" i="48"/>
  <c r="J136" i="48"/>
  <c r="H136" i="48"/>
  <c r="F136" i="48"/>
  <c r="D136" i="48"/>
  <c r="N135" i="48"/>
  <c r="F135" i="48"/>
  <c r="L134" i="48"/>
  <c r="J134" i="48"/>
  <c r="H134" i="48"/>
  <c r="F134" i="48"/>
  <c r="D134" i="48"/>
  <c r="N131" i="48"/>
  <c r="Q130" i="48"/>
  <c r="P130" i="48"/>
  <c r="O130" i="48"/>
  <c r="N130" i="48"/>
  <c r="L130" i="48"/>
  <c r="J130" i="48"/>
  <c r="H130" i="48"/>
  <c r="F130" i="48"/>
  <c r="D130" i="48"/>
  <c r="Q129" i="48"/>
  <c r="P129" i="48"/>
  <c r="O129" i="48"/>
  <c r="N129" i="48"/>
  <c r="L129" i="48"/>
  <c r="J129" i="48"/>
  <c r="H129" i="48"/>
  <c r="F129" i="48"/>
  <c r="D129" i="48"/>
  <c r="N128" i="48"/>
  <c r="F128" i="48"/>
  <c r="N127" i="48"/>
  <c r="L127" i="48"/>
  <c r="J127" i="48"/>
  <c r="H127" i="48"/>
  <c r="F127" i="48"/>
  <c r="N126" i="48"/>
  <c r="L126" i="48"/>
  <c r="J126" i="48"/>
  <c r="H126" i="48"/>
  <c r="F126" i="48"/>
  <c r="Q125" i="48"/>
  <c r="P125" i="48"/>
  <c r="O125" i="48"/>
  <c r="N125" i="48"/>
  <c r="L125" i="48"/>
  <c r="J125" i="48"/>
  <c r="H125" i="48"/>
  <c r="F125" i="48"/>
  <c r="D125" i="48"/>
  <c r="Q124" i="48"/>
  <c r="P124" i="48"/>
  <c r="O124" i="48"/>
  <c r="N124" i="48"/>
  <c r="L124" i="48"/>
  <c r="J124" i="48"/>
  <c r="H124" i="48"/>
  <c r="F124" i="48"/>
  <c r="D124" i="48"/>
  <c r="Q123" i="48"/>
  <c r="P123" i="48"/>
  <c r="O123" i="48"/>
  <c r="N123" i="48"/>
  <c r="L123" i="48"/>
  <c r="J123" i="48"/>
  <c r="H123" i="48"/>
  <c r="F123" i="48"/>
  <c r="D123" i="48"/>
  <c r="M122" i="48"/>
  <c r="I122" i="48"/>
  <c r="G122" i="48"/>
  <c r="E122" i="48"/>
  <c r="C122" i="48"/>
  <c r="B122" i="48"/>
  <c r="N121" i="48"/>
  <c r="J121" i="48"/>
  <c r="H121" i="48"/>
  <c r="F121" i="48"/>
  <c r="D121" i="48"/>
  <c r="N119" i="48"/>
  <c r="N118" i="48"/>
  <c r="L118" i="48"/>
  <c r="J118" i="48"/>
  <c r="H118" i="48"/>
  <c r="F118" i="48"/>
  <c r="D118" i="48"/>
  <c r="I117" i="48"/>
  <c r="I113" i="48" s="1"/>
  <c r="G117" i="48"/>
  <c r="E117" i="48"/>
  <c r="E113" i="48" s="1"/>
  <c r="E112" i="48" s="1"/>
  <c r="C117" i="48"/>
  <c r="C113" i="48" s="1"/>
  <c r="B117" i="48"/>
  <c r="B113" i="48" s="1"/>
  <c r="B112" i="48" s="1"/>
  <c r="Q116" i="48"/>
  <c r="P116" i="48"/>
  <c r="O116" i="48"/>
  <c r="N116" i="48"/>
  <c r="L116" i="48"/>
  <c r="J116" i="48"/>
  <c r="H116" i="48"/>
  <c r="F116" i="48"/>
  <c r="D116" i="48"/>
  <c r="Q115" i="48"/>
  <c r="P115" i="48"/>
  <c r="P113" i="48" s="1"/>
  <c r="O115" i="48"/>
  <c r="O113" i="48" s="1"/>
  <c r="N115" i="48"/>
  <c r="L115" i="48"/>
  <c r="J115" i="48"/>
  <c r="H115" i="48"/>
  <c r="F115" i="48"/>
  <c r="D115" i="48"/>
  <c r="N114" i="48"/>
  <c r="L114" i="48"/>
  <c r="J114" i="48"/>
  <c r="H114" i="48"/>
  <c r="F114" i="48"/>
  <c r="D114" i="48"/>
  <c r="M113" i="48"/>
  <c r="K113" i="48"/>
  <c r="G113" i="48"/>
  <c r="Q112" i="48"/>
  <c r="P112" i="48"/>
  <c r="O112" i="48"/>
  <c r="N110" i="48"/>
  <c r="L110" i="48"/>
  <c r="J110" i="48"/>
  <c r="H110" i="48"/>
  <c r="F110" i="48"/>
  <c r="D110" i="48"/>
  <c r="N108" i="48"/>
  <c r="L108" i="48"/>
  <c r="J108" i="48"/>
  <c r="H108" i="48"/>
  <c r="F108" i="48"/>
  <c r="D108" i="48"/>
  <c r="Q106" i="48"/>
  <c r="P106" i="48"/>
  <c r="O106" i="48"/>
  <c r="N106" i="48"/>
  <c r="L106" i="48"/>
  <c r="J106" i="48"/>
  <c r="D106" i="48"/>
  <c r="Q105" i="48"/>
  <c r="P105" i="48"/>
  <c r="O105" i="48"/>
  <c r="N105" i="48"/>
  <c r="L105" i="48"/>
  <c r="J105" i="48"/>
  <c r="H105" i="48"/>
  <c r="F105" i="48"/>
  <c r="D105" i="48"/>
  <c r="Q104" i="48"/>
  <c r="P104" i="48"/>
  <c r="O104" i="48"/>
  <c r="N103" i="48"/>
  <c r="L103" i="48"/>
  <c r="J103" i="48"/>
  <c r="E103" i="48"/>
  <c r="H103" i="48" s="1"/>
  <c r="H102" i="48"/>
  <c r="F102" i="48"/>
  <c r="D102" i="48"/>
  <c r="N101" i="48"/>
  <c r="L101" i="48"/>
  <c r="J101" i="48"/>
  <c r="H101" i="48"/>
  <c r="F101" i="48"/>
  <c r="D101" i="48"/>
  <c r="N100" i="48"/>
  <c r="L100" i="48"/>
  <c r="J100" i="48"/>
  <c r="L99" i="48"/>
  <c r="J99" i="48"/>
  <c r="H99" i="48"/>
  <c r="F99" i="48"/>
  <c r="Q98" i="48"/>
  <c r="P98" i="48"/>
  <c r="O98" i="48"/>
  <c r="H98" i="48"/>
  <c r="F98" i="48"/>
  <c r="D98" i="48"/>
  <c r="Q97" i="48"/>
  <c r="P97" i="48"/>
  <c r="O97" i="48"/>
  <c r="L97" i="48"/>
  <c r="J97" i="48"/>
  <c r="H97" i="48"/>
  <c r="F97" i="48"/>
  <c r="D97" i="48"/>
  <c r="N96" i="48"/>
  <c r="L96" i="48"/>
  <c r="J96" i="48"/>
  <c r="H96" i="48"/>
  <c r="F96" i="48"/>
  <c r="D96" i="48"/>
  <c r="N95" i="48"/>
  <c r="L95" i="48"/>
  <c r="J95" i="48"/>
  <c r="H95" i="48"/>
  <c r="F95" i="48"/>
  <c r="D95" i="48"/>
  <c r="M94" i="48"/>
  <c r="K94" i="48"/>
  <c r="I94" i="48"/>
  <c r="G94" i="48"/>
  <c r="C94" i="48"/>
  <c r="B94" i="48"/>
  <c r="N91" i="48"/>
  <c r="L91" i="48"/>
  <c r="J91" i="48"/>
  <c r="L89" i="48"/>
  <c r="J89" i="48"/>
  <c r="H89" i="48"/>
  <c r="F89" i="48"/>
  <c r="D89" i="48"/>
  <c r="M88" i="48"/>
  <c r="K88" i="48"/>
  <c r="I88" i="48"/>
  <c r="G88" i="48"/>
  <c r="E88" i="48"/>
  <c r="C88" i="48"/>
  <c r="B88" i="48"/>
  <c r="D88" i="48" s="1"/>
  <c r="H87" i="48"/>
  <c r="F87" i="48"/>
  <c r="D87" i="48"/>
  <c r="Q86" i="48"/>
  <c r="Q85" i="48" s="1"/>
  <c r="P86" i="48"/>
  <c r="P85" i="48" s="1"/>
  <c r="O86" i="48"/>
  <c r="O85" i="48" s="1"/>
  <c r="N86" i="48"/>
  <c r="L86" i="48"/>
  <c r="J86" i="48"/>
  <c r="H86" i="48"/>
  <c r="F86" i="48"/>
  <c r="D86" i="48"/>
  <c r="M85" i="48"/>
  <c r="K85" i="48"/>
  <c r="I85" i="48"/>
  <c r="G85" i="48"/>
  <c r="E85" i="48"/>
  <c r="C85" i="48"/>
  <c r="F85" i="48" s="1"/>
  <c r="B85" i="48"/>
  <c r="L84" i="48"/>
  <c r="J84" i="48"/>
  <c r="F84" i="48"/>
  <c r="Q83" i="48"/>
  <c r="Q82" i="48" s="1"/>
  <c r="P83" i="48"/>
  <c r="P82" i="48" s="1"/>
  <c r="O83" i="48"/>
  <c r="O82" i="48" s="1"/>
  <c r="N83" i="48"/>
  <c r="L83" i="48"/>
  <c r="J83" i="48"/>
  <c r="H83" i="48"/>
  <c r="F83" i="48"/>
  <c r="D83" i="48"/>
  <c r="M82" i="48"/>
  <c r="K82" i="48"/>
  <c r="I82" i="48"/>
  <c r="G82" i="48"/>
  <c r="E82" i="48"/>
  <c r="C82" i="48"/>
  <c r="B82" i="48"/>
  <c r="D82" i="48" s="1"/>
  <c r="N81" i="48"/>
  <c r="L81" i="48"/>
  <c r="J81" i="48"/>
  <c r="H81" i="48"/>
  <c r="F81" i="48"/>
  <c r="Q80" i="48"/>
  <c r="P80" i="48"/>
  <c r="O80" i="48"/>
  <c r="N80" i="48"/>
  <c r="L80" i="48"/>
  <c r="J80" i="48"/>
  <c r="H80" i="48"/>
  <c r="F80" i="48"/>
  <c r="Q76" i="48"/>
  <c r="Q75" i="48" s="1"/>
  <c r="P76" i="48"/>
  <c r="P75" i="48" s="1"/>
  <c r="O76" i="48"/>
  <c r="O75" i="48" s="1"/>
  <c r="N76" i="48"/>
  <c r="L76" i="48"/>
  <c r="J76" i="48"/>
  <c r="H76" i="48"/>
  <c r="F76" i="48"/>
  <c r="D76" i="48"/>
  <c r="M75" i="48"/>
  <c r="K75" i="48"/>
  <c r="I75" i="48"/>
  <c r="G75" i="48"/>
  <c r="E75" i="48"/>
  <c r="C75" i="48"/>
  <c r="B75" i="48"/>
  <c r="N74" i="48"/>
  <c r="J74" i="48"/>
  <c r="J73" i="48"/>
  <c r="Q72" i="48"/>
  <c r="P72" i="48"/>
  <c r="O72" i="48"/>
  <c r="L72" i="48"/>
  <c r="J72" i="48"/>
  <c r="H72" i="48"/>
  <c r="F72" i="48"/>
  <c r="D72" i="48"/>
  <c r="Q71" i="48"/>
  <c r="Q70" i="48" s="1"/>
  <c r="P71" i="48"/>
  <c r="O71" i="48"/>
  <c r="O70" i="48" s="1"/>
  <c r="N71" i="48"/>
  <c r="L71" i="48"/>
  <c r="J71" i="48"/>
  <c r="H71" i="48"/>
  <c r="F71" i="48"/>
  <c r="D71" i="48"/>
  <c r="M70" i="48"/>
  <c r="K70" i="48"/>
  <c r="N70" i="48" s="1"/>
  <c r="I70" i="48"/>
  <c r="G70" i="48"/>
  <c r="E70" i="48"/>
  <c r="C70" i="48"/>
  <c r="B70" i="48"/>
  <c r="Q69" i="48"/>
  <c r="P69" i="48"/>
  <c r="O69" i="48"/>
  <c r="D69" i="48"/>
  <c r="N68" i="48"/>
  <c r="D68" i="48"/>
  <c r="Q67" i="48"/>
  <c r="P67" i="48"/>
  <c r="O67" i="48"/>
  <c r="N67" i="48"/>
  <c r="Q66" i="48"/>
  <c r="P66" i="48"/>
  <c r="O66" i="48"/>
  <c r="N66" i="48"/>
  <c r="Q65" i="48"/>
  <c r="P65" i="48"/>
  <c r="O65" i="48"/>
  <c r="N65" i="48"/>
  <c r="Q64" i="48"/>
  <c r="P64" i="48"/>
  <c r="O64" i="48"/>
  <c r="N64" i="48"/>
  <c r="L64" i="48"/>
  <c r="J64" i="48"/>
  <c r="H64" i="48"/>
  <c r="F64" i="48"/>
  <c r="D64" i="48"/>
  <c r="Q63" i="48"/>
  <c r="P63" i="48"/>
  <c r="O63" i="48"/>
  <c r="N63" i="48"/>
  <c r="L63" i="48"/>
  <c r="J63" i="48"/>
  <c r="H63" i="48"/>
  <c r="F63" i="48"/>
  <c r="D63" i="48"/>
  <c r="M62" i="48"/>
  <c r="K62" i="48"/>
  <c r="I62" i="48"/>
  <c r="G62" i="48"/>
  <c r="J62" i="48" s="1"/>
  <c r="E62" i="48"/>
  <c r="C62" i="48"/>
  <c r="B62" i="48"/>
  <c r="N61" i="48"/>
  <c r="N60" i="48"/>
  <c r="L60" i="48"/>
  <c r="J60" i="48"/>
  <c r="H60" i="48"/>
  <c r="F60" i="48"/>
  <c r="D60" i="48"/>
  <c r="J59" i="48"/>
  <c r="H59" i="48"/>
  <c r="F59" i="48"/>
  <c r="L58" i="48"/>
  <c r="J58" i="48"/>
  <c r="H58" i="48"/>
  <c r="F58" i="48"/>
  <c r="L57" i="48"/>
  <c r="J57" i="48"/>
  <c r="H57" i="48"/>
  <c r="F57" i="48"/>
  <c r="D57" i="48"/>
  <c r="Q56" i="48"/>
  <c r="Q55" i="48" s="1"/>
  <c r="P56" i="48"/>
  <c r="P55" i="48" s="1"/>
  <c r="O56" i="48"/>
  <c r="O55" i="48" s="1"/>
  <c r="N56" i="48"/>
  <c r="L56" i="48"/>
  <c r="J56" i="48"/>
  <c r="H56" i="48"/>
  <c r="F56" i="48"/>
  <c r="D56" i="48"/>
  <c r="M55" i="48"/>
  <c r="K55" i="48"/>
  <c r="I55" i="48"/>
  <c r="G55" i="48"/>
  <c r="E55" i="48"/>
  <c r="C55" i="48"/>
  <c r="B55" i="48"/>
  <c r="L50" i="48"/>
  <c r="J50" i="48"/>
  <c r="H50" i="48"/>
  <c r="F50" i="48"/>
  <c r="D50" i="48"/>
  <c r="N49" i="48"/>
  <c r="L49" i="48"/>
  <c r="J49" i="48"/>
  <c r="H49" i="48"/>
  <c r="F49" i="48"/>
  <c r="D49" i="48"/>
  <c r="Q48" i="48"/>
  <c r="P48" i="48"/>
  <c r="O48" i="48"/>
  <c r="N48" i="48"/>
  <c r="L48" i="48"/>
  <c r="J48" i="48"/>
  <c r="H48" i="48"/>
  <c r="F48" i="48"/>
  <c r="Q47" i="48"/>
  <c r="Q46" i="48" s="1"/>
  <c r="P47" i="48"/>
  <c r="P46" i="48" s="1"/>
  <c r="O47" i="48"/>
  <c r="O46" i="48" s="1"/>
  <c r="N47" i="48"/>
  <c r="L47" i="48"/>
  <c r="J47" i="48"/>
  <c r="H47" i="48"/>
  <c r="F47" i="48"/>
  <c r="M46" i="48"/>
  <c r="K46" i="48"/>
  <c r="I46" i="48"/>
  <c r="G46" i="48"/>
  <c r="E46" i="48"/>
  <c r="C46" i="48"/>
  <c r="D46" i="48" s="1"/>
  <c r="Q45" i="48"/>
  <c r="P45" i="48"/>
  <c r="O45" i="48"/>
  <c r="N45" i="48"/>
  <c r="L45" i="48"/>
  <c r="J45" i="48"/>
  <c r="H45" i="48"/>
  <c r="F45" i="48"/>
  <c r="Q44" i="48"/>
  <c r="P44" i="48"/>
  <c r="O44" i="48"/>
  <c r="N44" i="48"/>
  <c r="L44" i="48"/>
  <c r="J44" i="48"/>
  <c r="H44" i="48"/>
  <c r="F44" i="48"/>
  <c r="Q43" i="48"/>
  <c r="P43" i="48"/>
  <c r="O43" i="48"/>
  <c r="N43" i="48"/>
  <c r="L43" i="48"/>
  <c r="J43" i="48"/>
  <c r="H43" i="48"/>
  <c r="F43" i="48"/>
  <c r="Q42" i="48"/>
  <c r="P42" i="48"/>
  <c r="O42" i="48"/>
  <c r="N42" i="48"/>
  <c r="L42" i="48"/>
  <c r="J42" i="48"/>
  <c r="H42" i="48"/>
  <c r="F42" i="48"/>
  <c r="Q41" i="48"/>
  <c r="Q40" i="48" s="1"/>
  <c r="P41" i="48"/>
  <c r="P40" i="48" s="1"/>
  <c r="O41" i="48"/>
  <c r="N41" i="48"/>
  <c r="L41" i="48"/>
  <c r="J41" i="48"/>
  <c r="H41" i="48"/>
  <c r="F41" i="48"/>
  <c r="M40" i="48"/>
  <c r="K40" i="48"/>
  <c r="I40" i="48"/>
  <c r="G40" i="48"/>
  <c r="E40" i="48"/>
  <c r="C40" i="48"/>
  <c r="D40" i="48" s="1"/>
  <c r="Q39" i="48"/>
  <c r="P39" i="48"/>
  <c r="O39" i="48"/>
  <c r="N39" i="48"/>
  <c r="L39" i="48"/>
  <c r="J39" i="48"/>
  <c r="H39" i="48"/>
  <c r="F39" i="48"/>
  <c r="Q38" i="48"/>
  <c r="P38" i="48"/>
  <c r="O38" i="48"/>
  <c r="N38" i="48"/>
  <c r="L38" i="48"/>
  <c r="J38" i="48"/>
  <c r="H38" i="48"/>
  <c r="F38" i="48"/>
  <c r="Q37" i="48"/>
  <c r="Q36" i="48" s="1"/>
  <c r="P37" i="48"/>
  <c r="P36" i="48" s="1"/>
  <c r="O37" i="48"/>
  <c r="O36" i="48" s="1"/>
  <c r="N37" i="48"/>
  <c r="L37" i="48"/>
  <c r="J37" i="48"/>
  <c r="H37" i="48"/>
  <c r="F37" i="48"/>
  <c r="M36" i="48"/>
  <c r="K36" i="48"/>
  <c r="I36" i="48"/>
  <c r="G36" i="48"/>
  <c r="E36" i="48"/>
  <c r="C36" i="48"/>
  <c r="D36" i="48" s="1"/>
  <c r="B35" i="48"/>
  <c r="Q33" i="48"/>
  <c r="Q32" i="48" s="1"/>
  <c r="P33" i="48"/>
  <c r="P32" i="48" s="1"/>
  <c r="O33" i="48"/>
  <c r="N33" i="48"/>
  <c r="L33" i="48"/>
  <c r="J33" i="48"/>
  <c r="H33" i="48"/>
  <c r="F33" i="48"/>
  <c r="D33" i="48"/>
  <c r="O32" i="48"/>
  <c r="M32" i="48"/>
  <c r="K32" i="48"/>
  <c r="I32" i="48"/>
  <c r="G32" i="48"/>
  <c r="E32" i="48"/>
  <c r="C32" i="48"/>
  <c r="B32" i="48"/>
  <c r="Q31" i="48"/>
  <c r="Q30" i="48" s="1"/>
  <c r="P31" i="48"/>
  <c r="P30" i="48" s="1"/>
  <c r="O31" i="48"/>
  <c r="O30" i="48" s="1"/>
  <c r="N31" i="48"/>
  <c r="L31" i="48"/>
  <c r="J31" i="48"/>
  <c r="H31" i="48"/>
  <c r="F31" i="48"/>
  <c r="D31" i="48"/>
  <c r="M30" i="48"/>
  <c r="K30" i="48"/>
  <c r="I30" i="48"/>
  <c r="G30" i="48"/>
  <c r="J30" i="48" s="1"/>
  <c r="E30" i="48"/>
  <c r="C30" i="48"/>
  <c r="B30" i="48"/>
  <c r="Q28" i="48"/>
  <c r="Q26" i="48" s="1"/>
  <c r="P28" i="48"/>
  <c r="P26" i="48" s="1"/>
  <c r="O28" i="48"/>
  <c r="O26" i="48" s="1"/>
  <c r="N28" i="48"/>
  <c r="L28" i="48"/>
  <c r="J28" i="48"/>
  <c r="H28" i="48"/>
  <c r="F28" i="48"/>
  <c r="D28" i="48"/>
  <c r="L27" i="48"/>
  <c r="J27" i="48"/>
  <c r="H27" i="48"/>
  <c r="F27" i="48"/>
  <c r="D27" i="48"/>
  <c r="M26" i="48"/>
  <c r="K26" i="48"/>
  <c r="I26" i="48"/>
  <c r="G26" i="48"/>
  <c r="E26" i="48"/>
  <c r="C26" i="48"/>
  <c r="B26" i="48"/>
  <c r="Q25" i="48"/>
  <c r="P25" i="48"/>
  <c r="O25" i="48"/>
  <c r="N25" i="48"/>
  <c r="L25" i="48"/>
  <c r="J25" i="48"/>
  <c r="H25" i="48"/>
  <c r="F25" i="48"/>
  <c r="D25" i="48"/>
  <c r="Q24" i="48"/>
  <c r="P24" i="48"/>
  <c r="P23" i="48" s="1"/>
  <c r="O24" i="48"/>
  <c r="N24" i="48"/>
  <c r="L24" i="48"/>
  <c r="J24" i="48"/>
  <c r="H24" i="48"/>
  <c r="F24" i="48"/>
  <c r="D24" i="48"/>
  <c r="M23" i="48"/>
  <c r="K23" i="48"/>
  <c r="I23" i="48"/>
  <c r="G23" i="48"/>
  <c r="J23" i="48" s="1"/>
  <c r="E23" i="48"/>
  <c r="C23" i="48"/>
  <c r="B23" i="48"/>
  <c r="Q21" i="48"/>
  <c r="P21" i="48"/>
  <c r="O21" i="48"/>
  <c r="Q19" i="48"/>
  <c r="P19" i="48"/>
  <c r="O19" i="48"/>
  <c r="N19" i="48"/>
  <c r="L19" i="48"/>
  <c r="J19" i="48"/>
  <c r="H19" i="48"/>
  <c r="F19" i="48"/>
  <c r="D19" i="48"/>
  <c r="Q18" i="48"/>
  <c r="P18" i="48"/>
  <c r="O18" i="48"/>
  <c r="N18" i="48"/>
  <c r="L18" i="48"/>
  <c r="J18" i="48"/>
  <c r="H18" i="48"/>
  <c r="F18" i="48"/>
  <c r="D18" i="48"/>
  <c r="M17" i="48"/>
  <c r="K17" i="48"/>
  <c r="I17" i="48"/>
  <c r="G17" i="48"/>
  <c r="E17" i="48"/>
  <c r="C17" i="48"/>
  <c r="B17" i="48"/>
  <c r="D17" i="48" s="1"/>
  <c r="Q15" i="48"/>
  <c r="P15" i="48"/>
  <c r="O15" i="48"/>
  <c r="N15" i="48"/>
  <c r="L15" i="48"/>
  <c r="J15" i="48"/>
  <c r="H15" i="48"/>
  <c r="F15" i="48"/>
  <c r="D15" i="48"/>
  <c r="Q14" i="48"/>
  <c r="P14" i="48"/>
  <c r="O14" i="48"/>
  <c r="N14" i="48"/>
  <c r="L14" i="48"/>
  <c r="J14" i="48"/>
  <c r="H14" i="48"/>
  <c r="F14" i="48"/>
  <c r="D14" i="48"/>
  <c r="Q13" i="48"/>
  <c r="P13" i="48"/>
  <c r="O13" i="48"/>
  <c r="N13" i="48"/>
  <c r="L13" i="48"/>
  <c r="J13" i="48"/>
  <c r="H13" i="48"/>
  <c r="F13" i="48"/>
  <c r="D13" i="48"/>
  <c r="Q12" i="48"/>
  <c r="P12" i="48"/>
  <c r="O12" i="48"/>
  <c r="N12" i="48"/>
  <c r="L12" i="48"/>
  <c r="J12" i="48"/>
  <c r="H12" i="48"/>
  <c r="F12" i="48"/>
  <c r="D12" i="48"/>
  <c r="M11" i="48"/>
  <c r="M9" i="48" s="1"/>
  <c r="K11" i="48"/>
  <c r="I11" i="48"/>
  <c r="I9" i="48" s="1"/>
  <c r="G11" i="48"/>
  <c r="G9" i="48" s="1"/>
  <c r="E11" i="48"/>
  <c r="E9" i="48" s="1"/>
  <c r="C11" i="48"/>
  <c r="B11" i="48"/>
  <c r="B9" i="48" s="1"/>
  <c r="Q10" i="48"/>
  <c r="P10" i="48"/>
  <c r="O10" i="48"/>
  <c r="N10" i="48"/>
  <c r="L10" i="48"/>
  <c r="J10" i="48"/>
  <c r="H10" i="48"/>
  <c r="F10" i="48"/>
  <c r="D10" i="48"/>
  <c r="Q8" i="48"/>
  <c r="Q7" i="48" s="1"/>
  <c r="P8" i="48"/>
  <c r="P7" i="48" s="1"/>
  <c r="O8" i="48"/>
  <c r="O7" i="48" s="1"/>
  <c r="N8" i="48"/>
  <c r="L8" i="48"/>
  <c r="J8" i="48"/>
  <c r="H8" i="48"/>
  <c r="F8" i="48"/>
  <c r="D8" i="48"/>
  <c r="M7" i="48"/>
  <c r="K7" i="48"/>
  <c r="I7" i="48"/>
  <c r="G7" i="48"/>
  <c r="E7" i="48"/>
  <c r="C7" i="48"/>
  <c r="B7" i="48"/>
  <c r="L196" i="47"/>
  <c r="J196" i="47"/>
  <c r="H196" i="47"/>
  <c r="F196" i="47"/>
  <c r="D196" i="47"/>
  <c r="K195" i="47"/>
  <c r="I195" i="47"/>
  <c r="G195" i="47"/>
  <c r="E195" i="47"/>
  <c r="C195" i="47"/>
  <c r="B195" i="47"/>
  <c r="Q194" i="47"/>
  <c r="P194" i="47"/>
  <c r="O194" i="47"/>
  <c r="N194" i="47"/>
  <c r="P193" i="47"/>
  <c r="O193" i="47"/>
  <c r="N193" i="47"/>
  <c r="L192" i="47"/>
  <c r="H192" i="47"/>
  <c r="N190" i="47"/>
  <c r="N189" i="47"/>
  <c r="Q188" i="47"/>
  <c r="Q187" i="47"/>
  <c r="Q186" i="47"/>
  <c r="P186" i="47"/>
  <c r="O186" i="47"/>
  <c r="N186" i="47"/>
  <c r="Q185" i="47"/>
  <c r="P185" i="47"/>
  <c r="O185" i="47"/>
  <c r="Q184" i="47"/>
  <c r="P184" i="47"/>
  <c r="O184" i="47"/>
  <c r="N184" i="47"/>
  <c r="L184" i="47"/>
  <c r="J184" i="47"/>
  <c r="H184" i="47"/>
  <c r="F184" i="47"/>
  <c r="Q183" i="47"/>
  <c r="P183" i="47"/>
  <c r="O183" i="47"/>
  <c r="N183" i="47"/>
  <c r="L183" i="47"/>
  <c r="J183" i="47"/>
  <c r="H183" i="47"/>
  <c r="F183" i="47"/>
  <c r="Q182" i="47"/>
  <c r="P182" i="47"/>
  <c r="O182" i="47"/>
  <c r="N182" i="47"/>
  <c r="L182" i="47"/>
  <c r="J182" i="47"/>
  <c r="H182" i="47"/>
  <c r="F182" i="47"/>
  <c r="L181" i="47"/>
  <c r="H181" i="47"/>
  <c r="F181" i="47"/>
  <c r="Q180" i="47"/>
  <c r="P180" i="47"/>
  <c r="O180" i="47"/>
  <c r="L180" i="47"/>
  <c r="J180" i="47"/>
  <c r="H180" i="47"/>
  <c r="F180" i="47"/>
  <c r="Q179" i="47"/>
  <c r="P179" i="47"/>
  <c r="O179" i="47"/>
  <c r="N179" i="47"/>
  <c r="L179" i="47"/>
  <c r="J179" i="47"/>
  <c r="H179" i="47"/>
  <c r="F179" i="47"/>
  <c r="Q178" i="47"/>
  <c r="P178" i="47"/>
  <c r="O178" i="47"/>
  <c r="N178" i="47"/>
  <c r="Q177" i="47"/>
  <c r="P177" i="47"/>
  <c r="O177" i="47"/>
  <c r="N177" i="47"/>
  <c r="L177" i="47"/>
  <c r="J177" i="47"/>
  <c r="H177" i="47"/>
  <c r="Q176" i="47"/>
  <c r="P176" i="47"/>
  <c r="O176" i="47"/>
  <c r="N176" i="47"/>
  <c r="L176" i="47"/>
  <c r="J176" i="47"/>
  <c r="H176" i="47"/>
  <c r="F176" i="47"/>
  <c r="Q175" i="47"/>
  <c r="P175" i="47"/>
  <c r="O175" i="47"/>
  <c r="N175" i="47"/>
  <c r="L175" i="47"/>
  <c r="J175" i="47"/>
  <c r="H175" i="47"/>
  <c r="F175" i="47"/>
  <c r="Q174" i="47"/>
  <c r="P174" i="47"/>
  <c r="O174" i="47"/>
  <c r="N174" i="47"/>
  <c r="L174" i="47"/>
  <c r="J174" i="47"/>
  <c r="H174" i="47"/>
  <c r="F174" i="47"/>
  <c r="Q173" i="47"/>
  <c r="P173" i="47"/>
  <c r="O173" i="47"/>
  <c r="N173" i="47"/>
  <c r="L173" i="47"/>
  <c r="J173" i="47"/>
  <c r="H173" i="47"/>
  <c r="F173" i="47"/>
  <c r="Q172" i="47"/>
  <c r="P172" i="47"/>
  <c r="O172" i="47"/>
  <c r="N172" i="47"/>
  <c r="L172" i="47"/>
  <c r="J172" i="47"/>
  <c r="H172" i="47"/>
  <c r="F172" i="47"/>
  <c r="Q171" i="47"/>
  <c r="P171" i="47"/>
  <c r="O171" i="47"/>
  <c r="N171" i="47"/>
  <c r="L171" i="47"/>
  <c r="J171" i="47"/>
  <c r="H171" i="47"/>
  <c r="F171" i="47"/>
  <c r="Q170" i="47"/>
  <c r="P170" i="47"/>
  <c r="O170" i="47"/>
  <c r="N170" i="47"/>
  <c r="L170" i="47"/>
  <c r="J170" i="47"/>
  <c r="H170" i="47"/>
  <c r="Q169" i="47"/>
  <c r="P169" i="47"/>
  <c r="O169" i="47"/>
  <c r="N169" i="47"/>
  <c r="L169" i="47"/>
  <c r="J169" i="47"/>
  <c r="H169" i="47"/>
  <c r="Q168" i="47"/>
  <c r="P168" i="47"/>
  <c r="O168" i="47"/>
  <c r="N168" i="47"/>
  <c r="L168" i="47"/>
  <c r="J168" i="47"/>
  <c r="H168" i="47"/>
  <c r="F168" i="47"/>
  <c r="M167" i="47"/>
  <c r="M165" i="47" s="1"/>
  <c r="M164" i="47" s="1"/>
  <c r="K167" i="47"/>
  <c r="K165" i="47" s="1"/>
  <c r="I167" i="47"/>
  <c r="I165" i="47" s="1"/>
  <c r="G167" i="47"/>
  <c r="G165" i="47" s="1"/>
  <c r="E167" i="47"/>
  <c r="E165" i="47" s="1"/>
  <c r="C167" i="47"/>
  <c r="D167" i="47" s="1"/>
  <c r="N166" i="47"/>
  <c r="L166" i="47"/>
  <c r="J166" i="47"/>
  <c r="H166" i="47"/>
  <c r="F166" i="47"/>
  <c r="D166" i="47"/>
  <c r="B165" i="47"/>
  <c r="L163" i="47"/>
  <c r="J163" i="47"/>
  <c r="H163" i="47"/>
  <c r="F163" i="47"/>
  <c r="D163" i="47"/>
  <c r="M162" i="47"/>
  <c r="K162" i="47"/>
  <c r="I162" i="47"/>
  <c r="G162" i="47"/>
  <c r="E162" i="47"/>
  <c r="C162" i="47"/>
  <c r="B162" i="47"/>
  <c r="L161" i="47"/>
  <c r="J161" i="47"/>
  <c r="H161" i="47"/>
  <c r="D161" i="47"/>
  <c r="M160" i="47"/>
  <c r="K160" i="47"/>
  <c r="F160" i="47"/>
  <c r="D160" i="47"/>
  <c r="L159" i="47"/>
  <c r="J159" i="47"/>
  <c r="H159" i="47"/>
  <c r="F159" i="47"/>
  <c r="L158" i="47"/>
  <c r="J158" i="47"/>
  <c r="H158" i="47"/>
  <c r="F158" i="47"/>
  <c r="L157" i="47"/>
  <c r="J157" i="47"/>
  <c r="H157" i="47"/>
  <c r="F157" i="47"/>
  <c r="D157" i="47"/>
  <c r="M156" i="47"/>
  <c r="K156" i="47"/>
  <c r="I156" i="47"/>
  <c r="I155" i="47" s="1"/>
  <c r="G156" i="47"/>
  <c r="E156" i="47"/>
  <c r="C156" i="47"/>
  <c r="C155" i="47" s="1"/>
  <c r="B156" i="47"/>
  <c r="B155" i="47" s="1"/>
  <c r="L153" i="47"/>
  <c r="J153" i="47"/>
  <c r="D152" i="47"/>
  <c r="M151" i="47"/>
  <c r="M150" i="47" s="1"/>
  <c r="K151" i="47"/>
  <c r="K150" i="47" s="1"/>
  <c r="I151" i="47"/>
  <c r="G151" i="47"/>
  <c r="G150" i="47" s="1"/>
  <c r="E151" i="47"/>
  <c r="E150" i="47" s="1"/>
  <c r="C151" i="47"/>
  <c r="C150" i="47" s="1"/>
  <c r="B151" i="47"/>
  <c r="B150" i="47" s="1"/>
  <c r="N148" i="47"/>
  <c r="L148" i="47"/>
  <c r="J148" i="47"/>
  <c r="H148" i="47"/>
  <c r="F148" i="47"/>
  <c r="D148" i="47"/>
  <c r="M147" i="47"/>
  <c r="K147" i="47"/>
  <c r="I147" i="47"/>
  <c r="G147" i="47"/>
  <c r="E147" i="47"/>
  <c r="C147" i="47"/>
  <c r="B147" i="47"/>
  <c r="D146" i="47"/>
  <c r="Q145" i="47"/>
  <c r="P145" i="47"/>
  <c r="O145" i="47"/>
  <c r="N145" i="47"/>
  <c r="L145" i="47"/>
  <c r="J145" i="47"/>
  <c r="H145" i="47"/>
  <c r="F145" i="47"/>
  <c r="D145" i="47"/>
  <c r="M144" i="47"/>
  <c r="K144" i="47"/>
  <c r="I144" i="47"/>
  <c r="G144" i="47"/>
  <c r="E144" i="47"/>
  <c r="C144" i="47"/>
  <c r="B144" i="47"/>
  <c r="Q143" i="47"/>
  <c r="P143" i="47"/>
  <c r="O143" i="47"/>
  <c r="Q142" i="47"/>
  <c r="P142" i="47"/>
  <c r="O142" i="47"/>
  <c r="N142" i="47"/>
  <c r="L142" i="47"/>
  <c r="J142" i="47"/>
  <c r="H142" i="47"/>
  <c r="F142" i="47"/>
  <c r="D142" i="47"/>
  <c r="H141" i="47"/>
  <c r="F141" i="47"/>
  <c r="D141" i="47"/>
  <c r="H140" i="47"/>
  <c r="F140" i="47"/>
  <c r="D140" i="47"/>
  <c r="Q139" i="47"/>
  <c r="P139" i="47"/>
  <c r="O139" i="47"/>
  <c r="N139" i="47"/>
  <c r="L139" i="47"/>
  <c r="J139" i="47"/>
  <c r="H139" i="47"/>
  <c r="F139" i="47"/>
  <c r="D139" i="47"/>
  <c r="Q138" i="47"/>
  <c r="P138" i="47"/>
  <c r="O138" i="47"/>
  <c r="N138" i="47"/>
  <c r="J138" i="47"/>
  <c r="Q137" i="47"/>
  <c r="P137" i="47"/>
  <c r="O137" i="47"/>
  <c r="N137" i="47"/>
  <c r="L137" i="47"/>
  <c r="J137" i="47"/>
  <c r="H137" i="47"/>
  <c r="F137" i="47"/>
  <c r="D137" i="47"/>
  <c r="H136" i="47"/>
  <c r="F136" i="47"/>
  <c r="Q135" i="47"/>
  <c r="P135" i="47"/>
  <c r="O135" i="47"/>
  <c r="N135" i="47"/>
  <c r="L135" i="47"/>
  <c r="J135" i="47"/>
  <c r="H135" i="47"/>
  <c r="F135" i="47"/>
  <c r="D135" i="47"/>
  <c r="Q134" i="47"/>
  <c r="P134" i="47"/>
  <c r="O134" i="47"/>
  <c r="N134" i="47"/>
  <c r="L134" i="47"/>
  <c r="J134" i="47"/>
  <c r="H134" i="47"/>
  <c r="F134" i="47"/>
  <c r="D134" i="47"/>
  <c r="N133" i="47"/>
  <c r="F133" i="47"/>
  <c r="L132" i="47"/>
  <c r="J132" i="47"/>
  <c r="H132" i="47"/>
  <c r="F132" i="47"/>
  <c r="D132" i="47"/>
  <c r="N129" i="47"/>
  <c r="Q128" i="47"/>
  <c r="P128" i="47"/>
  <c r="O128" i="47"/>
  <c r="N128" i="47"/>
  <c r="L128" i="47"/>
  <c r="J128" i="47"/>
  <c r="H128" i="47"/>
  <c r="F128" i="47"/>
  <c r="D128" i="47"/>
  <c r="Q127" i="47"/>
  <c r="P127" i="47"/>
  <c r="O127" i="47"/>
  <c r="N127" i="47"/>
  <c r="L127" i="47"/>
  <c r="J127" i="47"/>
  <c r="H127" i="47"/>
  <c r="F127" i="47"/>
  <c r="D127" i="47"/>
  <c r="N126" i="47"/>
  <c r="F126" i="47"/>
  <c r="N125" i="47"/>
  <c r="L125" i="47"/>
  <c r="J125" i="47"/>
  <c r="H125" i="47"/>
  <c r="F125" i="47"/>
  <c r="N124" i="47"/>
  <c r="L124" i="47"/>
  <c r="J124" i="47"/>
  <c r="H124" i="47"/>
  <c r="F124" i="47"/>
  <c r="Q123" i="47"/>
  <c r="P123" i="47"/>
  <c r="O123" i="47"/>
  <c r="N123" i="47"/>
  <c r="L123" i="47"/>
  <c r="J123" i="47"/>
  <c r="H123" i="47"/>
  <c r="F123" i="47"/>
  <c r="D123" i="47"/>
  <c r="Q122" i="47"/>
  <c r="P122" i="47"/>
  <c r="O122" i="47"/>
  <c r="N122" i="47"/>
  <c r="L122" i="47"/>
  <c r="J122" i="47"/>
  <c r="H122" i="47"/>
  <c r="F122" i="47"/>
  <c r="D122" i="47"/>
  <c r="Q121" i="47"/>
  <c r="P121" i="47"/>
  <c r="O121" i="47"/>
  <c r="N121" i="47"/>
  <c r="L121" i="47"/>
  <c r="J121" i="47"/>
  <c r="H121" i="47"/>
  <c r="F121" i="47"/>
  <c r="D121" i="47"/>
  <c r="M120" i="47"/>
  <c r="I120" i="47"/>
  <c r="G120" i="47"/>
  <c r="E120" i="47"/>
  <c r="C120" i="47"/>
  <c r="B120" i="47"/>
  <c r="N119" i="47"/>
  <c r="J119" i="47"/>
  <c r="H119" i="47"/>
  <c r="F119" i="47"/>
  <c r="D119" i="47"/>
  <c r="N117" i="47"/>
  <c r="N116" i="47"/>
  <c r="L116" i="47"/>
  <c r="J116" i="47"/>
  <c r="H116" i="47"/>
  <c r="F116" i="47"/>
  <c r="D116" i="47"/>
  <c r="I115" i="47"/>
  <c r="I111" i="47" s="1"/>
  <c r="G115" i="47"/>
  <c r="G111" i="47" s="1"/>
  <c r="E115" i="47"/>
  <c r="E111" i="47" s="1"/>
  <c r="E110" i="47" s="1"/>
  <c r="C115" i="47"/>
  <c r="B115" i="47"/>
  <c r="Q114" i="47"/>
  <c r="P114" i="47"/>
  <c r="O114" i="47"/>
  <c r="N114" i="47"/>
  <c r="L114" i="47"/>
  <c r="J114" i="47"/>
  <c r="H114" i="47"/>
  <c r="F114" i="47"/>
  <c r="D114" i="47"/>
  <c r="Q113" i="47"/>
  <c r="P113" i="47"/>
  <c r="O113" i="47"/>
  <c r="N113" i="47"/>
  <c r="L113" i="47"/>
  <c r="J113" i="47"/>
  <c r="H113" i="47"/>
  <c r="F113" i="47"/>
  <c r="D113" i="47"/>
  <c r="N112" i="47"/>
  <c r="L112" i="47"/>
  <c r="J112" i="47"/>
  <c r="H112" i="47"/>
  <c r="F112" i="47"/>
  <c r="D112" i="47"/>
  <c r="M111" i="47"/>
  <c r="M110" i="47" s="1"/>
  <c r="K111" i="47"/>
  <c r="C111" i="47"/>
  <c r="B111" i="47"/>
  <c r="N108" i="47"/>
  <c r="L108" i="47"/>
  <c r="J108" i="47"/>
  <c r="H108" i="47"/>
  <c r="F108" i="47"/>
  <c r="D108" i="47"/>
  <c r="N106" i="47"/>
  <c r="L106" i="47"/>
  <c r="J106" i="47"/>
  <c r="H106" i="47"/>
  <c r="F106" i="47"/>
  <c r="D106" i="47"/>
  <c r="Q104" i="47"/>
  <c r="P104" i="47"/>
  <c r="O104" i="47"/>
  <c r="N104" i="47"/>
  <c r="L104" i="47"/>
  <c r="J104" i="47"/>
  <c r="D104" i="47"/>
  <c r="Q103" i="47"/>
  <c r="P103" i="47"/>
  <c r="O103" i="47"/>
  <c r="N103" i="47"/>
  <c r="L103" i="47"/>
  <c r="J103" i="47"/>
  <c r="H103" i="47"/>
  <c r="F103" i="47"/>
  <c r="D103" i="47"/>
  <c r="Q102" i="47"/>
  <c r="P102" i="47"/>
  <c r="O102" i="47"/>
  <c r="N101" i="47"/>
  <c r="L101" i="47"/>
  <c r="J101" i="47"/>
  <c r="E101" i="47"/>
  <c r="H101" i="47" s="1"/>
  <c r="H100" i="47"/>
  <c r="F100" i="47"/>
  <c r="D100" i="47"/>
  <c r="N99" i="47"/>
  <c r="L99" i="47"/>
  <c r="J99" i="47"/>
  <c r="H99" i="47"/>
  <c r="F99" i="47"/>
  <c r="D99" i="47"/>
  <c r="N98" i="47"/>
  <c r="L98" i="47"/>
  <c r="J98" i="47"/>
  <c r="L97" i="47"/>
  <c r="J97" i="47"/>
  <c r="H97" i="47"/>
  <c r="F97" i="47"/>
  <c r="Q96" i="47"/>
  <c r="P96" i="47"/>
  <c r="O96" i="47"/>
  <c r="H96" i="47"/>
  <c r="F96" i="47"/>
  <c r="D96" i="47"/>
  <c r="Q95" i="47"/>
  <c r="P95" i="47"/>
  <c r="O95" i="47"/>
  <c r="L95" i="47"/>
  <c r="J95" i="47"/>
  <c r="H95" i="47"/>
  <c r="F95" i="47"/>
  <c r="D95" i="47"/>
  <c r="N94" i="47"/>
  <c r="L94" i="47"/>
  <c r="J94" i="47"/>
  <c r="H94" i="47"/>
  <c r="F94" i="47"/>
  <c r="D94" i="47"/>
  <c r="N93" i="47"/>
  <c r="L93" i="47"/>
  <c r="J93" i="47"/>
  <c r="H93" i="47"/>
  <c r="F93" i="47"/>
  <c r="D93" i="47"/>
  <c r="M92" i="47"/>
  <c r="K92" i="47"/>
  <c r="I92" i="47"/>
  <c r="G92" i="47"/>
  <c r="C92" i="47"/>
  <c r="B92" i="47"/>
  <c r="N89" i="47"/>
  <c r="L89" i="47"/>
  <c r="J89" i="47"/>
  <c r="L87" i="47"/>
  <c r="J87" i="47"/>
  <c r="H87" i="47"/>
  <c r="F87" i="47"/>
  <c r="D87" i="47"/>
  <c r="M86" i="47"/>
  <c r="K86" i="47"/>
  <c r="I86" i="47"/>
  <c r="G86" i="47"/>
  <c r="E86" i="47"/>
  <c r="C86" i="47"/>
  <c r="B86" i="47"/>
  <c r="H85" i="47"/>
  <c r="F85" i="47"/>
  <c r="D85" i="47"/>
  <c r="Q84" i="47"/>
  <c r="P84" i="47"/>
  <c r="O84" i="47"/>
  <c r="N84" i="47"/>
  <c r="L84" i="47"/>
  <c r="J84" i="47"/>
  <c r="H84" i="47"/>
  <c r="F84" i="47"/>
  <c r="D84" i="47"/>
  <c r="M83" i="47"/>
  <c r="K83" i="47"/>
  <c r="I83" i="47"/>
  <c r="G83" i="47"/>
  <c r="E83" i="47"/>
  <c r="C83" i="47"/>
  <c r="B83" i="47"/>
  <c r="L82" i="47"/>
  <c r="J82" i="47"/>
  <c r="F82" i="47"/>
  <c r="Q81" i="47"/>
  <c r="P81" i="47"/>
  <c r="O81" i="47"/>
  <c r="N81" i="47"/>
  <c r="L81" i="47"/>
  <c r="J81" i="47"/>
  <c r="H81" i="47"/>
  <c r="F81" i="47"/>
  <c r="D81" i="47"/>
  <c r="M80" i="47"/>
  <c r="K80" i="47"/>
  <c r="I80" i="47"/>
  <c r="G80" i="47"/>
  <c r="E80" i="47"/>
  <c r="C80" i="47"/>
  <c r="B80" i="47"/>
  <c r="N79" i="47"/>
  <c r="L79" i="47"/>
  <c r="J79" i="47"/>
  <c r="H79" i="47"/>
  <c r="F79" i="47"/>
  <c r="Q78" i="47"/>
  <c r="P78" i="47"/>
  <c r="O78" i="47"/>
  <c r="O77" i="47" s="1"/>
  <c r="O76" i="47" s="1"/>
  <c r="N78" i="47"/>
  <c r="L78" i="47"/>
  <c r="J78" i="47"/>
  <c r="H78" i="47"/>
  <c r="F78" i="47"/>
  <c r="Q77" i="47"/>
  <c r="Q76" i="47" s="1"/>
  <c r="P77" i="47"/>
  <c r="P76" i="47" s="1"/>
  <c r="N74" i="47"/>
  <c r="L74" i="47"/>
  <c r="J74" i="47"/>
  <c r="H74" i="47"/>
  <c r="F74" i="47"/>
  <c r="D74" i="47"/>
  <c r="Q73" i="47"/>
  <c r="P73" i="47"/>
  <c r="O73" i="47"/>
  <c r="M73" i="47"/>
  <c r="K73" i="47"/>
  <c r="I73" i="47"/>
  <c r="G73" i="47"/>
  <c r="E73" i="47"/>
  <c r="C73" i="47"/>
  <c r="B73" i="47"/>
  <c r="N72" i="47"/>
  <c r="J72" i="47"/>
  <c r="J71" i="47"/>
  <c r="Q70" i="47"/>
  <c r="P70" i="47"/>
  <c r="O70" i="47"/>
  <c r="L70" i="47"/>
  <c r="J70" i="47"/>
  <c r="H70" i="47"/>
  <c r="F70" i="47"/>
  <c r="D70" i="47"/>
  <c r="Q69" i="47"/>
  <c r="P69" i="47"/>
  <c r="O69" i="47"/>
  <c r="N69" i="47"/>
  <c r="L69" i="47"/>
  <c r="J69" i="47"/>
  <c r="H69" i="47"/>
  <c r="F69" i="47"/>
  <c r="D69" i="47"/>
  <c r="M68" i="47"/>
  <c r="K68" i="47"/>
  <c r="I68" i="47"/>
  <c r="G68" i="47"/>
  <c r="E68" i="47"/>
  <c r="C68" i="47"/>
  <c r="B68" i="47"/>
  <c r="Q67" i="47"/>
  <c r="P67" i="47"/>
  <c r="O67" i="47"/>
  <c r="D67" i="47"/>
  <c r="N66" i="47"/>
  <c r="D66" i="47"/>
  <c r="Q65" i="47"/>
  <c r="P65" i="47"/>
  <c r="O65" i="47"/>
  <c r="N65" i="47"/>
  <c r="Q64" i="47"/>
  <c r="P64" i="47"/>
  <c r="O64" i="47"/>
  <c r="N64" i="47"/>
  <c r="Q63" i="47"/>
  <c r="P63" i="47"/>
  <c r="O63" i="47"/>
  <c r="N63" i="47"/>
  <c r="Q62" i="47"/>
  <c r="P62" i="47"/>
  <c r="O62" i="47"/>
  <c r="N62" i="47"/>
  <c r="L62" i="47"/>
  <c r="J62" i="47"/>
  <c r="H62" i="47"/>
  <c r="F62" i="47"/>
  <c r="D62" i="47"/>
  <c r="Q61" i="47"/>
  <c r="P61" i="47"/>
  <c r="O61" i="47"/>
  <c r="N61" i="47"/>
  <c r="L61" i="47"/>
  <c r="J61" i="47"/>
  <c r="H61" i="47"/>
  <c r="F61" i="47"/>
  <c r="D61" i="47"/>
  <c r="M60" i="47"/>
  <c r="K60" i="47"/>
  <c r="I60" i="47"/>
  <c r="G60" i="47"/>
  <c r="E60" i="47"/>
  <c r="C60" i="47"/>
  <c r="B60" i="47"/>
  <c r="N59" i="47"/>
  <c r="N58" i="47"/>
  <c r="L58" i="47"/>
  <c r="J58" i="47"/>
  <c r="H58" i="47"/>
  <c r="F58" i="47"/>
  <c r="D58" i="47"/>
  <c r="J57" i="47"/>
  <c r="H57" i="47"/>
  <c r="F57" i="47"/>
  <c r="L56" i="47"/>
  <c r="J56" i="47"/>
  <c r="H56" i="47"/>
  <c r="F56" i="47"/>
  <c r="L55" i="47"/>
  <c r="J55" i="47"/>
  <c r="H55" i="47"/>
  <c r="F55" i="47"/>
  <c r="D55" i="47"/>
  <c r="Q54" i="47"/>
  <c r="Q53" i="47" s="1"/>
  <c r="P54" i="47"/>
  <c r="P53" i="47" s="1"/>
  <c r="O54" i="47"/>
  <c r="O53" i="47" s="1"/>
  <c r="N54" i="47"/>
  <c r="L54" i="47"/>
  <c r="J54" i="47"/>
  <c r="H54" i="47"/>
  <c r="F54" i="47"/>
  <c r="D54" i="47"/>
  <c r="M53" i="47"/>
  <c r="K53" i="47"/>
  <c r="K52" i="47" s="1"/>
  <c r="I53" i="47"/>
  <c r="G53" i="47"/>
  <c r="E53" i="47"/>
  <c r="H53" i="47" s="1"/>
  <c r="C53" i="47"/>
  <c r="B53" i="47"/>
  <c r="C52" i="47"/>
  <c r="L50" i="47"/>
  <c r="J50" i="47"/>
  <c r="H50" i="47"/>
  <c r="F50" i="47"/>
  <c r="D50" i="47"/>
  <c r="N49" i="47"/>
  <c r="L49" i="47"/>
  <c r="J49" i="47"/>
  <c r="H49" i="47"/>
  <c r="F49" i="47"/>
  <c r="D49" i="47"/>
  <c r="Q48" i="47"/>
  <c r="P48" i="47"/>
  <c r="O48" i="47"/>
  <c r="N48" i="47"/>
  <c r="L48" i="47"/>
  <c r="J48" i="47"/>
  <c r="H48" i="47"/>
  <c r="F48" i="47"/>
  <c r="Q47" i="47"/>
  <c r="P47" i="47"/>
  <c r="O47" i="47"/>
  <c r="N47" i="47"/>
  <c r="L47" i="47"/>
  <c r="J47" i="47"/>
  <c r="H47" i="47"/>
  <c r="F47" i="47"/>
  <c r="M46" i="47"/>
  <c r="K46" i="47"/>
  <c r="I46" i="47"/>
  <c r="G46" i="47"/>
  <c r="E46" i="47"/>
  <c r="C46" i="47"/>
  <c r="D46" i="47" s="1"/>
  <c r="Q45" i="47"/>
  <c r="P45" i="47"/>
  <c r="O45" i="47"/>
  <c r="N45" i="47"/>
  <c r="L45" i="47"/>
  <c r="J45" i="47"/>
  <c r="H45" i="47"/>
  <c r="F45" i="47"/>
  <c r="Q44" i="47"/>
  <c r="P44" i="47"/>
  <c r="O44" i="47"/>
  <c r="N44" i="47"/>
  <c r="L44" i="47"/>
  <c r="J44" i="47"/>
  <c r="H44" i="47"/>
  <c r="F44" i="47"/>
  <c r="Q43" i="47"/>
  <c r="P43" i="47"/>
  <c r="O43" i="47"/>
  <c r="N43" i="47"/>
  <c r="L43" i="47"/>
  <c r="J43" i="47"/>
  <c r="H43" i="47"/>
  <c r="F43" i="47"/>
  <c r="Q42" i="47"/>
  <c r="P42" i="47"/>
  <c r="O42" i="47"/>
  <c r="N42" i="47"/>
  <c r="L42" i="47"/>
  <c r="J42" i="47"/>
  <c r="H42" i="47"/>
  <c r="F42" i="47"/>
  <c r="Q41" i="47"/>
  <c r="P41" i="47"/>
  <c r="O41" i="47"/>
  <c r="N41" i="47"/>
  <c r="L41" i="47"/>
  <c r="J41" i="47"/>
  <c r="H41" i="47"/>
  <c r="F41" i="47"/>
  <c r="M40" i="47"/>
  <c r="K40" i="47"/>
  <c r="I40" i="47"/>
  <c r="G40" i="47"/>
  <c r="J40" i="47" s="1"/>
  <c r="E40" i="47"/>
  <c r="C40" i="47"/>
  <c r="D40" i="47" s="1"/>
  <c r="Q39" i="47"/>
  <c r="P39" i="47"/>
  <c r="O39" i="47"/>
  <c r="N39" i="47"/>
  <c r="L39" i="47"/>
  <c r="J39" i="47"/>
  <c r="H39" i="47"/>
  <c r="F39" i="47"/>
  <c r="Q38" i="47"/>
  <c r="P38" i="47"/>
  <c r="O38" i="47"/>
  <c r="N38" i="47"/>
  <c r="L38" i="47"/>
  <c r="J38" i="47"/>
  <c r="H38" i="47"/>
  <c r="F38" i="47"/>
  <c r="Q37" i="47"/>
  <c r="Q36" i="47" s="1"/>
  <c r="P37" i="47"/>
  <c r="O37" i="47"/>
  <c r="N37" i="47"/>
  <c r="L37" i="47"/>
  <c r="J37" i="47"/>
  <c r="H37" i="47"/>
  <c r="F37" i="47"/>
  <c r="M36" i="47"/>
  <c r="K36" i="47"/>
  <c r="I36" i="47"/>
  <c r="G36" i="47"/>
  <c r="E36" i="47"/>
  <c r="C36" i="47"/>
  <c r="D36" i="47" s="1"/>
  <c r="B35" i="47"/>
  <c r="Q33" i="47"/>
  <c r="Q32" i="47" s="1"/>
  <c r="P33" i="47"/>
  <c r="P32" i="47" s="1"/>
  <c r="O33" i="47"/>
  <c r="O32" i="47" s="1"/>
  <c r="N33" i="47"/>
  <c r="L33" i="47"/>
  <c r="J33" i="47"/>
  <c r="H33" i="47"/>
  <c r="F33" i="47"/>
  <c r="D33" i="47"/>
  <c r="M32" i="47"/>
  <c r="K32" i="47"/>
  <c r="I32" i="47"/>
  <c r="G32" i="47"/>
  <c r="E32" i="47"/>
  <c r="C32" i="47"/>
  <c r="B32" i="47"/>
  <c r="N31" i="47"/>
  <c r="L31" i="47"/>
  <c r="J31" i="47"/>
  <c r="H31" i="47"/>
  <c r="F31" i="47"/>
  <c r="D31" i="47"/>
  <c r="Q30" i="47"/>
  <c r="P30" i="47"/>
  <c r="O30" i="47"/>
  <c r="M30" i="47"/>
  <c r="K30" i="47"/>
  <c r="I30" i="47"/>
  <c r="G30" i="47"/>
  <c r="E30" i="47"/>
  <c r="C30" i="47"/>
  <c r="B30" i="47"/>
  <c r="D30" i="47" s="1"/>
  <c r="Q28" i="47"/>
  <c r="Q26" i="47" s="1"/>
  <c r="P28" i="47"/>
  <c r="P26" i="47" s="1"/>
  <c r="O28" i="47"/>
  <c r="O26" i="47" s="1"/>
  <c r="N28" i="47"/>
  <c r="L28" i="47"/>
  <c r="J28" i="47"/>
  <c r="H28" i="47"/>
  <c r="F28" i="47"/>
  <c r="D28" i="47"/>
  <c r="L27" i="47"/>
  <c r="J27" i="47"/>
  <c r="H27" i="47"/>
  <c r="F27" i="47"/>
  <c r="D27" i="47"/>
  <c r="M26" i="47"/>
  <c r="K26" i="47"/>
  <c r="I26" i="47"/>
  <c r="G26" i="47"/>
  <c r="E26" i="47"/>
  <c r="C26" i="47"/>
  <c r="B26" i="47"/>
  <c r="Q25" i="47"/>
  <c r="P25" i="47"/>
  <c r="O25" i="47"/>
  <c r="N25" i="47"/>
  <c r="L25" i="47"/>
  <c r="J25" i="47"/>
  <c r="H25" i="47"/>
  <c r="F25" i="47"/>
  <c r="D25" i="47"/>
  <c r="Q24" i="47"/>
  <c r="P24" i="47"/>
  <c r="O24" i="47"/>
  <c r="N24" i="47"/>
  <c r="L24" i="47"/>
  <c r="J24" i="47"/>
  <c r="H24" i="47"/>
  <c r="F24" i="47"/>
  <c r="D24" i="47"/>
  <c r="M23" i="47"/>
  <c r="K23" i="47"/>
  <c r="I23" i="47"/>
  <c r="G23" i="47"/>
  <c r="E23" i="47"/>
  <c r="C23" i="47"/>
  <c r="B23" i="47"/>
  <c r="Q21" i="47"/>
  <c r="P21" i="47"/>
  <c r="O21" i="47"/>
  <c r="Q19" i="47"/>
  <c r="P19" i="47"/>
  <c r="O19" i="47"/>
  <c r="N19" i="47"/>
  <c r="L19" i="47"/>
  <c r="J19" i="47"/>
  <c r="H19" i="47"/>
  <c r="F19" i="47"/>
  <c r="D19" i="47"/>
  <c r="Q18" i="47"/>
  <c r="P18" i="47"/>
  <c r="O18" i="47"/>
  <c r="N18" i="47"/>
  <c r="L18" i="47"/>
  <c r="J18" i="47"/>
  <c r="H18" i="47"/>
  <c r="F18" i="47"/>
  <c r="D18" i="47"/>
  <c r="M17" i="47"/>
  <c r="K17" i="47"/>
  <c r="I17" i="47"/>
  <c r="L17" i="47" s="1"/>
  <c r="G17" i="47"/>
  <c r="E17" i="47"/>
  <c r="C17" i="47"/>
  <c r="B17" i="47"/>
  <c r="Q15" i="47"/>
  <c r="P15" i="47"/>
  <c r="O15" i="47"/>
  <c r="N15" i="47"/>
  <c r="L15" i="47"/>
  <c r="J15" i="47"/>
  <c r="H15" i="47"/>
  <c r="F15" i="47"/>
  <c r="D15" i="47"/>
  <c r="Q14" i="47"/>
  <c r="P14" i="47"/>
  <c r="O14" i="47"/>
  <c r="N14" i="47"/>
  <c r="L14" i="47"/>
  <c r="J14" i="47"/>
  <c r="H14" i="47"/>
  <c r="F14" i="47"/>
  <c r="D14" i="47"/>
  <c r="Q13" i="47"/>
  <c r="P13" i="47"/>
  <c r="O13" i="47"/>
  <c r="N13" i="47"/>
  <c r="L13" i="47"/>
  <c r="J13" i="47"/>
  <c r="H13" i="47"/>
  <c r="F13" i="47"/>
  <c r="D13" i="47"/>
  <c r="Q12" i="47"/>
  <c r="P12" i="47"/>
  <c r="O12" i="47"/>
  <c r="N12" i="47"/>
  <c r="L12" i="47"/>
  <c r="J12" i="47"/>
  <c r="H12" i="47"/>
  <c r="F12" i="47"/>
  <c r="D12" i="47"/>
  <c r="M11" i="47"/>
  <c r="M9" i="47" s="1"/>
  <c r="K11" i="47"/>
  <c r="K9" i="47" s="1"/>
  <c r="I11" i="47"/>
  <c r="I9" i="47" s="1"/>
  <c r="G11" i="47"/>
  <c r="G9" i="47" s="1"/>
  <c r="G6" i="47" s="1"/>
  <c r="E11" i="47"/>
  <c r="C11" i="47"/>
  <c r="C9" i="47" s="1"/>
  <c r="B11" i="47"/>
  <c r="B9" i="47" s="1"/>
  <c r="Q10" i="47"/>
  <c r="P10" i="47"/>
  <c r="O10" i="47"/>
  <c r="N10" i="47"/>
  <c r="L10" i="47"/>
  <c r="J10" i="47"/>
  <c r="H10" i="47"/>
  <c r="F10" i="47"/>
  <c r="D10" i="47"/>
  <c r="Q8" i="47"/>
  <c r="Q7" i="47" s="1"/>
  <c r="P8" i="47"/>
  <c r="P7" i="47" s="1"/>
  <c r="O8" i="47"/>
  <c r="O7" i="47" s="1"/>
  <c r="N8" i="47"/>
  <c r="L8" i="47"/>
  <c r="J8" i="47"/>
  <c r="H8" i="47"/>
  <c r="F8" i="47"/>
  <c r="D8" i="47"/>
  <c r="M7" i="47"/>
  <c r="K7" i="47"/>
  <c r="I7" i="47"/>
  <c r="G7" i="47"/>
  <c r="E7" i="47"/>
  <c r="C7" i="47"/>
  <c r="B7" i="47"/>
  <c r="M93" i="32"/>
  <c r="R21" i="32"/>
  <c r="S21" i="32"/>
  <c r="AD134" i="64" l="1"/>
  <c r="AE134" i="64" s="1"/>
  <c r="AA134" i="64"/>
  <c r="AD97" i="64"/>
  <c r="AE97" i="64" s="1"/>
  <c r="AA97" i="64"/>
  <c r="W105" i="64"/>
  <c r="H68" i="47"/>
  <c r="M155" i="47"/>
  <c r="P62" i="48"/>
  <c r="Q169" i="48"/>
  <c r="D110" i="64"/>
  <c r="V110" i="64"/>
  <c r="C118" i="64"/>
  <c r="E92" i="64"/>
  <c r="E105" i="64" s="1"/>
  <c r="V92" i="64"/>
  <c r="C105" i="64"/>
  <c r="Y105" i="64"/>
  <c r="C3" i="65" s="1"/>
  <c r="AD98" i="64"/>
  <c r="AE98" i="64" s="1"/>
  <c r="AA98" i="64"/>
  <c r="AC90" i="64"/>
  <c r="AD90" i="64"/>
  <c r="AG90" i="64" s="1"/>
  <c r="AD91" i="64"/>
  <c r="AE91" i="64" s="1"/>
  <c r="AA91" i="64"/>
  <c r="AD102" i="64"/>
  <c r="AF102" i="64" s="1"/>
  <c r="AB102" i="64"/>
  <c r="AD135" i="64"/>
  <c r="AE135" i="64" s="1"/>
  <c r="AA135" i="64"/>
  <c r="B16" i="48"/>
  <c r="F18" i="64"/>
  <c r="V18" i="64"/>
  <c r="D121" i="64"/>
  <c r="V121" i="64"/>
  <c r="AD94" i="64"/>
  <c r="AE94" i="64" s="1"/>
  <c r="AA94" i="64"/>
  <c r="AD99" i="64"/>
  <c r="AF99" i="64" s="1"/>
  <c r="AB99" i="64"/>
  <c r="AD114" i="64"/>
  <c r="AE114" i="64" s="1"/>
  <c r="AA114" i="64"/>
  <c r="V163" i="32"/>
  <c r="W163" i="32" s="1"/>
  <c r="AD89" i="64"/>
  <c r="AC89" i="64"/>
  <c r="N92" i="47"/>
  <c r="Q113" i="48"/>
  <c r="E31" i="64"/>
  <c r="V31" i="64"/>
  <c r="D45" i="64"/>
  <c r="V46" i="64"/>
  <c r="D111" i="64"/>
  <c r="V111" i="64"/>
  <c r="D141" i="64"/>
  <c r="V141" i="64"/>
  <c r="F32" i="64"/>
  <c r="V32" i="64"/>
  <c r="Z145" i="64"/>
  <c r="V146" i="64"/>
  <c r="W145" i="64"/>
  <c r="AA95" i="64"/>
  <c r="AD95" i="64"/>
  <c r="AE95" i="64" s="1"/>
  <c r="AA96" i="64"/>
  <c r="AD96" i="64"/>
  <c r="AE96" i="64" s="1"/>
  <c r="I77" i="47"/>
  <c r="I76" i="47" s="1"/>
  <c r="E6" i="48"/>
  <c r="H26" i="48"/>
  <c r="N167" i="48"/>
  <c r="J198" i="48"/>
  <c r="V21" i="64"/>
  <c r="I22" i="64"/>
  <c r="H21" i="64"/>
  <c r="D21" i="64"/>
  <c r="V136" i="64"/>
  <c r="D136" i="64"/>
  <c r="X105" i="52"/>
  <c r="E43" i="64"/>
  <c r="C177" i="64" s="1"/>
  <c r="V43" i="64"/>
  <c r="AD129" i="64"/>
  <c r="AE129" i="64" s="1"/>
  <c r="AA129" i="64"/>
  <c r="AD100" i="64"/>
  <c r="AE100" i="64" s="1"/>
  <c r="AA100" i="64"/>
  <c r="I79" i="48"/>
  <c r="I78" i="48" s="1"/>
  <c r="L73" i="47"/>
  <c r="H83" i="47"/>
  <c r="N85" i="48"/>
  <c r="O122" i="48"/>
  <c r="E36" i="64"/>
  <c r="V36" i="64"/>
  <c r="V122" i="64"/>
  <c r="D122" i="64"/>
  <c r="D44" i="64"/>
  <c r="V44" i="64"/>
  <c r="G164" i="64"/>
  <c r="B3" i="65"/>
  <c r="AC104" i="64"/>
  <c r="AD104" i="64"/>
  <c r="AG104" i="64" s="1"/>
  <c r="AD149" i="64"/>
  <c r="AA149" i="64"/>
  <c r="Z150" i="64"/>
  <c r="C110" i="47"/>
  <c r="H11" i="47"/>
  <c r="M52" i="47"/>
  <c r="D86" i="47"/>
  <c r="D120" i="47"/>
  <c r="D195" i="47"/>
  <c r="F70" i="48"/>
  <c r="C112" i="48"/>
  <c r="X11" i="52"/>
  <c r="D52" i="64"/>
  <c r="V52" i="64"/>
  <c r="AB93" i="64"/>
  <c r="AD93" i="64"/>
  <c r="AF93" i="64" s="1"/>
  <c r="AD101" i="64"/>
  <c r="AE101" i="64" s="1"/>
  <c r="AA101" i="64"/>
  <c r="C21" i="60"/>
  <c r="C21" i="61"/>
  <c r="X86" i="52"/>
  <c r="C32" i="57"/>
  <c r="F32" i="57" s="1"/>
  <c r="C32" i="61"/>
  <c r="C32" i="60"/>
  <c r="F32" i="60" s="1"/>
  <c r="O94" i="48"/>
  <c r="O92" i="48" s="1"/>
  <c r="C43" i="57"/>
  <c r="E43" i="57" s="1"/>
  <c r="C143" i="57" s="1"/>
  <c r="B16" i="59" s="1"/>
  <c r="C43" i="61"/>
  <c r="C43" i="60"/>
  <c r="E43" i="60" s="1"/>
  <c r="C143" i="60" s="1"/>
  <c r="D155" i="47"/>
  <c r="O40" i="48"/>
  <c r="P70" i="48"/>
  <c r="X57" i="52"/>
  <c r="C102" i="57"/>
  <c r="D102" i="57" s="1"/>
  <c r="C102" i="60"/>
  <c r="D102" i="60" s="1"/>
  <c r="C102" i="61"/>
  <c r="C44" i="57"/>
  <c r="D44" i="57" s="1"/>
  <c r="C44" i="60"/>
  <c r="D44" i="60" s="1"/>
  <c r="C44" i="61"/>
  <c r="F71" i="61"/>
  <c r="G130" i="61" s="1"/>
  <c r="C35" i="47"/>
  <c r="D35" i="47" s="1"/>
  <c r="O23" i="48"/>
  <c r="E94" i="48"/>
  <c r="F94" i="48" s="1"/>
  <c r="M112" i="48"/>
  <c r="I112" i="48"/>
  <c r="J149" i="48"/>
  <c r="C36" i="61"/>
  <c r="C36" i="60"/>
  <c r="E36" i="60" s="1"/>
  <c r="C88" i="57"/>
  <c r="C4" i="56" s="1"/>
  <c r="D4" i="56" s="1"/>
  <c r="C88" i="61"/>
  <c r="C88" i="60"/>
  <c r="D88" i="60" s="1"/>
  <c r="X135" i="52"/>
  <c r="B166" i="48"/>
  <c r="C18" i="60"/>
  <c r="F18" i="60" s="1"/>
  <c r="C18" i="61"/>
  <c r="C31" i="61"/>
  <c r="C31" i="60"/>
  <c r="E31" i="60" s="1"/>
  <c r="C107" i="57"/>
  <c r="D107" i="57" s="1"/>
  <c r="C107" i="61"/>
  <c r="C107" i="60"/>
  <c r="D107" i="60" s="1"/>
  <c r="B6" i="48"/>
  <c r="O11" i="48"/>
  <c r="L94" i="48"/>
  <c r="V88" i="32"/>
  <c r="W88" i="32" s="1"/>
  <c r="U129" i="32"/>
  <c r="X38" i="52"/>
  <c r="C51" i="60"/>
  <c r="D51" i="60" s="1"/>
  <c r="C51" i="61"/>
  <c r="C59" i="60"/>
  <c r="C59" i="61"/>
  <c r="C29" i="60"/>
  <c r="C29" i="61"/>
  <c r="C87" i="57"/>
  <c r="C5" i="56" s="1"/>
  <c r="D5" i="56" s="1"/>
  <c r="M5" i="56" s="1"/>
  <c r="E5" i="56" s="1"/>
  <c r="C87" i="60"/>
  <c r="C87" i="61"/>
  <c r="K35" i="47"/>
  <c r="E164" i="47"/>
  <c r="N167" i="47"/>
  <c r="B6" i="47"/>
  <c r="M149" i="47"/>
  <c r="M6" i="48"/>
  <c r="P11" i="48"/>
  <c r="P9" i="48" s="1"/>
  <c r="P6" i="48" s="1"/>
  <c r="P35" i="48"/>
  <c r="N94" i="48"/>
  <c r="K122" i="48"/>
  <c r="V59" i="32"/>
  <c r="X133" i="52"/>
  <c r="C24" i="61"/>
  <c r="C24" i="60"/>
  <c r="C45" i="61"/>
  <c r="C45" i="60"/>
  <c r="D45" i="60" s="1"/>
  <c r="C77" i="57"/>
  <c r="C77" i="61"/>
  <c r="D77" i="61" s="1"/>
  <c r="C77" i="60"/>
  <c r="D77" i="60" s="1"/>
  <c r="C90" i="47"/>
  <c r="J7" i="47"/>
  <c r="K155" i="47"/>
  <c r="N11" i="48"/>
  <c r="C76" i="57"/>
  <c r="C84" i="57" s="1"/>
  <c r="B7" i="59" s="1"/>
  <c r="C76" i="60"/>
  <c r="C76" i="61"/>
  <c r="F32" i="53"/>
  <c r="D44" i="53"/>
  <c r="C84" i="53"/>
  <c r="U134" i="32"/>
  <c r="D76" i="53"/>
  <c r="E149" i="47"/>
  <c r="B151" i="48"/>
  <c r="C36" i="57"/>
  <c r="E36" i="57" s="1"/>
  <c r="E36" i="53"/>
  <c r="C18" i="57"/>
  <c r="F18" i="57" s="1"/>
  <c r="F18" i="53"/>
  <c r="X66" i="52"/>
  <c r="Q35" i="48"/>
  <c r="K112" i="48"/>
  <c r="L112" i="48" s="1"/>
  <c r="C24" i="57"/>
  <c r="E24" i="57" s="1"/>
  <c r="E24" i="53"/>
  <c r="C45" i="57"/>
  <c r="D45" i="57" s="1"/>
  <c r="D45" i="53"/>
  <c r="Q79" i="48"/>
  <c r="Q78" i="48" s="1"/>
  <c r="V79" i="32"/>
  <c r="P26" i="52"/>
  <c r="Y26" i="52"/>
  <c r="C26" i="53" s="1"/>
  <c r="C26" i="60" s="1"/>
  <c r="U124" i="32"/>
  <c r="V124" i="32" s="1"/>
  <c r="F15" i="56"/>
  <c r="N113" i="48"/>
  <c r="C79" i="48"/>
  <c r="C78" i="48" s="1"/>
  <c r="B77" i="47"/>
  <c r="B76" i="47" s="1"/>
  <c r="G79" i="48"/>
  <c r="G78" i="48" s="1"/>
  <c r="J78" i="48" s="1"/>
  <c r="P30" i="52"/>
  <c r="Y30" i="52"/>
  <c r="C30" i="53" s="1"/>
  <c r="C92" i="48"/>
  <c r="P25" i="52"/>
  <c r="Y25" i="52"/>
  <c r="C25" i="53" s="1"/>
  <c r="C167" i="48"/>
  <c r="F167" i="48" s="1"/>
  <c r="V135" i="32"/>
  <c r="P23" i="52"/>
  <c r="Y23" i="52"/>
  <c r="C23" i="53" s="1"/>
  <c r="O36" i="47"/>
  <c r="Q62" i="48"/>
  <c r="N169" i="48"/>
  <c r="O68" i="47"/>
  <c r="O46" i="47"/>
  <c r="D77" i="53"/>
  <c r="F16" i="56"/>
  <c r="E52" i="47"/>
  <c r="G77" i="47"/>
  <c r="G76" i="47" s="1"/>
  <c r="Q46" i="47"/>
  <c r="L92" i="47"/>
  <c r="K164" i="47"/>
  <c r="N164" i="47" s="1"/>
  <c r="Q17" i="48"/>
  <c r="B79" i="48"/>
  <c r="B78" i="48" s="1"/>
  <c r="P22" i="52"/>
  <c r="Y22" i="52"/>
  <c r="P28" i="52"/>
  <c r="Y28" i="52"/>
  <c r="C28" i="53" s="1"/>
  <c r="X141" i="52"/>
  <c r="Q23" i="48"/>
  <c r="P68" i="47"/>
  <c r="C165" i="47"/>
  <c r="C164" i="47" s="1"/>
  <c r="C149" i="47" s="1"/>
  <c r="M157" i="48"/>
  <c r="M151" i="48" s="1"/>
  <c r="Q68" i="47"/>
  <c r="P46" i="47"/>
  <c r="P40" i="47"/>
  <c r="J88" i="48"/>
  <c r="T93" i="32"/>
  <c r="X32" i="52"/>
  <c r="X143" i="52"/>
  <c r="T112" i="32"/>
  <c r="P27" i="52"/>
  <c r="Y27" i="52"/>
  <c r="C27" i="53" s="1"/>
  <c r="C59" i="57"/>
  <c r="C71" i="57" s="1"/>
  <c r="C71" i="53"/>
  <c r="E43" i="53"/>
  <c r="C143" i="53" s="1"/>
  <c r="D29" i="53"/>
  <c r="C29" i="57"/>
  <c r="D29" i="57" s="1"/>
  <c r="D26" i="53"/>
  <c r="D21" i="53"/>
  <c r="C21" i="57"/>
  <c r="D21" i="57" s="1"/>
  <c r="E31" i="53"/>
  <c r="C31" i="57"/>
  <c r="D51" i="53"/>
  <c r="C51" i="57"/>
  <c r="D51" i="57" s="1"/>
  <c r="D107" i="53"/>
  <c r="C24" i="56"/>
  <c r="D24" i="56" s="1"/>
  <c r="D102" i="53"/>
  <c r="C6" i="56"/>
  <c r="D6" i="56" s="1"/>
  <c r="D88" i="53"/>
  <c r="U123" i="32"/>
  <c r="V123" i="32" s="1"/>
  <c r="F71" i="53"/>
  <c r="G130" i="53" s="1"/>
  <c r="C116" i="53"/>
  <c r="E71" i="53"/>
  <c r="D71" i="53"/>
  <c r="Y32" i="52"/>
  <c r="C33" i="53" s="1"/>
  <c r="C33" i="64" s="1"/>
  <c r="U143" i="32"/>
  <c r="V143" i="32" s="1"/>
  <c r="U114" i="32"/>
  <c r="V114" i="32" s="1"/>
  <c r="U139" i="32"/>
  <c r="V139" i="32" s="1"/>
  <c r="U140" i="32"/>
  <c r="V140" i="32" s="1"/>
  <c r="U18" i="32"/>
  <c r="V18" i="32" s="1"/>
  <c r="U108" i="32"/>
  <c r="U115" i="32"/>
  <c r="V115" i="32" s="1"/>
  <c r="U136" i="32"/>
  <c r="V136" i="32" s="1"/>
  <c r="U144" i="32"/>
  <c r="V144" i="32" s="1"/>
  <c r="W144" i="32" s="1"/>
  <c r="D46" i="53"/>
  <c r="D87" i="53"/>
  <c r="U138" i="32"/>
  <c r="V138" i="32" s="1"/>
  <c r="U123" i="52"/>
  <c r="U116" i="52"/>
  <c r="U90" i="52"/>
  <c r="V90" i="52" s="1"/>
  <c r="W90" i="52" s="1"/>
  <c r="U98" i="52"/>
  <c r="X98" i="52" s="1"/>
  <c r="U3" i="52"/>
  <c r="U14" i="52"/>
  <c r="V72" i="52"/>
  <c r="W72" i="52" s="1"/>
  <c r="X72" i="52" s="1"/>
  <c r="U26" i="52"/>
  <c r="U43" i="52"/>
  <c r="U42" i="52"/>
  <c r="Y42" i="52" s="1"/>
  <c r="U28" i="52"/>
  <c r="U10" i="52"/>
  <c r="Y10" i="52" s="1"/>
  <c r="U48" i="52"/>
  <c r="U29" i="52"/>
  <c r="U19" i="52"/>
  <c r="U140" i="52"/>
  <c r="U4" i="52"/>
  <c r="U15" i="52"/>
  <c r="U45" i="52"/>
  <c r="U17" i="52"/>
  <c r="V34" i="52"/>
  <c r="U6" i="52"/>
  <c r="U20" i="52"/>
  <c r="V5" i="52"/>
  <c r="W5" i="52" s="1"/>
  <c r="U121" i="52"/>
  <c r="U74" i="52"/>
  <c r="U82" i="52"/>
  <c r="U27" i="52"/>
  <c r="U91" i="52"/>
  <c r="U108" i="52"/>
  <c r="U23" i="52"/>
  <c r="U30" i="52"/>
  <c r="U76" i="52"/>
  <c r="U97" i="52"/>
  <c r="X97" i="52" s="1"/>
  <c r="U104" i="52"/>
  <c r="U131" i="52"/>
  <c r="U36" i="52"/>
  <c r="U8" i="52"/>
  <c r="U21" i="52"/>
  <c r="V54" i="52"/>
  <c r="W54" i="52" s="1"/>
  <c r="X54" i="52" s="1"/>
  <c r="U77" i="52"/>
  <c r="X77" i="52" s="1"/>
  <c r="W132" i="52"/>
  <c r="X132" i="52" s="1"/>
  <c r="U25" i="52"/>
  <c r="V13" i="52"/>
  <c r="W13" i="52" s="1"/>
  <c r="X13" i="52" s="1"/>
  <c r="U24" i="52"/>
  <c r="U69" i="52"/>
  <c r="U89" i="52"/>
  <c r="V99" i="52"/>
  <c r="W99" i="52" s="1"/>
  <c r="X99" i="52" s="1"/>
  <c r="V66" i="52"/>
  <c r="W66" i="52" s="1"/>
  <c r="U125" i="52"/>
  <c r="U56" i="52"/>
  <c r="U122" i="52"/>
  <c r="U7" i="52"/>
  <c r="U63" i="52"/>
  <c r="U87" i="52"/>
  <c r="U102" i="52"/>
  <c r="U33" i="52"/>
  <c r="V61" i="52"/>
  <c r="W61" i="52" s="1"/>
  <c r="X61" i="52" s="1"/>
  <c r="U35" i="52"/>
  <c r="U58" i="52"/>
  <c r="L60" i="52"/>
  <c r="W69" i="52"/>
  <c r="U95" i="52"/>
  <c r="V39" i="52"/>
  <c r="W39" i="52" s="1"/>
  <c r="X39" i="52" s="1"/>
  <c r="P56" i="52"/>
  <c r="U64" i="52"/>
  <c r="U88" i="52"/>
  <c r="U100" i="52"/>
  <c r="U103" i="52"/>
  <c r="U130" i="52"/>
  <c r="W84" i="52"/>
  <c r="X84" i="52" s="1"/>
  <c r="U119" i="52"/>
  <c r="V60" i="52"/>
  <c r="W60" i="52" s="1"/>
  <c r="X60" i="52" s="1"/>
  <c r="D60" i="52"/>
  <c r="W76" i="52"/>
  <c r="U93" i="52"/>
  <c r="Y93" i="52" s="1"/>
  <c r="U52" i="52"/>
  <c r="U12" i="52"/>
  <c r="Y12" i="52" s="1"/>
  <c r="U44" i="52"/>
  <c r="W62" i="52"/>
  <c r="X62" i="52" s="1"/>
  <c r="W78" i="52"/>
  <c r="X78" i="52" s="1"/>
  <c r="F60" i="52"/>
  <c r="W83" i="52"/>
  <c r="X83" i="52" s="1"/>
  <c r="W71" i="52"/>
  <c r="X71" i="52" s="1"/>
  <c r="W134" i="52"/>
  <c r="X134" i="52" s="1"/>
  <c r="W64" i="52"/>
  <c r="W92" i="52"/>
  <c r="X92" i="52" s="1"/>
  <c r="W118" i="52"/>
  <c r="X118" i="52" s="1"/>
  <c r="P34" i="52"/>
  <c r="P119" i="52"/>
  <c r="U127" i="52"/>
  <c r="P4" i="52"/>
  <c r="U49" i="52"/>
  <c r="U81" i="52"/>
  <c r="P58" i="52"/>
  <c r="W31" i="52"/>
  <c r="X31" i="52" s="1"/>
  <c r="P29" i="52"/>
  <c r="P20" i="52"/>
  <c r="P107" i="52"/>
  <c r="P14" i="52"/>
  <c r="P43" i="52"/>
  <c r="P24" i="52"/>
  <c r="P10" i="52"/>
  <c r="U115" i="52"/>
  <c r="V114" i="52"/>
  <c r="W114" i="52" s="1"/>
  <c r="X114" i="52" s="1"/>
  <c r="P17" i="52"/>
  <c r="W35" i="52"/>
  <c r="U41" i="52"/>
  <c r="Y41" i="52" s="1"/>
  <c r="P52" i="52"/>
  <c r="P63" i="52"/>
  <c r="V73" i="52"/>
  <c r="W73" i="52" s="1"/>
  <c r="X73" i="52" s="1"/>
  <c r="P21" i="52"/>
  <c r="H60" i="52"/>
  <c r="J60" i="52"/>
  <c r="U120" i="52"/>
  <c r="U22" i="52"/>
  <c r="U94" i="52"/>
  <c r="U117" i="52"/>
  <c r="U124" i="52"/>
  <c r="U9" i="52"/>
  <c r="Y9" i="52" s="1"/>
  <c r="U107" i="52"/>
  <c r="U50" i="52"/>
  <c r="W55" i="32"/>
  <c r="V94" i="32"/>
  <c r="U107" i="32"/>
  <c r="U122" i="32"/>
  <c r="V122" i="32" s="1"/>
  <c r="U126" i="32"/>
  <c r="V126" i="32" s="1"/>
  <c r="U130" i="32"/>
  <c r="V130" i="32" s="1"/>
  <c r="U133" i="32"/>
  <c r="V37" i="32"/>
  <c r="V164" i="32"/>
  <c r="W164" i="32" s="1"/>
  <c r="V22" i="32"/>
  <c r="W22" i="32" s="1"/>
  <c r="T121" i="32"/>
  <c r="T111" i="32" s="1"/>
  <c r="V13" i="32"/>
  <c r="U105" i="32"/>
  <c r="V105" i="32" s="1"/>
  <c r="U128" i="32"/>
  <c r="V128" i="32" s="1"/>
  <c r="V97" i="32"/>
  <c r="W97" i="32" s="1"/>
  <c r="V51" i="32"/>
  <c r="W51" i="32" s="1"/>
  <c r="U125" i="32"/>
  <c r="V125" i="32" s="1"/>
  <c r="U95" i="32"/>
  <c r="U36" i="32"/>
  <c r="V36" i="32" s="1"/>
  <c r="U56" i="32"/>
  <c r="V56" i="32" s="1"/>
  <c r="W56" i="32" s="1"/>
  <c r="U25" i="32"/>
  <c r="V25" i="32" s="1"/>
  <c r="U65" i="32"/>
  <c r="V65" i="32" s="1"/>
  <c r="U184" i="32"/>
  <c r="V184" i="32" s="1"/>
  <c r="U40" i="32"/>
  <c r="V40" i="32" s="1"/>
  <c r="U15" i="32"/>
  <c r="V15" i="32" s="1"/>
  <c r="U14" i="32"/>
  <c r="V14" i="32" s="1"/>
  <c r="U43" i="32"/>
  <c r="V43" i="32" s="1"/>
  <c r="R112" i="32"/>
  <c r="S121" i="32"/>
  <c r="U52" i="32"/>
  <c r="V52" i="32" s="1"/>
  <c r="U167" i="32"/>
  <c r="V167" i="32" s="1"/>
  <c r="S93" i="32"/>
  <c r="S91" i="32" s="1"/>
  <c r="V53" i="32"/>
  <c r="W53" i="32" s="1"/>
  <c r="R121" i="32"/>
  <c r="U10" i="32"/>
  <c r="V10" i="32" s="1"/>
  <c r="U173" i="32"/>
  <c r="V173" i="32" s="1"/>
  <c r="V103" i="32"/>
  <c r="W103" i="32" s="1"/>
  <c r="U66" i="32"/>
  <c r="V66" i="32" s="1"/>
  <c r="W66" i="32" s="1"/>
  <c r="V104" i="32"/>
  <c r="V87" i="32"/>
  <c r="W87" i="32" s="1"/>
  <c r="R93" i="32"/>
  <c r="R91" i="32" s="1"/>
  <c r="V129" i="32"/>
  <c r="V12" i="32"/>
  <c r="S112" i="32"/>
  <c r="U112" i="32" s="1"/>
  <c r="U100" i="32"/>
  <c r="U64" i="32"/>
  <c r="V64" i="32" s="1"/>
  <c r="U63" i="32"/>
  <c r="V63" i="32" s="1"/>
  <c r="U72" i="32"/>
  <c r="U177" i="32"/>
  <c r="V177" i="32" s="1"/>
  <c r="U181" i="32"/>
  <c r="V181" i="32" s="1"/>
  <c r="U196" i="32"/>
  <c r="V196" i="32" s="1"/>
  <c r="U44" i="32"/>
  <c r="V44" i="32" s="1"/>
  <c r="U42" i="32"/>
  <c r="V42" i="32" s="1"/>
  <c r="U19" i="32"/>
  <c r="V19" i="32" s="1"/>
  <c r="U21" i="32"/>
  <c r="U41" i="32"/>
  <c r="V41" i="32" s="1"/>
  <c r="U46" i="32"/>
  <c r="V46" i="32" s="1"/>
  <c r="U174" i="32"/>
  <c r="V174" i="32" s="1"/>
  <c r="U92" i="32"/>
  <c r="U71" i="32"/>
  <c r="V71" i="32" s="1"/>
  <c r="W71" i="32" s="1"/>
  <c r="U185" i="32"/>
  <c r="V185" i="32" s="1"/>
  <c r="U47" i="32"/>
  <c r="V47" i="32" s="1"/>
  <c r="U179" i="32"/>
  <c r="V179" i="32" s="1"/>
  <c r="U24" i="32"/>
  <c r="V24" i="32" s="1"/>
  <c r="U62" i="32"/>
  <c r="V62" i="32" s="1"/>
  <c r="T17" i="32"/>
  <c r="D7" i="47"/>
  <c r="F7" i="47"/>
  <c r="L7" i="47"/>
  <c r="N7" i="47"/>
  <c r="J9" i="47"/>
  <c r="J11" i="47"/>
  <c r="N11" i="47"/>
  <c r="D17" i="47"/>
  <c r="F17" i="47"/>
  <c r="H17" i="47"/>
  <c r="N17" i="47"/>
  <c r="B16" i="47"/>
  <c r="B5" i="47" s="1"/>
  <c r="H23" i="47"/>
  <c r="J23" i="47"/>
  <c r="L23" i="47"/>
  <c r="N23" i="47"/>
  <c r="D26" i="47"/>
  <c r="F26" i="47"/>
  <c r="H26" i="47"/>
  <c r="J26" i="47"/>
  <c r="L26" i="47"/>
  <c r="N26" i="47"/>
  <c r="F30" i="47"/>
  <c r="H30" i="47"/>
  <c r="J30" i="47"/>
  <c r="L30" i="47"/>
  <c r="N30" i="47"/>
  <c r="D32" i="47"/>
  <c r="F32" i="47"/>
  <c r="H32" i="47"/>
  <c r="J32" i="47"/>
  <c r="L32" i="47"/>
  <c r="N32" i="47"/>
  <c r="C16" i="47"/>
  <c r="D16" i="47" s="1"/>
  <c r="K16" i="47"/>
  <c r="F36" i="47"/>
  <c r="H36" i="47"/>
  <c r="J36" i="47"/>
  <c r="L36" i="47"/>
  <c r="N36" i="47"/>
  <c r="E35" i="47"/>
  <c r="L40" i="47"/>
  <c r="M35" i="47"/>
  <c r="N35" i="47" s="1"/>
  <c r="F46" i="47"/>
  <c r="H46" i="47"/>
  <c r="J46" i="47"/>
  <c r="L46" i="47"/>
  <c r="N46" i="47"/>
  <c r="F52" i="47"/>
  <c r="N52" i="47"/>
  <c r="D53" i="47"/>
  <c r="J53" i="47"/>
  <c r="L53" i="47"/>
  <c r="N53" i="47"/>
  <c r="B52" i="47"/>
  <c r="D52" i="47" s="1"/>
  <c r="D60" i="47"/>
  <c r="F60" i="47"/>
  <c r="G52" i="47"/>
  <c r="J52" i="47" s="1"/>
  <c r="I52" i="47"/>
  <c r="L52" i="47" s="1"/>
  <c r="N60" i="47"/>
  <c r="D68" i="47"/>
  <c r="J68" i="47"/>
  <c r="L68" i="47"/>
  <c r="N68" i="47"/>
  <c r="D73" i="47"/>
  <c r="F73" i="47"/>
  <c r="H73" i="47"/>
  <c r="N73" i="47"/>
  <c r="D80" i="47"/>
  <c r="F80" i="47"/>
  <c r="J80" i="47"/>
  <c r="L80" i="47"/>
  <c r="N80" i="47"/>
  <c r="C77" i="47"/>
  <c r="C76" i="47" s="1"/>
  <c r="J83" i="47"/>
  <c r="K77" i="47"/>
  <c r="M77" i="47"/>
  <c r="F86" i="47"/>
  <c r="H86" i="47"/>
  <c r="J86" i="47"/>
  <c r="L86" i="47"/>
  <c r="D92" i="47"/>
  <c r="J92" i="47"/>
  <c r="F110" i="47"/>
  <c r="M90" i="47"/>
  <c r="D111" i="47"/>
  <c r="F111" i="47"/>
  <c r="H111" i="47"/>
  <c r="J111" i="47"/>
  <c r="L111" i="47"/>
  <c r="N111" i="47"/>
  <c r="D115" i="47"/>
  <c r="F115" i="47"/>
  <c r="H115" i="47"/>
  <c r="L115" i="47"/>
  <c r="J115" i="47"/>
  <c r="F120" i="47"/>
  <c r="G110" i="47"/>
  <c r="J110" i="47" s="1"/>
  <c r="I110" i="47"/>
  <c r="J120" i="47"/>
  <c r="N120" i="47"/>
  <c r="D144" i="47"/>
  <c r="F144" i="47"/>
  <c r="H144" i="47"/>
  <c r="J144" i="47"/>
  <c r="K120" i="47"/>
  <c r="L120" i="47" s="1"/>
  <c r="L144" i="47"/>
  <c r="N144" i="47"/>
  <c r="D147" i="47"/>
  <c r="F147" i="47"/>
  <c r="H147" i="47"/>
  <c r="J147" i="47"/>
  <c r="L147" i="47"/>
  <c r="N147" i="47"/>
  <c r="I150" i="47"/>
  <c r="J151" i="47"/>
  <c r="L151" i="47"/>
  <c r="E155" i="47"/>
  <c r="F155" i="47" s="1"/>
  <c r="F156" i="47"/>
  <c r="H156" i="47"/>
  <c r="J156" i="47"/>
  <c r="L156" i="47"/>
  <c r="D162" i="47"/>
  <c r="F162" i="47"/>
  <c r="H162" i="47"/>
  <c r="J162" i="47"/>
  <c r="L162" i="47"/>
  <c r="G164" i="47"/>
  <c r="H165" i="47"/>
  <c r="N165" i="47"/>
  <c r="F167" i="47"/>
  <c r="H167" i="47"/>
  <c r="L167" i="47"/>
  <c r="F195" i="47"/>
  <c r="H195" i="47"/>
  <c r="J195" i="47"/>
  <c r="L195" i="47"/>
  <c r="D7" i="48"/>
  <c r="F7" i="48"/>
  <c r="H7" i="48"/>
  <c r="J7" i="48"/>
  <c r="L7" i="48"/>
  <c r="N7" i="48"/>
  <c r="G6" i="48"/>
  <c r="H6" i="48" s="1"/>
  <c r="J9" i="48"/>
  <c r="D11" i="48"/>
  <c r="F11" i="48"/>
  <c r="H11" i="48"/>
  <c r="J11" i="48"/>
  <c r="L11" i="48"/>
  <c r="O9" i="48"/>
  <c r="O6" i="48" s="1"/>
  <c r="Q11" i="48"/>
  <c r="Q9" i="48" s="1"/>
  <c r="Q6" i="48" s="1"/>
  <c r="B5" i="48"/>
  <c r="B4" i="48" s="1"/>
  <c r="F17" i="48"/>
  <c r="H17" i="48"/>
  <c r="J17" i="48"/>
  <c r="L17" i="48"/>
  <c r="N17" i="48"/>
  <c r="P17" i="48"/>
  <c r="O17" i="48"/>
  <c r="D23" i="48"/>
  <c r="L23" i="48"/>
  <c r="D26" i="48"/>
  <c r="J26" i="48"/>
  <c r="L26" i="48"/>
  <c r="N26" i="48"/>
  <c r="D30" i="48"/>
  <c r="F30" i="48"/>
  <c r="L30" i="48"/>
  <c r="N30" i="48"/>
  <c r="D32" i="48"/>
  <c r="F32" i="48"/>
  <c r="H32" i="48"/>
  <c r="J32" i="48"/>
  <c r="L32" i="48"/>
  <c r="N32" i="48"/>
  <c r="F36" i="48"/>
  <c r="H36" i="48"/>
  <c r="J36" i="48"/>
  <c r="L36" i="48"/>
  <c r="N36" i="48"/>
  <c r="F40" i="48"/>
  <c r="H40" i="48"/>
  <c r="J40" i="48"/>
  <c r="L40" i="48"/>
  <c r="N40" i="48"/>
  <c r="F46" i="48"/>
  <c r="G35" i="48"/>
  <c r="G16" i="48" s="1"/>
  <c r="J46" i="48"/>
  <c r="L46" i="48"/>
  <c r="N46" i="48"/>
  <c r="O35" i="48"/>
  <c r="D55" i="48"/>
  <c r="F55" i="48"/>
  <c r="H55" i="48"/>
  <c r="J55" i="48"/>
  <c r="L55" i="48"/>
  <c r="N55" i="48"/>
  <c r="D62" i="48"/>
  <c r="F62" i="48"/>
  <c r="L62" i="48"/>
  <c r="N62" i="48"/>
  <c r="O62" i="48"/>
  <c r="H70" i="48"/>
  <c r="J70" i="48"/>
  <c r="D75" i="48"/>
  <c r="F75" i="48"/>
  <c r="H75" i="48"/>
  <c r="J75" i="48"/>
  <c r="L75" i="48"/>
  <c r="N75" i="48"/>
  <c r="F82" i="48"/>
  <c r="J82" i="48"/>
  <c r="K79" i="48"/>
  <c r="K78" i="48" s="1"/>
  <c r="L82" i="48"/>
  <c r="N82" i="48"/>
  <c r="P79" i="48"/>
  <c r="P78" i="48" s="1"/>
  <c r="H85" i="48"/>
  <c r="J85" i="48"/>
  <c r="F88" i="48"/>
  <c r="L88" i="48"/>
  <c r="J94" i="48"/>
  <c r="Q94" i="48"/>
  <c r="Q92" i="48" s="1"/>
  <c r="P94" i="48"/>
  <c r="P92" i="48" s="1"/>
  <c r="B92" i="48"/>
  <c r="D112" i="48"/>
  <c r="M92" i="48"/>
  <c r="D113" i="48"/>
  <c r="F113" i="48"/>
  <c r="H113" i="48"/>
  <c r="J113" i="48"/>
  <c r="L113" i="48"/>
  <c r="D117" i="48"/>
  <c r="F117" i="48"/>
  <c r="H117" i="48"/>
  <c r="L117" i="48"/>
  <c r="J117" i="48"/>
  <c r="D122" i="48"/>
  <c r="F122" i="48"/>
  <c r="G112" i="48"/>
  <c r="G92" i="48" s="1"/>
  <c r="J92" i="48" s="1"/>
  <c r="J122" i="48"/>
  <c r="L122" i="48"/>
  <c r="Q122" i="48"/>
  <c r="N122" i="48"/>
  <c r="P122" i="48"/>
  <c r="D146" i="48"/>
  <c r="F146" i="48"/>
  <c r="H146" i="48"/>
  <c r="I92" i="48"/>
  <c r="L146" i="48"/>
  <c r="N146" i="48"/>
  <c r="D149" i="48"/>
  <c r="F149" i="48"/>
  <c r="L149" i="48"/>
  <c r="N149" i="48"/>
  <c r="L152" i="48"/>
  <c r="J153" i="48"/>
  <c r="L153" i="48"/>
  <c r="L157" i="48"/>
  <c r="F157" i="48"/>
  <c r="H158" i="48"/>
  <c r="J158" i="48"/>
  <c r="L158" i="48"/>
  <c r="D164" i="48"/>
  <c r="F164" i="48"/>
  <c r="H164" i="48"/>
  <c r="J164" i="48"/>
  <c r="L164" i="48"/>
  <c r="F169" i="48"/>
  <c r="H169" i="48"/>
  <c r="O169" i="48"/>
  <c r="P170" i="48"/>
  <c r="Q170" i="48"/>
  <c r="P169" i="48"/>
  <c r="D198" i="48"/>
  <c r="E166" i="48"/>
  <c r="E151" i="48" s="1"/>
  <c r="L198" i="48"/>
  <c r="T151" i="32"/>
  <c r="U151" i="32" s="1"/>
  <c r="U152" i="32"/>
  <c r="S7" i="32"/>
  <c r="U8" i="32"/>
  <c r="V8" i="32" s="1"/>
  <c r="S26" i="32"/>
  <c r="U26" i="32" s="1"/>
  <c r="V26" i="32" s="1"/>
  <c r="U28" i="32"/>
  <c r="V28" i="32" s="1"/>
  <c r="S30" i="32"/>
  <c r="U30" i="32" s="1"/>
  <c r="V30" i="32" s="1"/>
  <c r="U31" i="32"/>
  <c r="V31" i="32" s="1"/>
  <c r="S32" i="32"/>
  <c r="U32" i="32" s="1"/>
  <c r="U33" i="32"/>
  <c r="V33" i="32" s="1"/>
  <c r="U148" i="32"/>
  <c r="S74" i="32"/>
  <c r="U74" i="32" s="1"/>
  <c r="V74" i="32" s="1"/>
  <c r="U75" i="32"/>
  <c r="V75" i="32" s="1"/>
  <c r="S81" i="32"/>
  <c r="U81" i="32" s="1"/>
  <c r="V81" i="32" s="1"/>
  <c r="U82" i="32"/>
  <c r="V82" i="32" s="1"/>
  <c r="S84" i="32"/>
  <c r="U84" i="32" s="1"/>
  <c r="V84" i="32" s="1"/>
  <c r="U85" i="32"/>
  <c r="V85" i="32" s="1"/>
  <c r="U55" i="32"/>
  <c r="U70" i="32"/>
  <c r="V70" i="32" s="1"/>
  <c r="U170" i="32"/>
  <c r="V170" i="32" s="1"/>
  <c r="U171" i="32"/>
  <c r="V171" i="32" s="1"/>
  <c r="U176" i="32"/>
  <c r="V176" i="32" s="1"/>
  <c r="U175" i="32"/>
  <c r="V175" i="32" s="1"/>
  <c r="U178" i="32"/>
  <c r="V178" i="32" s="1"/>
  <c r="T168" i="32"/>
  <c r="T166" i="32" s="1"/>
  <c r="T165" i="32" s="1"/>
  <c r="U165" i="32" s="1"/>
  <c r="U187" i="32"/>
  <c r="T69" i="32"/>
  <c r="T54" i="32"/>
  <c r="T39" i="32"/>
  <c r="T11" i="32"/>
  <c r="T9" i="32" s="1"/>
  <c r="T6" i="32" s="1"/>
  <c r="V6" i="32" s="1"/>
  <c r="T35" i="32"/>
  <c r="T61" i="32"/>
  <c r="T45" i="32"/>
  <c r="T23" i="32"/>
  <c r="P52" i="32"/>
  <c r="S69" i="32"/>
  <c r="R61" i="32"/>
  <c r="R78" i="32"/>
  <c r="R77" i="32" s="1"/>
  <c r="R168" i="32"/>
  <c r="S168" i="32"/>
  <c r="R169" i="32"/>
  <c r="S169" i="32"/>
  <c r="U169" i="32" s="1"/>
  <c r="R69" i="32"/>
  <c r="Q69" i="32"/>
  <c r="S61" i="32"/>
  <c r="O121" i="32"/>
  <c r="AE492" i="49" s="1"/>
  <c r="AE493" i="49" s="1"/>
  <c r="O112" i="32"/>
  <c r="P115" i="32"/>
  <c r="P112" i="32" s="1"/>
  <c r="O93" i="32"/>
  <c r="P94" i="32"/>
  <c r="P75" i="32"/>
  <c r="P82" i="32"/>
  <c r="O45" i="32"/>
  <c r="P28" i="32"/>
  <c r="O168" i="32"/>
  <c r="O166" i="32" s="1"/>
  <c r="O165" i="32" s="1"/>
  <c r="P31" i="32"/>
  <c r="P85" i="32"/>
  <c r="O69" i="32"/>
  <c r="X156" i="32"/>
  <c r="X150" i="32" s="1"/>
  <c r="T156" i="32"/>
  <c r="U156" i="32" s="1"/>
  <c r="O32" i="32"/>
  <c r="O39" i="32"/>
  <c r="P8" i="32"/>
  <c r="O61" i="32"/>
  <c r="O54" i="32"/>
  <c r="O35" i="32"/>
  <c r="P47" i="32"/>
  <c r="X34" i="32"/>
  <c r="X16" i="32" s="1"/>
  <c r="X78" i="32"/>
  <c r="X77" i="32" s="1"/>
  <c r="O23" i="32"/>
  <c r="P40" i="32"/>
  <c r="T78" i="32"/>
  <c r="O17" i="32"/>
  <c r="O11" i="32"/>
  <c r="O9" i="32" s="1"/>
  <c r="O6" i="32" s="1"/>
  <c r="X111" i="32"/>
  <c r="X91" i="32" s="1"/>
  <c r="O156" i="32"/>
  <c r="P168" i="32"/>
  <c r="P121" i="32"/>
  <c r="O78" i="32"/>
  <c r="P11" i="32"/>
  <c r="Q61" i="32"/>
  <c r="D152" i="48"/>
  <c r="J112" i="48"/>
  <c r="J152" i="48"/>
  <c r="I166" i="48"/>
  <c r="O79" i="48"/>
  <c r="O78" i="48" s="1"/>
  <c r="I6" i="48"/>
  <c r="H9" i="48"/>
  <c r="F23" i="48"/>
  <c r="N23" i="48"/>
  <c r="C35" i="48"/>
  <c r="K35" i="48"/>
  <c r="K16" i="48" s="1"/>
  <c r="E79" i="48"/>
  <c r="M79" i="48"/>
  <c r="H82" i="48"/>
  <c r="D85" i="48"/>
  <c r="L85" i="48"/>
  <c r="H88" i="48"/>
  <c r="D94" i="48"/>
  <c r="F112" i="48"/>
  <c r="H122" i="48"/>
  <c r="J146" i="48"/>
  <c r="H149" i="48"/>
  <c r="D153" i="48"/>
  <c r="G157" i="48"/>
  <c r="H157" i="48" s="1"/>
  <c r="D167" i="48"/>
  <c r="L167" i="48"/>
  <c r="J169" i="48"/>
  <c r="O170" i="48"/>
  <c r="F198" i="48"/>
  <c r="D158" i="48"/>
  <c r="H23" i="48"/>
  <c r="F26" i="48"/>
  <c r="H30" i="48"/>
  <c r="E35" i="48"/>
  <c r="M35" i="48"/>
  <c r="H46" i="48"/>
  <c r="H62" i="48"/>
  <c r="D70" i="48"/>
  <c r="L70" i="48"/>
  <c r="K166" i="48"/>
  <c r="N166" i="48" s="1"/>
  <c r="L169" i="48"/>
  <c r="H198" i="48"/>
  <c r="C9" i="48"/>
  <c r="F9" i="48" s="1"/>
  <c r="K9" i="48"/>
  <c r="F158" i="48"/>
  <c r="G167" i="48"/>
  <c r="I35" i="48"/>
  <c r="O40" i="47"/>
  <c r="P36" i="47"/>
  <c r="Q40" i="47"/>
  <c r="Q54" i="32"/>
  <c r="S54" i="32"/>
  <c r="O17" i="47"/>
  <c r="R54" i="32"/>
  <c r="O23" i="47"/>
  <c r="Q92" i="47"/>
  <c r="O60" i="47"/>
  <c r="O52" i="47" s="1"/>
  <c r="Q17" i="47"/>
  <c r="Q167" i="47"/>
  <c r="Q23" i="32"/>
  <c r="O167" i="47"/>
  <c r="Q169" i="32"/>
  <c r="O11" i="47"/>
  <c r="O9" i="47" s="1"/>
  <c r="O6" i="47" s="1"/>
  <c r="P60" i="47"/>
  <c r="P52" i="47" s="1"/>
  <c r="P51" i="47" s="1"/>
  <c r="P111" i="47"/>
  <c r="R39" i="32"/>
  <c r="S23" i="32"/>
  <c r="Q60" i="47"/>
  <c r="Q52" i="47" s="1"/>
  <c r="P167" i="47"/>
  <c r="Q45" i="32"/>
  <c r="Q11" i="47"/>
  <c r="Q9" i="47" s="1"/>
  <c r="Q6" i="47" s="1"/>
  <c r="P11" i="47"/>
  <c r="P9" i="47" s="1"/>
  <c r="P6" i="47" s="1"/>
  <c r="P92" i="47"/>
  <c r="O111" i="47"/>
  <c r="O92" i="47"/>
  <c r="P120" i="47"/>
  <c r="O120" i="47"/>
  <c r="P17" i="47"/>
  <c r="Q23" i="47"/>
  <c r="P23" i="47"/>
  <c r="Q111" i="47"/>
  <c r="Q120" i="47"/>
  <c r="S35" i="32"/>
  <c r="S45" i="32"/>
  <c r="Q168" i="32"/>
  <c r="S17" i="32"/>
  <c r="R45" i="32"/>
  <c r="S11" i="32"/>
  <c r="Q17" i="32"/>
  <c r="Q78" i="32"/>
  <c r="Q77" i="32" s="1"/>
  <c r="K6" i="47"/>
  <c r="L9" i="47"/>
  <c r="J165" i="47"/>
  <c r="I164" i="47"/>
  <c r="I149" i="47" s="1"/>
  <c r="N9" i="47"/>
  <c r="M6" i="47"/>
  <c r="I90" i="47"/>
  <c r="C6" i="47"/>
  <c r="D9" i="47"/>
  <c r="N110" i="47"/>
  <c r="D150" i="47"/>
  <c r="K76" i="47"/>
  <c r="N77" i="47"/>
  <c r="M76" i="47"/>
  <c r="L150" i="47"/>
  <c r="J150" i="47"/>
  <c r="E9" i="47"/>
  <c r="H9" i="47" s="1"/>
  <c r="D11" i="47"/>
  <c r="L11" i="47"/>
  <c r="F40" i="47"/>
  <c r="N40" i="47"/>
  <c r="H60" i="47"/>
  <c r="D83" i="47"/>
  <c r="L83" i="47"/>
  <c r="D151" i="47"/>
  <c r="G155" i="47"/>
  <c r="L165" i="47"/>
  <c r="J167" i="47"/>
  <c r="B110" i="47"/>
  <c r="D156" i="47"/>
  <c r="B164" i="47"/>
  <c r="D23" i="47"/>
  <c r="H7" i="47"/>
  <c r="F11" i="47"/>
  <c r="J17" i="47"/>
  <c r="H40" i="47"/>
  <c r="F53" i="47"/>
  <c r="J60" i="47"/>
  <c r="F68" i="47"/>
  <c r="J73" i="47"/>
  <c r="F83" i="47"/>
  <c r="N83" i="47"/>
  <c r="I6" i="47"/>
  <c r="F23" i="47"/>
  <c r="G35" i="47"/>
  <c r="E77" i="47"/>
  <c r="H80" i="47"/>
  <c r="L60" i="47"/>
  <c r="I35" i="47"/>
  <c r="L35" i="47" s="1"/>
  <c r="H120" i="47"/>
  <c r="M16" i="47"/>
  <c r="E92" i="47"/>
  <c r="R35" i="32"/>
  <c r="R17" i="32"/>
  <c r="Q35" i="32"/>
  <c r="S39" i="32"/>
  <c r="R11" i="32"/>
  <c r="R9" i="32" s="1"/>
  <c r="R6" i="32" s="1"/>
  <c r="R23" i="32"/>
  <c r="Q39" i="32"/>
  <c r="Q11" i="32"/>
  <c r="Q9" i="32" s="1"/>
  <c r="C72" i="43"/>
  <c r="AA105" i="64" l="1"/>
  <c r="H112" i="48"/>
  <c r="D88" i="57"/>
  <c r="W46" i="64"/>
  <c r="Z46" i="64"/>
  <c r="Z121" i="64"/>
  <c r="W121" i="64"/>
  <c r="L77" i="47"/>
  <c r="C166" i="48"/>
  <c r="B3" i="48"/>
  <c r="AE149" i="64"/>
  <c r="AD150" i="64"/>
  <c r="Z122" i="64"/>
  <c r="W122" i="64"/>
  <c r="Z136" i="64"/>
  <c r="W136" i="64"/>
  <c r="Z146" i="64"/>
  <c r="AD145" i="64"/>
  <c r="AA145" i="64"/>
  <c r="O16" i="48"/>
  <c r="E33" i="64"/>
  <c r="V33" i="64"/>
  <c r="K149" i="47"/>
  <c r="N149" i="47" s="1"/>
  <c r="Z36" i="64"/>
  <c r="X36" i="64"/>
  <c r="K110" i="47"/>
  <c r="P16" i="48"/>
  <c r="D76" i="57"/>
  <c r="H22" i="64"/>
  <c r="K22" i="64" s="1"/>
  <c r="L22" i="64" s="1"/>
  <c r="H24" i="64"/>
  <c r="H23" i="64"/>
  <c r="K21" i="64"/>
  <c r="L21" i="64" s="1"/>
  <c r="Z18" i="64"/>
  <c r="Y18" i="64"/>
  <c r="Z32" i="64"/>
  <c r="Y32" i="64"/>
  <c r="Z31" i="64"/>
  <c r="X31" i="64"/>
  <c r="Z92" i="64"/>
  <c r="X92" i="64"/>
  <c r="X105" i="64" s="1"/>
  <c r="V105" i="64"/>
  <c r="L78" i="48"/>
  <c r="F164" i="47"/>
  <c r="Z52" i="64"/>
  <c r="W52" i="64"/>
  <c r="Z141" i="64"/>
  <c r="W141" i="64"/>
  <c r="X43" i="64"/>
  <c r="W177" i="64" s="1"/>
  <c r="Z43" i="64"/>
  <c r="Z21" i="64"/>
  <c r="W21" i="64"/>
  <c r="Z110" i="64"/>
  <c r="W110" i="64"/>
  <c r="V118" i="64"/>
  <c r="Z44" i="64"/>
  <c r="W44" i="64"/>
  <c r="Z111" i="64"/>
  <c r="W111" i="64"/>
  <c r="AC105" i="64"/>
  <c r="D3" i="65" s="1"/>
  <c r="AG89" i="64"/>
  <c r="AG105" i="64" s="1"/>
  <c r="E3" i="65" s="1"/>
  <c r="AE105" i="64"/>
  <c r="D87" i="60"/>
  <c r="C33" i="61"/>
  <c r="C33" i="60"/>
  <c r="E33" i="60" s="1"/>
  <c r="E23" i="53"/>
  <c r="C23" i="60"/>
  <c r="L155" i="47"/>
  <c r="X64" i="52"/>
  <c r="Q16" i="48"/>
  <c r="D29" i="60"/>
  <c r="L31" i="60"/>
  <c r="O31" i="60" s="1"/>
  <c r="F18" i="61"/>
  <c r="O25" i="63"/>
  <c r="O25" i="62"/>
  <c r="O24" i="62" s="1"/>
  <c r="O23" i="62" s="1"/>
  <c r="E36" i="61"/>
  <c r="O223" i="63"/>
  <c r="O74" i="62"/>
  <c r="O73" i="62" s="1"/>
  <c r="O72" i="62" s="1"/>
  <c r="O71" i="62"/>
  <c r="O211" i="63"/>
  <c r="D44" i="61"/>
  <c r="D27" i="53"/>
  <c r="C27" i="60"/>
  <c r="O151" i="63"/>
  <c r="D88" i="61"/>
  <c r="O63" i="62"/>
  <c r="H94" i="48"/>
  <c r="E24" i="61"/>
  <c r="D29" i="61"/>
  <c r="L31" i="61"/>
  <c r="O53" i="62"/>
  <c r="O52" i="62" s="1"/>
  <c r="O51" i="62" s="1"/>
  <c r="O128" i="63"/>
  <c r="F32" i="61"/>
  <c r="H52" i="47"/>
  <c r="L164" i="47"/>
  <c r="E92" i="48"/>
  <c r="F92" i="48" s="1"/>
  <c r="G5" i="48"/>
  <c r="G4" i="48" s="1"/>
  <c r="X76" i="52"/>
  <c r="D87" i="57"/>
  <c r="L92" i="48"/>
  <c r="C84" i="61"/>
  <c r="O143" i="63"/>
  <c r="O59" i="62"/>
  <c r="D76" i="61"/>
  <c r="E59" i="61"/>
  <c r="G51" i="47"/>
  <c r="D87" i="61"/>
  <c r="D107" i="61"/>
  <c r="O209" i="63"/>
  <c r="O70" i="62"/>
  <c r="O69" i="62" s="1"/>
  <c r="D45" i="61"/>
  <c r="O174" i="63"/>
  <c r="O67" i="62"/>
  <c r="O5" i="48"/>
  <c r="D26" i="60"/>
  <c r="I27" i="60"/>
  <c r="O34" i="63"/>
  <c r="O33" i="62"/>
  <c r="E31" i="61"/>
  <c r="D78" i="48"/>
  <c r="D76" i="60"/>
  <c r="C84" i="60"/>
  <c r="O144" i="63"/>
  <c r="O60" i="62"/>
  <c r="E59" i="60"/>
  <c r="E71" i="60" s="1"/>
  <c r="C71" i="60"/>
  <c r="O33" i="63"/>
  <c r="O32" i="62"/>
  <c r="I22" i="61"/>
  <c r="D21" i="61"/>
  <c r="X69" i="52"/>
  <c r="U168" i="32"/>
  <c r="E30" i="53"/>
  <c r="C30" i="60"/>
  <c r="E24" i="60"/>
  <c r="I29" i="60"/>
  <c r="J77" i="47"/>
  <c r="S54" i="48"/>
  <c r="D92" i="48"/>
  <c r="C26" i="57"/>
  <c r="D26" i="57" s="1"/>
  <c r="D28" i="53"/>
  <c r="C28" i="60"/>
  <c r="C28" i="61"/>
  <c r="D28" i="61" s="1"/>
  <c r="D25" i="53"/>
  <c r="C25" i="61"/>
  <c r="D25" i="61" s="1"/>
  <c r="C25" i="60"/>
  <c r="N112" i="48"/>
  <c r="N92" i="48" s="1"/>
  <c r="D77" i="57"/>
  <c r="D81" i="59"/>
  <c r="D51" i="61"/>
  <c r="O175" i="63"/>
  <c r="O68" i="62"/>
  <c r="O66" i="63"/>
  <c r="O42" i="62"/>
  <c r="O41" i="62" s="1"/>
  <c r="D102" i="61"/>
  <c r="E43" i="61"/>
  <c r="C143" i="61" s="1"/>
  <c r="O39" i="63"/>
  <c r="O38" i="62"/>
  <c r="O37" i="62" s="1"/>
  <c r="O36" i="62" s="1"/>
  <c r="D21" i="60"/>
  <c r="I22" i="60"/>
  <c r="C25" i="57"/>
  <c r="D25" i="57" s="1"/>
  <c r="C28" i="57"/>
  <c r="D28" i="57" s="1"/>
  <c r="V14" i="52"/>
  <c r="Y14" i="52"/>
  <c r="Y3" i="52"/>
  <c r="C7" i="53" s="1"/>
  <c r="C7" i="64" s="1"/>
  <c r="C16" i="54"/>
  <c r="K92" i="48"/>
  <c r="H92" i="48"/>
  <c r="C27" i="57"/>
  <c r="D27" i="57" s="1"/>
  <c r="G90" i="47"/>
  <c r="J90" i="47" s="1"/>
  <c r="Q35" i="47"/>
  <c r="Q16" i="47" s="1"/>
  <c r="Q5" i="47" s="1"/>
  <c r="D79" i="48"/>
  <c r="O35" i="47"/>
  <c r="S32" i="48"/>
  <c r="O4" i="48"/>
  <c r="O3" i="48" s="1"/>
  <c r="B51" i="47"/>
  <c r="B4" i="47" s="1"/>
  <c r="H110" i="47"/>
  <c r="Q4" i="48"/>
  <c r="Q3" i="48" s="1"/>
  <c r="C30" i="57"/>
  <c r="E30" i="57" s="1"/>
  <c r="N90" i="47"/>
  <c r="F165" i="47"/>
  <c r="J79" i="48"/>
  <c r="E59" i="57"/>
  <c r="E71" i="57" s="1"/>
  <c r="B5" i="59"/>
  <c r="D77" i="47"/>
  <c r="J164" i="47"/>
  <c r="N16" i="47"/>
  <c r="L79" i="48"/>
  <c r="C23" i="57"/>
  <c r="E23" i="57" s="1"/>
  <c r="Z21" i="52"/>
  <c r="AA21" i="52" s="1"/>
  <c r="C22" i="53"/>
  <c r="C22" i="60" s="1"/>
  <c r="H21" i="60" s="1"/>
  <c r="P35" i="47"/>
  <c r="O51" i="47"/>
  <c r="D165" i="47"/>
  <c r="I51" i="47"/>
  <c r="J51" i="47" s="1"/>
  <c r="Q51" i="47"/>
  <c r="N35" i="48"/>
  <c r="X35" i="52"/>
  <c r="E31" i="57"/>
  <c r="D35" i="58"/>
  <c r="E33" i="53"/>
  <c r="C33" i="57"/>
  <c r="M6" i="56"/>
  <c r="E6" i="56" s="1"/>
  <c r="E24" i="56"/>
  <c r="C14" i="53"/>
  <c r="C14" i="64" s="1"/>
  <c r="X12" i="52"/>
  <c r="V26" i="52"/>
  <c r="W26" i="52" s="1"/>
  <c r="X26" i="52" s="1"/>
  <c r="V23" i="52"/>
  <c r="W23" i="52" s="1"/>
  <c r="X23" i="52" s="1"/>
  <c r="V107" i="52"/>
  <c r="X107" i="52"/>
  <c r="V108" i="52"/>
  <c r="W108" i="52" s="1"/>
  <c r="X108" i="52" s="1"/>
  <c r="V9" i="52"/>
  <c r="W9" i="52" s="1"/>
  <c r="X9" i="52" s="1"/>
  <c r="V91" i="52"/>
  <c r="W91" i="52" s="1"/>
  <c r="X91" i="52" s="1"/>
  <c r="Y91" i="52"/>
  <c r="C97" i="53" s="1"/>
  <c r="C131" i="64" s="1"/>
  <c r="V140" i="52"/>
  <c r="W140" i="52" s="1"/>
  <c r="X140" i="52" s="1"/>
  <c r="V88" i="52"/>
  <c r="W88" i="52" s="1"/>
  <c r="X88" i="52" s="1"/>
  <c r="Y88" i="52"/>
  <c r="V17" i="52"/>
  <c r="W17" i="52" s="1"/>
  <c r="X17" i="52" s="1"/>
  <c r="V52" i="52"/>
  <c r="W52" i="52" s="1"/>
  <c r="X52" i="52" s="1"/>
  <c r="V25" i="52"/>
  <c r="W25" i="52" s="1"/>
  <c r="X25" i="52" s="1"/>
  <c r="V93" i="52"/>
  <c r="W93" i="52" s="1"/>
  <c r="X93" i="52" s="1"/>
  <c r="V41" i="52"/>
  <c r="W41" i="52" s="1"/>
  <c r="X41" i="52" s="1"/>
  <c r="C8" i="53"/>
  <c r="C8" i="64" s="1"/>
  <c r="V122" i="52"/>
  <c r="W122" i="52" s="1"/>
  <c r="X122" i="52" s="1"/>
  <c r="V95" i="52"/>
  <c r="W95" i="52" s="1"/>
  <c r="X95" i="52" s="1"/>
  <c r="Y95" i="52"/>
  <c r="V27" i="52"/>
  <c r="W27" i="52" s="1"/>
  <c r="X27" i="52" s="1"/>
  <c r="V117" i="52"/>
  <c r="W117" i="52" s="1"/>
  <c r="X117" i="52" s="1"/>
  <c r="V125" i="52"/>
  <c r="W125" i="52" s="1"/>
  <c r="X125" i="52" s="1"/>
  <c r="V82" i="52"/>
  <c r="W82" i="52" s="1"/>
  <c r="X82" i="52" s="1"/>
  <c r="V19" i="52"/>
  <c r="W19" i="52" s="1"/>
  <c r="X19" i="52" s="1"/>
  <c r="C19" i="53"/>
  <c r="C19" i="64" s="1"/>
  <c r="V29" i="52"/>
  <c r="W29" i="52" s="1"/>
  <c r="X29" i="52" s="1"/>
  <c r="V49" i="52"/>
  <c r="W49" i="52" s="1"/>
  <c r="X49" i="52" s="1"/>
  <c r="Y49" i="52"/>
  <c r="V130" i="52"/>
  <c r="W130" i="52" s="1"/>
  <c r="X130" i="52" s="1"/>
  <c r="V104" i="52"/>
  <c r="X104" i="52"/>
  <c r="Y104" i="52"/>
  <c r="C105" i="53" s="1"/>
  <c r="C139" i="64" s="1"/>
  <c r="V20" i="52"/>
  <c r="W20" i="52" s="1"/>
  <c r="X20" i="52" s="1"/>
  <c r="Y20" i="52" s="1"/>
  <c r="C20" i="53" s="1"/>
  <c r="C20" i="64" s="1"/>
  <c r="V28" i="52"/>
  <c r="W28" i="52" s="1"/>
  <c r="X28" i="52" s="1"/>
  <c r="V119" i="52"/>
  <c r="W119" i="52" s="1"/>
  <c r="X119" i="52" s="1"/>
  <c r="V8" i="52"/>
  <c r="W8" i="52" s="1"/>
  <c r="X8" i="52" s="1"/>
  <c r="V116" i="52"/>
  <c r="W116" i="52" s="1"/>
  <c r="X116" i="52" s="1"/>
  <c r="V22" i="52"/>
  <c r="W22" i="52" s="1"/>
  <c r="X22" i="52" s="1"/>
  <c r="V123" i="52"/>
  <c r="W123" i="52" s="1"/>
  <c r="X123" i="52" s="1"/>
  <c r="V121" i="52"/>
  <c r="W121" i="52" s="1"/>
  <c r="X121" i="52" s="1"/>
  <c r="V89" i="52"/>
  <c r="W89" i="52" s="1"/>
  <c r="X89" i="52" s="1"/>
  <c r="V131" i="52"/>
  <c r="W131" i="52" s="1"/>
  <c r="X131" i="52" s="1"/>
  <c r="V10" i="52"/>
  <c r="W10" i="52" s="1"/>
  <c r="X10" i="52" s="1"/>
  <c r="V127" i="52"/>
  <c r="W127" i="52" s="1"/>
  <c r="X127" i="52" s="1"/>
  <c r="V103" i="52"/>
  <c r="W103" i="52" s="1"/>
  <c r="X103" i="52" s="1"/>
  <c r="Y103" i="52"/>
  <c r="D104" i="53" s="1"/>
  <c r="V33" i="52"/>
  <c r="W33" i="52" s="1"/>
  <c r="X33" i="52" s="1"/>
  <c r="V24" i="52"/>
  <c r="W24" i="52" s="1"/>
  <c r="X24" i="52" s="1"/>
  <c r="V6" i="52"/>
  <c r="W6" i="52" s="1"/>
  <c r="X6" i="52" s="1"/>
  <c r="C12" i="53"/>
  <c r="C12" i="64" s="1"/>
  <c r="V42" i="52"/>
  <c r="W42" i="52" s="1"/>
  <c r="X42" i="52" s="1"/>
  <c r="C9" i="53"/>
  <c r="C9" i="64" s="1"/>
  <c r="C11" i="53"/>
  <c r="C11" i="64" s="1"/>
  <c r="V87" i="52"/>
  <c r="W87" i="52" s="1"/>
  <c r="X87" i="52" s="1"/>
  <c r="Y87" i="52"/>
  <c r="V30" i="52"/>
  <c r="W30" i="52" s="1"/>
  <c r="X30" i="52" s="1"/>
  <c r="X50" i="52"/>
  <c r="Y50" i="52"/>
  <c r="V63" i="52"/>
  <c r="W63" i="52" s="1"/>
  <c r="X63" i="52" s="1"/>
  <c r="V45" i="52"/>
  <c r="W45" i="52" s="1"/>
  <c r="X45" i="52" s="1"/>
  <c r="V7" i="52"/>
  <c r="W7" i="52" s="1"/>
  <c r="X7" i="52" s="1"/>
  <c r="C13" i="53"/>
  <c r="C13" i="64" s="1"/>
  <c r="V15" i="52"/>
  <c r="W15" i="52" s="1"/>
  <c r="X15" i="52" s="1"/>
  <c r="Y15" i="52"/>
  <c r="V4" i="52"/>
  <c r="W4" i="52" s="1"/>
  <c r="V124" i="52"/>
  <c r="W124" i="52" s="1"/>
  <c r="X124" i="52" s="1"/>
  <c r="V56" i="52"/>
  <c r="W56" i="52" s="1"/>
  <c r="X56" i="52" s="1"/>
  <c r="V21" i="52"/>
  <c r="W21" i="52" s="1"/>
  <c r="X21" i="52" s="1"/>
  <c r="X90" i="52"/>
  <c r="Y90" i="52"/>
  <c r="C96" i="53" s="1"/>
  <c r="C130" i="64" s="1"/>
  <c r="V94" i="52"/>
  <c r="W94" i="52" s="1"/>
  <c r="X94" i="52" s="1"/>
  <c r="Y94" i="52"/>
  <c r="C99" i="53" s="1"/>
  <c r="C133" i="64" s="1"/>
  <c r="V74" i="52"/>
  <c r="W74" i="52" s="1"/>
  <c r="X74" i="52" s="1"/>
  <c r="V115" i="52"/>
  <c r="W115" i="52" s="1"/>
  <c r="X115" i="52" s="1"/>
  <c r="V81" i="52"/>
  <c r="W81" i="52" s="1"/>
  <c r="X81" i="52" s="1"/>
  <c r="V58" i="52"/>
  <c r="W58" i="52" s="1"/>
  <c r="X58" i="52" s="1"/>
  <c r="V36" i="52"/>
  <c r="W36" i="52" s="1"/>
  <c r="X36" i="52" s="1"/>
  <c r="V48" i="52"/>
  <c r="W48" i="52" s="1"/>
  <c r="X48" i="52" s="1"/>
  <c r="Y48" i="52"/>
  <c r="V120" i="52"/>
  <c r="W120" i="52" s="1"/>
  <c r="X120" i="52" s="1"/>
  <c r="V44" i="52"/>
  <c r="Y44" i="52"/>
  <c r="C47" i="53" s="1"/>
  <c r="C47" i="64" s="1"/>
  <c r="X44" i="52"/>
  <c r="V100" i="52"/>
  <c r="W100" i="52" s="1"/>
  <c r="X100" i="52" s="1"/>
  <c r="V102" i="52"/>
  <c r="W102" i="52" s="1"/>
  <c r="X102" i="52" s="1"/>
  <c r="Y102" i="52"/>
  <c r="D103" i="53" s="1"/>
  <c r="V3" i="52"/>
  <c r="W3" i="52" s="1"/>
  <c r="X3" i="52" s="1"/>
  <c r="V43" i="52"/>
  <c r="X43" i="52"/>
  <c r="Y43" i="52"/>
  <c r="C50" i="53" s="1"/>
  <c r="C51" i="64" s="1"/>
  <c r="W34" i="52"/>
  <c r="X34" i="52" s="1"/>
  <c r="W14" i="52"/>
  <c r="X14" i="52" s="1"/>
  <c r="U121" i="32"/>
  <c r="V121" i="32" s="1"/>
  <c r="U39" i="32"/>
  <c r="V39" i="32" s="1"/>
  <c r="U23" i="32"/>
  <c r="V23" i="32" s="1"/>
  <c r="W52" i="32"/>
  <c r="V168" i="32"/>
  <c r="V165" i="32"/>
  <c r="V156" i="32"/>
  <c r="W156" i="32" s="1"/>
  <c r="V112" i="32"/>
  <c r="U93" i="32"/>
  <c r="V93" i="32" s="1"/>
  <c r="W93" i="32" s="1"/>
  <c r="V32" i="32"/>
  <c r="S78" i="32"/>
  <c r="S77" i="32" s="1"/>
  <c r="U17" i="32"/>
  <c r="V17" i="32" s="1"/>
  <c r="U45" i="32"/>
  <c r="V45" i="32" s="1"/>
  <c r="U35" i="32"/>
  <c r="V35" i="32" s="1"/>
  <c r="B149" i="47"/>
  <c r="D164" i="47"/>
  <c r="D149" i="47"/>
  <c r="S9" i="32"/>
  <c r="U11" i="32"/>
  <c r="V11" i="32" s="1"/>
  <c r="J35" i="48"/>
  <c r="I16" i="48"/>
  <c r="J16" i="48" s="1"/>
  <c r="D166" i="48"/>
  <c r="C151" i="48"/>
  <c r="D151" i="48" s="1"/>
  <c r="F166" i="48"/>
  <c r="F35" i="48"/>
  <c r="E16" i="48"/>
  <c r="E5" i="48" s="1"/>
  <c r="D35" i="48"/>
  <c r="C16" i="48"/>
  <c r="D16" i="48" s="1"/>
  <c r="T91" i="32"/>
  <c r="U91" i="32" s="1"/>
  <c r="U111" i="32"/>
  <c r="U61" i="32"/>
  <c r="V61" i="32" s="1"/>
  <c r="U54" i="32"/>
  <c r="V54" i="32" s="1"/>
  <c r="U69" i="32"/>
  <c r="V69" i="32" s="1"/>
  <c r="P4" i="48"/>
  <c r="P3" i="48" s="1"/>
  <c r="H164" i="47"/>
  <c r="G149" i="47"/>
  <c r="F35" i="47"/>
  <c r="E16" i="47"/>
  <c r="F16" i="47" s="1"/>
  <c r="T150" i="32"/>
  <c r="U150" i="32" s="1"/>
  <c r="U166" i="32"/>
  <c r="V166" i="32" s="1"/>
  <c r="T77" i="32"/>
  <c r="T34" i="32"/>
  <c r="T16" i="32" s="1"/>
  <c r="T5" i="32" s="1"/>
  <c r="T4" i="32" s="1"/>
  <c r="O111" i="32"/>
  <c r="O91" i="32" s="1"/>
  <c r="O34" i="32"/>
  <c r="O16" i="32" s="1"/>
  <c r="O5" i="32" s="1"/>
  <c r="O4" i="32" s="1"/>
  <c r="R4" i="32"/>
  <c r="R3" i="32" s="1"/>
  <c r="O77" i="32"/>
  <c r="O150" i="32"/>
  <c r="G166" i="48"/>
  <c r="J166" i="48" s="1"/>
  <c r="H167" i="48"/>
  <c r="L9" i="48"/>
  <c r="K6" i="48"/>
  <c r="N9" i="48"/>
  <c r="D9" i="48"/>
  <c r="C6" i="48"/>
  <c r="P5" i="48"/>
  <c r="N79" i="48"/>
  <c r="M78" i="48"/>
  <c r="N78" i="48" s="1"/>
  <c r="F79" i="48"/>
  <c r="E78" i="48"/>
  <c r="J6" i="48"/>
  <c r="I151" i="48"/>
  <c r="M16" i="48"/>
  <c r="H79" i="48"/>
  <c r="K151" i="48"/>
  <c r="L166" i="48"/>
  <c r="L35" i="48"/>
  <c r="J157" i="48"/>
  <c r="J167" i="48"/>
  <c r="Q5" i="48"/>
  <c r="H35" i="48"/>
  <c r="Q6" i="32"/>
  <c r="O16" i="47"/>
  <c r="O5" i="47" s="1"/>
  <c r="P110" i="47"/>
  <c r="P90" i="47" s="1"/>
  <c r="P16" i="47"/>
  <c r="P5" i="47" s="1"/>
  <c r="P4" i="47" s="1"/>
  <c r="O110" i="47"/>
  <c r="O90" i="47" s="1"/>
  <c r="Q110" i="47"/>
  <c r="Q90" i="47" s="1"/>
  <c r="Q4" i="32"/>
  <c r="Q3" i="32" s="1"/>
  <c r="S34" i="32"/>
  <c r="R34" i="32"/>
  <c r="Q34" i="32"/>
  <c r="Q16" i="32" s="1"/>
  <c r="E90" i="47"/>
  <c r="F90" i="47" s="1"/>
  <c r="H92" i="47"/>
  <c r="F92" i="47"/>
  <c r="J6" i="47"/>
  <c r="D76" i="47"/>
  <c r="C51" i="47"/>
  <c r="D51" i="47" s="1"/>
  <c r="L76" i="47"/>
  <c r="K51" i="47"/>
  <c r="J35" i="47"/>
  <c r="I16" i="47"/>
  <c r="I5" i="47" s="1"/>
  <c r="J155" i="47"/>
  <c r="H155" i="47"/>
  <c r="N76" i="47"/>
  <c r="M51" i="47"/>
  <c r="L6" i="47"/>
  <c r="K5" i="47"/>
  <c r="K90" i="47"/>
  <c r="L110" i="47"/>
  <c r="L90" i="47" s="1"/>
  <c r="M5" i="47"/>
  <c r="N6" i="47"/>
  <c r="F77" i="47"/>
  <c r="E76" i="47"/>
  <c r="F9" i="47"/>
  <c r="E6" i="47"/>
  <c r="H77" i="47"/>
  <c r="H35" i="47"/>
  <c r="G16" i="47"/>
  <c r="D110" i="47"/>
  <c r="B90" i="47"/>
  <c r="F149" i="47"/>
  <c r="J76" i="47"/>
  <c r="D6" i="47"/>
  <c r="C5" i="47"/>
  <c r="C32" i="43"/>
  <c r="C31" i="43"/>
  <c r="C30" i="43"/>
  <c r="C29" i="43"/>
  <c r="C28" i="43"/>
  <c r="AD141" i="64" l="1"/>
  <c r="AE141" i="64" s="1"/>
  <c r="AA141" i="64"/>
  <c r="AB92" i="64"/>
  <c r="AB105" i="64" s="1"/>
  <c r="AD92" i="64"/>
  <c r="Z105" i="64"/>
  <c r="J23" i="64"/>
  <c r="K23" i="64"/>
  <c r="L23" i="64" s="1"/>
  <c r="AD136" i="64"/>
  <c r="AE136" i="64" s="1"/>
  <c r="AA136" i="64"/>
  <c r="F20" i="64"/>
  <c r="V20" i="64"/>
  <c r="F19" i="64"/>
  <c r="V19" i="64"/>
  <c r="H25" i="61"/>
  <c r="K25" i="61" s="1"/>
  <c r="AA110" i="64"/>
  <c r="Z118" i="64"/>
  <c r="AD110" i="64"/>
  <c r="J22" i="64"/>
  <c r="K24" i="64"/>
  <c r="L24" i="64" s="1"/>
  <c r="J24" i="64"/>
  <c r="X33" i="64"/>
  <c r="Z33" i="64"/>
  <c r="F47" i="64"/>
  <c r="V47" i="64"/>
  <c r="D139" i="64"/>
  <c r="V139" i="64"/>
  <c r="AD122" i="64"/>
  <c r="AE122" i="64" s="1"/>
  <c r="AA122" i="64"/>
  <c r="V131" i="64"/>
  <c r="D131" i="64"/>
  <c r="O34" i="62"/>
  <c r="AD21" i="64"/>
  <c r="AE21" i="64" s="1"/>
  <c r="AA21" i="64"/>
  <c r="AA52" i="64"/>
  <c r="AD52" i="64"/>
  <c r="AE52" i="64" s="1"/>
  <c r="AA46" i="64"/>
  <c r="AD46" i="64"/>
  <c r="AE46" i="64" s="1"/>
  <c r="D12" i="64"/>
  <c r="V12" i="64"/>
  <c r="J9" i="64"/>
  <c r="AB31" i="64"/>
  <c r="AD31" i="64"/>
  <c r="AF31" i="64" s="1"/>
  <c r="D130" i="64"/>
  <c r="V130" i="64"/>
  <c r="J10" i="64"/>
  <c r="E13" i="64"/>
  <c r="V13" i="64"/>
  <c r="J11" i="64"/>
  <c r="V14" i="64"/>
  <c r="E14" i="64"/>
  <c r="C183" i="64" s="1"/>
  <c r="F7" i="64"/>
  <c r="V7" i="64"/>
  <c r="O35" i="63"/>
  <c r="AD111" i="64"/>
  <c r="AE111" i="64" s="1"/>
  <c r="AA111" i="64"/>
  <c r="AD43" i="64"/>
  <c r="AF43" i="64" s="1"/>
  <c r="AE177" i="64" s="1"/>
  <c r="AB43" i="64"/>
  <c r="AA177" i="64" s="1"/>
  <c r="AD32" i="64"/>
  <c r="AG32" i="64" s="1"/>
  <c r="AC32" i="64"/>
  <c r="W168" i="64"/>
  <c r="W190" i="64" s="1"/>
  <c r="W189" i="64"/>
  <c r="AA121" i="64"/>
  <c r="AD121" i="64"/>
  <c r="J12" i="64"/>
  <c r="V11" i="64"/>
  <c r="E11" i="64"/>
  <c r="AE145" i="64"/>
  <c r="AD146" i="64"/>
  <c r="O4" i="47"/>
  <c r="V9" i="64"/>
  <c r="F9" i="64"/>
  <c r="Q4" i="47"/>
  <c r="AA44" i="64"/>
  <c r="AD44" i="64"/>
  <c r="AE44" i="64" s="1"/>
  <c r="AD18" i="64"/>
  <c r="AG18" i="64" s="1"/>
  <c r="AC18" i="64"/>
  <c r="F51" i="64"/>
  <c r="V51" i="64"/>
  <c r="D133" i="64"/>
  <c r="V133" i="64"/>
  <c r="F8" i="64"/>
  <c r="V8" i="64"/>
  <c r="L149" i="47"/>
  <c r="AB36" i="64"/>
  <c r="AD36" i="64"/>
  <c r="AF36" i="64" s="1"/>
  <c r="H24" i="60"/>
  <c r="K24" i="60" s="1"/>
  <c r="H22" i="60"/>
  <c r="K22" i="60" s="1"/>
  <c r="K21" i="60"/>
  <c r="L21" i="60" s="1"/>
  <c r="H23" i="60"/>
  <c r="K23" i="60" s="1"/>
  <c r="D86" i="59"/>
  <c r="C92" i="59" s="1"/>
  <c r="D78" i="59"/>
  <c r="E30" i="60"/>
  <c r="L32" i="60"/>
  <c r="C12" i="61"/>
  <c r="C12" i="60"/>
  <c r="D25" i="60"/>
  <c r="I26" i="60"/>
  <c r="C20" i="61"/>
  <c r="C20" i="60"/>
  <c r="F20" i="60" s="1"/>
  <c r="C19" i="61"/>
  <c r="C19" i="60"/>
  <c r="F19" i="60" s="1"/>
  <c r="H31" i="60"/>
  <c r="C47" i="57"/>
  <c r="C47" i="61"/>
  <c r="C47" i="60"/>
  <c r="F47" i="60" s="1"/>
  <c r="C99" i="57"/>
  <c r="D99" i="57" s="1"/>
  <c r="C99" i="61"/>
  <c r="C99" i="60"/>
  <c r="D99" i="60" s="1"/>
  <c r="C105" i="57"/>
  <c r="D105" i="57" s="1"/>
  <c r="C105" i="61"/>
  <c r="C105" i="60"/>
  <c r="D105" i="60" s="1"/>
  <c r="C8" i="61"/>
  <c r="C8" i="60"/>
  <c r="F8" i="60" s="1"/>
  <c r="E22" i="60"/>
  <c r="I23" i="60"/>
  <c r="J22" i="60"/>
  <c r="L22" i="60"/>
  <c r="O150" i="63"/>
  <c r="O62" i="62"/>
  <c r="O61" i="62" s="1"/>
  <c r="O58" i="62"/>
  <c r="S31" i="60"/>
  <c r="T31" i="60" s="1"/>
  <c r="O33" i="60"/>
  <c r="O32" i="60"/>
  <c r="O30" i="60"/>
  <c r="S30" i="60" s="1"/>
  <c r="O30" i="63"/>
  <c r="O29" i="62"/>
  <c r="E33" i="61"/>
  <c r="H28" i="61"/>
  <c r="J28" i="61" s="1"/>
  <c r="H30" i="61"/>
  <c r="J30" i="61" s="1"/>
  <c r="D27" i="60"/>
  <c r="I30" i="60"/>
  <c r="O31" i="61"/>
  <c r="M31" i="61"/>
  <c r="M33" i="61"/>
  <c r="C97" i="57"/>
  <c r="D97" i="57" s="1"/>
  <c r="C97" i="60"/>
  <c r="D97" i="60" s="1"/>
  <c r="C97" i="61"/>
  <c r="C11" i="60"/>
  <c r="C11" i="61"/>
  <c r="C9" i="61"/>
  <c r="C9" i="60"/>
  <c r="F9" i="60" s="1"/>
  <c r="E23" i="60"/>
  <c r="I24" i="60"/>
  <c r="H90" i="47"/>
  <c r="C50" i="57"/>
  <c r="C50" i="61"/>
  <c r="C50" i="60"/>
  <c r="F50" i="60" s="1"/>
  <c r="H5" i="48"/>
  <c r="C96" i="57"/>
  <c r="D96" i="57" s="1"/>
  <c r="C96" i="61"/>
  <c r="C96" i="60"/>
  <c r="D96" i="60" s="1"/>
  <c r="C13" i="60"/>
  <c r="C13" i="61"/>
  <c r="C14" i="60"/>
  <c r="C14" i="61"/>
  <c r="C7" i="61"/>
  <c r="C7" i="60"/>
  <c r="D28" i="60"/>
  <c r="I28" i="60"/>
  <c r="H25" i="60"/>
  <c r="J22" i="61"/>
  <c r="L22" i="61"/>
  <c r="O66" i="62"/>
  <c r="O65" i="62" s="1"/>
  <c r="C7" i="57"/>
  <c r="F7" i="53"/>
  <c r="E16" i="54"/>
  <c r="F16" i="54"/>
  <c r="C15" i="53" s="1"/>
  <c r="C15" i="64" s="1"/>
  <c r="D16" i="54"/>
  <c r="F16" i="48"/>
  <c r="F151" i="48"/>
  <c r="H16" i="48"/>
  <c r="L16" i="48"/>
  <c r="I5" i="48"/>
  <c r="J5" i="48" s="1"/>
  <c r="L51" i="47"/>
  <c r="E22" i="53"/>
  <c r="C22" i="57"/>
  <c r="E22" i="57" s="1"/>
  <c r="E33" i="57"/>
  <c r="D37" i="58"/>
  <c r="E11" i="53"/>
  <c r="C11" i="57"/>
  <c r="E11" i="57" s="1"/>
  <c r="F9" i="53"/>
  <c r="C9" i="57"/>
  <c r="F9" i="57" s="1"/>
  <c r="D12" i="53"/>
  <c r="C12" i="57"/>
  <c r="D12" i="57" s="1"/>
  <c r="E14" i="53"/>
  <c r="C14" i="57"/>
  <c r="E14" i="57" s="1"/>
  <c r="F8" i="53"/>
  <c r="C8" i="57"/>
  <c r="E13" i="53"/>
  <c r="C13" i="57"/>
  <c r="E13" i="57" s="1"/>
  <c r="F19" i="53"/>
  <c r="C19" i="57"/>
  <c r="F19" i="57" s="1"/>
  <c r="F20" i="53"/>
  <c r="C20" i="57"/>
  <c r="F20" i="57" s="1"/>
  <c r="M25" i="56"/>
  <c r="C9" i="54"/>
  <c r="D97" i="53"/>
  <c r="C19" i="56"/>
  <c r="D19" i="56" s="1"/>
  <c r="D96" i="53"/>
  <c r="C18" i="56"/>
  <c r="D18" i="56" s="1"/>
  <c r="C22" i="54"/>
  <c r="D99" i="53"/>
  <c r="C17" i="56"/>
  <c r="D17" i="56" s="1"/>
  <c r="I4" i="56"/>
  <c r="D105" i="53"/>
  <c r="C23" i="56"/>
  <c r="D23" i="56" s="1"/>
  <c r="C10" i="53"/>
  <c r="C10" i="64" s="1"/>
  <c r="AA4" i="52"/>
  <c r="T3" i="32"/>
  <c r="V3" i="32" s="1"/>
  <c r="Y145" i="52"/>
  <c r="V150" i="32"/>
  <c r="V4" i="32"/>
  <c r="V5" i="32"/>
  <c r="U77" i="32"/>
  <c r="V77" i="32" s="1"/>
  <c r="U78" i="32"/>
  <c r="V78" i="32" s="1"/>
  <c r="V111" i="32"/>
  <c r="W111" i="32" s="1"/>
  <c r="S4" i="32"/>
  <c r="S3" i="32" s="1"/>
  <c r="V91" i="32"/>
  <c r="S16" i="32"/>
  <c r="U34" i="32"/>
  <c r="V34" i="32" s="1"/>
  <c r="F78" i="48"/>
  <c r="H78" i="48"/>
  <c r="H149" i="47"/>
  <c r="J149" i="47"/>
  <c r="S6" i="32"/>
  <c r="U9" i="32"/>
  <c r="V9" i="32" s="1"/>
  <c r="Q5" i="32"/>
  <c r="L151" i="48"/>
  <c r="N151" i="48"/>
  <c r="H166" i="48"/>
  <c r="G151" i="48"/>
  <c r="M5" i="48"/>
  <c r="N16" i="48"/>
  <c r="E4" i="48"/>
  <c r="L6" i="48"/>
  <c r="K5" i="48"/>
  <c r="N6" i="48"/>
  <c r="D6" i="48"/>
  <c r="C5" i="48"/>
  <c r="F6" i="48"/>
  <c r="P3" i="47"/>
  <c r="O3" i="47"/>
  <c r="Q3" i="47"/>
  <c r="R16" i="32"/>
  <c r="R5" i="32" s="1"/>
  <c r="I4" i="47"/>
  <c r="E5" i="47"/>
  <c r="F6" i="47"/>
  <c r="H6" i="47"/>
  <c r="J16" i="47"/>
  <c r="L16" i="47"/>
  <c r="B3" i="47"/>
  <c r="D90" i="47"/>
  <c r="F76" i="47"/>
  <c r="E51" i="47"/>
  <c r="L5" i="47"/>
  <c r="K4" i="47"/>
  <c r="G5" i="47"/>
  <c r="H16" i="47"/>
  <c r="N51" i="47"/>
  <c r="D5" i="47"/>
  <c r="C4" i="47"/>
  <c r="M4" i="47"/>
  <c r="N5" i="47"/>
  <c r="H76" i="47"/>
  <c r="B43" i="45"/>
  <c r="B50" i="45"/>
  <c r="C50" i="45"/>
  <c r="B56" i="45"/>
  <c r="B61" i="45"/>
  <c r="B68" i="45"/>
  <c r="C68" i="45"/>
  <c r="D68" i="45"/>
  <c r="E68" i="45"/>
  <c r="AB33" i="64" l="1"/>
  <c r="AD33" i="64"/>
  <c r="AF33" i="64" s="1"/>
  <c r="V10" i="64"/>
  <c r="F10" i="64"/>
  <c r="H9" i="64"/>
  <c r="E15" i="64"/>
  <c r="V15" i="64"/>
  <c r="H26" i="61"/>
  <c r="J26" i="61" s="1"/>
  <c r="AE168" i="64"/>
  <c r="AE189" i="64"/>
  <c r="Z131" i="64"/>
  <c r="W131" i="64"/>
  <c r="Z19" i="64"/>
  <c r="Y19" i="64"/>
  <c r="Z8" i="64"/>
  <c r="Y8" i="64"/>
  <c r="Z7" i="64"/>
  <c r="Y7" i="64"/>
  <c r="Z130" i="64"/>
  <c r="W130" i="64"/>
  <c r="AA168" i="64"/>
  <c r="AA189" i="64"/>
  <c r="AF92" i="64"/>
  <c r="AF105" i="64" s="1"/>
  <c r="AD105" i="64"/>
  <c r="H29" i="61"/>
  <c r="J29" i="61" s="1"/>
  <c r="O57" i="62"/>
  <c r="O56" i="62" s="1"/>
  <c r="Z11" i="64"/>
  <c r="X11" i="64"/>
  <c r="Z20" i="64"/>
  <c r="Y20" i="64"/>
  <c r="Z133" i="64"/>
  <c r="W133" i="64"/>
  <c r="Z139" i="64"/>
  <c r="W139" i="64"/>
  <c r="AE121" i="64"/>
  <c r="Z14" i="64"/>
  <c r="X14" i="64"/>
  <c r="W183" i="64" s="1"/>
  <c r="AD118" i="64"/>
  <c r="AE110" i="64"/>
  <c r="Z51" i="64"/>
  <c r="Y51" i="64"/>
  <c r="Z9" i="64"/>
  <c r="Y9" i="64"/>
  <c r="Y47" i="64"/>
  <c r="Z47" i="64"/>
  <c r="S32" i="60"/>
  <c r="Z13" i="64"/>
  <c r="X13" i="64"/>
  <c r="Z12" i="64"/>
  <c r="W12" i="64"/>
  <c r="I4" i="48"/>
  <c r="J4" i="48" s="1"/>
  <c r="E13" i="60"/>
  <c r="J10" i="60"/>
  <c r="F20" i="61"/>
  <c r="O28" i="63"/>
  <c r="O28" i="62"/>
  <c r="F7" i="60"/>
  <c r="D12" i="60"/>
  <c r="J9" i="60"/>
  <c r="F7" i="57"/>
  <c r="B3" i="59"/>
  <c r="J23" i="60"/>
  <c r="L23" i="60"/>
  <c r="O8" i="63"/>
  <c r="O8" i="62"/>
  <c r="O7" i="62" s="1"/>
  <c r="F7" i="61"/>
  <c r="F9" i="61"/>
  <c r="O105" i="63"/>
  <c r="O49" i="62"/>
  <c r="F8" i="61"/>
  <c r="O116" i="63"/>
  <c r="O50" i="62"/>
  <c r="D12" i="61"/>
  <c r="J9" i="61"/>
  <c r="K25" i="60"/>
  <c r="H27" i="60"/>
  <c r="H26" i="60"/>
  <c r="H30" i="60"/>
  <c r="H28" i="60"/>
  <c r="H29" i="60"/>
  <c r="O241" i="63"/>
  <c r="D96" i="61"/>
  <c r="O80" i="62"/>
  <c r="C10" i="61"/>
  <c r="C10" i="60"/>
  <c r="C15" i="60"/>
  <c r="E15" i="60" s="1"/>
  <c r="C15" i="61"/>
  <c r="E15" i="61" s="1"/>
  <c r="E14" i="61"/>
  <c r="J11" i="61"/>
  <c r="E11" i="61"/>
  <c r="J12" i="61"/>
  <c r="O32" i="61"/>
  <c r="O30" i="61"/>
  <c r="S30" i="61" s="1"/>
  <c r="S31" i="61"/>
  <c r="T31" i="61" s="1"/>
  <c r="O33" i="61"/>
  <c r="O102" i="63"/>
  <c r="O47" i="62"/>
  <c r="E13" i="61"/>
  <c r="J10" i="61"/>
  <c r="H32" i="60"/>
  <c r="K32" i="60" s="1"/>
  <c r="M32" i="60" s="1"/>
  <c r="K31" i="60"/>
  <c r="P31" i="60" s="1"/>
  <c r="H33" i="60"/>
  <c r="K33" i="60" s="1"/>
  <c r="D97" i="61"/>
  <c r="O237" i="63"/>
  <c r="O79" i="62"/>
  <c r="J24" i="60"/>
  <c r="L24" i="60"/>
  <c r="O14" i="63"/>
  <c r="O14" i="62"/>
  <c r="D99" i="61"/>
  <c r="E14" i="60"/>
  <c r="C149" i="60" s="1"/>
  <c r="J11" i="60"/>
  <c r="O100" i="63"/>
  <c r="O45" i="62"/>
  <c r="E11" i="60"/>
  <c r="J12" i="60"/>
  <c r="D105" i="61"/>
  <c r="O343" i="63"/>
  <c r="O100" i="62"/>
  <c r="O99" i="62" s="1"/>
  <c r="O98" i="62" s="1"/>
  <c r="F19" i="61"/>
  <c r="O15" i="63"/>
  <c r="O15" i="62"/>
  <c r="C15" i="57"/>
  <c r="E15" i="57" s="1"/>
  <c r="E15" i="53"/>
  <c r="C106" i="53"/>
  <c r="C140" i="64" s="1"/>
  <c r="C98" i="53"/>
  <c r="C132" i="64" s="1"/>
  <c r="C16" i="53"/>
  <c r="C16" i="64" s="1"/>
  <c r="B16" i="54"/>
  <c r="C149" i="57"/>
  <c r="B22" i="59" s="1"/>
  <c r="C148" i="53"/>
  <c r="F8" i="57"/>
  <c r="F10" i="53"/>
  <c r="C10" i="57"/>
  <c r="F10" i="57" s="1"/>
  <c r="H23" i="56"/>
  <c r="K18" i="56"/>
  <c r="J18" i="56"/>
  <c r="H18" i="56"/>
  <c r="J19" i="56"/>
  <c r="H19" i="56"/>
  <c r="K19" i="56"/>
  <c r="E22" i="54"/>
  <c r="C94" i="53" s="1"/>
  <c r="C128" i="64" s="1"/>
  <c r="D22" i="54"/>
  <c r="D9" i="54"/>
  <c r="C93" i="53" s="1"/>
  <c r="C127" i="64" s="1"/>
  <c r="C42" i="53"/>
  <c r="C42" i="64" s="1"/>
  <c r="F9" i="54"/>
  <c r="B9" i="54" s="1"/>
  <c r="E9" i="54"/>
  <c r="C40" i="53" s="1"/>
  <c r="C40" i="64" s="1"/>
  <c r="C39" i="53"/>
  <c r="C39" i="64" s="1"/>
  <c r="E4" i="56"/>
  <c r="K17" i="56"/>
  <c r="J17" i="56"/>
  <c r="H17" i="56"/>
  <c r="C61" i="45"/>
  <c r="D61" i="45" s="1"/>
  <c r="F68" i="45" s="1"/>
  <c r="H151" i="48"/>
  <c r="G3" i="48"/>
  <c r="J151" i="48"/>
  <c r="S5" i="32"/>
  <c r="U16" i="32"/>
  <c r="V16" i="32" s="1"/>
  <c r="O3" i="32"/>
  <c r="E3" i="48"/>
  <c r="D5" i="48"/>
  <c r="C4" i="48"/>
  <c r="F5" i="48"/>
  <c r="H4" i="48"/>
  <c r="N5" i="48"/>
  <c r="M4" i="48"/>
  <c r="L5" i="48"/>
  <c r="K4" i="48"/>
  <c r="H5" i="47"/>
  <c r="G4" i="47"/>
  <c r="J4" i="47" s="1"/>
  <c r="L4" i="47"/>
  <c r="K3" i="47"/>
  <c r="M3" i="47"/>
  <c r="N4" i="47"/>
  <c r="F51" i="47"/>
  <c r="H51" i="47"/>
  <c r="F5" i="47"/>
  <c r="E4" i="47"/>
  <c r="D4" i="47"/>
  <c r="C3" i="47"/>
  <c r="D3" i="47" s="1"/>
  <c r="I3" i="47"/>
  <c r="J5" i="47"/>
  <c r="C3" i="46"/>
  <c r="L94" i="43"/>
  <c r="L95" i="43" s="1"/>
  <c r="L25" i="25"/>
  <c r="E13" i="25"/>
  <c r="E12" i="25"/>
  <c r="P4" i="25"/>
  <c r="P5" i="25"/>
  <c r="P6" i="25"/>
  <c r="P7" i="25"/>
  <c r="AD13" i="64" l="1"/>
  <c r="AF13" i="64" s="1"/>
  <c r="AB13" i="64"/>
  <c r="AD51" i="64"/>
  <c r="AG51" i="64" s="1"/>
  <c r="AC51" i="64"/>
  <c r="AD19" i="64"/>
  <c r="AG19" i="64" s="1"/>
  <c r="AC19" i="64"/>
  <c r="V39" i="64"/>
  <c r="D39" i="64"/>
  <c r="H40" i="64"/>
  <c r="AD139" i="64"/>
  <c r="AE139" i="64" s="1"/>
  <c r="AA139" i="64"/>
  <c r="I9" i="64"/>
  <c r="I11" i="64"/>
  <c r="I12" i="64"/>
  <c r="I10" i="64"/>
  <c r="AD47" i="64"/>
  <c r="AG47" i="64" s="1"/>
  <c r="AC47" i="64"/>
  <c r="AD133" i="64"/>
  <c r="AE133" i="64" s="1"/>
  <c r="AA133" i="64"/>
  <c r="Z10" i="64"/>
  <c r="Y10" i="64"/>
  <c r="I3" i="48"/>
  <c r="F42" i="64"/>
  <c r="V42" i="64"/>
  <c r="AD14" i="64"/>
  <c r="AF14" i="64" s="1"/>
  <c r="AE183" i="64" s="1"/>
  <c r="AB14" i="64"/>
  <c r="AA183" i="64" s="1"/>
  <c r="AE190" i="64"/>
  <c r="AE188" i="64" s="1"/>
  <c r="V127" i="64"/>
  <c r="D127" i="64"/>
  <c r="C142" i="64"/>
  <c r="F16" i="64"/>
  <c r="V16" i="64"/>
  <c r="AD20" i="64"/>
  <c r="AG20" i="64" s="1"/>
  <c r="AC20" i="64"/>
  <c r="AA190" i="64"/>
  <c r="AA188" i="64" s="1"/>
  <c r="AD131" i="64"/>
  <c r="AE131" i="64" s="1"/>
  <c r="AA131" i="64"/>
  <c r="N3" i="47"/>
  <c r="D132" i="64"/>
  <c r="V132" i="64"/>
  <c r="AA12" i="64"/>
  <c r="AD12" i="64"/>
  <c r="AE12" i="64" s="1"/>
  <c r="AD9" i="64"/>
  <c r="AG9" i="64" s="1"/>
  <c r="AC9" i="64"/>
  <c r="AD8" i="64"/>
  <c r="AG8" i="64" s="1"/>
  <c r="AC8" i="64"/>
  <c r="E40" i="64"/>
  <c r="C185" i="64" s="1"/>
  <c r="V40" i="64"/>
  <c r="AD7" i="64"/>
  <c r="AC7" i="64"/>
  <c r="D128" i="64"/>
  <c r="V128" i="64"/>
  <c r="V140" i="64"/>
  <c r="D140" i="64"/>
  <c r="S32" i="61"/>
  <c r="AB11" i="64"/>
  <c r="AD11" i="64"/>
  <c r="AF11" i="64" s="1"/>
  <c r="AD130" i="64"/>
  <c r="AE130" i="64" s="1"/>
  <c r="AA130" i="64"/>
  <c r="Z15" i="64"/>
  <c r="X15" i="64"/>
  <c r="C40" i="60"/>
  <c r="E40" i="60" s="1"/>
  <c r="C40" i="61"/>
  <c r="O76" i="62"/>
  <c r="O75" i="62" s="1"/>
  <c r="F10" i="60"/>
  <c r="H9" i="60"/>
  <c r="K27" i="60"/>
  <c r="L27" i="60" s="1"/>
  <c r="J27" i="60"/>
  <c r="C93" i="57"/>
  <c r="D93" i="57" s="1"/>
  <c r="C93" i="61"/>
  <c r="C93" i="60"/>
  <c r="C16" i="61"/>
  <c r="C16" i="60"/>
  <c r="F16" i="60" s="1"/>
  <c r="K29" i="60"/>
  <c r="L29" i="60" s="1"/>
  <c r="J29" i="60"/>
  <c r="F10" i="61"/>
  <c r="H9" i="61"/>
  <c r="O44" i="62"/>
  <c r="O43" i="62" s="1"/>
  <c r="J3" i="48"/>
  <c r="C42" i="60"/>
  <c r="F42" i="60" s="1"/>
  <c r="C42" i="61"/>
  <c r="F42" i="61" s="1"/>
  <c r="C98" i="60"/>
  <c r="D98" i="60" s="1"/>
  <c r="C98" i="61"/>
  <c r="D98" i="61" s="1"/>
  <c r="K28" i="60"/>
  <c r="L28" i="60" s="1"/>
  <c r="J28" i="60"/>
  <c r="J26" i="60"/>
  <c r="K26" i="60"/>
  <c r="L26" i="60" s="1"/>
  <c r="C39" i="57"/>
  <c r="D39" i="57" s="1"/>
  <c r="C39" i="61"/>
  <c r="D39" i="61" s="1"/>
  <c r="C39" i="60"/>
  <c r="E52" i="60"/>
  <c r="E120" i="60" s="1"/>
  <c r="C151" i="60"/>
  <c r="D52" i="61"/>
  <c r="C159" i="61"/>
  <c r="C94" i="57"/>
  <c r="D94" i="57" s="1"/>
  <c r="C94" i="61"/>
  <c r="D94" i="61" s="1"/>
  <c r="C94" i="60"/>
  <c r="D94" i="60" s="1"/>
  <c r="C106" i="61"/>
  <c r="C106" i="60"/>
  <c r="D106" i="60" s="1"/>
  <c r="M33" i="60"/>
  <c r="M31" i="60"/>
  <c r="C66" i="61"/>
  <c r="C30" i="61"/>
  <c r="K30" i="60"/>
  <c r="L30" i="60" s="1"/>
  <c r="J30" i="60"/>
  <c r="C98" i="57"/>
  <c r="D98" i="57" s="1"/>
  <c r="C8" i="56"/>
  <c r="D8" i="56" s="1"/>
  <c r="D98" i="53"/>
  <c r="C20" i="56"/>
  <c r="D20" i="56" s="1"/>
  <c r="C106" i="57"/>
  <c r="D106" i="57" s="1"/>
  <c r="D106" i="53"/>
  <c r="C16" i="57"/>
  <c r="F16" i="57" s="1"/>
  <c r="F16" i="53"/>
  <c r="E40" i="53"/>
  <c r="C150" i="53" s="1"/>
  <c r="C40" i="57"/>
  <c r="E40" i="57" s="1"/>
  <c r="F42" i="53"/>
  <c r="C42" i="57"/>
  <c r="F42" i="57" s="1"/>
  <c r="E23" i="56"/>
  <c r="J25" i="56"/>
  <c r="C7" i="56"/>
  <c r="D7" i="56" s="1"/>
  <c r="C108" i="53"/>
  <c r="D93" i="53"/>
  <c r="C17" i="53"/>
  <c r="C17" i="64" s="1"/>
  <c r="B22" i="54"/>
  <c r="E19" i="56"/>
  <c r="E17" i="56"/>
  <c r="F19" i="56"/>
  <c r="C9" i="56"/>
  <c r="D9" i="56" s="1"/>
  <c r="D94" i="53"/>
  <c r="D39" i="53"/>
  <c r="H40" i="53"/>
  <c r="F17" i="56"/>
  <c r="E18" i="56"/>
  <c r="G9" i="54"/>
  <c r="F18" i="56"/>
  <c r="D4" i="48"/>
  <c r="C3" i="48"/>
  <c r="D3" i="48" s="1"/>
  <c r="L4" i="48"/>
  <c r="K3" i="48"/>
  <c r="L3" i="48" s="1"/>
  <c r="F3" i="48"/>
  <c r="N4" i="48"/>
  <c r="M3" i="48"/>
  <c r="F4" i="48"/>
  <c r="H3" i="48"/>
  <c r="L3" i="47"/>
  <c r="E3" i="47"/>
  <c r="F3" i="47" s="1"/>
  <c r="F4" i="47"/>
  <c r="H4" i="47"/>
  <c r="G3" i="47"/>
  <c r="J3" i="47" s="1"/>
  <c r="H45" i="43"/>
  <c r="Z40" i="64" l="1"/>
  <c r="X40" i="64"/>
  <c r="W185" i="64" s="1"/>
  <c r="G142" i="64"/>
  <c r="C152" i="64"/>
  <c r="Z42" i="64"/>
  <c r="Y42" i="64"/>
  <c r="Z132" i="64"/>
  <c r="W132" i="64"/>
  <c r="AD15" i="64"/>
  <c r="AF15" i="64" s="1"/>
  <c r="AB15" i="64"/>
  <c r="Z128" i="64"/>
  <c r="W128" i="64"/>
  <c r="Z127" i="64"/>
  <c r="W127" i="64"/>
  <c r="V142" i="64"/>
  <c r="V152" i="64" s="1"/>
  <c r="X53" i="64"/>
  <c r="X154" i="64" s="1"/>
  <c r="F17" i="64"/>
  <c r="F53" i="64" s="1"/>
  <c r="V17" i="64"/>
  <c r="V53" i="64" s="1"/>
  <c r="AD10" i="64"/>
  <c r="AG10" i="64" s="1"/>
  <c r="AC10" i="64"/>
  <c r="C193" i="64"/>
  <c r="D53" i="64"/>
  <c r="E53" i="64"/>
  <c r="E154" i="64" s="1"/>
  <c r="Z39" i="64"/>
  <c r="W39" i="64"/>
  <c r="Z140" i="64"/>
  <c r="W140" i="64"/>
  <c r="G127" i="64"/>
  <c r="D152" i="64"/>
  <c r="O35" i="62"/>
  <c r="AG7" i="64"/>
  <c r="C53" i="64"/>
  <c r="Z16" i="64"/>
  <c r="Y16" i="64"/>
  <c r="E30" i="61"/>
  <c r="L32" i="61"/>
  <c r="M32" i="61" s="1"/>
  <c r="H31" i="61"/>
  <c r="K31" i="61" s="1"/>
  <c r="P31" i="61" s="1"/>
  <c r="O32" i="63"/>
  <c r="H27" i="61"/>
  <c r="J27" i="61" s="1"/>
  <c r="O31" i="62"/>
  <c r="O30" i="62" s="1"/>
  <c r="H40" i="61"/>
  <c r="E40" i="61"/>
  <c r="C151" i="61" s="1"/>
  <c r="I10" i="61"/>
  <c r="I11" i="61"/>
  <c r="I9" i="61"/>
  <c r="I12" i="61"/>
  <c r="D93" i="61"/>
  <c r="C108" i="61"/>
  <c r="C17" i="57"/>
  <c r="C17" i="60"/>
  <c r="C17" i="61"/>
  <c r="F17" i="61" s="1"/>
  <c r="E66" i="61"/>
  <c r="E71" i="61" s="1"/>
  <c r="C71" i="61"/>
  <c r="O97" i="62"/>
  <c r="O96" i="62" s="1"/>
  <c r="O93" i="62" s="1"/>
  <c r="O293" i="63"/>
  <c r="I12" i="60"/>
  <c r="I10" i="60"/>
  <c r="I9" i="60"/>
  <c r="I11" i="60"/>
  <c r="D106" i="61"/>
  <c r="O16" i="63"/>
  <c r="O16" i="62"/>
  <c r="H40" i="60"/>
  <c r="D39" i="60"/>
  <c r="D93" i="60"/>
  <c r="C108" i="60"/>
  <c r="N3" i="48"/>
  <c r="O19" i="63"/>
  <c r="O19" i="62"/>
  <c r="O18" i="62" s="1"/>
  <c r="O17" i="62" s="1"/>
  <c r="F16" i="61"/>
  <c r="F52" i="61" s="1"/>
  <c r="C52" i="61"/>
  <c r="C108" i="57"/>
  <c r="E52" i="53"/>
  <c r="E120" i="53" s="1"/>
  <c r="H20" i="56"/>
  <c r="E20" i="56" s="1"/>
  <c r="K20" i="56"/>
  <c r="F20" i="56" s="1"/>
  <c r="K8" i="56"/>
  <c r="F8" i="56" s="1"/>
  <c r="I8" i="56"/>
  <c r="H8" i="56"/>
  <c r="E8" i="56" s="1"/>
  <c r="C159" i="57"/>
  <c r="D52" i="57"/>
  <c r="C52" i="57"/>
  <c r="G93" i="57"/>
  <c r="D118" i="57"/>
  <c r="H40" i="57"/>
  <c r="C151" i="57"/>
  <c r="B24" i="59" s="1"/>
  <c r="E52" i="57"/>
  <c r="E120" i="57" s="1"/>
  <c r="C158" i="53"/>
  <c r="D52" i="53"/>
  <c r="F17" i="53"/>
  <c r="F52" i="53" s="1"/>
  <c r="C52" i="53"/>
  <c r="G93" i="53"/>
  <c r="D118" i="53"/>
  <c r="H9" i="56"/>
  <c r="K9" i="56"/>
  <c r="I9" i="56"/>
  <c r="C27" i="56"/>
  <c r="C118" i="53"/>
  <c r="G108" i="53"/>
  <c r="F7" i="56"/>
  <c r="C25" i="56"/>
  <c r="H3" i="47"/>
  <c r="C51" i="43"/>
  <c r="C50" i="43" s="1"/>
  <c r="C156" i="43"/>
  <c r="C154" i="43" s="1"/>
  <c r="C27" i="58" s="1"/>
  <c r="D154" i="64" l="1"/>
  <c r="B17" i="65"/>
  <c r="B16" i="65" s="1"/>
  <c r="B38" i="65" s="1"/>
  <c r="B2" i="65"/>
  <c r="C158" i="64"/>
  <c r="C160" i="64"/>
  <c r="C157" i="64"/>
  <c r="C156" i="64"/>
  <c r="F154" i="64"/>
  <c r="G154" i="64" s="1"/>
  <c r="H154" i="64" s="1"/>
  <c r="Z17" i="64"/>
  <c r="Y17" i="64"/>
  <c r="Y53" i="64" s="1"/>
  <c r="AD16" i="64"/>
  <c r="AC16" i="64"/>
  <c r="AD128" i="64"/>
  <c r="AE128" i="64" s="1"/>
  <c r="AA128" i="64"/>
  <c r="V154" i="64"/>
  <c r="AD132" i="64"/>
  <c r="AE132" i="64" s="1"/>
  <c r="AA132" i="64"/>
  <c r="H128" i="64"/>
  <c r="I128" i="64" s="1"/>
  <c r="H127" i="64"/>
  <c r="I127" i="64" s="1"/>
  <c r="H129" i="64"/>
  <c r="I129" i="64" s="1"/>
  <c r="AD140" i="64"/>
  <c r="AE140" i="64" s="1"/>
  <c r="AA140" i="64"/>
  <c r="W152" i="64"/>
  <c r="W193" i="64"/>
  <c r="W53" i="64"/>
  <c r="AD127" i="64"/>
  <c r="AA127" i="64"/>
  <c r="Z142" i="64"/>
  <c r="Z152" i="64" s="1"/>
  <c r="AD42" i="64"/>
  <c r="AG42" i="64" s="1"/>
  <c r="AC42" i="64"/>
  <c r="AD40" i="64"/>
  <c r="AF40" i="64" s="1"/>
  <c r="AB40" i="64"/>
  <c r="AB53" i="64" s="1"/>
  <c r="AB154" i="64" s="1"/>
  <c r="AD39" i="64"/>
  <c r="AE39" i="64" s="1"/>
  <c r="AA39" i="64"/>
  <c r="C154" i="64"/>
  <c r="F120" i="61"/>
  <c r="C126" i="61"/>
  <c r="O10" i="62"/>
  <c r="O6" i="62" s="1"/>
  <c r="O5" i="62" s="1"/>
  <c r="O4" i="62" s="1"/>
  <c r="C149" i="61"/>
  <c r="E52" i="61"/>
  <c r="E120" i="61" s="1"/>
  <c r="G108" i="60"/>
  <c r="C118" i="60"/>
  <c r="F17" i="60"/>
  <c r="C52" i="60"/>
  <c r="G93" i="61"/>
  <c r="D118" i="61"/>
  <c r="D120" i="61" s="1"/>
  <c r="G93" i="60"/>
  <c r="D118" i="60"/>
  <c r="F17" i="57"/>
  <c r="F52" i="57" s="1"/>
  <c r="F120" i="57" s="1"/>
  <c r="C122" i="57" s="1"/>
  <c r="B4" i="59"/>
  <c r="D31" i="58"/>
  <c r="B30" i="59"/>
  <c r="C118" i="57"/>
  <c r="B8" i="59"/>
  <c r="D52" i="60"/>
  <c r="C159" i="60"/>
  <c r="G108" i="61"/>
  <c r="C118" i="61"/>
  <c r="C120" i="61" s="1"/>
  <c r="G108" i="57"/>
  <c r="D120" i="53"/>
  <c r="D120" i="57"/>
  <c r="C120" i="57"/>
  <c r="C120" i="53"/>
  <c r="H93" i="57"/>
  <c r="I93" i="57" s="1"/>
  <c r="H95" i="57"/>
  <c r="I95" i="57" s="1"/>
  <c r="H94" i="57"/>
  <c r="I94" i="57" s="1"/>
  <c r="E9" i="56"/>
  <c r="E7" i="56"/>
  <c r="F9" i="56"/>
  <c r="H95" i="53"/>
  <c r="I95" i="53" s="1"/>
  <c r="H94" i="53"/>
  <c r="I94" i="53" s="1"/>
  <c r="H93" i="53"/>
  <c r="I93" i="53" s="1"/>
  <c r="I7" i="56"/>
  <c r="I25" i="56" s="1"/>
  <c r="H7" i="56"/>
  <c r="D25" i="56"/>
  <c r="C126" i="53"/>
  <c r="F120" i="53"/>
  <c r="E46" i="43"/>
  <c r="C170" i="64" l="1"/>
  <c r="C176" i="64" s="1"/>
  <c r="AA185" i="64"/>
  <c r="C17" i="65"/>
  <c r="C16" i="65" s="1"/>
  <c r="C2" i="65"/>
  <c r="Y154" i="64"/>
  <c r="W156" i="64"/>
  <c r="W157" i="64"/>
  <c r="W160" i="64"/>
  <c r="W158" i="64"/>
  <c r="AE193" i="64"/>
  <c r="AE53" i="64"/>
  <c r="AG16" i="64"/>
  <c r="AF53" i="64"/>
  <c r="AF154" i="64" s="1"/>
  <c r="AE185" i="64"/>
  <c r="C184" i="64"/>
  <c r="W154" i="64"/>
  <c r="AC17" i="64"/>
  <c r="AD17" i="64"/>
  <c r="AG17" i="64" s="1"/>
  <c r="Z53" i="64"/>
  <c r="AC53" i="64"/>
  <c r="AA53" i="64"/>
  <c r="AA193" i="64"/>
  <c r="AE127" i="64"/>
  <c r="AD142" i="64"/>
  <c r="AD152" i="64" s="1"/>
  <c r="E183" i="64"/>
  <c r="F157" i="64"/>
  <c r="C163" i="64"/>
  <c r="Z154" i="64"/>
  <c r="C218" i="64"/>
  <c r="AA152" i="64"/>
  <c r="C120" i="60"/>
  <c r="F52" i="60"/>
  <c r="F120" i="60" s="1"/>
  <c r="F123" i="60" s="1"/>
  <c r="D120" i="60"/>
  <c r="H93" i="60"/>
  <c r="I93" i="60" s="1"/>
  <c r="H94" i="60"/>
  <c r="I94" i="60" s="1"/>
  <c r="H95" i="60"/>
  <c r="I95" i="60" s="1"/>
  <c r="G120" i="61"/>
  <c r="H120" i="61" s="1"/>
  <c r="H94" i="61"/>
  <c r="I94" i="61" s="1"/>
  <c r="H95" i="61"/>
  <c r="I95" i="61" s="1"/>
  <c r="H93" i="61"/>
  <c r="I93" i="61" s="1"/>
  <c r="B6" i="59"/>
  <c r="B2" i="59"/>
  <c r="C126" i="57"/>
  <c r="C122" i="61"/>
  <c r="C129" i="61" s="1"/>
  <c r="C124" i="61"/>
  <c r="C123" i="61"/>
  <c r="C136" i="61" s="1"/>
  <c r="C124" i="57"/>
  <c r="C123" i="57"/>
  <c r="G120" i="57"/>
  <c r="H120" i="57" s="1"/>
  <c r="D27" i="56"/>
  <c r="H25" i="56"/>
  <c r="C123" i="53"/>
  <c r="C122" i="53"/>
  <c r="C124" i="53"/>
  <c r="I1" i="56"/>
  <c r="G120" i="53"/>
  <c r="H120" i="53" s="1"/>
  <c r="J23" i="43"/>
  <c r="AA154" i="64" l="1"/>
  <c r="AD53" i="64"/>
  <c r="AD154" i="64" s="1"/>
  <c r="AG53" i="64"/>
  <c r="AE158" i="64" s="1"/>
  <c r="W170" i="64"/>
  <c r="W176" i="64" s="1"/>
  <c r="C171" i="64"/>
  <c r="C192" i="64" s="1"/>
  <c r="D183" i="64" s="1"/>
  <c r="Y183" i="64"/>
  <c r="W163" i="64"/>
  <c r="C38" i="65"/>
  <c r="C124" i="60"/>
  <c r="C122" i="60"/>
  <c r="C123" i="60"/>
  <c r="C150" i="61"/>
  <c r="AE152" i="64"/>
  <c r="AE154" i="64" s="1"/>
  <c r="D17" i="65"/>
  <c r="D16" i="65" s="1"/>
  <c r="D2" i="65"/>
  <c r="AA160" i="64"/>
  <c r="AA158" i="64"/>
  <c r="AC154" i="64"/>
  <c r="AA157" i="64"/>
  <c r="AA156" i="64"/>
  <c r="B19" i="65"/>
  <c r="B20" i="65" s="1"/>
  <c r="B37" i="65" s="1"/>
  <c r="B39" i="65" s="1"/>
  <c r="B40" i="65" s="1"/>
  <c r="B4" i="65"/>
  <c r="W184" i="64"/>
  <c r="AB204" i="64"/>
  <c r="C164" i="64"/>
  <c r="D164" i="64" s="1"/>
  <c r="C203" i="64"/>
  <c r="F163" i="64"/>
  <c r="F164" i="64" s="1"/>
  <c r="AF204" i="64"/>
  <c r="D204" i="64"/>
  <c r="X204" i="64"/>
  <c r="E2" i="65"/>
  <c r="E17" i="65"/>
  <c r="C216" i="64"/>
  <c r="C219" i="64" s="1"/>
  <c r="C221" i="64" s="1"/>
  <c r="C222" i="64" s="1"/>
  <c r="C126" i="60"/>
  <c r="G120" i="60"/>
  <c r="H120" i="60" s="1"/>
  <c r="C150" i="57"/>
  <c r="D38" i="58" s="1"/>
  <c r="C142" i="61"/>
  <c r="C183" i="61"/>
  <c r="C136" i="57"/>
  <c r="C142" i="57" s="1"/>
  <c r="C130" i="61"/>
  <c r="D130" i="61" s="1"/>
  <c r="F129" i="61"/>
  <c r="F130" i="61" s="1"/>
  <c r="D169" i="61"/>
  <c r="C168" i="61"/>
  <c r="B9" i="59"/>
  <c r="C6" i="59" s="1"/>
  <c r="C2" i="59"/>
  <c r="C183" i="57"/>
  <c r="C129" i="57"/>
  <c r="F129" i="57" s="1"/>
  <c r="C149" i="53"/>
  <c r="C129" i="53"/>
  <c r="F129" i="53" s="1"/>
  <c r="C130" i="53"/>
  <c r="D130" i="53" s="1"/>
  <c r="C167" i="53"/>
  <c r="E25" i="56"/>
  <c r="H33" i="56"/>
  <c r="J27" i="56"/>
  <c r="H26" i="56"/>
  <c r="C136" i="53"/>
  <c r="C126" i="43"/>
  <c r="AE156" i="64" l="1"/>
  <c r="AE160" i="64"/>
  <c r="AE157" i="64"/>
  <c r="AG154" i="64"/>
  <c r="AE163" i="64" s="1"/>
  <c r="C172" i="64"/>
  <c r="C205" i="64"/>
  <c r="D205" i="64" s="1"/>
  <c r="AA184" i="64"/>
  <c r="D19" i="65" s="1"/>
  <c r="D20" i="65" s="1"/>
  <c r="D37" i="65" s="1"/>
  <c r="AE170" i="64"/>
  <c r="AE176" i="64" s="1"/>
  <c r="AA170" i="64"/>
  <c r="AA176" i="64" s="1"/>
  <c r="C165" i="64"/>
  <c r="D165" i="64" s="1"/>
  <c r="B23" i="59"/>
  <c r="W164" i="64"/>
  <c r="X164" i="64" s="1"/>
  <c r="W203" i="64"/>
  <c r="C4" i="65"/>
  <c r="C19" i="65"/>
  <c r="C20" i="65" s="1"/>
  <c r="C37" i="65" s="1"/>
  <c r="AC183" i="64"/>
  <c r="AA163" i="64"/>
  <c r="AE184" i="64"/>
  <c r="F17" i="65"/>
  <c r="E16" i="65"/>
  <c r="B5" i="65"/>
  <c r="B6" i="65" s="1"/>
  <c r="B7" i="65" s="1"/>
  <c r="B8" i="65" s="1"/>
  <c r="C223" i="64"/>
  <c r="D38" i="65"/>
  <c r="W171" i="64"/>
  <c r="C183" i="60"/>
  <c r="C150" i="60"/>
  <c r="C181" i="57"/>
  <c r="C184" i="57" s="1"/>
  <c r="C186" i="57" s="1"/>
  <c r="C187" i="57" s="1"/>
  <c r="B15" i="59"/>
  <c r="C9" i="59"/>
  <c r="C7" i="59"/>
  <c r="C5" i="59"/>
  <c r="C3" i="59"/>
  <c r="C8" i="59"/>
  <c r="C4" i="59"/>
  <c r="C129" i="60"/>
  <c r="C137" i="60" s="1"/>
  <c r="C158" i="60" s="1"/>
  <c r="C131" i="61"/>
  <c r="C136" i="60"/>
  <c r="C181" i="61"/>
  <c r="C184" i="61" s="1"/>
  <c r="C186" i="61" s="1"/>
  <c r="C187" i="61" s="1"/>
  <c r="C168" i="57"/>
  <c r="C130" i="57"/>
  <c r="D130" i="57" s="1"/>
  <c r="D169" i="57"/>
  <c r="F130" i="57"/>
  <c r="C131" i="53"/>
  <c r="C137" i="53" s="1"/>
  <c r="H31" i="56"/>
  <c r="H28" i="56"/>
  <c r="C142" i="53"/>
  <c r="F130" i="53"/>
  <c r="C7" i="43"/>
  <c r="C45" i="46"/>
  <c r="C46" i="46" s="1"/>
  <c r="D45" i="46" s="1"/>
  <c r="F45" i="46"/>
  <c r="F46" i="46" s="1"/>
  <c r="A53" i="37"/>
  <c r="A52" i="37"/>
  <c r="G35" i="46"/>
  <c r="G32" i="46"/>
  <c r="F31" i="46"/>
  <c r="C6" i="46"/>
  <c r="C2" i="46" s="1"/>
  <c r="B6" i="46"/>
  <c r="B3" i="46"/>
  <c r="E3" i="46" s="1"/>
  <c r="AG183" i="64" l="1"/>
  <c r="D4" i="65"/>
  <c r="AE171" i="64"/>
  <c r="AE205" i="64" s="1"/>
  <c r="AF205" i="64" s="1"/>
  <c r="D39" i="65"/>
  <c r="D40" i="65" s="1"/>
  <c r="W165" i="64"/>
  <c r="X165" i="64" s="1"/>
  <c r="AE192" i="64"/>
  <c r="AF183" i="64" s="1"/>
  <c r="C39" i="65"/>
  <c r="C40" i="65" s="1"/>
  <c r="E38" i="65"/>
  <c r="AE203" i="64"/>
  <c r="AE164" i="64"/>
  <c r="AF164" i="64" s="1"/>
  <c r="G17" i="65"/>
  <c r="F16" i="65"/>
  <c r="AA171" i="64"/>
  <c r="AA164" i="64"/>
  <c r="AB164" i="64" s="1"/>
  <c r="AA203" i="64"/>
  <c r="E19" i="65"/>
  <c r="F19" i="65" s="1"/>
  <c r="G19" i="65" s="1"/>
  <c r="H19" i="65" s="1"/>
  <c r="I19" i="65" s="1"/>
  <c r="J19" i="65" s="1"/>
  <c r="K19" i="65" s="1"/>
  <c r="L19" i="65" s="1"/>
  <c r="M19" i="65" s="1"/>
  <c r="N19" i="65" s="1"/>
  <c r="E4" i="65"/>
  <c r="D169" i="60"/>
  <c r="C168" i="60"/>
  <c r="F129" i="60"/>
  <c r="F130" i="60" s="1"/>
  <c r="C130" i="60"/>
  <c r="D130" i="60" s="1"/>
  <c r="C142" i="60"/>
  <c r="D149" i="60" s="1"/>
  <c r="C137" i="61"/>
  <c r="D131" i="61"/>
  <c r="C131" i="57"/>
  <c r="C137" i="57" s="1"/>
  <c r="D131" i="53"/>
  <c r="C169" i="53"/>
  <c r="D169" i="53" s="1"/>
  <c r="C138" i="53"/>
  <c r="C157" i="53"/>
  <c r="G31" i="46"/>
  <c r="B2" i="46"/>
  <c r="P24" i="25"/>
  <c r="P23" i="25"/>
  <c r="P22" i="25"/>
  <c r="P21" i="25"/>
  <c r="P13" i="25"/>
  <c r="P12" i="25"/>
  <c r="P11" i="25"/>
  <c r="P10" i="25"/>
  <c r="N24" i="25"/>
  <c r="O24" i="25" s="1"/>
  <c r="N13" i="25"/>
  <c r="N12" i="25"/>
  <c r="D51" i="43"/>
  <c r="C62" i="44"/>
  <c r="C50" i="44"/>
  <c r="C49" i="44"/>
  <c r="D112" i="43"/>
  <c r="AE172" i="64" l="1"/>
  <c r="E20" i="65"/>
  <c r="E37" i="65" s="1"/>
  <c r="AE165" i="64"/>
  <c r="AF165" i="64" s="1"/>
  <c r="AA165" i="64"/>
  <c r="AB165" i="64" s="1"/>
  <c r="F20" i="65"/>
  <c r="F37" i="65" s="1"/>
  <c r="F38" i="65"/>
  <c r="F39" i="65" s="1"/>
  <c r="F40" i="65" s="1"/>
  <c r="H17" i="65"/>
  <c r="G16" i="65"/>
  <c r="AA192" i="64"/>
  <c r="AA172" i="64"/>
  <c r="AA205" i="64"/>
  <c r="AB205" i="64" s="1"/>
  <c r="E5" i="65"/>
  <c r="E6" i="65" s="1"/>
  <c r="E7" i="65" s="1"/>
  <c r="E8" i="65" s="1"/>
  <c r="C131" i="60"/>
  <c r="C181" i="60"/>
  <c r="C184" i="60" s="1"/>
  <c r="C186" i="60" s="1"/>
  <c r="C187" i="60" s="1"/>
  <c r="C158" i="61"/>
  <c r="C188" i="61" s="1"/>
  <c r="C170" i="61"/>
  <c r="D170" i="61" s="1"/>
  <c r="C138" i="61"/>
  <c r="D131" i="57"/>
  <c r="C168" i="53"/>
  <c r="D168" i="53" s="1"/>
  <c r="C142" i="43"/>
  <c r="C38" i="43"/>
  <c r="C27" i="43"/>
  <c r="C26" i="43"/>
  <c r="C25" i="43"/>
  <c r="C34" i="43"/>
  <c r="C33" i="43"/>
  <c r="C116" i="43"/>
  <c r="C29" i="44" s="1"/>
  <c r="E39" i="65" l="1"/>
  <c r="E40" i="65" s="1"/>
  <c r="G20" i="65"/>
  <c r="G37" i="65" s="1"/>
  <c r="G38" i="65"/>
  <c r="D5" i="65"/>
  <c r="D6" i="65" s="1"/>
  <c r="D7" i="65" s="1"/>
  <c r="D8" i="65" s="1"/>
  <c r="AB183" i="64"/>
  <c r="I17" i="65"/>
  <c r="H16" i="65"/>
  <c r="D131" i="60"/>
  <c r="C188" i="60"/>
  <c r="C138" i="60"/>
  <c r="C170" i="60"/>
  <c r="D170" i="60" s="1"/>
  <c r="B3" i="45"/>
  <c r="C18" i="44"/>
  <c r="B15" i="46"/>
  <c r="D50" i="43"/>
  <c r="C24" i="25"/>
  <c r="D24" i="25" s="1"/>
  <c r="C23" i="25"/>
  <c r="D23" i="25" s="1"/>
  <c r="H23" i="25" s="1"/>
  <c r="E23" i="25" s="1"/>
  <c r="C22" i="25"/>
  <c r="D22" i="25" s="1"/>
  <c r="H22" i="25" s="1"/>
  <c r="E22" i="25" s="1"/>
  <c r="C21" i="25"/>
  <c r="D21" i="25" s="1"/>
  <c r="H21" i="25" s="1"/>
  <c r="G39" i="65" l="1"/>
  <c r="G40" i="65" s="1"/>
  <c r="H20" i="65"/>
  <c r="H37" i="65" s="1"/>
  <c r="H38" i="65"/>
  <c r="J17" i="65"/>
  <c r="I16" i="65"/>
  <c r="E21" i="25"/>
  <c r="C20" i="25"/>
  <c r="D20" i="25" s="1"/>
  <c r="C19" i="25"/>
  <c r="D19" i="25" s="1"/>
  <c r="C18" i="25"/>
  <c r="D18" i="25" s="1"/>
  <c r="C16" i="25"/>
  <c r="D16" i="25" s="1"/>
  <c r="C15" i="25"/>
  <c r="D15" i="25" s="1"/>
  <c r="C17" i="25"/>
  <c r="D17" i="25" s="1"/>
  <c r="C14" i="25"/>
  <c r="D14" i="25" s="1"/>
  <c r="C13" i="25"/>
  <c r="D13" i="25" s="1"/>
  <c r="C12" i="25"/>
  <c r="D12" i="25" s="1"/>
  <c r="C11" i="25"/>
  <c r="D11" i="25" s="1"/>
  <c r="I11" i="25" s="1"/>
  <c r="E11" i="25" s="1"/>
  <c r="C10" i="25"/>
  <c r="D10" i="25" s="1"/>
  <c r="M10" i="25" s="1"/>
  <c r="E10" i="25" s="1"/>
  <c r="C9" i="25"/>
  <c r="D9" i="25" s="1"/>
  <c r="C8" i="25"/>
  <c r="D8" i="25" s="1"/>
  <c r="C7" i="25"/>
  <c r="D7" i="25" s="1"/>
  <c r="C6" i="25"/>
  <c r="D6" i="25" s="1"/>
  <c r="M6" i="25" s="1"/>
  <c r="E55" i="43"/>
  <c r="E41" i="43"/>
  <c r="H39" i="65" l="1"/>
  <c r="H40" i="65" s="1"/>
  <c r="I20" i="65"/>
  <c r="I37" i="65" s="1"/>
  <c r="I38" i="65"/>
  <c r="K17" i="65"/>
  <c r="J16" i="65"/>
  <c r="K9" i="25"/>
  <c r="I9" i="25"/>
  <c r="H9" i="25"/>
  <c r="K16" i="25"/>
  <c r="H16" i="25"/>
  <c r="E16" i="25" s="1"/>
  <c r="J16" i="25"/>
  <c r="N6" i="25"/>
  <c r="E6" i="25"/>
  <c r="H14" i="25"/>
  <c r="E14" i="25" s="1"/>
  <c r="K14" i="25"/>
  <c r="J14" i="25"/>
  <c r="K18" i="25"/>
  <c r="J18" i="25"/>
  <c r="H18" i="25"/>
  <c r="E18" i="25" s="1"/>
  <c r="I7" i="25"/>
  <c r="H7" i="25"/>
  <c r="E7" i="25" s="1"/>
  <c r="H17" i="25"/>
  <c r="E17" i="25" s="1"/>
  <c r="K17" i="25"/>
  <c r="J17" i="25"/>
  <c r="H19" i="25"/>
  <c r="E19" i="25" s="1"/>
  <c r="J19" i="25"/>
  <c r="K19" i="25"/>
  <c r="H8" i="25"/>
  <c r="K8" i="25"/>
  <c r="P8" i="25" s="1"/>
  <c r="I8" i="25"/>
  <c r="H15" i="25"/>
  <c r="E15" i="25" s="1"/>
  <c r="J15" i="25"/>
  <c r="K15" i="25"/>
  <c r="H20" i="25"/>
  <c r="E20" i="25" s="1"/>
  <c r="K20" i="25"/>
  <c r="F20" i="25" s="1"/>
  <c r="B34" i="37"/>
  <c r="B7" i="37"/>
  <c r="B24" i="37"/>
  <c r="B29" i="37"/>
  <c r="B43" i="37" s="1"/>
  <c r="E9" i="25" l="1"/>
  <c r="J20" i="65"/>
  <c r="J37" i="65" s="1"/>
  <c r="J38" i="65"/>
  <c r="L17" i="65"/>
  <c r="K16" i="65"/>
  <c r="I39" i="65"/>
  <c r="I40" i="65" s="1"/>
  <c r="N8" i="25"/>
  <c r="N20" i="25"/>
  <c r="P20" i="25"/>
  <c r="E8" i="25"/>
  <c r="N7" i="25"/>
  <c r="C57" i="44"/>
  <c r="B40" i="37"/>
  <c r="Q20" i="25"/>
  <c r="C46" i="37"/>
  <c r="B52" i="37" s="1"/>
  <c r="F10" i="43"/>
  <c r="F9" i="43"/>
  <c r="F8" i="43"/>
  <c r="J39" i="65" l="1"/>
  <c r="J40" i="65" s="1"/>
  <c r="M17" i="65"/>
  <c r="L16" i="65"/>
  <c r="K20" i="65"/>
  <c r="K37" i="65" s="1"/>
  <c r="K38" i="65"/>
  <c r="E14" i="43"/>
  <c r="C117" i="43"/>
  <c r="B22" i="46" s="1"/>
  <c r="C113" i="43"/>
  <c r="B21" i="46" s="1"/>
  <c r="C85" i="43"/>
  <c r="B19" i="46" s="1"/>
  <c r="K39" i="65" l="1"/>
  <c r="K40" i="65" s="1"/>
  <c r="L20" i="65"/>
  <c r="L37" i="65" s="1"/>
  <c r="L38" i="65"/>
  <c r="N17" i="65"/>
  <c r="N16" i="65" s="1"/>
  <c r="M16" i="65"/>
  <c r="E32" i="44"/>
  <c r="E42" i="43"/>
  <c r="N20" i="65" l="1"/>
  <c r="N37" i="65" s="1"/>
  <c r="N38" i="65"/>
  <c r="M20" i="65"/>
  <c r="M37" i="65" s="1"/>
  <c r="M38" i="65"/>
  <c r="M39" i="65" s="1"/>
  <c r="M40" i="65" s="1"/>
  <c r="L39" i="65"/>
  <c r="L40" i="65" s="1"/>
  <c r="C27" i="37"/>
  <c r="C78" i="44"/>
  <c r="C39" i="44"/>
  <c r="C38" i="44"/>
  <c r="C37" i="44"/>
  <c r="C36" i="44"/>
  <c r="C35" i="44"/>
  <c r="C34" i="44"/>
  <c r="C33" i="44"/>
  <c r="C32" i="44"/>
  <c r="C28" i="44"/>
  <c r="E48" i="43"/>
  <c r="C144" i="43" s="1"/>
  <c r="N39" i="65" l="1"/>
  <c r="N40" i="65" s="1"/>
  <c r="D32" i="44"/>
  <c r="F32" i="44" s="1"/>
  <c r="B21" i="14" l="1"/>
  <c r="A43" i="14"/>
  <c r="C31" i="14"/>
  <c r="B44" i="14"/>
  <c r="B12" i="14" l="1"/>
  <c r="B25" i="14" s="1"/>
  <c r="C89" i="43"/>
  <c r="C4" i="55" s="1"/>
  <c r="C88" i="43"/>
  <c r="C5" i="55" s="1"/>
  <c r="D5" i="55" s="1"/>
  <c r="M5" i="55" s="1"/>
  <c r="C52" i="43"/>
  <c r="C53" i="43" s="1"/>
  <c r="E35" i="43"/>
  <c r="C35" i="58" s="1"/>
  <c r="E36" i="43"/>
  <c r="C36" i="58" s="1"/>
  <c r="E34" i="43"/>
  <c r="N5" i="55" l="1"/>
  <c r="E5" i="55"/>
  <c r="O5" i="55" s="1"/>
  <c r="M25" i="55"/>
  <c r="C25" i="55"/>
  <c r="D4" i="55"/>
  <c r="B16" i="46"/>
  <c r="B14" i="46" s="1"/>
  <c r="B4" i="45"/>
  <c r="B2" i="45" s="1"/>
  <c r="B11" i="45" s="1"/>
  <c r="C6" i="45" s="1"/>
  <c r="C36" i="37"/>
  <c r="C4" i="25"/>
  <c r="C109" i="43"/>
  <c r="C26" i="55" s="1"/>
  <c r="C5" i="25"/>
  <c r="D5" i="25" s="1"/>
  <c r="M5" i="25" s="1"/>
  <c r="C35" i="37"/>
  <c r="B17" i="14"/>
  <c r="B18" i="14" s="1"/>
  <c r="B13" i="14"/>
  <c r="B19" i="14"/>
  <c r="F7" i="43"/>
  <c r="D116" i="43"/>
  <c r="B107" i="43"/>
  <c r="D106" i="43"/>
  <c r="D105" i="43"/>
  <c r="D104" i="43"/>
  <c r="D103" i="43"/>
  <c r="D102" i="43"/>
  <c r="D101" i="43"/>
  <c r="D100" i="43"/>
  <c r="D99" i="43"/>
  <c r="D98" i="43"/>
  <c r="D97" i="43"/>
  <c r="D96" i="43"/>
  <c r="D95" i="43"/>
  <c r="D94" i="43"/>
  <c r="G94" i="43" s="1"/>
  <c r="D93" i="43"/>
  <c r="B93" i="43"/>
  <c r="D92" i="43"/>
  <c r="B92" i="43"/>
  <c r="D91" i="43"/>
  <c r="B91" i="43"/>
  <c r="D90" i="43"/>
  <c r="B90" i="43"/>
  <c r="D89" i="43"/>
  <c r="D88" i="43"/>
  <c r="D84" i="43"/>
  <c r="D83" i="43"/>
  <c r="D82" i="43"/>
  <c r="D81" i="43"/>
  <c r="D80" i="43"/>
  <c r="D79" i="43"/>
  <c r="D78" i="43"/>
  <c r="D77" i="43"/>
  <c r="B17" i="46"/>
  <c r="F71" i="43"/>
  <c r="E70" i="43"/>
  <c r="D69" i="43"/>
  <c r="D68" i="43"/>
  <c r="E67" i="43"/>
  <c r="D66" i="43"/>
  <c r="D65" i="43"/>
  <c r="D64" i="43"/>
  <c r="D63" i="43"/>
  <c r="D62" i="43"/>
  <c r="E61" i="43"/>
  <c r="E60" i="43"/>
  <c r="D59" i="43"/>
  <c r="F58" i="43"/>
  <c r="F57" i="43"/>
  <c r="D52" i="43"/>
  <c r="C19" i="44" s="1"/>
  <c r="D49" i="43"/>
  <c r="F47" i="43"/>
  <c r="D44" i="43"/>
  <c r="F43" i="43"/>
  <c r="F40" i="43"/>
  <c r="F39" i="43"/>
  <c r="E56" i="43"/>
  <c r="E38" i="43"/>
  <c r="F37" i="43"/>
  <c r="D33" i="43"/>
  <c r="C14" i="44" s="1"/>
  <c r="D32" i="43"/>
  <c r="C13" i="44" s="1"/>
  <c r="D31" i="43"/>
  <c r="C12" i="44" s="1"/>
  <c r="D30" i="43"/>
  <c r="C11" i="44" s="1"/>
  <c r="D29" i="43"/>
  <c r="C10" i="44" s="1"/>
  <c r="E28" i="43"/>
  <c r="E27" i="43"/>
  <c r="E26" i="43"/>
  <c r="D25" i="43"/>
  <c r="C9" i="44" s="1"/>
  <c r="F24" i="43"/>
  <c r="F23" i="43"/>
  <c r="F22" i="43"/>
  <c r="F21" i="43"/>
  <c r="F20" i="43"/>
  <c r="E19" i="43"/>
  <c r="F18" i="43"/>
  <c r="F17" i="43"/>
  <c r="E16" i="43"/>
  <c r="E15" i="43"/>
  <c r="D13" i="43"/>
  <c r="E12" i="43"/>
  <c r="F11" i="43"/>
  <c r="C99" i="5"/>
  <c r="C101" i="5" s="1"/>
  <c r="M54" i="32"/>
  <c r="M45" i="32"/>
  <c r="P45" i="32" s="1"/>
  <c r="M39" i="32"/>
  <c r="P39" i="32" s="1"/>
  <c r="M35" i="32"/>
  <c r="P35" i="32" s="1"/>
  <c r="M26" i="32"/>
  <c r="P26" i="32" s="1"/>
  <c r="M23" i="32"/>
  <c r="P23" i="32" s="1"/>
  <c r="M17" i="32"/>
  <c r="P17" i="32" s="1"/>
  <c r="M11" i="32"/>
  <c r="M9" i="32" s="1"/>
  <c r="P9" i="32" s="1"/>
  <c r="M7" i="32"/>
  <c r="P7" i="32" s="1"/>
  <c r="M168" i="32"/>
  <c r="M166" i="32" s="1"/>
  <c r="M121" i="32"/>
  <c r="M145" i="32"/>
  <c r="P145" i="32" s="1"/>
  <c r="M148" i="32"/>
  <c r="P148" i="32" s="1"/>
  <c r="M112" i="32"/>
  <c r="N138" i="32"/>
  <c r="W138" i="32" s="1"/>
  <c r="N139" i="32"/>
  <c r="W139" i="32" s="1"/>
  <c r="N140" i="32"/>
  <c r="N143" i="32"/>
  <c r="N146" i="32"/>
  <c r="N149" i="32"/>
  <c r="K148" i="32"/>
  <c r="K145" i="32"/>
  <c r="N8" i="32"/>
  <c r="W8" i="32" s="1"/>
  <c r="X8" i="32" s="1"/>
  <c r="X7" i="32" s="1"/>
  <c r="X6" i="32" s="1"/>
  <c r="X5" i="32" s="1"/>
  <c r="X4" i="32" s="1"/>
  <c r="X3" i="32" s="1"/>
  <c r="N10" i="32"/>
  <c r="W10" i="32" s="1"/>
  <c r="N12" i="32"/>
  <c r="W12" i="32" s="1"/>
  <c r="N13" i="32"/>
  <c r="W13" i="32" s="1"/>
  <c r="N14" i="32"/>
  <c r="W14" i="32" s="1"/>
  <c r="N15" i="32"/>
  <c r="W15" i="32" s="1"/>
  <c r="N18" i="32"/>
  <c r="W18" i="32" s="1"/>
  <c r="N19" i="32"/>
  <c r="W19" i="32" s="1"/>
  <c r="N24" i="32"/>
  <c r="W24" i="32" s="1"/>
  <c r="N25" i="32"/>
  <c r="W25" i="32" s="1"/>
  <c r="N28" i="32"/>
  <c r="W28" i="32" s="1"/>
  <c r="N31" i="32"/>
  <c r="W31" i="32" s="1"/>
  <c r="N33" i="32"/>
  <c r="W33" i="32" s="1"/>
  <c r="N36" i="32"/>
  <c r="W36" i="32" s="1"/>
  <c r="N37" i="32"/>
  <c r="W37" i="32" s="1"/>
  <c r="N38" i="32"/>
  <c r="W38" i="32" s="1"/>
  <c r="N40" i="32"/>
  <c r="W40" i="32" s="1"/>
  <c r="N41" i="32"/>
  <c r="W41" i="32" s="1"/>
  <c r="N42" i="32"/>
  <c r="W42" i="32" s="1"/>
  <c r="N43" i="32"/>
  <c r="W43" i="32" s="1"/>
  <c r="N44" i="32"/>
  <c r="W44" i="32" s="1"/>
  <c r="N46" i="32"/>
  <c r="W46" i="32" s="1"/>
  <c r="N47" i="32"/>
  <c r="W47" i="32" s="1"/>
  <c r="N59" i="32"/>
  <c r="W59" i="32" s="1"/>
  <c r="N60" i="32"/>
  <c r="N62" i="32"/>
  <c r="W62" i="32" s="1"/>
  <c r="N63" i="32"/>
  <c r="W63" i="32" s="1"/>
  <c r="N64" i="32"/>
  <c r="N65" i="32"/>
  <c r="N67" i="32"/>
  <c r="N70" i="32"/>
  <c r="W70" i="32" s="1"/>
  <c r="N73" i="32"/>
  <c r="N75" i="32"/>
  <c r="W75" i="32" s="1"/>
  <c r="N79" i="32"/>
  <c r="W79" i="32" s="1"/>
  <c r="N80" i="32"/>
  <c r="N82" i="32"/>
  <c r="W82" i="32" s="1"/>
  <c r="N85" i="32"/>
  <c r="W85" i="32" s="1"/>
  <c r="N90" i="32"/>
  <c r="W90" i="32" s="1"/>
  <c r="N94" i="32"/>
  <c r="W94" i="32" s="1"/>
  <c r="N95" i="32"/>
  <c r="W95" i="32" s="1"/>
  <c r="N99" i="32"/>
  <c r="N100" i="32"/>
  <c r="W100" i="32" s="1"/>
  <c r="N102" i="32"/>
  <c r="W102" i="32" s="1"/>
  <c r="N104" i="32"/>
  <c r="W104" i="32" s="1"/>
  <c r="N105" i="32"/>
  <c r="W105" i="32" s="1"/>
  <c r="N107" i="32"/>
  <c r="W107" i="32" s="1"/>
  <c r="N109" i="32"/>
  <c r="W109" i="32" s="1"/>
  <c r="N113" i="32"/>
  <c r="W113" i="32" s="1"/>
  <c r="N114" i="32"/>
  <c r="W114" i="32" s="1"/>
  <c r="N115" i="32"/>
  <c r="W115" i="32" s="1"/>
  <c r="N117" i="32"/>
  <c r="W117" i="32" s="1"/>
  <c r="N118" i="32"/>
  <c r="W118" i="32" s="1"/>
  <c r="N120" i="32"/>
  <c r="W120" i="32" s="1"/>
  <c r="N122" i="32"/>
  <c r="W122" i="32" s="1"/>
  <c r="N123" i="32"/>
  <c r="W123" i="32" s="1"/>
  <c r="N124" i="32"/>
  <c r="W124" i="32" s="1"/>
  <c r="N125" i="32"/>
  <c r="W125" i="32" s="1"/>
  <c r="N126" i="32"/>
  <c r="W126" i="32" s="1"/>
  <c r="N127" i="32"/>
  <c r="W127" i="32" s="1"/>
  <c r="N128" i="32"/>
  <c r="W128" i="32" s="1"/>
  <c r="N129" i="32"/>
  <c r="W129" i="32" s="1"/>
  <c r="N130" i="32"/>
  <c r="W130" i="32" s="1"/>
  <c r="N134" i="32"/>
  <c r="N135" i="32"/>
  <c r="W135" i="32" s="1"/>
  <c r="N136" i="32"/>
  <c r="W136" i="32" s="1"/>
  <c r="N167" i="32"/>
  <c r="W167" i="32" s="1"/>
  <c r="N170" i="32"/>
  <c r="W170" i="32" s="1"/>
  <c r="N171" i="32"/>
  <c r="W171" i="32" s="1"/>
  <c r="N172" i="32"/>
  <c r="W172" i="32" s="1"/>
  <c r="N173" i="32"/>
  <c r="W173" i="32" s="1"/>
  <c r="N174" i="32"/>
  <c r="W174" i="32" s="1"/>
  <c r="N175" i="32"/>
  <c r="W175" i="32" s="1"/>
  <c r="N176" i="32"/>
  <c r="W176" i="32" s="1"/>
  <c r="N177" i="32"/>
  <c r="W177" i="32" s="1"/>
  <c r="N178" i="32"/>
  <c r="W178" i="32" s="1"/>
  <c r="N179" i="32"/>
  <c r="W179" i="32" s="1"/>
  <c r="N180" i="32"/>
  <c r="N181" i="32"/>
  <c r="W181" i="32" s="1"/>
  <c r="N184" i="32"/>
  <c r="W184" i="32" s="1"/>
  <c r="N185" i="32"/>
  <c r="W185" i="32" s="1"/>
  <c r="N186" i="32"/>
  <c r="W186" i="32" s="1"/>
  <c r="N188" i="32"/>
  <c r="W188" i="32" s="1"/>
  <c r="N191" i="32"/>
  <c r="N192" i="32"/>
  <c r="N195" i="32"/>
  <c r="N196" i="32"/>
  <c r="W196" i="32" s="1"/>
  <c r="M61" i="32"/>
  <c r="P61" i="32" s="1"/>
  <c r="M69" i="32"/>
  <c r="P69" i="32" s="1"/>
  <c r="M74" i="32"/>
  <c r="P74" i="32" s="1"/>
  <c r="M81" i="32"/>
  <c r="P81" i="32" s="1"/>
  <c r="M84" i="32"/>
  <c r="P84" i="32" s="1"/>
  <c r="K87" i="32"/>
  <c r="M87" i="32"/>
  <c r="M152" i="32"/>
  <c r="M151" i="32" s="1"/>
  <c r="M157" i="32"/>
  <c r="M161" i="32"/>
  <c r="M163" i="32"/>
  <c r="L8" i="32"/>
  <c r="M32" i="32"/>
  <c r="P32" i="32" s="1"/>
  <c r="M30" i="32"/>
  <c r="P30" i="32" s="1"/>
  <c r="C126" i="29"/>
  <c r="T9" i="42"/>
  <c r="T10" i="42"/>
  <c r="T11" i="42"/>
  <c r="T12" i="42"/>
  <c r="T13" i="42"/>
  <c r="T14" i="42"/>
  <c r="T15" i="42"/>
  <c r="T16" i="42"/>
  <c r="T17" i="42"/>
  <c r="T18" i="42"/>
  <c r="T19" i="42"/>
  <c r="T20" i="42"/>
  <c r="T21" i="42"/>
  <c r="T22" i="42"/>
  <c r="T23" i="42"/>
  <c r="T24" i="42"/>
  <c r="T25" i="42"/>
  <c r="T26" i="42"/>
  <c r="T27" i="42"/>
  <c r="T28" i="42"/>
  <c r="T29" i="42"/>
  <c r="T30" i="42"/>
  <c r="T31" i="42"/>
  <c r="T32" i="42"/>
  <c r="T33" i="42"/>
  <c r="T34" i="42"/>
  <c r="T35" i="42"/>
  <c r="T36" i="42"/>
  <c r="T37" i="42"/>
  <c r="T38" i="42"/>
  <c r="T39" i="42"/>
  <c r="T40" i="42"/>
  <c r="T41" i="42"/>
  <c r="T42" i="42"/>
  <c r="T43" i="42"/>
  <c r="T44" i="42"/>
  <c r="T45" i="42"/>
  <c r="T46" i="42"/>
  <c r="T47" i="42"/>
  <c r="T48" i="42"/>
  <c r="T49" i="42"/>
  <c r="T50" i="42"/>
  <c r="T51" i="42"/>
  <c r="T52" i="42"/>
  <c r="T53" i="42"/>
  <c r="T54" i="42"/>
  <c r="T55" i="42"/>
  <c r="T8" i="42"/>
  <c r="D53" i="43" l="1"/>
  <c r="D25" i="55"/>
  <c r="D27" i="55" s="1"/>
  <c r="I4" i="55"/>
  <c r="C37" i="37"/>
  <c r="C37" i="58"/>
  <c r="B20" i="46"/>
  <c r="G109" i="43"/>
  <c r="P54" i="32"/>
  <c r="P91" i="32"/>
  <c r="M165" i="32"/>
  <c r="P165" i="32" s="1"/>
  <c r="P166" i="32"/>
  <c r="N121" i="32"/>
  <c r="N11" i="32"/>
  <c r="W11" i="32" s="1"/>
  <c r="N112" i="32"/>
  <c r="W112" i="32" s="1"/>
  <c r="N168" i="32"/>
  <c r="F53" i="43"/>
  <c r="C127" i="43" s="1"/>
  <c r="M25" i="25"/>
  <c r="E5" i="25"/>
  <c r="N5" i="25"/>
  <c r="H94" i="43"/>
  <c r="I94" i="43" s="1"/>
  <c r="H96" i="43"/>
  <c r="I96" i="43" s="1"/>
  <c r="H95" i="43"/>
  <c r="I95" i="43" s="1"/>
  <c r="C159" i="43"/>
  <c r="C31" i="58" s="1"/>
  <c r="B18" i="46"/>
  <c r="B13" i="46" s="1"/>
  <c r="M78" i="32"/>
  <c r="C149" i="43"/>
  <c r="C8" i="44"/>
  <c r="C24" i="44"/>
  <c r="C25" i="44"/>
  <c r="C23" i="44"/>
  <c r="C26" i="44"/>
  <c r="C27" i="44"/>
  <c r="C21" i="44"/>
  <c r="C22" i="44"/>
  <c r="C17" i="44"/>
  <c r="C119" i="43"/>
  <c r="C121" i="43" s="1"/>
  <c r="C26" i="25"/>
  <c r="C25" i="25"/>
  <c r="D4" i="25"/>
  <c r="M6" i="32"/>
  <c r="P6" i="32" s="1"/>
  <c r="M111" i="32"/>
  <c r="M91" i="32" s="1"/>
  <c r="N148" i="32"/>
  <c r="N145" i="32"/>
  <c r="C20" i="44"/>
  <c r="D72" i="43"/>
  <c r="M156" i="32"/>
  <c r="M34" i="32"/>
  <c r="F72" i="43"/>
  <c r="G131" i="43" s="1"/>
  <c r="D108" i="43"/>
  <c r="D107" i="43"/>
  <c r="E72" i="43"/>
  <c r="S122" i="40"/>
  <c r="R122" i="40"/>
  <c r="Q122" i="40"/>
  <c r="P122" i="40"/>
  <c r="O122" i="40"/>
  <c r="N122" i="40"/>
  <c r="M122" i="40"/>
  <c r="L122" i="40"/>
  <c r="K122" i="40"/>
  <c r="J122" i="40"/>
  <c r="I122" i="40"/>
  <c r="H122" i="40"/>
  <c r="G122" i="40"/>
  <c r="F121" i="40"/>
  <c r="E121" i="40"/>
  <c r="F120" i="40"/>
  <c r="E120" i="40"/>
  <c r="F119" i="40"/>
  <c r="E119" i="40"/>
  <c r="F108" i="40"/>
  <c r="E108" i="40"/>
  <c r="F107" i="40"/>
  <c r="E107" i="40"/>
  <c r="F106" i="40"/>
  <c r="E106" i="40"/>
  <c r="F105" i="40"/>
  <c r="E105" i="40"/>
  <c r="F104" i="40"/>
  <c r="E104" i="40"/>
  <c r="S103" i="40"/>
  <c r="R103" i="40"/>
  <c r="Q103" i="40"/>
  <c r="P103" i="40"/>
  <c r="O103" i="40"/>
  <c r="N103" i="40"/>
  <c r="M103" i="40"/>
  <c r="L103" i="40"/>
  <c r="K103" i="40"/>
  <c r="J103" i="40"/>
  <c r="I103" i="40"/>
  <c r="H103" i="40"/>
  <c r="G103" i="40"/>
  <c r="F102" i="40"/>
  <c r="E102" i="40"/>
  <c r="F101" i="40"/>
  <c r="E101" i="40"/>
  <c r="S100" i="40"/>
  <c r="R100" i="40"/>
  <c r="Q100" i="40"/>
  <c r="P100" i="40"/>
  <c r="O100" i="40"/>
  <c r="N100" i="40"/>
  <c r="M100" i="40"/>
  <c r="L100" i="40"/>
  <c r="K100" i="40"/>
  <c r="J100" i="40"/>
  <c r="I100" i="40"/>
  <c r="H100" i="40"/>
  <c r="G100" i="40"/>
  <c r="F95" i="40"/>
  <c r="E95" i="40"/>
  <c r="F94" i="40"/>
  <c r="E94" i="40"/>
  <c r="F93" i="40"/>
  <c r="E93" i="40"/>
  <c r="F92" i="40"/>
  <c r="E92" i="40"/>
  <c r="K91" i="40"/>
  <c r="L91" i="40" s="1"/>
  <c r="M91" i="40" s="1"/>
  <c r="N91" i="40" s="1"/>
  <c r="O91" i="40" s="1"/>
  <c r="P91" i="40" s="1"/>
  <c r="Q91" i="40" s="1"/>
  <c r="R91" i="40" s="1"/>
  <c r="S91" i="40" s="1"/>
  <c r="F91" i="40"/>
  <c r="E91" i="40"/>
  <c r="K90" i="40"/>
  <c r="F90" i="40"/>
  <c r="E90" i="40"/>
  <c r="K89" i="40"/>
  <c r="L89" i="40" s="1"/>
  <c r="F89" i="40"/>
  <c r="E89" i="40"/>
  <c r="J88" i="40"/>
  <c r="J87" i="40" s="1"/>
  <c r="I88" i="40"/>
  <c r="I87" i="40" s="1"/>
  <c r="H88" i="40"/>
  <c r="H87" i="40" s="1"/>
  <c r="G88" i="40"/>
  <c r="G87" i="40" s="1"/>
  <c r="F86" i="40"/>
  <c r="E86" i="40"/>
  <c r="K85" i="40"/>
  <c r="K81" i="40" s="1"/>
  <c r="F85" i="40"/>
  <c r="E85" i="40"/>
  <c r="F84" i="40"/>
  <c r="E84" i="40"/>
  <c r="F83" i="40"/>
  <c r="E83" i="40"/>
  <c r="F82" i="40"/>
  <c r="E82" i="40"/>
  <c r="J81" i="40"/>
  <c r="J75" i="40" s="1"/>
  <c r="I81" i="40"/>
  <c r="I75" i="40" s="1"/>
  <c r="H81" i="40"/>
  <c r="G81" i="40"/>
  <c r="G75" i="40" s="1"/>
  <c r="K80" i="40"/>
  <c r="L80" i="40" s="1"/>
  <c r="M80" i="40" s="1"/>
  <c r="H80" i="40"/>
  <c r="F80" i="40"/>
  <c r="E80" i="40"/>
  <c r="K79" i="40"/>
  <c r="L79" i="40" s="1"/>
  <c r="M79" i="40" s="1"/>
  <c r="N79" i="40" s="1"/>
  <c r="O79" i="40" s="1"/>
  <c r="P79" i="40" s="1"/>
  <c r="Q79" i="40" s="1"/>
  <c r="R79" i="40" s="1"/>
  <c r="S79" i="40" s="1"/>
  <c r="H79" i="40"/>
  <c r="F79" i="40"/>
  <c r="E79" i="40"/>
  <c r="F78" i="40"/>
  <c r="E78" i="40"/>
  <c r="F77" i="40"/>
  <c r="E77" i="40"/>
  <c r="K76" i="40"/>
  <c r="L76" i="40" s="1"/>
  <c r="M76" i="40" s="1"/>
  <c r="N76" i="40" s="1"/>
  <c r="F76" i="40"/>
  <c r="E76" i="40"/>
  <c r="F73" i="40"/>
  <c r="E73" i="40"/>
  <c r="J72" i="40"/>
  <c r="J71" i="40" s="1"/>
  <c r="F72" i="40"/>
  <c r="E72" i="40"/>
  <c r="S71" i="40"/>
  <c r="R71" i="40"/>
  <c r="Q71" i="40"/>
  <c r="P71" i="40"/>
  <c r="O71" i="40"/>
  <c r="N71" i="40"/>
  <c r="M71" i="40"/>
  <c r="L71" i="40"/>
  <c r="K71" i="40"/>
  <c r="I71" i="40"/>
  <c r="H71" i="40"/>
  <c r="G71" i="40"/>
  <c r="K70" i="40"/>
  <c r="L70" i="40" s="1"/>
  <c r="M70" i="40" s="1"/>
  <c r="N70" i="40" s="1"/>
  <c r="O70" i="40" s="1"/>
  <c r="P70" i="40" s="1"/>
  <c r="Q70" i="40" s="1"/>
  <c r="R70" i="40" s="1"/>
  <c r="S70" i="40" s="1"/>
  <c r="H70" i="40"/>
  <c r="H65" i="40" s="1"/>
  <c r="F70" i="40"/>
  <c r="E70" i="40"/>
  <c r="F69" i="40"/>
  <c r="E69" i="40"/>
  <c r="F68" i="40"/>
  <c r="E68" i="40"/>
  <c r="K67" i="40"/>
  <c r="L67" i="40" s="1"/>
  <c r="M67" i="40" s="1"/>
  <c r="N67" i="40" s="1"/>
  <c r="O67" i="40" s="1"/>
  <c r="P67" i="40" s="1"/>
  <c r="Q67" i="40" s="1"/>
  <c r="R67" i="40" s="1"/>
  <c r="S67" i="40" s="1"/>
  <c r="F67" i="40"/>
  <c r="E67" i="40"/>
  <c r="K66" i="40"/>
  <c r="L66" i="40" s="1"/>
  <c r="F66" i="40"/>
  <c r="E66" i="40"/>
  <c r="J65" i="40"/>
  <c r="I65" i="40"/>
  <c r="G65" i="40"/>
  <c r="F64" i="40"/>
  <c r="E64" i="40"/>
  <c r="F63" i="40"/>
  <c r="E63" i="40"/>
  <c r="K62" i="40"/>
  <c r="L62" i="40" s="1"/>
  <c r="M62" i="40" s="1"/>
  <c r="N62" i="40" s="1"/>
  <c r="O62" i="40" s="1"/>
  <c r="P62" i="40" s="1"/>
  <c r="Q62" i="40" s="1"/>
  <c r="R62" i="40" s="1"/>
  <c r="S62" i="40" s="1"/>
  <c r="F62" i="40"/>
  <c r="E62" i="40"/>
  <c r="F61" i="40"/>
  <c r="E61" i="40"/>
  <c r="F60" i="40"/>
  <c r="E60" i="40"/>
  <c r="F59" i="40"/>
  <c r="E59" i="40"/>
  <c r="K58" i="40"/>
  <c r="L58" i="40" s="1"/>
  <c r="M58" i="40" s="1"/>
  <c r="N58" i="40" s="1"/>
  <c r="O58" i="40" s="1"/>
  <c r="P58" i="40" s="1"/>
  <c r="Q58" i="40" s="1"/>
  <c r="R58" i="40" s="1"/>
  <c r="S58" i="40" s="1"/>
  <c r="F58" i="40"/>
  <c r="E58" i="40"/>
  <c r="K57" i="40"/>
  <c r="L57" i="40" s="1"/>
  <c r="M57" i="40" s="1"/>
  <c r="N57" i="40" s="1"/>
  <c r="O57" i="40" s="1"/>
  <c r="P57" i="40" s="1"/>
  <c r="Q57" i="40" s="1"/>
  <c r="R57" i="40" s="1"/>
  <c r="S57" i="40" s="1"/>
  <c r="H57" i="40"/>
  <c r="F57" i="40"/>
  <c r="E57" i="40"/>
  <c r="K56" i="40"/>
  <c r="L56" i="40" s="1"/>
  <c r="M56" i="40" s="1"/>
  <c r="N56" i="40" s="1"/>
  <c r="O56" i="40" s="1"/>
  <c r="P56" i="40" s="1"/>
  <c r="Q56" i="40" s="1"/>
  <c r="R56" i="40" s="1"/>
  <c r="S56" i="40" s="1"/>
  <c r="H56" i="40"/>
  <c r="F56" i="40"/>
  <c r="E56" i="40"/>
  <c r="F55" i="40"/>
  <c r="E55" i="40"/>
  <c r="K54" i="40"/>
  <c r="L54" i="40" s="1"/>
  <c r="M54" i="40" s="1"/>
  <c r="N54" i="40" s="1"/>
  <c r="O54" i="40" s="1"/>
  <c r="P54" i="40" s="1"/>
  <c r="Q54" i="40" s="1"/>
  <c r="R54" i="40" s="1"/>
  <c r="S54" i="40" s="1"/>
  <c r="F54" i="40"/>
  <c r="E54" i="40"/>
  <c r="K53" i="40"/>
  <c r="F53" i="40"/>
  <c r="E53" i="40"/>
  <c r="J52" i="40"/>
  <c r="I52" i="40"/>
  <c r="I49" i="40" s="1"/>
  <c r="G52" i="40"/>
  <c r="G49" i="40" s="1"/>
  <c r="K51" i="40"/>
  <c r="L51" i="40" s="1"/>
  <c r="M51" i="40" s="1"/>
  <c r="N51" i="40" s="1"/>
  <c r="O51" i="40" s="1"/>
  <c r="P51" i="40" s="1"/>
  <c r="Q51" i="40" s="1"/>
  <c r="R51" i="40" s="1"/>
  <c r="S51" i="40" s="1"/>
  <c r="F51" i="40"/>
  <c r="E51" i="40"/>
  <c r="J50" i="40"/>
  <c r="K50" i="40" s="1"/>
  <c r="H50" i="40"/>
  <c r="F50" i="40"/>
  <c r="E50" i="40"/>
  <c r="F46" i="40"/>
  <c r="E46" i="40"/>
  <c r="F45" i="40"/>
  <c r="E45" i="40"/>
  <c r="F44" i="40"/>
  <c r="E44" i="40"/>
  <c r="F43" i="40"/>
  <c r="E43" i="40"/>
  <c r="F42" i="40"/>
  <c r="E42" i="40"/>
  <c r="K41" i="40"/>
  <c r="L41" i="40" s="1"/>
  <c r="M41" i="40" s="1"/>
  <c r="N41" i="40" s="1"/>
  <c r="O41" i="40" s="1"/>
  <c r="P41" i="40" s="1"/>
  <c r="Q41" i="40" s="1"/>
  <c r="R41" i="40" s="1"/>
  <c r="S41" i="40" s="1"/>
  <c r="H41" i="40"/>
  <c r="F41" i="40"/>
  <c r="E41" i="40"/>
  <c r="F40" i="40"/>
  <c r="E40" i="40"/>
  <c r="K39" i="40"/>
  <c r="L39" i="40" s="1"/>
  <c r="M39" i="40" s="1"/>
  <c r="N39" i="40" s="1"/>
  <c r="O39" i="40" s="1"/>
  <c r="P39" i="40" s="1"/>
  <c r="Q39" i="40" s="1"/>
  <c r="R39" i="40" s="1"/>
  <c r="S39" i="40" s="1"/>
  <c r="F39" i="40"/>
  <c r="E39" i="40"/>
  <c r="F38" i="40"/>
  <c r="E38" i="40"/>
  <c r="K37" i="40"/>
  <c r="L37" i="40" s="1"/>
  <c r="M37" i="40" s="1"/>
  <c r="N37" i="40" s="1"/>
  <c r="O37" i="40" s="1"/>
  <c r="P37" i="40" s="1"/>
  <c r="Q37" i="40" s="1"/>
  <c r="R37" i="40" s="1"/>
  <c r="S37" i="40" s="1"/>
  <c r="F37" i="40"/>
  <c r="E37" i="40"/>
  <c r="K36" i="40"/>
  <c r="L36" i="40" s="1"/>
  <c r="M36" i="40" s="1"/>
  <c r="N36" i="40" s="1"/>
  <c r="O36" i="40" s="1"/>
  <c r="P36" i="40" s="1"/>
  <c r="Q36" i="40" s="1"/>
  <c r="R36" i="40" s="1"/>
  <c r="S36" i="40" s="1"/>
  <c r="F36" i="40"/>
  <c r="E36" i="40"/>
  <c r="K35" i="40"/>
  <c r="L35" i="40" s="1"/>
  <c r="F35" i="40"/>
  <c r="E35" i="40"/>
  <c r="J34" i="40"/>
  <c r="J33" i="40" s="1"/>
  <c r="J32" i="40" s="1"/>
  <c r="I34" i="40"/>
  <c r="I33" i="40" s="1"/>
  <c r="I32" i="40" s="1"/>
  <c r="H34" i="40"/>
  <c r="G34" i="40"/>
  <c r="G33" i="40" s="1"/>
  <c r="G32" i="40" s="1"/>
  <c r="F31" i="40"/>
  <c r="E31" i="40"/>
  <c r="H30" i="40"/>
  <c r="G30" i="40"/>
  <c r="F30" i="40"/>
  <c r="E30" i="40"/>
  <c r="H29" i="40"/>
  <c r="G29" i="40"/>
  <c r="F29" i="40"/>
  <c r="E29" i="40"/>
  <c r="S28" i="40"/>
  <c r="R28" i="40"/>
  <c r="Q28" i="40"/>
  <c r="P28" i="40"/>
  <c r="O28" i="40"/>
  <c r="N28" i="40"/>
  <c r="M28" i="40"/>
  <c r="L28" i="40"/>
  <c r="K28" i="40"/>
  <c r="J28" i="40"/>
  <c r="I28" i="40"/>
  <c r="F27" i="40"/>
  <c r="E27" i="40"/>
  <c r="F26" i="40"/>
  <c r="E26" i="40"/>
  <c r="S25" i="40"/>
  <c r="R25" i="40"/>
  <c r="Q25" i="40"/>
  <c r="P25" i="40"/>
  <c r="O25" i="40"/>
  <c r="N25" i="40"/>
  <c r="M25" i="40"/>
  <c r="L25" i="40"/>
  <c r="K25" i="40"/>
  <c r="J25" i="40"/>
  <c r="I25" i="40"/>
  <c r="H25" i="40"/>
  <c r="G25" i="40"/>
  <c r="K22" i="40"/>
  <c r="L22" i="40" s="1"/>
  <c r="H22" i="40"/>
  <c r="F22" i="40"/>
  <c r="E22" i="40"/>
  <c r="K21" i="40"/>
  <c r="L21" i="40" s="1"/>
  <c r="M21" i="40" s="1"/>
  <c r="N21" i="40" s="1"/>
  <c r="H21" i="40"/>
  <c r="F21" i="40"/>
  <c r="E21" i="40"/>
  <c r="J20" i="40"/>
  <c r="I20" i="40"/>
  <c r="G20" i="40"/>
  <c r="K19" i="40"/>
  <c r="L19" i="40" s="1"/>
  <c r="M19" i="40" s="1"/>
  <c r="N19" i="40" s="1"/>
  <c r="O19" i="40" s="1"/>
  <c r="P19" i="40" s="1"/>
  <c r="Q19" i="40" s="1"/>
  <c r="R19" i="40" s="1"/>
  <c r="S19" i="40" s="1"/>
  <c r="H19" i="40"/>
  <c r="F19" i="40"/>
  <c r="E19" i="40"/>
  <c r="F18" i="40"/>
  <c r="E18" i="40"/>
  <c r="F17" i="40"/>
  <c r="E17" i="40"/>
  <c r="K16" i="40"/>
  <c r="L16" i="40" s="1"/>
  <c r="M16" i="40" s="1"/>
  <c r="N16" i="40" s="1"/>
  <c r="O16" i="40" s="1"/>
  <c r="P16" i="40" s="1"/>
  <c r="Q16" i="40" s="1"/>
  <c r="R16" i="40" s="1"/>
  <c r="S16" i="40" s="1"/>
  <c r="F16" i="40"/>
  <c r="E16" i="40"/>
  <c r="K15" i="40"/>
  <c r="L15" i="40" s="1"/>
  <c r="M15" i="40" s="1"/>
  <c r="N15" i="40" s="1"/>
  <c r="O15" i="40" s="1"/>
  <c r="P15" i="40" s="1"/>
  <c r="Q15" i="40" s="1"/>
  <c r="R15" i="40" s="1"/>
  <c r="S15" i="40" s="1"/>
  <c r="F15" i="40"/>
  <c r="E15" i="40"/>
  <c r="K14" i="40"/>
  <c r="L14" i="40" s="1"/>
  <c r="M14" i="40" s="1"/>
  <c r="N14" i="40" s="1"/>
  <c r="O14" i="40" s="1"/>
  <c r="P14" i="40" s="1"/>
  <c r="Q14" i="40" s="1"/>
  <c r="R14" i="40" s="1"/>
  <c r="S14" i="40" s="1"/>
  <c r="H14" i="40"/>
  <c r="F14" i="40"/>
  <c r="E14" i="40"/>
  <c r="K13" i="40"/>
  <c r="L13" i="40" s="1"/>
  <c r="M13" i="40" s="1"/>
  <c r="N13" i="40" s="1"/>
  <c r="O13" i="40" s="1"/>
  <c r="P13" i="40" s="1"/>
  <c r="Q13" i="40" s="1"/>
  <c r="R13" i="40" s="1"/>
  <c r="S13" i="40" s="1"/>
  <c r="F13" i="40"/>
  <c r="E13" i="40"/>
  <c r="K12" i="40"/>
  <c r="L12" i="40" s="1"/>
  <c r="M12" i="40" s="1"/>
  <c r="N12" i="40" s="1"/>
  <c r="O12" i="40" s="1"/>
  <c r="P12" i="40" s="1"/>
  <c r="Q12" i="40" s="1"/>
  <c r="R12" i="40" s="1"/>
  <c r="S12" i="40" s="1"/>
  <c r="F12" i="40"/>
  <c r="E12" i="40"/>
  <c r="K11" i="40"/>
  <c r="L11" i="40" s="1"/>
  <c r="M11" i="40" s="1"/>
  <c r="N11" i="40" s="1"/>
  <c r="O11" i="40" s="1"/>
  <c r="P11" i="40" s="1"/>
  <c r="Q11" i="40" s="1"/>
  <c r="R11" i="40" s="1"/>
  <c r="S11" i="40" s="1"/>
  <c r="F11" i="40"/>
  <c r="E11" i="40"/>
  <c r="F10" i="40"/>
  <c r="E10" i="40"/>
  <c r="F9" i="40"/>
  <c r="E9" i="40"/>
  <c r="K8" i="40"/>
  <c r="L8" i="40" s="1"/>
  <c r="F8" i="40"/>
  <c r="E8" i="40"/>
  <c r="J7" i="40"/>
  <c r="I7" i="40"/>
  <c r="G7" i="40"/>
  <c r="E4" i="40"/>
  <c r="F4" i="40" s="1"/>
  <c r="G4" i="40" s="1"/>
  <c r="H4" i="40" s="1"/>
  <c r="I4" i="40" s="1"/>
  <c r="J4" i="40" s="1"/>
  <c r="K4" i="40" s="1"/>
  <c r="L4" i="40" s="1"/>
  <c r="M4" i="40" s="1"/>
  <c r="N4" i="40" s="1"/>
  <c r="O4" i="40" s="1"/>
  <c r="P4" i="40" s="1"/>
  <c r="Q4" i="40" s="1"/>
  <c r="R4" i="40" s="1"/>
  <c r="S4" i="40" s="1"/>
  <c r="C2" i="40"/>
  <c r="P14" i="39"/>
  <c r="O14" i="39"/>
  <c r="N14" i="39"/>
  <c r="M14" i="39"/>
  <c r="L14" i="39"/>
  <c r="K14" i="39"/>
  <c r="J14" i="39"/>
  <c r="I14" i="39"/>
  <c r="H14" i="39"/>
  <c r="G14" i="39"/>
  <c r="F14" i="39"/>
  <c r="E14" i="39"/>
  <c r="D14" i="39"/>
  <c r="C14" i="39"/>
  <c r="B14" i="39"/>
  <c r="P8" i="39"/>
  <c r="O8" i="39"/>
  <c r="N8" i="39"/>
  <c r="M8" i="39"/>
  <c r="L8" i="39"/>
  <c r="K8" i="39"/>
  <c r="J8" i="39"/>
  <c r="I8" i="39"/>
  <c r="H8" i="39"/>
  <c r="G8" i="39"/>
  <c r="F8" i="39"/>
  <c r="E8" i="39"/>
  <c r="D8" i="39"/>
  <c r="C8" i="39"/>
  <c r="B8" i="39"/>
  <c r="P7" i="39"/>
  <c r="O7" i="39"/>
  <c r="N7" i="39"/>
  <c r="M7" i="39"/>
  <c r="L7" i="39"/>
  <c r="K7" i="39"/>
  <c r="J7" i="39"/>
  <c r="I7" i="39"/>
  <c r="H7" i="39"/>
  <c r="G7" i="39"/>
  <c r="F7" i="39"/>
  <c r="E7" i="39"/>
  <c r="D7" i="39"/>
  <c r="C7" i="39"/>
  <c r="B7" i="39"/>
  <c r="P6" i="39"/>
  <c r="O6" i="39"/>
  <c r="N6" i="39"/>
  <c r="M6" i="39"/>
  <c r="L6" i="39"/>
  <c r="K6" i="39"/>
  <c r="J6" i="39"/>
  <c r="I6" i="39"/>
  <c r="H6" i="39"/>
  <c r="G6" i="39"/>
  <c r="F6" i="39"/>
  <c r="E6" i="39"/>
  <c r="D6" i="39"/>
  <c r="C6" i="39"/>
  <c r="B6" i="39"/>
  <c r="P5" i="39"/>
  <c r="O5" i="39"/>
  <c r="N5" i="39"/>
  <c r="M5" i="39"/>
  <c r="L5" i="39"/>
  <c r="K5" i="39"/>
  <c r="J5" i="39"/>
  <c r="I5" i="39"/>
  <c r="H5" i="39"/>
  <c r="G5" i="39"/>
  <c r="F5" i="39"/>
  <c r="E5" i="39"/>
  <c r="D5" i="39"/>
  <c r="C5" i="39"/>
  <c r="B5" i="39"/>
  <c r="P4" i="39"/>
  <c r="P13" i="39" s="1"/>
  <c r="O4" i="39"/>
  <c r="O13" i="39" s="1"/>
  <c r="N4" i="39"/>
  <c r="N13" i="39" s="1"/>
  <c r="M4" i="39"/>
  <c r="M13" i="39" s="1"/>
  <c r="L4" i="39"/>
  <c r="L13" i="39" s="1"/>
  <c r="K4" i="39"/>
  <c r="K13" i="39" s="1"/>
  <c r="J4" i="39"/>
  <c r="J13" i="39" s="1"/>
  <c r="I4" i="39"/>
  <c r="I13" i="39" s="1"/>
  <c r="H4" i="39"/>
  <c r="H13" i="39" s="1"/>
  <c r="G4" i="39"/>
  <c r="G13" i="39" s="1"/>
  <c r="F4" i="39"/>
  <c r="F13" i="39" s="1"/>
  <c r="E4" i="39"/>
  <c r="E13" i="39" s="1"/>
  <c r="D4" i="39"/>
  <c r="D13" i="39" s="1"/>
  <c r="C4" i="39"/>
  <c r="C13" i="39" s="1"/>
  <c r="B4" i="39"/>
  <c r="B13" i="39" s="1"/>
  <c r="A1" i="39"/>
  <c r="O45" i="38"/>
  <c r="N45" i="38"/>
  <c r="M45" i="38"/>
  <c r="L45" i="38"/>
  <c r="K45" i="38"/>
  <c r="J45" i="38"/>
  <c r="I45" i="38"/>
  <c r="H45" i="38"/>
  <c r="G45" i="38"/>
  <c r="F45" i="38"/>
  <c r="E45" i="38"/>
  <c r="D45" i="38"/>
  <c r="C45" i="38"/>
  <c r="O41" i="38"/>
  <c r="O49" i="38" s="1"/>
  <c r="N41" i="38"/>
  <c r="N49" i="38" s="1"/>
  <c r="M41" i="38"/>
  <c r="M49" i="38" s="1"/>
  <c r="M50" i="38" s="1"/>
  <c r="M51" i="38" s="1"/>
  <c r="L41" i="38"/>
  <c r="L49" i="38" s="1"/>
  <c r="K41" i="38"/>
  <c r="K49" i="38" s="1"/>
  <c r="J41" i="38"/>
  <c r="J49" i="38" s="1"/>
  <c r="J50" i="38" s="1"/>
  <c r="J51" i="38" s="1"/>
  <c r="I41" i="38"/>
  <c r="I49" i="38" s="1"/>
  <c r="H41" i="38"/>
  <c r="H49" i="38" s="1"/>
  <c r="H50" i="38" s="1"/>
  <c r="H51" i="38" s="1"/>
  <c r="G41" i="38"/>
  <c r="G49" i="38" s="1"/>
  <c r="G50" i="38" s="1"/>
  <c r="G51" i="38" s="1"/>
  <c r="F41" i="38"/>
  <c r="E41" i="38"/>
  <c r="D41" i="38"/>
  <c r="C41" i="38"/>
  <c r="C49" i="38" s="1"/>
  <c r="C38" i="38"/>
  <c r="D34" i="38"/>
  <c r="E34" i="38" s="1"/>
  <c r="F34" i="38" s="1"/>
  <c r="G34" i="38" s="1"/>
  <c r="H34" i="38" s="1"/>
  <c r="I34" i="38" s="1"/>
  <c r="J34" i="38" s="1"/>
  <c r="K34" i="38" s="1"/>
  <c r="L34" i="38" s="1"/>
  <c r="M34" i="38" s="1"/>
  <c r="N34" i="38" s="1"/>
  <c r="O34" i="38" s="1"/>
  <c r="C34" i="38"/>
  <c r="C24" i="38"/>
  <c r="C23" i="38"/>
  <c r="O22" i="38"/>
  <c r="N22" i="38"/>
  <c r="M22" i="38"/>
  <c r="L22" i="38"/>
  <c r="K22" i="38"/>
  <c r="J22" i="38"/>
  <c r="I22" i="38"/>
  <c r="H22" i="38"/>
  <c r="G22" i="38"/>
  <c r="F22" i="38"/>
  <c r="E22" i="38"/>
  <c r="D22" i="38"/>
  <c r="C21" i="38"/>
  <c r="C20" i="38"/>
  <c r="C18" i="38"/>
  <c r="L17" i="38"/>
  <c r="L16" i="38" s="1"/>
  <c r="C17" i="38"/>
  <c r="O16" i="38"/>
  <c r="N16" i="38"/>
  <c r="M16" i="38"/>
  <c r="K16" i="38"/>
  <c r="J16" i="38"/>
  <c r="I16" i="38"/>
  <c r="H16" i="38"/>
  <c r="G16" i="38"/>
  <c r="F16" i="38"/>
  <c r="E16" i="38"/>
  <c r="D16" i="38"/>
  <c r="C15" i="38"/>
  <c r="C13" i="38"/>
  <c r="C12" i="38"/>
  <c r="C8" i="38"/>
  <c r="C7" i="38"/>
  <c r="C6" i="38"/>
  <c r="D4" i="38"/>
  <c r="E4" i="38" s="1"/>
  <c r="F4" i="38" s="1"/>
  <c r="G4" i="38" s="1"/>
  <c r="H4" i="38" s="1"/>
  <c r="I4" i="38" s="1"/>
  <c r="J4" i="38" s="1"/>
  <c r="K4" i="38" s="1"/>
  <c r="L4" i="38" s="1"/>
  <c r="M4" i="38" s="1"/>
  <c r="N4" i="38" s="1"/>
  <c r="O4" i="38" s="1"/>
  <c r="C4" i="38"/>
  <c r="O2" i="38"/>
  <c r="N2" i="38"/>
  <c r="M2" i="38"/>
  <c r="L2" i="38"/>
  <c r="K2" i="38"/>
  <c r="J2" i="38"/>
  <c r="I2" i="38"/>
  <c r="H2" i="38"/>
  <c r="G2" i="38"/>
  <c r="F2" i="38"/>
  <c r="E2" i="38"/>
  <c r="D2" i="38"/>
  <c r="B2" i="38"/>
  <c r="G99" i="40" l="1"/>
  <c r="G98" i="40" s="1"/>
  <c r="M150" i="32"/>
  <c r="P150" i="32" s="1"/>
  <c r="N4" i="55"/>
  <c r="I25" i="55"/>
  <c r="E4" i="55"/>
  <c r="M16" i="32"/>
  <c r="P16" i="32" s="1"/>
  <c r="P34" i="32"/>
  <c r="M77" i="32"/>
  <c r="P77" i="32" s="1"/>
  <c r="P78" i="32"/>
  <c r="N91" i="32"/>
  <c r="D25" i="25"/>
  <c r="I4" i="25"/>
  <c r="C22" i="46"/>
  <c r="C19" i="46"/>
  <c r="C21" i="46"/>
  <c r="C14" i="46"/>
  <c r="C17" i="46"/>
  <c r="C20" i="46"/>
  <c r="I99" i="40"/>
  <c r="I98" i="40" s="1"/>
  <c r="D119" i="43"/>
  <c r="D121" i="43" s="1"/>
  <c r="S99" i="40"/>
  <c r="S98" i="40" s="1"/>
  <c r="N99" i="40"/>
  <c r="N98" i="40" s="1"/>
  <c r="H75" i="40"/>
  <c r="H96" i="40" s="1"/>
  <c r="C31" i="37"/>
  <c r="D6" i="38"/>
  <c r="D5" i="38" s="1"/>
  <c r="H20" i="40"/>
  <c r="C16" i="38"/>
  <c r="G48" i="40"/>
  <c r="G47" i="40" s="1"/>
  <c r="G115" i="40" s="1"/>
  <c r="G126" i="40" s="1"/>
  <c r="I48" i="40"/>
  <c r="I47" i="40" s="1"/>
  <c r="I115" i="40" s="1"/>
  <c r="I126" i="40" s="1"/>
  <c r="K20" i="40"/>
  <c r="E100" i="40"/>
  <c r="J49" i="40"/>
  <c r="J48" i="40" s="1"/>
  <c r="J47" i="40" s="1"/>
  <c r="J115" i="40" s="1"/>
  <c r="J126" i="40" s="1"/>
  <c r="H52" i="40"/>
  <c r="H49" i="40" s="1"/>
  <c r="H48" i="40" s="1"/>
  <c r="H47" i="40" s="1"/>
  <c r="H115" i="40" s="1"/>
  <c r="H126" i="40" s="1"/>
  <c r="L24" i="40"/>
  <c r="L85" i="40"/>
  <c r="M85" i="40" s="1"/>
  <c r="N85" i="40" s="1"/>
  <c r="F121" i="43"/>
  <c r="H33" i="40"/>
  <c r="H32" i="40" s="1"/>
  <c r="L65" i="40"/>
  <c r="I96" i="40"/>
  <c r="M9" i="39"/>
  <c r="M10" i="39" s="1"/>
  <c r="M11" i="39" s="1"/>
  <c r="F28" i="40"/>
  <c r="F25" i="40"/>
  <c r="G28" i="40"/>
  <c r="G24" i="40" s="1"/>
  <c r="G23" i="40" s="1"/>
  <c r="G6" i="40" s="1"/>
  <c r="G5" i="40" s="1"/>
  <c r="E103" i="40"/>
  <c r="M24" i="40"/>
  <c r="P24" i="40"/>
  <c r="K88" i="40"/>
  <c r="K87" i="40" s="1"/>
  <c r="O24" i="40"/>
  <c r="K65" i="40"/>
  <c r="N24" i="40"/>
  <c r="L99" i="40"/>
  <c r="L98" i="40" s="1"/>
  <c r="O99" i="40"/>
  <c r="O98" i="40" s="1"/>
  <c r="J24" i="40"/>
  <c r="J23" i="40" s="1"/>
  <c r="J6" i="40" s="1"/>
  <c r="J5" i="40" s="1"/>
  <c r="I24" i="40"/>
  <c r="I23" i="40" s="1"/>
  <c r="I6" i="40" s="1"/>
  <c r="H7" i="40"/>
  <c r="K24" i="40"/>
  <c r="F100" i="40"/>
  <c r="F71" i="40"/>
  <c r="E81" i="40"/>
  <c r="E75" i="40" s="1"/>
  <c r="E25" i="40"/>
  <c r="H28" i="40"/>
  <c r="H24" i="40" s="1"/>
  <c r="D8" i="38"/>
  <c r="E8" i="38" s="1"/>
  <c r="F8" i="38" s="1"/>
  <c r="G8" i="38" s="1"/>
  <c r="H8" i="38" s="1"/>
  <c r="I8" i="38" s="1"/>
  <c r="J8" i="38" s="1"/>
  <c r="K8" i="38" s="1"/>
  <c r="L8" i="38" s="1"/>
  <c r="M8" i="38" s="1"/>
  <c r="N8" i="38" s="1"/>
  <c r="O8" i="38" s="1"/>
  <c r="C22" i="38"/>
  <c r="C35" i="38" s="1"/>
  <c r="C37" i="38" s="1"/>
  <c r="E122" i="40"/>
  <c r="F81" i="40"/>
  <c r="F75" i="40" s="1"/>
  <c r="E88" i="40"/>
  <c r="E87" i="40" s="1"/>
  <c r="F20" i="40"/>
  <c r="L9" i="39"/>
  <c r="L10" i="39" s="1"/>
  <c r="L11" i="39" s="1"/>
  <c r="F52" i="40"/>
  <c r="F49" i="40" s="1"/>
  <c r="E71" i="40"/>
  <c r="F103" i="40"/>
  <c r="O9" i="39"/>
  <c r="O10" i="39" s="1"/>
  <c r="O11" i="39" s="1"/>
  <c r="F88" i="40"/>
  <c r="F87" i="40" s="1"/>
  <c r="E52" i="40"/>
  <c r="E49" i="40" s="1"/>
  <c r="C9" i="39"/>
  <c r="C10" i="39" s="1"/>
  <c r="C11" i="39" s="1"/>
  <c r="E28" i="40"/>
  <c r="F9" i="39"/>
  <c r="F10" i="39" s="1"/>
  <c r="F11" i="39" s="1"/>
  <c r="F34" i="40"/>
  <c r="F33" i="40" s="1"/>
  <c r="F32" i="40" s="1"/>
  <c r="E65" i="40"/>
  <c r="D9" i="39"/>
  <c r="D10" i="39" s="1"/>
  <c r="D11" i="39" s="1"/>
  <c r="H9" i="39"/>
  <c r="H10" i="39" s="1"/>
  <c r="H11" i="39" s="1"/>
  <c r="F65" i="40"/>
  <c r="E7" i="40"/>
  <c r="I9" i="39"/>
  <c r="I10" i="39" s="1"/>
  <c r="I11" i="39" s="1"/>
  <c r="J9" i="39"/>
  <c r="J10" i="39" s="1"/>
  <c r="J11" i="39" s="1"/>
  <c r="K9" i="39"/>
  <c r="K10" i="39" s="1"/>
  <c r="K11" i="39" s="1"/>
  <c r="F7" i="40"/>
  <c r="B9" i="39"/>
  <c r="B10" i="39" s="1"/>
  <c r="B11" i="39" s="1"/>
  <c r="E9" i="39"/>
  <c r="E10" i="39" s="1"/>
  <c r="E11" i="39" s="1"/>
  <c r="G9" i="39"/>
  <c r="G10" i="39" s="1"/>
  <c r="G11" i="39" s="1"/>
  <c r="D49" i="38"/>
  <c r="D50" i="38" s="1"/>
  <c r="D51" i="38" s="1"/>
  <c r="D52" i="38" s="1"/>
  <c r="C50" i="38"/>
  <c r="C51" i="38" s="1"/>
  <c r="C52" i="38" s="1"/>
  <c r="E34" i="40"/>
  <c r="E33" i="40" s="1"/>
  <c r="E32" i="40" s="1"/>
  <c r="C11" i="38"/>
  <c r="N9" i="39"/>
  <c r="N10" i="39" s="1"/>
  <c r="N11" i="39" s="1"/>
  <c r="P9" i="39"/>
  <c r="P10" i="39" s="1"/>
  <c r="P11" i="39" s="1"/>
  <c r="E20" i="40"/>
  <c r="F122" i="40"/>
  <c r="K75" i="40"/>
  <c r="R99" i="40"/>
  <c r="R98" i="40" s="1"/>
  <c r="R24" i="40"/>
  <c r="G96" i="40"/>
  <c r="H99" i="40"/>
  <c r="H98" i="40" s="1"/>
  <c r="Q24" i="40"/>
  <c r="S24" i="40"/>
  <c r="K52" i="40"/>
  <c r="K49" i="40" s="1"/>
  <c r="K48" i="40" s="1"/>
  <c r="J99" i="40"/>
  <c r="J98" i="40" s="1"/>
  <c r="K7" i="40"/>
  <c r="M99" i="40"/>
  <c r="M98" i="40" s="1"/>
  <c r="K99" i="40"/>
  <c r="K98" i="40" s="1"/>
  <c r="K34" i="40"/>
  <c r="K33" i="40" s="1"/>
  <c r="K32" i="40" s="1"/>
  <c r="P99" i="40"/>
  <c r="P98" i="40" s="1"/>
  <c r="Q99" i="40"/>
  <c r="Q98" i="40" s="1"/>
  <c r="J96" i="40"/>
  <c r="N80" i="40"/>
  <c r="O80" i="40" s="1"/>
  <c r="P80" i="40" s="1"/>
  <c r="Q80" i="40" s="1"/>
  <c r="R80" i="40" s="1"/>
  <c r="S80" i="40" s="1"/>
  <c r="O76" i="40"/>
  <c r="M8" i="40"/>
  <c r="L7" i="40"/>
  <c r="M22" i="40"/>
  <c r="N22" i="40" s="1"/>
  <c r="O22" i="40" s="1"/>
  <c r="P22" i="40" s="1"/>
  <c r="Q22" i="40" s="1"/>
  <c r="R22" i="40" s="1"/>
  <c r="S22" i="40" s="1"/>
  <c r="L20" i="40"/>
  <c r="M35" i="40"/>
  <c r="L34" i="40"/>
  <c r="L33" i="40" s="1"/>
  <c r="L32" i="40" s="1"/>
  <c r="M89" i="40"/>
  <c r="L90" i="40"/>
  <c r="M90" i="40" s="1"/>
  <c r="N90" i="40" s="1"/>
  <c r="O90" i="40" s="1"/>
  <c r="P90" i="40" s="1"/>
  <c r="Q90" i="40" s="1"/>
  <c r="R90" i="40" s="1"/>
  <c r="S90" i="40" s="1"/>
  <c r="O21" i="40"/>
  <c r="L50" i="40"/>
  <c r="L53" i="40"/>
  <c r="M66" i="40"/>
  <c r="G52" i="38"/>
  <c r="J52" i="38"/>
  <c r="M52" i="38"/>
  <c r="H52" i="38"/>
  <c r="E49" i="38"/>
  <c r="E50" i="38" s="1"/>
  <c r="E51" i="38" s="1"/>
  <c r="F49" i="38"/>
  <c r="F50" i="38" s="1"/>
  <c r="F51" i="38" s="1"/>
  <c r="I50" i="38"/>
  <c r="I51" i="38" s="1"/>
  <c r="K50" i="38"/>
  <c r="K51" i="38" s="1"/>
  <c r="L50" i="38"/>
  <c r="L51" i="38" s="1"/>
  <c r="C5" i="38"/>
  <c r="C9" i="38" s="1"/>
  <c r="N50" i="38"/>
  <c r="N51" i="38" s="1"/>
  <c r="E25" i="55" l="1"/>
  <c r="O4" i="55"/>
  <c r="N25" i="55"/>
  <c r="J27" i="55"/>
  <c r="H26" i="55"/>
  <c r="H33" i="55"/>
  <c r="M5" i="32"/>
  <c r="P5" i="32" s="1"/>
  <c r="N4" i="25"/>
  <c r="E4" i="25"/>
  <c r="C124" i="43"/>
  <c r="C123" i="43"/>
  <c r="C125" i="43"/>
  <c r="L81" i="40"/>
  <c r="L75" i="40" s="1"/>
  <c r="L23" i="40"/>
  <c r="L6" i="40" s="1"/>
  <c r="H23" i="40"/>
  <c r="H6" i="40" s="1"/>
  <c r="H74" i="40" s="1"/>
  <c r="M81" i="40"/>
  <c r="M75" i="40" s="1"/>
  <c r="K47" i="40"/>
  <c r="K115" i="40" s="1"/>
  <c r="K126" i="40" s="1"/>
  <c r="E6" i="38"/>
  <c r="E5" i="38" s="1"/>
  <c r="E9" i="38" s="1"/>
  <c r="C41" i="44"/>
  <c r="E99" i="40"/>
  <c r="E98" i="40" s="1"/>
  <c r="F24" i="40"/>
  <c r="F23" i="40" s="1"/>
  <c r="F6" i="40" s="1"/>
  <c r="F5" i="40" s="1"/>
  <c r="C10" i="38"/>
  <c r="D12" i="38" s="1"/>
  <c r="D11" i="38" s="1"/>
  <c r="M20" i="40"/>
  <c r="K96" i="40"/>
  <c r="D9" i="38"/>
  <c r="D26" i="38" s="1"/>
  <c r="C26" i="38"/>
  <c r="K23" i="40"/>
  <c r="K6" i="40" s="1"/>
  <c r="K5" i="40" s="1"/>
  <c r="F99" i="40"/>
  <c r="F98" i="40" s="1"/>
  <c r="E24" i="40"/>
  <c r="E23" i="40" s="1"/>
  <c r="E6" i="40" s="1"/>
  <c r="F96" i="40"/>
  <c r="E96" i="40"/>
  <c r="G74" i="40"/>
  <c r="E48" i="40"/>
  <c r="E47" i="40" s="1"/>
  <c r="E115" i="40" s="1"/>
  <c r="E126" i="40" s="1"/>
  <c r="F48" i="40"/>
  <c r="F47" i="40" s="1"/>
  <c r="F115" i="40" s="1"/>
  <c r="F126" i="40" s="1"/>
  <c r="C46" i="38"/>
  <c r="J74" i="40"/>
  <c r="L88" i="40"/>
  <c r="L87" i="40" s="1"/>
  <c r="M88" i="40"/>
  <c r="M87" i="40" s="1"/>
  <c r="N89" i="40"/>
  <c r="O85" i="40"/>
  <c r="N81" i="40"/>
  <c r="N75" i="40" s="1"/>
  <c r="N35" i="40"/>
  <c r="M34" i="40"/>
  <c r="M33" i="40" s="1"/>
  <c r="M32" i="40" s="1"/>
  <c r="M23" i="40" s="1"/>
  <c r="J97" i="40"/>
  <c r="J111" i="40"/>
  <c r="J112" i="40" s="1"/>
  <c r="J114" i="40"/>
  <c r="G97" i="40"/>
  <c r="G111" i="40"/>
  <c r="G112" i="40" s="1"/>
  <c r="G114" i="40"/>
  <c r="I5" i="40"/>
  <c r="I74" i="40"/>
  <c r="M7" i="40"/>
  <c r="N8" i="40"/>
  <c r="P76" i="40"/>
  <c r="M65" i="40"/>
  <c r="N66" i="40"/>
  <c r="N20" i="40"/>
  <c r="L52" i="40"/>
  <c r="L49" i="40" s="1"/>
  <c r="L48" i="40" s="1"/>
  <c r="M53" i="40"/>
  <c r="M50" i="40"/>
  <c r="P21" i="40"/>
  <c r="O20" i="40"/>
  <c r="C31" i="38"/>
  <c r="E52" i="38"/>
  <c r="N52" i="38"/>
  <c r="L52" i="38"/>
  <c r="K52" i="38"/>
  <c r="C32" i="38"/>
  <c r="F52" i="38"/>
  <c r="I52" i="38"/>
  <c r="D32" i="38"/>
  <c r="H31" i="55" l="1"/>
  <c r="H28" i="55"/>
  <c r="O25" i="55"/>
  <c r="M4" i="32"/>
  <c r="P4" i="32" s="1"/>
  <c r="M96" i="40"/>
  <c r="C150" i="43"/>
  <c r="C137" i="43"/>
  <c r="L96" i="40"/>
  <c r="F6" i="38"/>
  <c r="F5" i="38" s="1"/>
  <c r="D35" i="38"/>
  <c r="D37" i="38" s="1"/>
  <c r="D38" i="38" s="1"/>
  <c r="D31" i="38" s="1"/>
  <c r="C27" i="38"/>
  <c r="C28" i="38" s="1"/>
  <c r="C29" i="38" s="1"/>
  <c r="C6" i="44"/>
  <c r="C130" i="43"/>
  <c r="H5" i="40"/>
  <c r="H111" i="40" s="1"/>
  <c r="H112" i="40" s="1"/>
  <c r="L47" i="40"/>
  <c r="L115" i="40" s="1"/>
  <c r="L126" i="40" s="1"/>
  <c r="M6" i="40"/>
  <c r="M5" i="40" s="1"/>
  <c r="E74" i="40"/>
  <c r="E5" i="40"/>
  <c r="E97" i="40" s="1"/>
  <c r="E32" i="38"/>
  <c r="F74" i="40"/>
  <c r="K74" i="40"/>
  <c r="K111" i="40"/>
  <c r="K112" i="40" s="1"/>
  <c r="K114" i="40"/>
  <c r="K97" i="40"/>
  <c r="N88" i="40"/>
  <c r="N87" i="40" s="1"/>
  <c r="N96" i="40" s="1"/>
  <c r="O89" i="40"/>
  <c r="G125" i="40"/>
  <c r="G127" i="40" s="1"/>
  <c r="G116" i="40"/>
  <c r="M52" i="40"/>
  <c r="M49" i="40" s="1"/>
  <c r="M48" i="40" s="1"/>
  <c r="N53" i="40"/>
  <c r="J125" i="40"/>
  <c r="J127" i="40" s="1"/>
  <c r="J116" i="40"/>
  <c r="N7" i="40"/>
  <c r="O8" i="40"/>
  <c r="P20" i="40"/>
  <c r="Q21" i="40"/>
  <c r="I97" i="40"/>
  <c r="I111" i="40"/>
  <c r="I112" i="40" s="1"/>
  <c r="I114" i="40"/>
  <c r="N50" i="40"/>
  <c r="L74" i="40"/>
  <c r="L5" i="40"/>
  <c r="F97" i="40"/>
  <c r="F111" i="40"/>
  <c r="F112" i="40" s="1"/>
  <c r="F114" i="40"/>
  <c r="N65" i="40"/>
  <c r="O66" i="40"/>
  <c r="N34" i="40"/>
  <c r="N33" i="40" s="1"/>
  <c r="N32" i="40" s="1"/>
  <c r="N23" i="40" s="1"/>
  <c r="O35" i="40"/>
  <c r="Q76" i="40"/>
  <c r="P85" i="40"/>
  <c r="O81" i="40"/>
  <c r="O75" i="40" s="1"/>
  <c r="D10" i="38"/>
  <c r="D46" i="38"/>
  <c r="E26" i="38"/>
  <c r="M3" i="32" l="1"/>
  <c r="P3" i="32" s="1"/>
  <c r="G6" i="38"/>
  <c r="C143" i="43"/>
  <c r="C168" i="43"/>
  <c r="F130" i="43"/>
  <c r="F131" i="43" s="1"/>
  <c r="H97" i="40"/>
  <c r="H114" i="40"/>
  <c r="H116" i="40" s="1"/>
  <c r="C131" i="43"/>
  <c r="C132" i="43" s="1"/>
  <c r="C138" i="43" s="1"/>
  <c r="C146" i="43" s="1"/>
  <c r="M47" i="40"/>
  <c r="M115" i="40" s="1"/>
  <c r="M126" i="40" s="1"/>
  <c r="M74" i="40"/>
  <c r="E114" i="40"/>
  <c r="E116" i="40" s="1"/>
  <c r="E111" i="40"/>
  <c r="E112" i="40" s="1"/>
  <c r="O34" i="40"/>
  <c r="O33" i="40" s="1"/>
  <c r="O32" i="40" s="1"/>
  <c r="O23" i="40" s="1"/>
  <c r="P35" i="40"/>
  <c r="M111" i="40"/>
  <c r="M112" i="40" s="1"/>
  <c r="M114" i="40"/>
  <c r="O65" i="40"/>
  <c r="P66" i="40"/>
  <c r="P8" i="40"/>
  <c r="O7" i="40"/>
  <c r="N6" i="40"/>
  <c r="F125" i="40"/>
  <c r="F127" i="40" s="1"/>
  <c r="F116" i="40"/>
  <c r="N52" i="40"/>
  <c r="N49" i="40" s="1"/>
  <c r="N48" i="40" s="1"/>
  <c r="N47" i="40" s="1"/>
  <c r="N115" i="40" s="1"/>
  <c r="N126" i="40" s="1"/>
  <c r="O53" i="40"/>
  <c r="L111" i="40"/>
  <c r="L112" i="40" s="1"/>
  <c r="L114" i="40"/>
  <c r="L97" i="40"/>
  <c r="K125" i="40"/>
  <c r="K127" i="40" s="1"/>
  <c r="K116" i="40"/>
  <c r="I125" i="40"/>
  <c r="I127" i="40" s="1"/>
  <c r="I116" i="40"/>
  <c r="Q85" i="40"/>
  <c r="P81" i="40"/>
  <c r="P75" i="40" s="1"/>
  <c r="R76" i="40"/>
  <c r="O88" i="40"/>
  <c r="O87" i="40" s="1"/>
  <c r="O96" i="40" s="1"/>
  <c r="P89" i="40"/>
  <c r="Q20" i="40"/>
  <c r="R21" i="40"/>
  <c r="O50" i="40"/>
  <c r="E12" i="38"/>
  <c r="E11" i="38" s="1"/>
  <c r="D27" i="38"/>
  <c r="D28" i="38" s="1"/>
  <c r="D29" i="38" s="1"/>
  <c r="E35" i="38"/>
  <c r="E37" i="38" s="1"/>
  <c r="E38" i="38" s="1"/>
  <c r="E31" i="38" s="1"/>
  <c r="G5" i="38"/>
  <c r="H6" i="38"/>
  <c r="F9" i="38"/>
  <c r="F32" i="38"/>
  <c r="M97" i="40" l="1"/>
  <c r="C158" i="43"/>
  <c r="C30" i="58" s="1"/>
  <c r="C139" i="43"/>
  <c r="H125" i="40"/>
  <c r="H127" i="40" s="1"/>
  <c r="D131" i="43"/>
  <c r="E125" i="40"/>
  <c r="E127" i="40" s="1"/>
  <c r="O6" i="40"/>
  <c r="O5" i="40" s="1"/>
  <c r="O52" i="40"/>
  <c r="O49" i="40" s="1"/>
  <c r="O48" i="40" s="1"/>
  <c r="O47" i="40" s="1"/>
  <c r="O115" i="40" s="1"/>
  <c r="O126" i="40" s="1"/>
  <c r="P53" i="40"/>
  <c r="L125" i="40"/>
  <c r="L127" i="40" s="1"/>
  <c r="L116" i="40"/>
  <c r="P34" i="40"/>
  <c r="P33" i="40" s="1"/>
  <c r="P32" i="40" s="1"/>
  <c r="P23" i="40" s="1"/>
  <c r="Q35" i="40"/>
  <c r="N74" i="40"/>
  <c r="N5" i="40"/>
  <c r="R20" i="40"/>
  <c r="S21" i="40"/>
  <c r="S20" i="40" s="1"/>
  <c r="P88" i="40"/>
  <c r="P87" i="40" s="1"/>
  <c r="P96" i="40" s="1"/>
  <c r="Q89" i="40"/>
  <c r="S76" i="40"/>
  <c r="Q81" i="40"/>
  <c r="Q75" i="40" s="1"/>
  <c r="R85" i="40"/>
  <c r="P7" i="40"/>
  <c r="Q8" i="40"/>
  <c r="P65" i="40"/>
  <c r="Q66" i="40"/>
  <c r="M125" i="40"/>
  <c r="M127" i="40" s="1"/>
  <c r="M116" i="40"/>
  <c r="P50" i="40"/>
  <c r="E10" i="38"/>
  <c r="E46" i="38"/>
  <c r="F26" i="38"/>
  <c r="I6" i="38"/>
  <c r="H5" i="38"/>
  <c r="G9" i="38"/>
  <c r="G32" i="38"/>
  <c r="E6" i="44" l="1"/>
  <c r="D132" i="43"/>
  <c r="N111" i="40"/>
  <c r="N112" i="40" s="1"/>
  <c r="N114" i="40"/>
  <c r="N97" i="40"/>
  <c r="Q88" i="40"/>
  <c r="Q87" i="40" s="1"/>
  <c r="Q96" i="40" s="1"/>
  <c r="R89" i="40"/>
  <c r="O111" i="40"/>
  <c r="O112" i="40" s="1"/>
  <c r="O114" i="40"/>
  <c r="O97" i="40"/>
  <c r="O74" i="40"/>
  <c r="R66" i="40"/>
  <c r="Q65" i="40"/>
  <c r="Q34" i="40"/>
  <c r="Q33" i="40" s="1"/>
  <c r="Q32" i="40" s="1"/>
  <c r="Q23" i="40" s="1"/>
  <c r="R35" i="40"/>
  <c r="Q7" i="40"/>
  <c r="R8" i="40"/>
  <c r="P6" i="40"/>
  <c r="R81" i="40"/>
  <c r="R75" i="40" s="1"/>
  <c r="S85" i="40"/>
  <c r="S81" i="40" s="1"/>
  <c r="S75" i="40" s="1"/>
  <c r="Q53" i="40"/>
  <c r="P52" i="40"/>
  <c r="P49" i="40" s="1"/>
  <c r="P48" i="40" s="1"/>
  <c r="P47" i="40" s="1"/>
  <c r="P115" i="40" s="1"/>
  <c r="P126" i="40" s="1"/>
  <c r="Q50" i="40"/>
  <c r="F12" i="38"/>
  <c r="F11" i="38" s="1"/>
  <c r="E27" i="38"/>
  <c r="E28" i="38" s="1"/>
  <c r="E29" i="38" s="1"/>
  <c r="F35" i="38"/>
  <c r="F37" i="38" s="1"/>
  <c r="F38" i="38" s="1"/>
  <c r="F31" i="38" s="1"/>
  <c r="G26" i="38"/>
  <c r="H9" i="38"/>
  <c r="H32" i="38"/>
  <c r="I5" i="38"/>
  <c r="J6" i="38"/>
  <c r="H146" i="43" l="1"/>
  <c r="D146" i="43"/>
  <c r="F146" i="43" s="1"/>
  <c r="C170" i="43"/>
  <c r="C7" i="44"/>
  <c r="C30" i="37"/>
  <c r="S89" i="40"/>
  <c r="S88" i="40" s="1"/>
  <c r="S87" i="40" s="1"/>
  <c r="S96" i="40" s="1"/>
  <c r="R88" i="40"/>
  <c r="R87" i="40" s="1"/>
  <c r="R96" i="40" s="1"/>
  <c r="Q6" i="40"/>
  <c r="R7" i="40"/>
  <c r="S8" i="40"/>
  <c r="S7" i="40" s="1"/>
  <c r="S66" i="40"/>
  <c r="S65" i="40" s="1"/>
  <c r="R65" i="40"/>
  <c r="R50" i="40"/>
  <c r="R34" i="40"/>
  <c r="R33" i="40" s="1"/>
  <c r="R32" i="40" s="1"/>
  <c r="R23" i="40" s="1"/>
  <c r="S35" i="40"/>
  <c r="S34" i="40" s="1"/>
  <c r="S33" i="40" s="1"/>
  <c r="S32" i="40" s="1"/>
  <c r="S23" i="40" s="1"/>
  <c r="N125" i="40"/>
  <c r="N127" i="40" s="1"/>
  <c r="N116" i="40"/>
  <c r="O125" i="40"/>
  <c r="O127" i="40" s="1"/>
  <c r="O116" i="40"/>
  <c r="R53" i="40"/>
  <c r="Q52" i="40"/>
  <c r="Q49" i="40" s="1"/>
  <c r="Q48" i="40" s="1"/>
  <c r="Q47" i="40" s="1"/>
  <c r="Q115" i="40" s="1"/>
  <c r="Q126" i="40" s="1"/>
  <c r="P74" i="40"/>
  <c r="P5" i="40"/>
  <c r="I9" i="38"/>
  <c r="I32" i="38"/>
  <c r="J5" i="38"/>
  <c r="K6" i="38"/>
  <c r="H26" i="38"/>
  <c r="F10" i="38"/>
  <c r="F46" i="38"/>
  <c r="C169" i="43" l="1"/>
  <c r="D6" i="44"/>
  <c r="S50" i="40"/>
  <c r="R6" i="40"/>
  <c r="S6" i="40"/>
  <c r="P111" i="40"/>
  <c r="P112" i="40" s="1"/>
  <c r="P114" i="40"/>
  <c r="P97" i="40"/>
  <c r="Q5" i="40"/>
  <c r="Q74" i="40"/>
  <c r="S53" i="40"/>
  <c r="S52" i="40" s="1"/>
  <c r="R52" i="40"/>
  <c r="R49" i="40" s="1"/>
  <c r="R48" i="40" s="1"/>
  <c r="R47" i="40" s="1"/>
  <c r="R115" i="40" s="1"/>
  <c r="R126" i="40" s="1"/>
  <c r="G12" i="38"/>
  <c r="G11" i="38" s="1"/>
  <c r="F27" i="38"/>
  <c r="F28" i="38" s="1"/>
  <c r="F29" i="38" s="1"/>
  <c r="G35" i="38"/>
  <c r="G37" i="38" s="1"/>
  <c r="G38" i="38" s="1"/>
  <c r="G31" i="38" s="1"/>
  <c r="K5" i="38"/>
  <c r="L6" i="38"/>
  <c r="J9" i="38"/>
  <c r="J32" i="38"/>
  <c r="I26" i="38"/>
  <c r="D169" i="43" l="1"/>
  <c r="D170" i="43"/>
  <c r="Q111" i="40"/>
  <c r="Q112" i="40" s="1"/>
  <c r="Q114" i="40"/>
  <c r="Q97" i="40"/>
  <c r="S49" i="40"/>
  <c r="S48" i="40" s="1"/>
  <c r="S47" i="40" s="1"/>
  <c r="S115" i="40" s="1"/>
  <c r="S126" i="40" s="1"/>
  <c r="P125" i="40"/>
  <c r="P127" i="40" s="1"/>
  <c r="P116" i="40"/>
  <c r="S5" i="40"/>
  <c r="R5" i="40"/>
  <c r="R74" i="40"/>
  <c r="J26" i="38"/>
  <c r="M6" i="38"/>
  <c r="L5" i="38"/>
  <c r="K9" i="38"/>
  <c r="K32" i="38"/>
  <c r="G10" i="38"/>
  <c r="G46" i="38"/>
  <c r="S74" i="40" l="1"/>
  <c r="R114" i="40"/>
  <c r="R97" i="40"/>
  <c r="R111" i="40"/>
  <c r="R112" i="40" s="1"/>
  <c r="S114" i="40"/>
  <c r="S97" i="40"/>
  <c r="S111" i="40"/>
  <c r="S112" i="40" s="1"/>
  <c r="Q125" i="40"/>
  <c r="Q127" i="40" s="1"/>
  <c r="Q116" i="40"/>
  <c r="K26" i="38"/>
  <c r="H12" i="38"/>
  <c r="H11" i="38" s="1"/>
  <c r="H35" i="38"/>
  <c r="H37" i="38" s="1"/>
  <c r="H38" i="38" s="1"/>
  <c r="H31" i="38" s="1"/>
  <c r="G27" i="38"/>
  <c r="G28" i="38" s="1"/>
  <c r="G29" i="38" s="1"/>
  <c r="L9" i="38"/>
  <c r="L32" i="38"/>
  <c r="N6" i="38"/>
  <c r="M5" i="38"/>
  <c r="S116" i="40" l="1"/>
  <c r="S125" i="40"/>
  <c r="S127" i="40" s="1"/>
  <c r="R116" i="40"/>
  <c r="R125" i="40"/>
  <c r="R127" i="40" s="1"/>
  <c r="M9" i="38"/>
  <c r="M32" i="38"/>
  <c r="O6" i="38"/>
  <c r="O5" i="38" s="1"/>
  <c r="N5" i="38"/>
  <c r="L26" i="38"/>
  <c r="H46" i="38"/>
  <c r="H10" i="38"/>
  <c r="I12" i="38" l="1"/>
  <c r="I11" i="38" s="1"/>
  <c r="H27" i="38"/>
  <c r="H28" i="38" s="1"/>
  <c r="H29" i="38" s="1"/>
  <c r="I35" i="38"/>
  <c r="I37" i="38" s="1"/>
  <c r="I38" i="38" s="1"/>
  <c r="I31" i="38" s="1"/>
  <c r="N9" i="38"/>
  <c r="N32" i="38"/>
  <c r="O9" i="38"/>
  <c r="O32" i="38"/>
  <c r="M26" i="38"/>
  <c r="O26" i="38" l="1"/>
  <c r="N26" i="38"/>
  <c r="I10" i="38"/>
  <c r="I46" i="38"/>
  <c r="J12" i="38" l="1"/>
  <c r="J11" i="38" s="1"/>
  <c r="I27" i="38"/>
  <c r="I28" i="38" s="1"/>
  <c r="I29" i="38" s="1"/>
  <c r="J35" i="38"/>
  <c r="J37" i="38" s="1"/>
  <c r="J38" i="38" s="1"/>
  <c r="J31" i="38" s="1"/>
  <c r="J10" i="38" l="1"/>
  <c r="J46" i="38"/>
  <c r="K12" i="38" l="1"/>
  <c r="K11" i="38" s="1"/>
  <c r="J27" i="38"/>
  <c r="J28" i="38" s="1"/>
  <c r="J29" i="38" s="1"/>
  <c r="K35" i="38"/>
  <c r="K37" i="38" s="1"/>
  <c r="K38" i="38" s="1"/>
  <c r="K31" i="38" s="1"/>
  <c r="K10" i="38" l="1"/>
  <c r="K46" i="38"/>
  <c r="L12" i="38" l="1"/>
  <c r="L11" i="38" s="1"/>
  <c r="K27" i="38"/>
  <c r="K28" i="38" s="1"/>
  <c r="K29" i="38" s="1"/>
  <c r="L35" i="38"/>
  <c r="L37" i="38" s="1"/>
  <c r="L38" i="38" s="1"/>
  <c r="L31" i="38" s="1"/>
  <c r="L46" i="38" l="1"/>
  <c r="L10" i="38"/>
  <c r="M12" i="38" l="1"/>
  <c r="M11" i="38" s="1"/>
  <c r="L27" i="38"/>
  <c r="L28" i="38" s="1"/>
  <c r="L29" i="38" s="1"/>
  <c r="M35" i="38"/>
  <c r="M37" i="38" s="1"/>
  <c r="M38" i="38" s="1"/>
  <c r="M31" i="38" s="1"/>
  <c r="M46" i="38" l="1"/>
  <c r="M10" i="38"/>
  <c r="M27" i="38" l="1"/>
  <c r="M28" i="38" s="1"/>
  <c r="M29" i="38" s="1"/>
  <c r="N12" i="38"/>
  <c r="N11" i="38" s="1"/>
  <c r="N35" i="38"/>
  <c r="N37" i="38" s="1"/>
  <c r="N38" i="38" s="1"/>
  <c r="N31" i="38" s="1"/>
  <c r="N46" i="38" l="1"/>
  <c r="N10" i="38"/>
  <c r="N27" i="38" l="1"/>
  <c r="N28" i="38" s="1"/>
  <c r="N29" i="38" s="1"/>
  <c r="O12" i="38"/>
  <c r="O11" i="38" s="1"/>
  <c r="O35" i="38"/>
  <c r="O37" i="38" s="1"/>
  <c r="O38" i="38" s="1"/>
  <c r="O31" i="38" s="1"/>
  <c r="O46" i="38" l="1"/>
  <c r="O10" i="38"/>
  <c r="O27" i="38" s="1"/>
  <c r="O28" i="38" s="1"/>
  <c r="O29" i="38" s="1"/>
  <c r="J50" i="33" l="1"/>
  <c r="C30" i="36"/>
  <c r="C41" i="36"/>
  <c r="C65" i="36"/>
  <c r="C66" i="36" s="1"/>
  <c r="C102" i="36" s="1"/>
  <c r="J45" i="37"/>
  <c r="I45" i="37"/>
  <c r="H45" i="37"/>
  <c r="G45" i="37"/>
  <c r="F45" i="37"/>
  <c r="E45" i="37"/>
  <c r="D45" i="37"/>
  <c r="K16" i="37"/>
  <c r="K15" i="37"/>
  <c r="K14" i="37"/>
  <c r="K11" i="37"/>
  <c r="K10" i="37"/>
  <c r="K9" i="37"/>
  <c r="K8" i="37"/>
  <c r="C142" i="29"/>
  <c r="C123" i="29" s="1"/>
  <c r="D70" i="29"/>
  <c r="E108" i="29"/>
  <c r="F108" i="29"/>
  <c r="D106" i="29"/>
  <c r="C106" i="29"/>
  <c r="E50" i="29"/>
  <c r="F50" i="29"/>
  <c r="C48" i="29"/>
  <c r="D48" i="29" s="1"/>
  <c r="C82" i="29"/>
  <c r="D82" i="29"/>
  <c r="C70" i="29"/>
  <c r="C139" i="29"/>
  <c r="C138" i="29"/>
  <c r="C134" i="29"/>
  <c r="K6" i="37" l="1"/>
  <c r="C6" i="58"/>
  <c r="C6" i="37"/>
  <c r="D108" i="29"/>
  <c r="C108" i="29"/>
  <c r="L10" i="32"/>
  <c r="L12" i="32"/>
  <c r="L13" i="32"/>
  <c r="L14" i="32"/>
  <c r="L15" i="32"/>
  <c r="L18" i="32"/>
  <c r="L19" i="32"/>
  <c r="L24" i="32"/>
  <c r="L25" i="32"/>
  <c r="L27" i="32"/>
  <c r="L28" i="32"/>
  <c r="L31" i="32"/>
  <c r="L33" i="32"/>
  <c r="L36" i="32"/>
  <c r="L37" i="32"/>
  <c r="L38" i="32"/>
  <c r="L40" i="32"/>
  <c r="L41" i="32"/>
  <c r="L42" i="32"/>
  <c r="L43" i="32"/>
  <c r="L44" i="32"/>
  <c r="L46" i="32"/>
  <c r="L47" i="32"/>
  <c r="L48" i="32"/>
  <c r="L49" i="32"/>
  <c r="L55" i="32"/>
  <c r="L56" i="32"/>
  <c r="L57" i="32"/>
  <c r="L59" i="32"/>
  <c r="L62" i="32"/>
  <c r="L63" i="32"/>
  <c r="L70" i="32"/>
  <c r="L71" i="32"/>
  <c r="L75" i="32"/>
  <c r="L79" i="32"/>
  <c r="L80" i="32"/>
  <c r="L82" i="32"/>
  <c r="L83" i="32"/>
  <c r="L85" i="32"/>
  <c r="L88" i="32"/>
  <c r="L90" i="32"/>
  <c r="L94" i="32"/>
  <c r="L95" i="32"/>
  <c r="L96" i="32"/>
  <c r="L98" i="32"/>
  <c r="L99" i="32"/>
  <c r="L100" i="32"/>
  <c r="L102" i="32"/>
  <c r="L104" i="32"/>
  <c r="L105" i="32"/>
  <c r="L107" i="32"/>
  <c r="L109" i="32"/>
  <c r="L113" i="32"/>
  <c r="L114" i="32"/>
  <c r="L115" i="32"/>
  <c r="L117" i="32"/>
  <c r="L122" i="32"/>
  <c r="L123" i="32"/>
  <c r="L124" i="32"/>
  <c r="L125" i="32"/>
  <c r="L126" i="32"/>
  <c r="L128" i="32"/>
  <c r="L129" i="32"/>
  <c r="L133" i="32"/>
  <c r="L135" i="32"/>
  <c r="L136" i="32"/>
  <c r="L138" i="32"/>
  <c r="L140" i="32"/>
  <c r="L143" i="32"/>
  <c r="L146" i="32"/>
  <c r="L149" i="32"/>
  <c r="L154" i="32"/>
  <c r="L158" i="32"/>
  <c r="L159" i="32"/>
  <c r="L160" i="32"/>
  <c r="L162" i="32"/>
  <c r="L164" i="32"/>
  <c r="L167" i="32"/>
  <c r="L170" i="32"/>
  <c r="L171" i="32"/>
  <c r="L172" i="32"/>
  <c r="L173" i="32"/>
  <c r="L174" i="32"/>
  <c r="L175" i="32"/>
  <c r="L176" i="32"/>
  <c r="L177" i="32"/>
  <c r="L178" i="32"/>
  <c r="L179" i="32"/>
  <c r="L181" i="32"/>
  <c r="L182" i="32"/>
  <c r="L183" i="32"/>
  <c r="L184" i="32"/>
  <c r="L185" i="32"/>
  <c r="L186" i="32"/>
  <c r="L194" i="32"/>
  <c r="L199" i="32"/>
  <c r="J8" i="32"/>
  <c r="J10" i="32"/>
  <c r="J12" i="32"/>
  <c r="J13" i="32"/>
  <c r="J14" i="32"/>
  <c r="J15" i="32"/>
  <c r="J18" i="32"/>
  <c r="J19" i="32"/>
  <c r="J24" i="32"/>
  <c r="J25" i="32"/>
  <c r="J27" i="32"/>
  <c r="J28" i="32"/>
  <c r="J31" i="32"/>
  <c r="J33" i="32"/>
  <c r="J36" i="32"/>
  <c r="J37" i="32"/>
  <c r="J38" i="32"/>
  <c r="J40" i="32"/>
  <c r="J41" i="32"/>
  <c r="J42" i="32"/>
  <c r="J43" i="32"/>
  <c r="J44" i="32"/>
  <c r="J46" i="32"/>
  <c r="J47" i="32"/>
  <c r="J48" i="32"/>
  <c r="J49" i="32"/>
  <c r="J55" i="32"/>
  <c r="J56" i="32"/>
  <c r="J57" i="32"/>
  <c r="J58" i="32"/>
  <c r="J59" i="32"/>
  <c r="J62" i="32"/>
  <c r="J63" i="32"/>
  <c r="J70" i="32"/>
  <c r="J71" i="32"/>
  <c r="J72" i="32"/>
  <c r="J73" i="32"/>
  <c r="J75" i="32"/>
  <c r="J79" i="32"/>
  <c r="J80" i="32"/>
  <c r="J82" i="32"/>
  <c r="J83" i="32"/>
  <c r="J85" i="32"/>
  <c r="J88" i="32"/>
  <c r="J90" i="32"/>
  <c r="J94" i="32"/>
  <c r="J95" i="32"/>
  <c r="J96" i="32"/>
  <c r="J98" i="32"/>
  <c r="J99" i="32"/>
  <c r="J100" i="32"/>
  <c r="J102" i="32"/>
  <c r="J104" i="32"/>
  <c r="J105" i="32"/>
  <c r="J107" i="32"/>
  <c r="J109" i="32"/>
  <c r="J113" i="32"/>
  <c r="J114" i="32"/>
  <c r="J115" i="32"/>
  <c r="J117" i="32"/>
  <c r="J120" i="32"/>
  <c r="J122" i="32"/>
  <c r="J123" i="32"/>
  <c r="J124" i="32"/>
  <c r="J125" i="32"/>
  <c r="J126" i="32"/>
  <c r="J128" i="32"/>
  <c r="J129" i="32"/>
  <c r="J133" i="32"/>
  <c r="J135" i="32"/>
  <c r="J136" i="32"/>
  <c r="J138" i="32"/>
  <c r="J139" i="32"/>
  <c r="J140" i="32"/>
  <c r="J143" i="32"/>
  <c r="J146" i="32"/>
  <c r="J149" i="32"/>
  <c r="J154" i="32"/>
  <c r="J158" i="32"/>
  <c r="J159" i="32"/>
  <c r="J160" i="32"/>
  <c r="J162" i="32"/>
  <c r="J164" i="32"/>
  <c r="J167" i="32"/>
  <c r="J170" i="32"/>
  <c r="J171" i="32"/>
  <c r="J172" i="32"/>
  <c r="J173" i="32"/>
  <c r="J174" i="32"/>
  <c r="J175" i="32"/>
  <c r="J176" i="32"/>
  <c r="J177" i="32"/>
  <c r="J178" i="32"/>
  <c r="J179" i="32"/>
  <c r="J181" i="32"/>
  <c r="J182" i="32"/>
  <c r="J184" i="32"/>
  <c r="J185" i="32"/>
  <c r="J186" i="32"/>
  <c r="J199" i="32"/>
  <c r="H8" i="32"/>
  <c r="H10" i="32"/>
  <c r="H12" i="32"/>
  <c r="H13" i="32"/>
  <c r="H14" i="32"/>
  <c r="H15" i="32"/>
  <c r="H18" i="32"/>
  <c r="H19" i="32"/>
  <c r="H24" i="32"/>
  <c r="H25" i="32"/>
  <c r="H27" i="32"/>
  <c r="H28" i="32"/>
  <c r="H31" i="32"/>
  <c r="H33" i="32"/>
  <c r="H36" i="32"/>
  <c r="H37" i="32"/>
  <c r="H38" i="32"/>
  <c r="H40" i="32"/>
  <c r="H41" i="32"/>
  <c r="H42" i="32"/>
  <c r="H43" i="32"/>
  <c r="H44" i="32"/>
  <c r="H46" i="32"/>
  <c r="H47" i="32"/>
  <c r="H48" i="32"/>
  <c r="H49" i="32"/>
  <c r="H55" i="32"/>
  <c r="H56" i="32"/>
  <c r="H57" i="32"/>
  <c r="H58" i="32"/>
  <c r="H59" i="32"/>
  <c r="H62" i="32"/>
  <c r="H63" i="32"/>
  <c r="H70" i="32"/>
  <c r="H71" i="32"/>
  <c r="H75" i="32"/>
  <c r="H79" i="32"/>
  <c r="H80" i="32"/>
  <c r="H82" i="32"/>
  <c r="H85" i="32"/>
  <c r="H86" i="32"/>
  <c r="H88" i="32"/>
  <c r="H94" i="32"/>
  <c r="H95" i="32"/>
  <c r="H96" i="32"/>
  <c r="H97" i="32"/>
  <c r="H98" i="32"/>
  <c r="H100" i="32"/>
  <c r="H101" i="32"/>
  <c r="H104" i="32"/>
  <c r="H107" i="32"/>
  <c r="H109" i="32"/>
  <c r="H113" i="32"/>
  <c r="H114" i="32"/>
  <c r="H115" i="32"/>
  <c r="H117" i="32"/>
  <c r="H120" i="32"/>
  <c r="H122" i="32"/>
  <c r="H123" i="32"/>
  <c r="H124" i="32"/>
  <c r="H125" i="32"/>
  <c r="H126" i="32"/>
  <c r="H128" i="32"/>
  <c r="H129" i="32"/>
  <c r="H133" i="32"/>
  <c r="H135" i="32"/>
  <c r="H136" i="32"/>
  <c r="H137" i="32"/>
  <c r="H138" i="32"/>
  <c r="H140" i="32"/>
  <c r="H141" i="32"/>
  <c r="H142" i="32"/>
  <c r="H143" i="32"/>
  <c r="H146" i="32"/>
  <c r="H149" i="32"/>
  <c r="H158" i="32"/>
  <c r="H159" i="32"/>
  <c r="H160" i="32"/>
  <c r="H162" i="32"/>
  <c r="H164" i="32"/>
  <c r="H167" i="32"/>
  <c r="H170" i="32"/>
  <c r="H171" i="32"/>
  <c r="H172" i="32"/>
  <c r="H173" i="32"/>
  <c r="H174" i="32"/>
  <c r="H175" i="32"/>
  <c r="H176" i="32"/>
  <c r="H177" i="32"/>
  <c r="H178" i="32"/>
  <c r="H179" i="32"/>
  <c r="H181" i="32"/>
  <c r="H182" i="32"/>
  <c r="H183" i="32"/>
  <c r="H184" i="32"/>
  <c r="H185" i="32"/>
  <c r="H186" i="32"/>
  <c r="H194" i="32"/>
  <c r="H199" i="32"/>
  <c r="F8" i="32"/>
  <c r="F10" i="32"/>
  <c r="F12" i="32"/>
  <c r="F13" i="32"/>
  <c r="F14" i="32"/>
  <c r="F15" i="32"/>
  <c r="F18" i="32"/>
  <c r="F19" i="32"/>
  <c r="F24" i="32"/>
  <c r="F25" i="32"/>
  <c r="F27" i="32"/>
  <c r="F28" i="32"/>
  <c r="F31" i="32"/>
  <c r="F33" i="32"/>
  <c r="F36" i="32"/>
  <c r="F37" i="32"/>
  <c r="F38" i="32"/>
  <c r="F40" i="32"/>
  <c r="F41" i="32"/>
  <c r="F42" i="32"/>
  <c r="F43" i="32"/>
  <c r="F44" i="32"/>
  <c r="F46" i="32"/>
  <c r="F47" i="32"/>
  <c r="F48" i="32"/>
  <c r="F49" i="32"/>
  <c r="F55" i="32"/>
  <c r="F56" i="32"/>
  <c r="F57" i="32"/>
  <c r="F58" i="32"/>
  <c r="F59" i="32"/>
  <c r="F62" i="32"/>
  <c r="F63" i="32"/>
  <c r="F70" i="32"/>
  <c r="F71" i="32"/>
  <c r="F75" i="32"/>
  <c r="F79" i="32"/>
  <c r="F80" i="32"/>
  <c r="F82" i="32"/>
  <c r="F83" i="32"/>
  <c r="F85" i="32"/>
  <c r="F86" i="32"/>
  <c r="F88" i="32"/>
  <c r="F94" i="32"/>
  <c r="F95" i="32"/>
  <c r="F96" i="32"/>
  <c r="F97" i="32"/>
  <c r="F98" i="32"/>
  <c r="F100" i="32"/>
  <c r="F101" i="32"/>
  <c r="F104" i="32"/>
  <c r="F107" i="32"/>
  <c r="F109" i="32"/>
  <c r="F113" i="32"/>
  <c r="F114" i="32"/>
  <c r="F115" i="32"/>
  <c r="F117" i="32"/>
  <c r="F120" i="32"/>
  <c r="F122" i="32"/>
  <c r="F123" i="32"/>
  <c r="F124" i="32"/>
  <c r="F125" i="32"/>
  <c r="F126" i="32"/>
  <c r="F127" i="32"/>
  <c r="F128" i="32"/>
  <c r="F129" i="32"/>
  <c r="F133" i="32"/>
  <c r="F134" i="32"/>
  <c r="F135" i="32"/>
  <c r="F136" i="32"/>
  <c r="F137" i="32"/>
  <c r="F138" i="32"/>
  <c r="F140" i="32"/>
  <c r="F141" i="32"/>
  <c r="F142" i="32"/>
  <c r="F143" i="32"/>
  <c r="F146" i="32"/>
  <c r="F149" i="32"/>
  <c r="F158" i="32"/>
  <c r="F159" i="32"/>
  <c r="F160" i="32"/>
  <c r="F161" i="32"/>
  <c r="F164" i="32"/>
  <c r="F167" i="32"/>
  <c r="F170" i="32"/>
  <c r="F173" i="32"/>
  <c r="F174" i="32"/>
  <c r="F175" i="32"/>
  <c r="F176" i="32"/>
  <c r="F177" i="32"/>
  <c r="F178" i="32"/>
  <c r="F181" i="32"/>
  <c r="F182" i="32"/>
  <c r="F183" i="32"/>
  <c r="F184" i="32"/>
  <c r="F185" i="32"/>
  <c r="F186" i="32"/>
  <c r="F199" i="32"/>
  <c r="D8" i="32"/>
  <c r="D10" i="32"/>
  <c r="D12" i="32"/>
  <c r="D13" i="32"/>
  <c r="D14" i="32"/>
  <c r="D15" i="32"/>
  <c r="D18" i="32"/>
  <c r="D19" i="32"/>
  <c r="D24" i="32"/>
  <c r="D25" i="32"/>
  <c r="D27" i="32"/>
  <c r="D28" i="32"/>
  <c r="D31" i="32"/>
  <c r="D33" i="32"/>
  <c r="D48" i="32"/>
  <c r="D49" i="32"/>
  <c r="D55" i="32"/>
  <c r="D56" i="32"/>
  <c r="D59" i="32"/>
  <c r="D62" i="32"/>
  <c r="D63" i="32"/>
  <c r="D67" i="32"/>
  <c r="D68" i="32"/>
  <c r="D70" i="32"/>
  <c r="D71" i="32"/>
  <c r="D75" i="32"/>
  <c r="D82" i="32"/>
  <c r="D85" i="32"/>
  <c r="D86" i="32"/>
  <c r="D88" i="32"/>
  <c r="D94" i="32"/>
  <c r="D95" i="32"/>
  <c r="D96" i="32"/>
  <c r="D97" i="32"/>
  <c r="D100" i="32"/>
  <c r="D101" i="32"/>
  <c r="D104" i="32"/>
  <c r="D105" i="32"/>
  <c r="D107" i="32"/>
  <c r="D109" i="32"/>
  <c r="D113" i="32"/>
  <c r="D114" i="32"/>
  <c r="D115" i="32"/>
  <c r="D117" i="32"/>
  <c r="D120" i="32"/>
  <c r="D122" i="32"/>
  <c r="D123" i="32"/>
  <c r="D124" i="32"/>
  <c r="D128" i="32"/>
  <c r="D129" i="32"/>
  <c r="D133" i="32"/>
  <c r="D135" i="32"/>
  <c r="D136" i="32"/>
  <c r="D138" i="32"/>
  <c r="D140" i="32"/>
  <c r="D141" i="32"/>
  <c r="D142" i="32"/>
  <c r="D143" i="32"/>
  <c r="D146" i="32"/>
  <c r="D147" i="32"/>
  <c r="D149" i="32"/>
  <c r="D153" i="32"/>
  <c r="D158" i="32"/>
  <c r="D161" i="32"/>
  <c r="D162" i="32"/>
  <c r="D164" i="32"/>
  <c r="D167" i="32"/>
  <c r="D199" i="32"/>
  <c r="J8" i="20"/>
  <c r="J10" i="20"/>
  <c r="J12" i="20"/>
  <c r="J13" i="20"/>
  <c r="J14" i="20"/>
  <c r="J15" i="20"/>
  <c r="J18" i="20"/>
  <c r="J19" i="20"/>
  <c r="J21" i="20"/>
  <c r="J22" i="20"/>
  <c r="J24" i="20"/>
  <c r="J25" i="20"/>
  <c r="J26" i="20"/>
  <c r="J28" i="20"/>
  <c r="J30" i="20"/>
  <c r="J33" i="20"/>
  <c r="J34" i="20"/>
  <c r="J35" i="20"/>
  <c r="J37" i="20"/>
  <c r="J38" i="20"/>
  <c r="J39" i="20"/>
  <c r="J40" i="20"/>
  <c r="J41" i="20"/>
  <c r="J43" i="20"/>
  <c r="J44" i="20"/>
  <c r="J45" i="20"/>
  <c r="J46" i="20"/>
  <c r="J50" i="20"/>
  <c r="J51" i="20"/>
  <c r="J52" i="20"/>
  <c r="J53" i="20"/>
  <c r="J54" i="20"/>
  <c r="J56" i="20"/>
  <c r="J57" i="20"/>
  <c r="J58" i="20"/>
  <c r="J59" i="20"/>
  <c r="J61" i="20"/>
  <c r="J62" i="20"/>
  <c r="J63" i="20"/>
  <c r="J64" i="20"/>
  <c r="J66" i="20"/>
  <c r="J69" i="20"/>
  <c r="J70" i="20"/>
  <c r="J72" i="20"/>
  <c r="J73" i="20"/>
  <c r="J75" i="20"/>
  <c r="J76" i="20"/>
  <c r="J78" i="20"/>
  <c r="J79" i="20"/>
  <c r="J82" i="20"/>
  <c r="J83" i="20"/>
  <c r="J84" i="20"/>
  <c r="J85" i="20"/>
  <c r="J86" i="20"/>
  <c r="J87" i="20"/>
  <c r="J88" i="20"/>
  <c r="J89" i="20"/>
  <c r="J90" i="20"/>
  <c r="J91" i="20"/>
  <c r="J92" i="20"/>
  <c r="J93" i="20"/>
  <c r="J94" i="20"/>
  <c r="J95" i="20"/>
  <c r="J98" i="20"/>
  <c r="J99" i="20"/>
  <c r="J100" i="20"/>
  <c r="J102" i="20"/>
  <c r="J103" i="20"/>
  <c r="J105" i="20"/>
  <c r="J106" i="20"/>
  <c r="J107" i="20"/>
  <c r="J108" i="20"/>
  <c r="J109" i="20"/>
  <c r="J110" i="20"/>
  <c r="J111" i="20"/>
  <c r="J112" i="20"/>
  <c r="J113" i="20"/>
  <c r="J114" i="20"/>
  <c r="J115" i="20"/>
  <c r="J116" i="20"/>
  <c r="J117" i="20"/>
  <c r="J118" i="20"/>
  <c r="J119" i="20"/>
  <c r="J120" i="20"/>
  <c r="J121" i="20"/>
  <c r="J122" i="20"/>
  <c r="J123" i="20"/>
  <c r="J124" i="20"/>
  <c r="J126" i="20"/>
  <c r="J127" i="20"/>
  <c r="J129" i="20"/>
  <c r="J133" i="20"/>
  <c r="J134" i="20"/>
  <c r="J135" i="20"/>
  <c r="J138" i="20"/>
  <c r="J139" i="20"/>
  <c r="J140" i="20"/>
  <c r="J141" i="20"/>
  <c r="J142" i="20"/>
  <c r="J144" i="20"/>
  <c r="J147" i="20"/>
  <c r="J149" i="20"/>
  <c r="J150" i="20"/>
  <c r="J151" i="20"/>
  <c r="J152" i="20"/>
  <c r="J153" i="20"/>
  <c r="J154" i="20"/>
  <c r="J155" i="20"/>
  <c r="J156" i="20"/>
  <c r="J157" i="20"/>
  <c r="J158" i="20"/>
  <c r="J159" i="20"/>
  <c r="J160" i="20"/>
  <c r="J161" i="20"/>
  <c r="J162" i="20"/>
  <c r="J163" i="20"/>
  <c r="J164" i="20"/>
  <c r="J165" i="20"/>
  <c r="J167" i="20"/>
  <c r="H8" i="20"/>
  <c r="H10" i="20"/>
  <c r="H12" i="20"/>
  <c r="H13" i="20"/>
  <c r="H14" i="20"/>
  <c r="H15" i="20"/>
  <c r="H18" i="20"/>
  <c r="H19" i="20"/>
  <c r="H21" i="20"/>
  <c r="H22" i="20"/>
  <c r="H24" i="20"/>
  <c r="H25" i="20"/>
  <c r="H26" i="20"/>
  <c r="H28" i="20"/>
  <c r="H30" i="20"/>
  <c r="H33" i="20"/>
  <c r="H34" i="20"/>
  <c r="H35" i="20"/>
  <c r="H37" i="20"/>
  <c r="H38" i="20"/>
  <c r="H39" i="20"/>
  <c r="H40" i="20"/>
  <c r="H41" i="20"/>
  <c r="H43" i="20"/>
  <c r="H44" i="20"/>
  <c r="H45" i="20"/>
  <c r="H46" i="20"/>
  <c r="H50" i="20"/>
  <c r="H51" i="20"/>
  <c r="H52" i="20"/>
  <c r="H53" i="20"/>
  <c r="H54" i="20"/>
  <c r="H56" i="20"/>
  <c r="H57" i="20"/>
  <c r="H58" i="20"/>
  <c r="H59" i="20"/>
  <c r="H61" i="20"/>
  <c r="H62" i="20"/>
  <c r="H63" i="20"/>
  <c r="H64" i="20"/>
  <c r="H66" i="20"/>
  <c r="H69" i="20"/>
  <c r="H70" i="20"/>
  <c r="H72" i="20"/>
  <c r="H73" i="20"/>
  <c r="H75" i="20"/>
  <c r="H76" i="20"/>
  <c r="H78" i="20"/>
  <c r="H79" i="20"/>
  <c r="H82" i="20"/>
  <c r="H83" i="20"/>
  <c r="H84" i="20"/>
  <c r="H85" i="20"/>
  <c r="H86" i="20"/>
  <c r="H87" i="20"/>
  <c r="H88" i="20"/>
  <c r="H89" i="20"/>
  <c r="H91" i="20"/>
  <c r="H92" i="20"/>
  <c r="H93" i="20"/>
  <c r="H94" i="20"/>
  <c r="H95" i="20"/>
  <c r="H98" i="20"/>
  <c r="H99" i="20"/>
  <c r="H100" i="20"/>
  <c r="H102" i="20"/>
  <c r="H103" i="20"/>
  <c r="H105" i="20"/>
  <c r="H106" i="20"/>
  <c r="H107" i="20"/>
  <c r="H108" i="20"/>
  <c r="H109" i="20"/>
  <c r="H110" i="20"/>
  <c r="H111" i="20"/>
  <c r="H112" i="20"/>
  <c r="H113" i="20"/>
  <c r="H114" i="20"/>
  <c r="H115" i="20"/>
  <c r="H116" i="20"/>
  <c r="H117" i="20"/>
  <c r="H118" i="20"/>
  <c r="H119" i="20"/>
  <c r="H120" i="20"/>
  <c r="H121" i="20"/>
  <c r="H122" i="20"/>
  <c r="H123" i="20"/>
  <c r="H124" i="20"/>
  <c r="H126" i="20"/>
  <c r="H127" i="20"/>
  <c r="H129" i="20"/>
  <c r="H133" i="20"/>
  <c r="H134" i="20"/>
  <c r="H135" i="20"/>
  <c r="H138" i="20"/>
  <c r="H139" i="20"/>
  <c r="H140" i="20"/>
  <c r="H141" i="20"/>
  <c r="H142" i="20"/>
  <c r="H144" i="20"/>
  <c r="H147" i="20"/>
  <c r="H149" i="20"/>
  <c r="H150" i="20"/>
  <c r="H151" i="20"/>
  <c r="H152" i="20"/>
  <c r="H153" i="20"/>
  <c r="H154" i="20"/>
  <c r="H155" i="20"/>
  <c r="H156" i="20"/>
  <c r="H157" i="20"/>
  <c r="H158" i="20"/>
  <c r="H159" i="20"/>
  <c r="H160" i="20"/>
  <c r="H161" i="20"/>
  <c r="H162" i="20"/>
  <c r="H163" i="20"/>
  <c r="H164" i="20"/>
  <c r="H165" i="20"/>
  <c r="H167" i="20"/>
  <c r="D8" i="20"/>
  <c r="D10" i="20"/>
  <c r="D12" i="20"/>
  <c r="D13" i="20"/>
  <c r="D14" i="20"/>
  <c r="D15" i="20"/>
  <c r="D18" i="20"/>
  <c r="D19" i="20"/>
  <c r="D21" i="20"/>
  <c r="D22" i="20"/>
  <c r="D24" i="20"/>
  <c r="D25" i="20"/>
  <c r="D26" i="20"/>
  <c r="D28" i="20"/>
  <c r="D30" i="20"/>
  <c r="D33" i="20"/>
  <c r="D34" i="20"/>
  <c r="D35" i="20"/>
  <c r="D37" i="20"/>
  <c r="D38" i="20"/>
  <c r="D39" i="20"/>
  <c r="D40" i="20"/>
  <c r="D41" i="20"/>
  <c r="D43" i="20"/>
  <c r="D44" i="20"/>
  <c r="D45" i="20"/>
  <c r="D46" i="20"/>
  <c r="D50" i="20"/>
  <c r="D51" i="20"/>
  <c r="D52" i="20"/>
  <c r="D53" i="20"/>
  <c r="D54" i="20"/>
  <c r="D56" i="20"/>
  <c r="D57" i="20"/>
  <c r="D58" i="20"/>
  <c r="D59" i="20"/>
  <c r="D61" i="20"/>
  <c r="D62" i="20"/>
  <c r="D63" i="20"/>
  <c r="D64" i="20"/>
  <c r="D66" i="20"/>
  <c r="D69" i="20"/>
  <c r="D70" i="20"/>
  <c r="D72" i="20"/>
  <c r="D73" i="20"/>
  <c r="D75" i="20"/>
  <c r="D76" i="20"/>
  <c r="D78" i="20"/>
  <c r="D79" i="20"/>
  <c r="D82" i="20"/>
  <c r="D83" i="20"/>
  <c r="D84" i="20"/>
  <c r="D85" i="20"/>
  <c r="D86" i="20"/>
  <c r="D87" i="20"/>
  <c r="D88" i="20"/>
  <c r="D89" i="20"/>
  <c r="D90" i="20"/>
  <c r="D91" i="20"/>
  <c r="D92" i="20"/>
  <c r="D93" i="20"/>
  <c r="D94" i="20"/>
  <c r="D95" i="20"/>
  <c r="D98" i="20"/>
  <c r="D99" i="20"/>
  <c r="D100" i="20"/>
  <c r="D102" i="20"/>
  <c r="D103" i="20"/>
  <c r="D105" i="20"/>
  <c r="D106" i="20"/>
  <c r="D107" i="20"/>
  <c r="D108" i="20"/>
  <c r="D109" i="20"/>
  <c r="D110" i="20"/>
  <c r="D111" i="20"/>
  <c r="D112" i="20"/>
  <c r="D113" i="20"/>
  <c r="D114" i="20"/>
  <c r="D115" i="20"/>
  <c r="D116" i="20"/>
  <c r="D117" i="20"/>
  <c r="D118" i="20"/>
  <c r="D119" i="20"/>
  <c r="D120" i="20"/>
  <c r="D121" i="20"/>
  <c r="D122" i="20"/>
  <c r="D123" i="20"/>
  <c r="D124" i="20"/>
  <c r="D126" i="20"/>
  <c r="D127" i="20"/>
  <c r="D129" i="20"/>
  <c r="D133" i="20"/>
  <c r="D134" i="20"/>
  <c r="D135" i="20"/>
  <c r="D138" i="20"/>
  <c r="D139" i="20"/>
  <c r="D140" i="20"/>
  <c r="D141" i="20"/>
  <c r="D142" i="20"/>
  <c r="D144" i="20"/>
  <c r="D147" i="20"/>
  <c r="D149" i="20"/>
  <c r="D150" i="20"/>
  <c r="D151" i="20"/>
  <c r="D152" i="20"/>
  <c r="D153" i="20"/>
  <c r="D154" i="20"/>
  <c r="D155" i="20"/>
  <c r="D156" i="20"/>
  <c r="D157" i="20"/>
  <c r="D158" i="20"/>
  <c r="D159" i="20"/>
  <c r="D160" i="20"/>
  <c r="D161" i="20"/>
  <c r="D162" i="20"/>
  <c r="D163" i="20"/>
  <c r="D164" i="20"/>
  <c r="D165" i="20"/>
  <c r="D167" i="20"/>
  <c r="F8" i="20"/>
  <c r="F10" i="20"/>
  <c r="F12" i="20"/>
  <c r="F13" i="20"/>
  <c r="F14" i="20"/>
  <c r="F15" i="20"/>
  <c r="F18" i="20"/>
  <c r="F19" i="20"/>
  <c r="F21" i="20"/>
  <c r="F22" i="20"/>
  <c r="F24" i="20"/>
  <c r="F25" i="20"/>
  <c r="F26" i="20"/>
  <c r="F28" i="20"/>
  <c r="F30" i="20"/>
  <c r="F33" i="20"/>
  <c r="F34" i="20"/>
  <c r="F35" i="20"/>
  <c r="F37" i="20"/>
  <c r="F38" i="20"/>
  <c r="F39" i="20"/>
  <c r="F40" i="20"/>
  <c r="F41" i="20"/>
  <c r="F43" i="20"/>
  <c r="F44" i="20"/>
  <c r="F45" i="20"/>
  <c r="F46" i="20"/>
  <c r="F50" i="20"/>
  <c r="F51" i="20"/>
  <c r="F52" i="20"/>
  <c r="F53" i="20"/>
  <c r="F54" i="20"/>
  <c r="F56" i="20"/>
  <c r="F57" i="20"/>
  <c r="F58" i="20"/>
  <c r="F59" i="20"/>
  <c r="F61" i="20"/>
  <c r="F62" i="20"/>
  <c r="F63" i="20"/>
  <c r="F64" i="20"/>
  <c r="F66" i="20"/>
  <c r="F69" i="20"/>
  <c r="F70" i="20"/>
  <c r="F72" i="20"/>
  <c r="F73" i="20"/>
  <c r="F75" i="20"/>
  <c r="F76" i="20"/>
  <c r="F78" i="20"/>
  <c r="F79" i="20"/>
  <c r="F82" i="20"/>
  <c r="F83" i="20"/>
  <c r="F84" i="20"/>
  <c r="F85" i="20"/>
  <c r="F86" i="20"/>
  <c r="F87" i="20"/>
  <c r="F88" i="20"/>
  <c r="F89" i="20"/>
  <c r="F91" i="20"/>
  <c r="F92" i="20"/>
  <c r="F93" i="20"/>
  <c r="F94" i="20"/>
  <c r="F95" i="20"/>
  <c r="F98" i="20"/>
  <c r="F99" i="20"/>
  <c r="F100" i="20"/>
  <c r="F102" i="20"/>
  <c r="F103" i="20"/>
  <c r="F105" i="20"/>
  <c r="F106" i="20"/>
  <c r="F107" i="20"/>
  <c r="F108" i="20"/>
  <c r="F109" i="20"/>
  <c r="F110" i="20"/>
  <c r="F111" i="20"/>
  <c r="F112" i="20"/>
  <c r="F113" i="20"/>
  <c r="F114" i="20"/>
  <c r="F115" i="20"/>
  <c r="F116" i="20"/>
  <c r="F117" i="20"/>
  <c r="F118" i="20"/>
  <c r="F119" i="20"/>
  <c r="F120" i="20"/>
  <c r="F121" i="20"/>
  <c r="F122" i="20"/>
  <c r="F123" i="20"/>
  <c r="F124" i="20"/>
  <c r="F126" i="20"/>
  <c r="F127" i="20"/>
  <c r="F129" i="20"/>
  <c r="F133" i="20"/>
  <c r="F134" i="20"/>
  <c r="F135" i="20"/>
  <c r="F138" i="20"/>
  <c r="F139" i="20"/>
  <c r="F140" i="20"/>
  <c r="F141" i="20"/>
  <c r="F142" i="20"/>
  <c r="F144" i="20"/>
  <c r="F147" i="20"/>
  <c r="F149" i="20"/>
  <c r="F150" i="20"/>
  <c r="F151" i="20"/>
  <c r="F152" i="20"/>
  <c r="F153" i="20"/>
  <c r="F154" i="20"/>
  <c r="F155" i="20"/>
  <c r="F156" i="20"/>
  <c r="F157" i="20"/>
  <c r="F158" i="20"/>
  <c r="F159" i="20"/>
  <c r="F160" i="20"/>
  <c r="F161" i="20"/>
  <c r="F162" i="20"/>
  <c r="F163" i="20"/>
  <c r="F164" i="20"/>
  <c r="F165" i="20"/>
  <c r="F167" i="20"/>
  <c r="L93" i="32" l="1"/>
  <c r="K198" i="32"/>
  <c r="I198" i="32"/>
  <c r="G198" i="32"/>
  <c r="E198" i="32"/>
  <c r="C198" i="32"/>
  <c r="B198" i="32"/>
  <c r="K168" i="32"/>
  <c r="I168" i="32"/>
  <c r="G168" i="32"/>
  <c r="E168" i="32"/>
  <c r="C168" i="32"/>
  <c r="B166" i="32"/>
  <c r="K163" i="32"/>
  <c r="I163" i="32"/>
  <c r="G163" i="32"/>
  <c r="E163" i="32"/>
  <c r="C163" i="32"/>
  <c r="B163" i="32"/>
  <c r="K161" i="32"/>
  <c r="K157" i="32"/>
  <c r="I157" i="32"/>
  <c r="G157" i="32"/>
  <c r="E157" i="32"/>
  <c r="C157" i="32"/>
  <c r="B157" i="32"/>
  <c r="B156" i="32" s="1"/>
  <c r="K152" i="32"/>
  <c r="I152" i="32"/>
  <c r="G152" i="32"/>
  <c r="E152" i="32"/>
  <c r="C152" i="32"/>
  <c r="B152" i="32"/>
  <c r="B151" i="32" s="1"/>
  <c r="I148" i="32"/>
  <c r="G148" i="32"/>
  <c r="E148" i="32"/>
  <c r="C148" i="32"/>
  <c r="B148" i="32"/>
  <c r="I145" i="32"/>
  <c r="G145" i="32"/>
  <c r="E145" i="32"/>
  <c r="C145" i="32"/>
  <c r="B145" i="32"/>
  <c r="I121" i="32"/>
  <c r="G121" i="32"/>
  <c r="E121" i="32"/>
  <c r="C121" i="32"/>
  <c r="B121" i="32"/>
  <c r="I116" i="32"/>
  <c r="G116" i="32"/>
  <c r="E116" i="32"/>
  <c r="C116" i="32"/>
  <c r="B116" i="32"/>
  <c r="B112" i="32" s="1"/>
  <c r="K112" i="32"/>
  <c r="E102" i="32"/>
  <c r="K93" i="32"/>
  <c r="I93" i="32"/>
  <c r="G93" i="32"/>
  <c r="C93" i="32"/>
  <c r="B93" i="32"/>
  <c r="I87" i="32"/>
  <c r="G87" i="32"/>
  <c r="E87" i="32"/>
  <c r="C87" i="32"/>
  <c r="B87" i="32"/>
  <c r="K84" i="32"/>
  <c r="N84" i="32" s="1"/>
  <c r="W84" i="32" s="1"/>
  <c r="I84" i="32"/>
  <c r="G84" i="32"/>
  <c r="E84" i="32"/>
  <c r="C84" i="32"/>
  <c r="B84" i="32"/>
  <c r="K81" i="32"/>
  <c r="N81" i="32" s="1"/>
  <c r="W81" i="32" s="1"/>
  <c r="I81" i="32"/>
  <c r="G81" i="32"/>
  <c r="E81" i="32"/>
  <c r="C81" i="32"/>
  <c r="B81" i="32"/>
  <c r="K74" i="32"/>
  <c r="N74" i="32" s="1"/>
  <c r="W74" i="32" s="1"/>
  <c r="I74" i="32"/>
  <c r="G74" i="32"/>
  <c r="E74" i="32"/>
  <c r="C74" i="32"/>
  <c r="B74" i="32"/>
  <c r="K69" i="32"/>
  <c r="N69" i="32" s="1"/>
  <c r="W69" i="32" s="1"/>
  <c r="I69" i="32"/>
  <c r="G69" i="32"/>
  <c r="E69" i="32"/>
  <c r="C69" i="32"/>
  <c r="B69" i="32"/>
  <c r="K61" i="32"/>
  <c r="N61" i="32" s="1"/>
  <c r="W61" i="32" s="1"/>
  <c r="I61" i="32"/>
  <c r="G61" i="32"/>
  <c r="E61" i="32"/>
  <c r="C61" i="32"/>
  <c r="B61" i="32"/>
  <c r="K54" i="32"/>
  <c r="N54" i="32" s="1"/>
  <c r="W54" i="32" s="1"/>
  <c r="I54" i="32"/>
  <c r="G54" i="32"/>
  <c r="E54" i="32"/>
  <c r="C54" i="32"/>
  <c r="B54" i="32"/>
  <c r="K45" i="32"/>
  <c r="N45" i="32" s="1"/>
  <c r="W45" i="32" s="1"/>
  <c r="I45" i="32"/>
  <c r="G45" i="32"/>
  <c r="E45" i="32"/>
  <c r="C45" i="32"/>
  <c r="D45" i="32" s="1"/>
  <c r="K39" i="32"/>
  <c r="N39" i="32" s="1"/>
  <c r="W39" i="32" s="1"/>
  <c r="I39" i="32"/>
  <c r="G39" i="32"/>
  <c r="E39" i="32"/>
  <c r="C39" i="32"/>
  <c r="D39" i="32" s="1"/>
  <c r="K35" i="32"/>
  <c r="N35" i="32" s="1"/>
  <c r="W35" i="32" s="1"/>
  <c r="I35" i="32"/>
  <c r="G35" i="32"/>
  <c r="E35" i="32"/>
  <c r="C35" i="32"/>
  <c r="D35" i="32" s="1"/>
  <c r="B34" i="32"/>
  <c r="K32" i="32"/>
  <c r="N32" i="32" s="1"/>
  <c r="W32" i="32" s="1"/>
  <c r="I32" i="32"/>
  <c r="G32" i="32"/>
  <c r="E32" i="32"/>
  <c r="C32" i="32"/>
  <c r="B32" i="32"/>
  <c r="K30" i="32"/>
  <c r="N30" i="32" s="1"/>
  <c r="W30" i="32" s="1"/>
  <c r="I30" i="32"/>
  <c r="G30" i="32"/>
  <c r="E30" i="32"/>
  <c r="C30" i="32"/>
  <c r="B30" i="32"/>
  <c r="K26" i="32"/>
  <c r="N26" i="32" s="1"/>
  <c r="W26" i="32" s="1"/>
  <c r="I26" i="32"/>
  <c r="G26" i="32"/>
  <c r="E26" i="32"/>
  <c r="C26" i="32"/>
  <c r="B26" i="32"/>
  <c r="K23" i="32"/>
  <c r="N23" i="32" s="1"/>
  <c r="W23" i="32" s="1"/>
  <c r="I23" i="32"/>
  <c r="G23" i="32"/>
  <c r="E23" i="32"/>
  <c r="C23" i="32"/>
  <c r="B23" i="32"/>
  <c r="K17" i="32"/>
  <c r="N17" i="32" s="1"/>
  <c r="W17" i="32" s="1"/>
  <c r="I17" i="32"/>
  <c r="G17" i="32"/>
  <c r="E17" i="32"/>
  <c r="C17" i="32"/>
  <c r="B17" i="32"/>
  <c r="K11" i="32"/>
  <c r="I11" i="32"/>
  <c r="G11" i="32"/>
  <c r="E11" i="32"/>
  <c r="C11" i="32"/>
  <c r="B11" i="32"/>
  <c r="B9" i="32" s="1"/>
  <c r="K7" i="32"/>
  <c r="N7" i="32" s="1"/>
  <c r="I7" i="32"/>
  <c r="G7" i="32"/>
  <c r="E7" i="32"/>
  <c r="C7" i="32"/>
  <c r="B7" i="32"/>
  <c r="D87" i="32" l="1"/>
  <c r="D81" i="32"/>
  <c r="D121" i="32"/>
  <c r="D7" i="32"/>
  <c r="D54" i="32"/>
  <c r="J84" i="32"/>
  <c r="J163" i="32"/>
  <c r="D145" i="32"/>
  <c r="D198" i="32"/>
  <c r="D163" i="32"/>
  <c r="D23" i="32"/>
  <c r="D32" i="32"/>
  <c r="F17" i="32"/>
  <c r="D26" i="32"/>
  <c r="L26" i="32"/>
  <c r="L32" i="32"/>
  <c r="L84" i="32"/>
  <c r="L35" i="32"/>
  <c r="L157" i="32"/>
  <c r="L198" i="32"/>
  <c r="L23" i="32"/>
  <c r="L148" i="32"/>
  <c r="L45" i="32"/>
  <c r="L74" i="32"/>
  <c r="L30" i="32"/>
  <c r="J61" i="32"/>
  <c r="J39" i="32"/>
  <c r="J30" i="32"/>
  <c r="J35" i="32"/>
  <c r="J69" i="32"/>
  <c r="H69" i="32"/>
  <c r="H74" i="32"/>
  <c r="F7" i="32"/>
  <c r="F54" i="32"/>
  <c r="F84" i="32"/>
  <c r="F81" i="32"/>
  <c r="F87" i="32"/>
  <c r="F121" i="32"/>
  <c r="F45" i="32"/>
  <c r="H121" i="32"/>
  <c r="J7" i="32"/>
  <c r="H45" i="32"/>
  <c r="J81" i="32"/>
  <c r="J87" i="32"/>
  <c r="J121" i="32"/>
  <c r="E166" i="32"/>
  <c r="F168" i="32"/>
  <c r="L7" i="32"/>
  <c r="D17" i="32"/>
  <c r="J45" i="32"/>
  <c r="K78" i="32"/>
  <c r="N78" i="32" s="1"/>
  <c r="W78" i="32" s="1"/>
  <c r="L81" i="32"/>
  <c r="L87" i="32"/>
  <c r="G166" i="32"/>
  <c r="H168" i="32"/>
  <c r="H87" i="32"/>
  <c r="H17" i="32"/>
  <c r="F32" i="32"/>
  <c r="D61" i="32"/>
  <c r="F145" i="32"/>
  <c r="K166" i="32"/>
  <c r="N166" i="32" s="1"/>
  <c r="W166" i="32" s="1"/>
  <c r="L168" i="32"/>
  <c r="J17" i="32"/>
  <c r="H26" i="32"/>
  <c r="H32" i="32"/>
  <c r="F39" i="32"/>
  <c r="F61" i="32"/>
  <c r="D74" i="32"/>
  <c r="H145" i="32"/>
  <c r="G151" i="32"/>
  <c r="H198" i="32"/>
  <c r="C166" i="32"/>
  <c r="D166" i="32" s="1"/>
  <c r="D168" i="32"/>
  <c r="I166" i="32"/>
  <c r="I165" i="32" s="1"/>
  <c r="J168" i="32"/>
  <c r="F26" i="32"/>
  <c r="E151" i="32"/>
  <c r="F198" i="32"/>
  <c r="L17" i="32"/>
  <c r="J26" i="32"/>
  <c r="J32" i="32"/>
  <c r="H39" i="32"/>
  <c r="H61" i="32"/>
  <c r="F74" i="32"/>
  <c r="D84" i="32"/>
  <c r="D93" i="32"/>
  <c r="J145" i="32"/>
  <c r="I151" i="32"/>
  <c r="J152" i="32"/>
  <c r="J198" i="32"/>
  <c r="H7" i="32"/>
  <c r="H81" i="32"/>
  <c r="C151" i="32"/>
  <c r="D151" i="32" s="1"/>
  <c r="D152" i="32"/>
  <c r="L39" i="32"/>
  <c r="L61" i="32"/>
  <c r="J74" i="32"/>
  <c r="H84" i="32"/>
  <c r="J93" i="32"/>
  <c r="E112" i="32"/>
  <c r="E111" i="32" s="1"/>
  <c r="F116" i="32"/>
  <c r="F163" i="32"/>
  <c r="L69" i="32"/>
  <c r="E93" i="32"/>
  <c r="F93" i="32" s="1"/>
  <c r="H102" i="32"/>
  <c r="C9" i="32"/>
  <c r="D9" i="32" s="1"/>
  <c r="D11" i="32"/>
  <c r="C112" i="32"/>
  <c r="D116" i="32"/>
  <c r="K121" i="32"/>
  <c r="L145" i="32"/>
  <c r="K151" i="32"/>
  <c r="L152" i="32"/>
  <c r="E9" i="32"/>
  <c r="E6" i="32" s="1"/>
  <c r="F11" i="32"/>
  <c r="G9" i="32"/>
  <c r="G6" i="32" s="1"/>
  <c r="H11" i="32"/>
  <c r="G112" i="32"/>
  <c r="H116" i="32"/>
  <c r="H163" i="32"/>
  <c r="I9" i="32"/>
  <c r="J11" i="32"/>
  <c r="I112" i="32"/>
  <c r="J116" i="32"/>
  <c r="L116" i="32"/>
  <c r="F23" i="32"/>
  <c r="D30" i="32"/>
  <c r="D148" i="32"/>
  <c r="L163" i="32"/>
  <c r="H23" i="32"/>
  <c r="F35" i="32"/>
  <c r="J54" i="32"/>
  <c r="F148" i="32"/>
  <c r="J23" i="32"/>
  <c r="H30" i="32"/>
  <c r="H35" i="32"/>
  <c r="L54" i="32"/>
  <c r="F69" i="32"/>
  <c r="H148" i="32"/>
  <c r="G156" i="32"/>
  <c r="H157" i="32"/>
  <c r="K9" i="32"/>
  <c r="N9" i="32" s="1"/>
  <c r="W9" i="32" s="1"/>
  <c r="L11" i="32"/>
  <c r="H54" i="32"/>
  <c r="C156" i="32"/>
  <c r="D156" i="32" s="1"/>
  <c r="D157" i="32"/>
  <c r="F30" i="32"/>
  <c r="D69" i="32"/>
  <c r="E156" i="32"/>
  <c r="F157" i="32"/>
  <c r="J148" i="32"/>
  <c r="I156" i="32"/>
  <c r="J157" i="32"/>
  <c r="B16" i="32"/>
  <c r="B165" i="32"/>
  <c r="B150" i="32" s="1"/>
  <c r="C34" i="32"/>
  <c r="I34" i="32"/>
  <c r="K34" i="32"/>
  <c r="N34" i="32" s="1"/>
  <c r="W34" i="32" s="1"/>
  <c r="E78" i="32"/>
  <c r="G78" i="32"/>
  <c r="K156" i="32"/>
  <c r="I78" i="32"/>
  <c r="B6" i="32"/>
  <c r="B78" i="32"/>
  <c r="B77" i="32" s="1"/>
  <c r="C78" i="32"/>
  <c r="E34" i="32"/>
  <c r="G34" i="32"/>
  <c r="B111" i="32"/>
  <c r="B91" i="32" s="1"/>
  <c r="J9" i="32" l="1"/>
  <c r="L121" i="32"/>
  <c r="L9" i="32"/>
  <c r="C165" i="32"/>
  <c r="D165" i="32" s="1"/>
  <c r="H6" i="32"/>
  <c r="L151" i="32"/>
  <c r="H112" i="32"/>
  <c r="J112" i="32"/>
  <c r="J151" i="32"/>
  <c r="H93" i="32"/>
  <c r="H156" i="32"/>
  <c r="H166" i="32"/>
  <c r="E16" i="32"/>
  <c r="E5" i="32" s="1"/>
  <c r="F34" i="32"/>
  <c r="K16" i="32"/>
  <c r="N16" i="32" s="1"/>
  <c r="W16" i="32" s="1"/>
  <c r="L34" i="32"/>
  <c r="K77" i="32"/>
  <c r="L78" i="32"/>
  <c r="C16" i="32"/>
  <c r="D16" i="32" s="1"/>
  <c r="D34" i="32"/>
  <c r="E91" i="32"/>
  <c r="C111" i="32"/>
  <c r="D112" i="32"/>
  <c r="B5" i="32"/>
  <c r="B4" i="32" s="1"/>
  <c r="K165" i="32"/>
  <c r="L166" i="32"/>
  <c r="E165" i="32"/>
  <c r="F166" i="32"/>
  <c r="I150" i="32"/>
  <c r="C6" i="32"/>
  <c r="D6" i="32" s="1"/>
  <c r="K6" i="32"/>
  <c r="N6" i="32" s="1"/>
  <c r="J156" i="32"/>
  <c r="I77" i="32"/>
  <c r="J78" i="32"/>
  <c r="I6" i="32"/>
  <c r="J6" i="32" s="1"/>
  <c r="F156" i="32"/>
  <c r="G16" i="32"/>
  <c r="H34" i="32"/>
  <c r="I16" i="32"/>
  <c r="J34" i="32"/>
  <c r="J166" i="32"/>
  <c r="I111" i="32"/>
  <c r="L156" i="32"/>
  <c r="H9" i="32"/>
  <c r="L112" i="32"/>
  <c r="C77" i="32"/>
  <c r="D77" i="32" s="1"/>
  <c r="D78" i="32"/>
  <c r="G77" i="32"/>
  <c r="H78" i="32"/>
  <c r="G165" i="32"/>
  <c r="J165" i="32" s="1"/>
  <c r="K111" i="32"/>
  <c r="E77" i="32"/>
  <c r="F78" i="32"/>
  <c r="G111" i="32"/>
  <c r="F9" i="32"/>
  <c r="F112" i="32"/>
  <c r="F6" i="32" l="1"/>
  <c r="C150" i="32"/>
  <c r="D150" i="32" s="1"/>
  <c r="L165" i="32"/>
  <c r="N165" i="32"/>
  <c r="W165" i="32" s="1"/>
  <c r="N77" i="32"/>
  <c r="W77" i="32" s="1"/>
  <c r="F165" i="32"/>
  <c r="K150" i="32"/>
  <c r="K5" i="32"/>
  <c r="I5" i="32"/>
  <c r="J16" i="32"/>
  <c r="J77" i="32"/>
  <c r="E150" i="32"/>
  <c r="D111" i="32"/>
  <c r="C91" i="32"/>
  <c r="D91" i="32" s="1"/>
  <c r="F111" i="32"/>
  <c r="G91" i="32"/>
  <c r="H91" i="32" s="1"/>
  <c r="H111" i="32"/>
  <c r="I91" i="32"/>
  <c r="J111" i="32"/>
  <c r="B3" i="32"/>
  <c r="L77" i="32"/>
  <c r="F77" i="32"/>
  <c r="E4" i="32"/>
  <c r="K91" i="32"/>
  <c r="L111" i="32"/>
  <c r="L91" i="32" s="1"/>
  <c r="H165" i="32"/>
  <c r="G150" i="32"/>
  <c r="L16" i="32"/>
  <c r="L6" i="32"/>
  <c r="G5" i="32"/>
  <c r="H16" i="32"/>
  <c r="C5" i="32"/>
  <c r="H77" i="32"/>
  <c r="F16" i="32"/>
  <c r="C80" i="30"/>
  <c r="C79" i="30"/>
  <c r="C73" i="30"/>
  <c r="C72" i="30"/>
  <c r="B67" i="30"/>
  <c r="B66" i="30"/>
  <c r="C60" i="30"/>
  <c r="B61" i="30"/>
  <c r="B60" i="30"/>
  <c r="C42" i="30"/>
  <c r="B40" i="30"/>
  <c r="B41" i="30"/>
  <c r="B42" i="30"/>
  <c r="B43" i="30"/>
  <c r="B44" i="30"/>
  <c r="B45" i="30"/>
  <c r="B46" i="30"/>
  <c r="B47" i="30"/>
  <c r="B39" i="30"/>
  <c r="C32" i="30"/>
  <c r="E32" i="30"/>
  <c r="F33" i="30"/>
  <c r="E33" i="30"/>
  <c r="C19" i="30"/>
  <c r="C18" i="30"/>
  <c r="F150" i="32" l="1"/>
  <c r="C74" i="30"/>
  <c r="H150" i="32"/>
  <c r="K4" i="32"/>
  <c r="N4" i="32" s="1"/>
  <c r="N5" i="32"/>
  <c r="L150" i="32"/>
  <c r="N150" i="32"/>
  <c r="W150" i="32" s="1"/>
  <c r="C78" i="30"/>
  <c r="F91" i="32"/>
  <c r="J91" i="32"/>
  <c r="L5" i="32"/>
  <c r="I4" i="32"/>
  <c r="H5" i="32"/>
  <c r="G4" i="32"/>
  <c r="D5" i="32"/>
  <c r="C4" i="32"/>
  <c r="F4" i="32" s="1"/>
  <c r="F5" i="32"/>
  <c r="J5" i="32"/>
  <c r="E3" i="32"/>
  <c r="J150" i="32"/>
  <c r="C33" i="30"/>
  <c r="F32" i="30"/>
  <c r="I3" i="32" l="1"/>
  <c r="J4" i="32"/>
  <c r="L4" i="32"/>
  <c r="K3" i="32"/>
  <c r="G3" i="32"/>
  <c r="H3" i="32" s="1"/>
  <c r="H4" i="32"/>
  <c r="C3" i="32"/>
  <c r="D3" i="32" s="1"/>
  <c r="D4" i="32"/>
  <c r="C20" i="30"/>
  <c r="C4" i="30"/>
  <c r="L3" i="32" l="1"/>
  <c r="N3" i="32"/>
  <c r="J3" i="32"/>
  <c r="F3" i="32"/>
  <c r="C121" i="12"/>
  <c r="C140" i="12" s="1"/>
  <c r="K27" i="37" l="1"/>
  <c r="C27" i="15"/>
  <c r="C15" i="30"/>
  <c r="C3" i="30" s="1"/>
  <c r="N8" i="20"/>
  <c r="C132" i="12"/>
  <c r="C6" i="15" s="1"/>
  <c r="K16" i="15"/>
  <c r="K15" i="15"/>
  <c r="K14" i="15"/>
  <c r="K11" i="15"/>
  <c r="K10" i="15"/>
  <c r="K9" i="15"/>
  <c r="K8" i="15"/>
  <c r="C47" i="30"/>
  <c r="C46" i="30"/>
  <c r="C137" i="29"/>
  <c r="C45" i="30" s="1"/>
  <c r="E44" i="30" s="1"/>
  <c r="C135" i="29"/>
  <c r="C142" i="12"/>
  <c r="C13" i="37" l="1"/>
  <c r="C13" i="58"/>
  <c r="C13" i="15"/>
  <c r="C43" i="30"/>
  <c r="D119" i="29"/>
  <c r="C66" i="30"/>
  <c r="C23" i="30"/>
  <c r="F5" i="25" l="1"/>
  <c r="Q5" i="25" s="1"/>
  <c r="F6" i="25"/>
  <c r="Q6" i="25" s="1"/>
  <c r="F10" i="25"/>
  <c r="Q10" i="25" s="1"/>
  <c r="F11" i="25"/>
  <c r="Q11" i="25" s="1"/>
  <c r="F12" i="25"/>
  <c r="Q12" i="25" s="1"/>
  <c r="F13" i="25"/>
  <c r="Q13" i="25" s="1"/>
  <c r="F21" i="25"/>
  <c r="Q21" i="25" s="1"/>
  <c r="F22" i="25"/>
  <c r="Q22" i="25" s="1"/>
  <c r="F23" i="25"/>
  <c r="Q23" i="25" s="1"/>
  <c r="F24" i="25"/>
  <c r="Q24" i="25" s="1"/>
  <c r="F4" i="25"/>
  <c r="Q4" i="25" s="1"/>
  <c r="O13" i="25"/>
  <c r="B33" i="27"/>
  <c r="B31" i="27"/>
  <c r="B32" i="27"/>
  <c r="C32" i="27"/>
  <c r="B25" i="27"/>
  <c r="C25" i="27"/>
  <c r="B26" i="27"/>
  <c r="C26" i="27"/>
  <c r="B27" i="27"/>
  <c r="C27" i="27"/>
  <c r="C24" i="27"/>
  <c r="B24" i="27"/>
  <c r="C20" i="27"/>
  <c r="C19" i="27"/>
  <c r="C18" i="27"/>
  <c r="C17" i="27"/>
  <c r="C16" i="27"/>
  <c r="C15" i="27"/>
  <c r="C14" i="27"/>
  <c r="C13" i="27"/>
  <c r="C12" i="27"/>
  <c r="C11" i="27"/>
  <c r="C10" i="27"/>
  <c r="C9" i="27"/>
  <c r="C8" i="27"/>
  <c r="C7" i="27"/>
  <c r="C6" i="27"/>
  <c r="E70" i="29"/>
  <c r="E109" i="29" s="1"/>
  <c r="F70" i="29"/>
  <c r="F109" i="29" s="1"/>
  <c r="C118" i="29" s="1"/>
  <c r="C132" i="29" s="1"/>
  <c r="C4" i="58" s="1"/>
  <c r="C9" i="30"/>
  <c r="C110" i="29"/>
  <c r="C116" i="29"/>
  <c r="D118" i="29"/>
  <c r="C121" i="29"/>
  <c r="C122" i="29"/>
  <c r="C128" i="29"/>
  <c r="C129" i="29"/>
  <c r="B104" i="29"/>
  <c r="B90" i="29"/>
  <c r="B89" i="29"/>
  <c r="B88" i="29"/>
  <c r="B87" i="29"/>
  <c r="C120" i="29" l="1"/>
  <c r="C119" i="29"/>
  <c r="C28" i="27"/>
  <c r="C21" i="27"/>
  <c r="C4" i="37" l="1"/>
  <c r="K4" i="37"/>
  <c r="E119" i="29"/>
  <c r="D120" i="29"/>
  <c r="E120" i="29" s="1"/>
  <c r="C23" i="14"/>
  <c r="C17" i="14"/>
  <c r="E17" i="14" s="1"/>
  <c r="C19" i="14"/>
  <c r="E19" i="14" s="1"/>
  <c r="K27" i="15" l="1"/>
  <c r="C100" i="12"/>
  <c r="B9" i="26"/>
  <c r="K166" i="20" l="1"/>
  <c r="M166" i="20"/>
  <c r="N166" i="20"/>
  <c r="K148" i="20"/>
  <c r="K146" i="20" s="1"/>
  <c r="K145" i="20" s="1"/>
  <c r="M148" i="20"/>
  <c r="M146" i="20" s="1"/>
  <c r="N148" i="20"/>
  <c r="N146" i="20" s="1"/>
  <c r="K143" i="20"/>
  <c r="M143" i="20"/>
  <c r="N143" i="20"/>
  <c r="K137" i="20"/>
  <c r="K136" i="20" s="1"/>
  <c r="M137" i="20"/>
  <c r="M136" i="20" s="1"/>
  <c r="N137" i="20"/>
  <c r="N136" i="20" s="1"/>
  <c r="K132" i="20"/>
  <c r="K131" i="20" s="1"/>
  <c r="M132" i="20"/>
  <c r="M131" i="20" s="1"/>
  <c r="N132" i="20"/>
  <c r="N131" i="20" s="1"/>
  <c r="K128" i="20"/>
  <c r="M128" i="20"/>
  <c r="N128" i="20"/>
  <c r="K125" i="20"/>
  <c r="M125" i="20"/>
  <c r="N125" i="20"/>
  <c r="K104" i="20"/>
  <c r="M104" i="20"/>
  <c r="N104" i="20"/>
  <c r="K101" i="20"/>
  <c r="K97" i="20" s="1"/>
  <c r="M101" i="20"/>
  <c r="M97" i="20" s="1"/>
  <c r="N101" i="20"/>
  <c r="N97" i="20" s="1"/>
  <c r="K81" i="20"/>
  <c r="M81" i="20"/>
  <c r="N81" i="20"/>
  <c r="K77" i="20"/>
  <c r="M77" i="20"/>
  <c r="N77" i="20"/>
  <c r="K74" i="20"/>
  <c r="M74" i="20"/>
  <c r="N74" i="20"/>
  <c r="K71" i="20"/>
  <c r="M71" i="20"/>
  <c r="N71" i="20"/>
  <c r="K65" i="20"/>
  <c r="M65" i="20"/>
  <c r="N65" i="20"/>
  <c r="K60" i="20"/>
  <c r="M60" i="20"/>
  <c r="N60" i="20"/>
  <c r="K55" i="20"/>
  <c r="M55" i="20"/>
  <c r="N55" i="20"/>
  <c r="K49" i="20"/>
  <c r="M49" i="20"/>
  <c r="N49" i="20"/>
  <c r="K42" i="20"/>
  <c r="M42" i="20"/>
  <c r="N42" i="20"/>
  <c r="K36" i="20"/>
  <c r="M36" i="20"/>
  <c r="N36" i="20"/>
  <c r="K32" i="20"/>
  <c r="M32" i="20"/>
  <c r="N32" i="20"/>
  <c r="K29" i="20"/>
  <c r="M29" i="20"/>
  <c r="N29" i="20"/>
  <c r="K27" i="20"/>
  <c r="M27" i="20"/>
  <c r="N27" i="20"/>
  <c r="K23" i="20"/>
  <c r="M23" i="20"/>
  <c r="N23" i="20"/>
  <c r="K20" i="20"/>
  <c r="M20" i="20"/>
  <c r="N20" i="20"/>
  <c r="K17" i="20"/>
  <c r="M17" i="20"/>
  <c r="N17" i="20"/>
  <c r="K11" i="20"/>
  <c r="K9" i="20" s="1"/>
  <c r="M11" i="20"/>
  <c r="M9" i="20" s="1"/>
  <c r="N11" i="20"/>
  <c r="N9" i="20" s="1"/>
  <c r="K7" i="20"/>
  <c r="M7" i="20"/>
  <c r="N7" i="20"/>
  <c r="Q171" i="21"/>
  <c r="P171" i="21"/>
  <c r="O171" i="21"/>
  <c r="N171" i="21"/>
  <c r="K171" i="21"/>
  <c r="K170" i="21" s="1"/>
  <c r="I171" i="21"/>
  <c r="I170" i="21" s="1"/>
  <c r="G171" i="21"/>
  <c r="G170" i="21" s="1"/>
  <c r="E171" i="21"/>
  <c r="E170" i="21" s="1"/>
  <c r="C171" i="21"/>
  <c r="M170" i="21"/>
  <c r="J170" i="21"/>
  <c r="H170" i="21"/>
  <c r="F170" i="21"/>
  <c r="D170" i="21"/>
  <c r="B170" i="21"/>
  <c r="U169" i="21"/>
  <c r="S169" i="21"/>
  <c r="Q169" i="21"/>
  <c r="O169" i="21"/>
  <c r="K169" i="21"/>
  <c r="I169" i="21"/>
  <c r="G169" i="21"/>
  <c r="E169" i="21"/>
  <c r="C169" i="21"/>
  <c r="U168" i="21"/>
  <c r="S168" i="21"/>
  <c r="Q168" i="21"/>
  <c r="P168" i="21"/>
  <c r="O168" i="21"/>
  <c r="N168" i="21"/>
  <c r="K168" i="21"/>
  <c r="I168" i="21"/>
  <c r="G168" i="21"/>
  <c r="E168" i="21"/>
  <c r="C168" i="21"/>
  <c r="S167" i="21"/>
  <c r="T167" i="21" s="1"/>
  <c r="U167" i="21" s="1"/>
  <c r="Q167" i="21"/>
  <c r="P167" i="21"/>
  <c r="O167" i="21"/>
  <c r="N167" i="21"/>
  <c r="K167" i="21"/>
  <c r="I167" i="21"/>
  <c r="G167" i="21"/>
  <c r="E167" i="21"/>
  <c r="C167" i="21"/>
  <c r="S166" i="21"/>
  <c r="T166" i="21" s="1"/>
  <c r="U166" i="21" s="1"/>
  <c r="Q166" i="21"/>
  <c r="P166" i="21"/>
  <c r="O166" i="21"/>
  <c r="N166" i="21"/>
  <c r="K166" i="21"/>
  <c r="I166" i="21"/>
  <c r="G166" i="21"/>
  <c r="E166" i="21"/>
  <c r="C166" i="21"/>
  <c r="U165" i="21"/>
  <c r="S165" i="21"/>
  <c r="Q165" i="21"/>
  <c r="O165" i="21"/>
  <c r="N165" i="21"/>
  <c r="K165" i="21"/>
  <c r="I165" i="21"/>
  <c r="G165" i="21"/>
  <c r="E165" i="21"/>
  <c r="C165" i="21"/>
  <c r="U164" i="21"/>
  <c r="S164" i="21"/>
  <c r="Q164" i="21"/>
  <c r="P164" i="21"/>
  <c r="O164" i="21"/>
  <c r="N164" i="21"/>
  <c r="K164" i="21"/>
  <c r="I164" i="21"/>
  <c r="G164" i="21"/>
  <c r="E164" i="21"/>
  <c r="C164" i="21"/>
  <c r="S163" i="21"/>
  <c r="T163" i="21" s="1"/>
  <c r="U163" i="21" s="1"/>
  <c r="Q163" i="21"/>
  <c r="P163" i="21"/>
  <c r="O163" i="21"/>
  <c r="N163" i="21"/>
  <c r="K163" i="21"/>
  <c r="I163" i="21"/>
  <c r="G163" i="21"/>
  <c r="E163" i="21"/>
  <c r="C163" i="21"/>
  <c r="S162" i="21"/>
  <c r="T162" i="21" s="1"/>
  <c r="U162" i="21" s="1"/>
  <c r="Q162" i="21"/>
  <c r="P162" i="21"/>
  <c r="O162" i="21"/>
  <c r="K162" i="21"/>
  <c r="I162" i="21"/>
  <c r="G162" i="21"/>
  <c r="E162" i="21"/>
  <c r="C162" i="21"/>
  <c r="S161" i="21"/>
  <c r="T161" i="21" s="1"/>
  <c r="U161" i="21" s="1"/>
  <c r="Q161" i="21"/>
  <c r="P161" i="21"/>
  <c r="O161" i="21"/>
  <c r="N161" i="21"/>
  <c r="K161" i="21"/>
  <c r="I161" i="21"/>
  <c r="G161" i="21"/>
  <c r="E161" i="21"/>
  <c r="C161" i="21"/>
  <c r="S160" i="21"/>
  <c r="T160" i="21" s="1"/>
  <c r="U160" i="21" s="1"/>
  <c r="Q160" i="21"/>
  <c r="P160" i="21"/>
  <c r="O160" i="21"/>
  <c r="N160" i="21"/>
  <c r="K160" i="21"/>
  <c r="I160" i="21"/>
  <c r="G160" i="21"/>
  <c r="E160" i="21"/>
  <c r="C160" i="21"/>
  <c r="S159" i="21"/>
  <c r="T159" i="21" s="1"/>
  <c r="U159" i="21" s="1"/>
  <c r="Q159" i="21"/>
  <c r="P159" i="21"/>
  <c r="O159" i="21"/>
  <c r="N159" i="21"/>
  <c r="K159" i="21"/>
  <c r="I159" i="21"/>
  <c r="G159" i="21"/>
  <c r="E159" i="21"/>
  <c r="C159" i="21"/>
  <c r="S158" i="21"/>
  <c r="T158" i="21" s="1"/>
  <c r="U158" i="21" s="1"/>
  <c r="Q158" i="21"/>
  <c r="P158" i="21"/>
  <c r="O158" i="21"/>
  <c r="N158" i="21"/>
  <c r="K158" i="21"/>
  <c r="I158" i="21"/>
  <c r="G158" i="21"/>
  <c r="E158" i="21"/>
  <c r="C158" i="21"/>
  <c r="S157" i="21"/>
  <c r="T157" i="21" s="1"/>
  <c r="U157" i="21" s="1"/>
  <c r="Q157" i="21"/>
  <c r="P157" i="21"/>
  <c r="O157" i="21"/>
  <c r="N157" i="21"/>
  <c r="K157" i="21"/>
  <c r="I157" i="21"/>
  <c r="G157" i="21"/>
  <c r="E157" i="21"/>
  <c r="C157" i="21"/>
  <c r="S156" i="21"/>
  <c r="T156" i="21" s="1"/>
  <c r="U156" i="21" s="1"/>
  <c r="Q156" i="21"/>
  <c r="P156" i="21"/>
  <c r="O156" i="21"/>
  <c r="N156" i="21"/>
  <c r="K156" i="21"/>
  <c r="I156" i="21"/>
  <c r="G156" i="21"/>
  <c r="E156" i="21"/>
  <c r="C156" i="21"/>
  <c r="S155" i="21"/>
  <c r="T155" i="21" s="1"/>
  <c r="U155" i="21" s="1"/>
  <c r="Q155" i="21"/>
  <c r="P155" i="21"/>
  <c r="O155" i="21"/>
  <c r="K155" i="21"/>
  <c r="I155" i="21"/>
  <c r="G155" i="21"/>
  <c r="E155" i="21"/>
  <c r="C155" i="21"/>
  <c r="S154" i="21"/>
  <c r="T154" i="21" s="1"/>
  <c r="U154" i="21" s="1"/>
  <c r="Q154" i="21"/>
  <c r="P154" i="21"/>
  <c r="O154" i="21"/>
  <c r="K154" i="21"/>
  <c r="I154" i="21"/>
  <c r="G154" i="21"/>
  <c r="E154" i="21"/>
  <c r="C154" i="21"/>
  <c r="S153" i="21"/>
  <c r="Q153" i="21"/>
  <c r="P153" i="21"/>
  <c r="O153" i="21"/>
  <c r="N153" i="21"/>
  <c r="K153" i="21"/>
  <c r="I153" i="21"/>
  <c r="G153" i="21"/>
  <c r="E153" i="21"/>
  <c r="C153" i="21"/>
  <c r="M152" i="21"/>
  <c r="M150" i="21" s="1"/>
  <c r="J152" i="21"/>
  <c r="J150" i="21" s="1"/>
  <c r="J149" i="21" s="1"/>
  <c r="H152" i="21"/>
  <c r="H150" i="21" s="1"/>
  <c r="F152" i="21"/>
  <c r="F150" i="21" s="1"/>
  <c r="D152" i="21"/>
  <c r="D150" i="21" s="1"/>
  <c r="C152" i="21"/>
  <c r="U151" i="21"/>
  <c r="Q151" i="21"/>
  <c r="P151" i="21"/>
  <c r="O151" i="21"/>
  <c r="N151" i="21"/>
  <c r="K151" i="21"/>
  <c r="I151" i="21"/>
  <c r="G151" i="21"/>
  <c r="E151" i="21"/>
  <c r="C151" i="21"/>
  <c r="B150" i="21"/>
  <c r="S148" i="21"/>
  <c r="S147" i="21" s="1"/>
  <c r="K148" i="21"/>
  <c r="K147" i="21" s="1"/>
  <c r="I148" i="21"/>
  <c r="I147" i="21" s="1"/>
  <c r="G148" i="21"/>
  <c r="G147" i="21" s="1"/>
  <c r="E148" i="21"/>
  <c r="E147" i="21" s="1"/>
  <c r="C148" i="21"/>
  <c r="C147" i="21" s="1"/>
  <c r="M147" i="21"/>
  <c r="J147" i="21"/>
  <c r="H147" i="21"/>
  <c r="F147" i="21"/>
  <c r="D147" i="21"/>
  <c r="B147" i="21"/>
  <c r="Q146" i="21"/>
  <c r="P146" i="21"/>
  <c r="O146" i="21"/>
  <c r="K146" i="21"/>
  <c r="I146" i="21"/>
  <c r="G146" i="21"/>
  <c r="E146" i="21"/>
  <c r="C146" i="21"/>
  <c r="N145" i="21"/>
  <c r="R145" i="21" s="1"/>
  <c r="K145" i="21"/>
  <c r="I145" i="21"/>
  <c r="G145" i="21"/>
  <c r="E145" i="21"/>
  <c r="C145" i="21"/>
  <c r="T144" i="21"/>
  <c r="U144" i="21" s="1"/>
  <c r="Q144" i="21"/>
  <c r="P144" i="21"/>
  <c r="O144" i="21"/>
  <c r="N144" i="21"/>
  <c r="K144" i="21"/>
  <c r="I144" i="21"/>
  <c r="G144" i="21"/>
  <c r="E144" i="21"/>
  <c r="C144" i="21"/>
  <c r="T143" i="21"/>
  <c r="U143" i="21" s="1"/>
  <c r="Q143" i="21"/>
  <c r="P143" i="21"/>
  <c r="O143" i="21"/>
  <c r="N143" i="21"/>
  <c r="K143" i="21"/>
  <c r="I143" i="21"/>
  <c r="G143" i="21"/>
  <c r="E143" i="21"/>
  <c r="C143" i="21"/>
  <c r="T142" i="21"/>
  <c r="U142" i="21" s="1"/>
  <c r="S142" i="21"/>
  <c r="Q142" i="21"/>
  <c r="P142" i="21"/>
  <c r="O142" i="21"/>
  <c r="N142" i="21"/>
  <c r="K142" i="21"/>
  <c r="I142" i="21"/>
  <c r="G142" i="21"/>
  <c r="E142" i="21"/>
  <c r="C142" i="21"/>
  <c r="M141" i="21"/>
  <c r="M140" i="21" s="1"/>
  <c r="J141" i="21"/>
  <c r="J140" i="21" s="1"/>
  <c r="H141" i="21"/>
  <c r="H140" i="21" s="1"/>
  <c r="F141" i="21"/>
  <c r="F140" i="21" s="1"/>
  <c r="D141" i="21"/>
  <c r="D140" i="21" s="1"/>
  <c r="B141" i="21"/>
  <c r="B140" i="21" s="1"/>
  <c r="U139" i="21"/>
  <c r="K139" i="21"/>
  <c r="I139" i="21"/>
  <c r="G139" i="21"/>
  <c r="E139" i="21"/>
  <c r="C139" i="21"/>
  <c r="U138" i="21"/>
  <c r="Q138" i="21"/>
  <c r="P138" i="21"/>
  <c r="K138" i="21"/>
  <c r="I138" i="21"/>
  <c r="G138" i="21"/>
  <c r="E138" i="21"/>
  <c r="C138" i="21"/>
  <c r="U137" i="21"/>
  <c r="K137" i="21"/>
  <c r="I137" i="21"/>
  <c r="G137" i="21"/>
  <c r="E137" i="21"/>
  <c r="U136" i="21"/>
  <c r="M136" i="21"/>
  <c r="M135" i="21" s="1"/>
  <c r="J136" i="21"/>
  <c r="J135" i="21" s="1"/>
  <c r="H136" i="21"/>
  <c r="H135" i="21" s="1"/>
  <c r="F136" i="21"/>
  <c r="G136" i="21" s="1"/>
  <c r="D136" i="21"/>
  <c r="E136" i="21" s="1"/>
  <c r="B136" i="21"/>
  <c r="B135" i="21" s="1"/>
  <c r="U135" i="21"/>
  <c r="S133" i="21"/>
  <c r="T133" i="21" s="1"/>
  <c r="Q133" i="21"/>
  <c r="P133" i="21"/>
  <c r="O133" i="21"/>
  <c r="N133" i="21"/>
  <c r="K133" i="21"/>
  <c r="K132" i="21" s="1"/>
  <c r="I133" i="21"/>
  <c r="I132" i="21" s="1"/>
  <c r="G133" i="21"/>
  <c r="G132" i="21" s="1"/>
  <c r="E133" i="21"/>
  <c r="E132" i="21" s="1"/>
  <c r="C133" i="21"/>
  <c r="C132" i="21" s="1"/>
  <c r="M132" i="21"/>
  <c r="J132" i="21"/>
  <c r="H132" i="21"/>
  <c r="F132" i="21"/>
  <c r="D132" i="21"/>
  <c r="B132" i="21"/>
  <c r="K131" i="21"/>
  <c r="I131" i="21"/>
  <c r="G131" i="21"/>
  <c r="E131" i="21"/>
  <c r="C131" i="21"/>
  <c r="U130" i="21"/>
  <c r="Q130" i="21"/>
  <c r="P130" i="21"/>
  <c r="O130" i="21"/>
  <c r="N130" i="21"/>
  <c r="K130" i="21"/>
  <c r="I130" i="21"/>
  <c r="G130" i="21"/>
  <c r="E130" i="21"/>
  <c r="C130" i="21"/>
  <c r="M129" i="21"/>
  <c r="J129" i="21"/>
  <c r="H129" i="21"/>
  <c r="F129" i="21"/>
  <c r="D129" i="21"/>
  <c r="B129" i="21"/>
  <c r="U128" i="21"/>
  <c r="K128" i="21"/>
  <c r="I128" i="21"/>
  <c r="G128" i="21"/>
  <c r="E128" i="21"/>
  <c r="C128" i="21"/>
  <c r="T127" i="21"/>
  <c r="A127" i="21"/>
  <c r="T126" i="21"/>
  <c r="U126" i="21" s="1"/>
  <c r="K126" i="21"/>
  <c r="I126" i="21"/>
  <c r="G126" i="21"/>
  <c r="E126" i="21"/>
  <c r="C126" i="21"/>
  <c r="T125" i="21"/>
  <c r="U125" i="21" s="1"/>
  <c r="K125" i="21"/>
  <c r="I125" i="21"/>
  <c r="G125" i="21"/>
  <c r="E125" i="21"/>
  <c r="C125" i="21"/>
  <c r="U124" i="21"/>
  <c r="Q124" i="21"/>
  <c r="P124" i="21"/>
  <c r="O124" i="21"/>
  <c r="N124" i="21"/>
  <c r="K124" i="21"/>
  <c r="I124" i="21"/>
  <c r="G124" i="21"/>
  <c r="E124" i="21"/>
  <c r="C124" i="21"/>
  <c r="U123" i="21"/>
  <c r="P123" i="21"/>
  <c r="K123" i="21"/>
  <c r="I123" i="21"/>
  <c r="S123" i="21" s="1"/>
  <c r="G123" i="21"/>
  <c r="E123" i="21"/>
  <c r="C123" i="21"/>
  <c r="Q122" i="21"/>
  <c r="P122" i="21"/>
  <c r="O122" i="21"/>
  <c r="N122" i="21"/>
  <c r="K122" i="21"/>
  <c r="I122" i="21"/>
  <c r="G122" i="21"/>
  <c r="E122" i="21"/>
  <c r="C122" i="21"/>
  <c r="T121" i="21"/>
  <c r="U121" i="21" s="1"/>
  <c r="O121" i="21"/>
  <c r="N121" i="21"/>
  <c r="K121" i="21"/>
  <c r="I121" i="21"/>
  <c r="G121" i="21"/>
  <c r="E121" i="21"/>
  <c r="C121" i="21"/>
  <c r="U120" i="21"/>
  <c r="Q120" i="21"/>
  <c r="P120" i="21"/>
  <c r="O120" i="21"/>
  <c r="N120" i="21"/>
  <c r="K120" i="21"/>
  <c r="I120" i="21"/>
  <c r="G120" i="21"/>
  <c r="E120" i="21"/>
  <c r="C120" i="21"/>
  <c r="T119" i="21"/>
  <c r="U119" i="21" s="1"/>
  <c r="Q119" i="21"/>
  <c r="P119" i="21"/>
  <c r="O119" i="21"/>
  <c r="N119" i="21"/>
  <c r="K119" i="21"/>
  <c r="I119" i="21"/>
  <c r="G119" i="21"/>
  <c r="E119" i="21"/>
  <c r="C119" i="21"/>
  <c r="U118" i="21"/>
  <c r="N118" i="21"/>
  <c r="R118" i="21" s="1"/>
  <c r="K118" i="21"/>
  <c r="I118" i="21"/>
  <c r="G118" i="21"/>
  <c r="E118" i="21"/>
  <c r="C118" i="21"/>
  <c r="U117" i="21"/>
  <c r="Q117" i="21"/>
  <c r="P117" i="21"/>
  <c r="O117" i="21"/>
  <c r="N117" i="21"/>
  <c r="K117" i="21"/>
  <c r="I117" i="21"/>
  <c r="G117" i="21"/>
  <c r="E117" i="21"/>
  <c r="C117" i="21"/>
  <c r="K116" i="21"/>
  <c r="I116" i="21"/>
  <c r="G116" i="21"/>
  <c r="E116" i="21"/>
  <c r="C116" i="21"/>
  <c r="Q115" i="21"/>
  <c r="P115" i="21"/>
  <c r="O115" i="21"/>
  <c r="N115" i="21"/>
  <c r="K115" i="21"/>
  <c r="I115" i="21"/>
  <c r="G115" i="21"/>
  <c r="E115" i="21"/>
  <c r="C115" i="21"/>
  <c r="Q114" i="21"/>
  <c r="P114" i="21"/>
  <c r="O114" i="21"/>
  <c r="N114" i="21"/>
  <c r="K114" i="21"/>
  <c r="I114" i="21"/>
  <c r="G114" i="21"/>
  <c r="E114" i="21"/>
  <c r="C114" i="21"/>
  <c r="U113" i="21"/>
  <c r="N113" i="21"/>
  <c r="R113" i="21" s="1"/>
  <c r="K113" i="21"/>
  <c r="I113" i="21"/>
  <c r="G113" i="21"/>
  <c r="E113" i="21"/>
  <c r="C113" i="21"/>
  <c r="Q112" i="21"/>
  <c r="P112" i="21"/>
  <c r="O112" i="21"/>
  <c r="N112" i="21"/>
  <c r="K112" i="21"/>
  <c r="I112" i="21"/>
  <c r="G112" i="21"/>
  <c r="E112" i="21"/>
  <c r="C112" i="21"/>
  <c r="Q111" i="21"/>
  <c r="P111" i="21"/>
  <c r="O111" i="21"/>
  <c r="N111" i="21"/>
  <c r="K111" i="21"/>
  <c r="I111" i="21"/>
  <c r="G111" i="21"/>
  <c r="E111" i="21"/>
  <c r="C111" i="21"/>
  <c r="U110" i="21"/>
  <c r="Q110" i="21"/>
  <c r="P110" i="21"/>
  <c r="O110" i="21"/>
  <c r="N110" i="21"/>
  <c r="K110" i="21"/>
  <c r="I110" i="21"/>
  <c r="G110" i="21"/>
  <c r="E110" i="21"/>
  <c r="C110" i="21"/>
  <c r="Q109" i="21"/>
  <c r="P109" i="21"/>
  <c r="O109" i="21"/>
  <c r="N109" i="21"/>
  <c r="K109" i="21"/>
  <c r="I109" i="21"/>
  <c r="G109" i="21"/>
  <c r="E109" i="21"/>
  <c r="C109" i="21"/>
  <c r="Q108" i="21"/>
  <c r="P108" i="21"/>
  <c r="O108" i="21"/>
  <c r="N108" i="21"/>
  <c r="K108" i="21"/>
  <c r="I108" i="21"/>
  <c r="G108" i="21"/>
  <c r="E108" i="21"/>
  <c r="C108" i="21"/>
  <c r="M107" i="21"/>
  <c r="J107" i="21"/>
  <c r="H107" i="21"/>
  <c r="F107" i="21"/>
  <c r="D107" i="21"/>
  <c r="B107" i="21"/>
  <c r="U106" i="21"/>
  <c r="P106" i="21"/>
  <c r="O106" i="21"/>
  <c r="N106" i="21"/>
  <c r="K106" i="21"/>
  <c r="I106" i="21"/>
  <c r="G106" i="21"/>
  <c r="E106" i="21"/>
  <c r="C106" i="21"/>
  <c r="U102" i="21"/>
  <c r="Q102" i="21"/>
  <c r="P102" i="21"/>
  <c r="O102" i="21"/>
  <c r="N102" i="21"/>
  <c r="K102" i="21"/>
  <c r="I102" i="21"/>
  <c r="G102" i="21"/>
  <c r="E102" i="21"/>
  <c r="C102" i="21"/>
  <c r="T101" i="21"/>
  <c r="U101" i="21" s="1"/>
  <c r="M101" i="21"/>
  <c r="J101" i="21"/>
  <c r="J97" i="21" s="1"/>
  <c r="H101" i="21"/>
  <c r="H97" i="21" s="1"/>
  <c r="F101" i="21"/>
  <c r="F97" i="21" s="1"/>
  <c r="D101" i="21"/>
  <c r="D97" i="21" s="1"/>
  <c r="B101" i="21"/>
  <c r="B97" i="21" s="1"/>
  <c r="T100" i="21"/>
  <c r="U100" i="21" s="1"/>
  <c r="Q100" i="21"/>
  <c r="P100" i="21"/>
  <c r="O100" i="21"/>
  <c r="N100" i="21"/>
  <c r="K100" i="21"/>
  <c r="I100" i="21"/>
  <c r="G100" i="21"/>
  <c r="E100" i="21"/>
  <c r="C100" i="21"/>
  <c r="T99" i="21"/>
  <c r="U99" i="21" s="1"/>
  <c r="Q99" i="21"/>
  <c r="P99" i="21"/>
  <c r="O99" i="21"/>
  <c r="N99" i="21"/>
  <c r="K99" i="21"/>
  <c r="I99" i="21"/>
  <c r="G99" i="21"/>
  <c r="E99" i="21"/>
  <c r="C99" i="21"/>
  <c r="U98" i="21"/>
  <c r="Q98" i="21"/>
  <c r="P98" i="21"/>
  <c r="O98" i="21"/>
  <c r="N98" i="21"/>
  <c r="K98" i="21"/>
  <c r="I98" i="21"/>
  <c r="G98" i="21"/>
  <c r="E98" i="21"/>
  <c r="C98" i="21"/>
  <c r="M97" i="21"/>
  <c r="U95" i="21"/>
  <c r="Q95" i="21"/>
  <c r="P95" i="21"/>
  <c r="O95" i="21"/>
  <c r="N95" i="21"/>
  <c r="K95" i="21"/>
  <c r="I95" i="21"/>
  <c r="G95" i="21"/>
  <c r="E95" i="21"/>
  <c r="C95" i="21"/>
  <c r="U94" i="21"/>
  <c r="Q94" i="21"/>
  <c r="P94" i="21"/>
  <c r="O94" i="21"/>
  <c r="N94" i="21"/>
  <c r="K94" i="21"/>
  <c r="I94" i="21"/>
  <c r="G94" i="21"/>
  <c r="E94" i="21"/>
  <c r="C94" i="21"/>
  <c r="R93" i="21"/>
  <c r="K93" i="21"/>
  <c r="I93" i="21"/>
  <c r="G93" i="21"/>
  <c r="E93" i="21"/>
  <c r="C93" i="21"/>
  <c r="U92" i="21"/>
  <c r="Q92" i="21"/>
  <c r="P92" i="21"/>
  <c r="K92" i="21"/>
  <c r="I92" i="21"/>
  <c r="G92" i="21"/>
  <c r="E92" i="21"/>
  <c r="C92" i="21"/>
  <c r="U91" i="21"/>
  <c r="Q91" i="21"/>
  <c r="P91" i="21"/>
  <c r="O91" i="21"/>
  <c r="N91" i="21"/>
  <c r="K91" i="21"/>
  <c r="I91" i="21"/>
  <c r="G91" i="21"/>
  <c r="E91" i="21"/>
  <c r="C91" i="21"/>
  <c r="U90" i="21"/>
  <c r="Q90" i="21"/>
  <c r="K90" i="21"/>
  <c r="I90" i="21"/>
  <c r="F90" i="21"/>
  <c r="P90" i="21" s="1"/>
  <c r="E90" i="21"/>
  <c r="C90" i="21"/>
  <c r="U89" i="21"/>
  <c r="O89" i="21"/>
  <c r="N89" i="21"/>
  <c r="K89" i="21"/>
  <c r="I89" i="21"/>
  <c r="G89" i="21"/>
  <c r="E89" i="21"/>
  <c r="C89" i="21"/>
  <c r="U88" i="21"/>
  <c r="Q88" i="21"/>
  <c r="P88" i="21"/>
  <c r="O88" i="21"/>
  <c r="N88" i="21"/>
  <c r="K88" i="21"/>
  <c r="I88" i="21"/>
  <c r="G88" i="21"/>
  <c r="E88" i="21"/>
  <c r="C88" i="21"/>
  <c r="U87" i="21"/>
  <c r="Q87" i="21"/>
  <c r="P87" i="21"/>
  <c r="K87" i="21"/>
  <c r="I87" i="21"/>
  <c r="G87" i="21"/>
  <c r="E87" i="21"/>
  <c r="C87" i="21"/>
  <c r="U86" i="21"/>
  <c r="Q86" i="21"/>
  <c r="P86" i="21"/>
  <c r="O86" i="21"/>
  <c r="N86" i="21"/>
  <c r="K86" i="21"/>
  <c r="I86" i="21"/>
  <c r="G86" i="21"/>
  <c r="E86" i="21"/>
  <c r="C86" i="21"/>
  <c r="U85" i="21"/>
  <c r="O85" i="21"/>
  <c r="N85" i="21"/>
  <c r="K85" i="21"/>
  <c r="I85" i="21"/>
  <c r="G85" i="21"/>
  <c r="E85" i="21"/>
  <c r="C85" i="21"/>
  <c r="U84" i="21"/>
  <c r="Q84" i="21"/>
  <c r="P84" i="21"/>
  <c r="O84" i="21"/>
  <c r="N84" i="21"/>
  <c r="K84" i="21"/>
  <c r="I84" i="21"/>
  <c r="G84" i="21"/>
  <c r="E84" i="21"/>
  <c r="C84" i="21"/>
  <c r="U83" i="21"/>
  <c r="Q83" i="21"/>
  <c r="P83" i="21"/>
  <c r="O83" i="21"/>
  <c r="N83" i="21"/>
  <c r="K83" i="21"/>
  <c r="I83" i="21"/>
  <c r="G83" i="21"/>
  <c r="E83" i="21"/>
  <c r="C83" i="21"/>
  <c r="U82" i="21"/>
  <c r="Q82" i="21"/>
  <c r="P82" i="21"/>
  <c r="O82" i="21"/>
  <c r="N82" i="21"/>
  <c r="K82" i="21"/>
  <c r="I82" i="21"/>
  <c r="G82" i="21"/>
  <c r="E82" i="21"/>
  <c r="C82" i="21"/>
  <c r="M81" i="21"/>
  <c r="J81" i="21"/>
  <c r="H81" i="21"/>
  <c r="F81" i="21"/>
  <c r="D81" i="21"/>
  <c r="B81" i="21"/>
  <c r="M79" i="21"/>
  <c r="K79" i="21"/>
  <c r="S79" i="21" s="1"/>
  <c r="T79" i="21" s="1"/>
  <c r="U79" i="21" s="1"/>
  <c r="I79" i="21"/>
  <c r="G79" i="21"/>
  <c r="E79" i="21"/>
  <c r="C79" i="21"/>
  <c r="M78" i="21"/>
  <c r="K78" i="21"/>
  <c r="S78" i="21" s="1"/>
  <c r="I78" i="21"/>
  <c r="G78" i="21"/>
  <c r="E78" i="21"/>
  <c r="C78" i="21"/>
  <c r="J77" i="21"/>
  <c r="H77" i="21"/>
  <c r="F77" i="21"/>
  <c r="D77" i="21"/>
  <c r="B77" i="21"/>
  <c r="U76" i="21"/>
  <c r="K76" i="21"/>
  <c r="I76" i="21"/>
  <c r="G76" i="21"/>
  <c r="E76" i="21"/>
  <c r="C76" i="21"/>
  <c r="U75" i="21"/>
  <c r="S75" i="21"/>
  <c r="S74" i="21" s="1"/>
  <c r="Q75" i="21"/>
  <c r="P75" i="21"/>
  <c r="O75" i="21"/>
  <c r="N75" i="21"/>
  <c r="K75" i="21"/>
  <c r="I75" i="21"/>
  <c r="G75" i="21"/>
  <c r="E75" i="21"/>
  <c r="C75" i="21"/>
  <c r="T74" i="21"/>
  <c r="U74" i="21" s="1"/>
  <c r="M74" i="21"/>
  <c r="J74" i="21"/>
  <c r="H74" i="21"/>
  <c r="F74" i="21"/>
  <c r="D74" i="21"/>
  <c r="B74" i="21"/>
  <c r="U73" i="21"/>
  <c r="K73" i="21"/>
  <c r="I73" i="21"/>
  <c r="G73" i="21"/>
  <c r="E73" i="21"/>
  <c r="C73" i="21"/>
  <c r="M72" i="21"/>
  <c r="M71" i="21" s="1"/>
  <c r="K72" i="21"/>
  <c r="I72" i="21"/>
  <c r="G72" i="21"/>
  <c r="E72" i="21"/>
  <c r="C72" i="21"/>
  <c r="J71" i="21"/>
  <c r="H71" i="21"/>
  <c r="F71" i="21"/>
  <c r="D71" i="21"/>
  <c r="B71" i="21"/>
  <c r="S70" i="21"/>
  <c r="T70" i="21" s="1"/>
  <c r="U70" i="21" s="1"/>
  <c r="Q70" i="21"/>
  <c r="P70" i="21"/>
  <c r="O70" i="21"/>
  <c r="N70" i="21"/>
  <c r="K70" i="21"/>
  <c r="I70" i="21"/>
  <c r="G70" i="21"/>
  <c r="E70" i="21"/>
  <c r="C70" i="21"/>
  <c r="U69" i="21"/>
  <c r="Q69" i="21"/>
  <c r="P69" i="21"/>
  <c r="O69" i="21"/>
  <c r="N69" i="21"/>
  <c r="K69" i="21"/>
  <c r="I69" i="21"/>
  <c r="G69" i="21"/>
  <c r="E69" i="21"/>
  <c r="C69" i="21"/>
  <c r="U65" i="21"/>
  <c r="Q65" i="21"/>
  <c r="P65" i="21"/>
  <c r="O65" i="21"/>
  <c r="N65" i="21"/>
  <c r="K65" i="21"/>
  <c r="K64" i="21" s="1"/>
  <c r="I65" i="21"/>
  <c r="I64" i="21" s="1"/>
  <c r="G65" i="21"/>
  <c r="G64" i="21" s="1"/>
  <c r="E65" i="21"/>
  <c r="C65" i="21"/>
  <c r="C64" i="21" s="1"/>
  <c r="T64" i="21"/>
  <c r="U64" i="21" s="1"/>
  <c r="M64" i="21"/>
  <c r="J64" i="21"/>
  <c r="H64" i="21"/>
  <c r="F64" i="21"/>
  <c r="D64" i="21"/>
  <c r="B64" i="21"/>
  <c r="P63" i="21"/>
  <c r="K63" i="21"/>
  <c r="I63" i="21"/>
  <c r="G63" i="21"/>
  <c r="E63" i="21"/>
  <c r="C63" i="21"/>
  <c r="P62" i="21"/>
  <c r="K62" i="21"/>
  <c r="I62" i="21"/>
  <c r="G62" i="21"/>
  <c r="E62" i="21"/>
  <c r="C62" i="21"/>
  <c r="Q61" i="21"/>
  <c r="P61" i="21"/>
  <c r="O61" i="21"/>
  <c r="N61" i="21"/>
  <c r="M61" i="21"/>
  <c r="K61" i="21"/>
  <c r="I61" i="21"/>
  <c r="G61" i="21"/>
  <c r="E61" i="21"/>
  <c r="C61" i="21"/>
  <c r="Q60" i="21"/>
  <c r="P60" i="21"/>
  <c r="O60" i="21"/>
  <c r="N60" i="21"/>
  <c r="M60" i="21"/>
  <c r="K60" i="21"/>
  <c r="I60" i="21"/>
  <c r="G60" i="21"/>
  <c r="E60" i="21"/>
  <c r="C60" i="21"/>
  <c r="J59" i="21"/>
  <c r="H59" i="21"/>
  <c r="F59" i="21"/>
  <c r="D59" i="21"/>
  <c r="B59" i="21"/>
  <c r="K58" i="21"/>
  <c r="I58" i="21"/>
  <c r="G58" i="21"/>
  <c r="E58" i="21"/>
  <c r="C58" i="21"/>
  <c r="K57" i="21"/>
  <c r="I57" i="21"/>
  <c r="G57" i="21"/>
  <c r="E57" i="21"/>
  <c r="C57" i="21"/>
  <c r="Q56" i="21"/>
  <c r="P56" i="21"/>
  <c r="O56" i="21"/>
  <c r="N56" i="21"/>
  <c r="M56" i="21"/>
  <c r="K56" i="21"/>
  <c r="I56" i="21"/>
  <c r="G56" i="21"/>
  <c r="E56" i="21"/>
  <c r="C56" i="21"/>
  <c r="Q55" i="21"/>
  <c r="P55" i="21"/>
  <c r="O55" i="21"/>
  <c r="N55" i="21"/>
  <c r="M55" i="21"/>
  <c r="K55" i="21"/>
  <c r="I55" i="21"/>
  <c r="G55" i="21"/>
  <c r="E55" i="21"/>
  <c r="C55" i="21"/>
  <c r="J54" i="21"/>
  <c r="H54" i="21"/>
  <c r="F54" i="21"/>
  <c r="D54" i="21"/>
  <c r="B54" i="21"/>
  <c r="U53" i="21"/>
  <c r="Q53" i="21"/>
  <c r="P53" i="21"/>
  <c r="O53" i="21"/>
  <c r="N53" i="21"/>
  <c r="M53" i="21"/>
  <c r="K53" i="21"/>
  <c r="I53" i="21"/>
  <c r="G53" i="21"/>
  <c r="E53" i="21"/>
  <c r="C53" i="21"/>
  <c r="P52" i="21"/>
  <c r="O52" i="21"/>
  <c r="N52" i="21"/>
  <c r="K52" i="21"/>
  <c r="I52" i="21"/>
  <c r="G52" i="21"/>
  <c r="E52" i="21"/>
  <c r="C52" i="21"/>
  <c r="U51" i="21"/>
  <c r="Q51" i="21"/>
  <c r="P51" i="21"/>
  <c r="O51" i="21"/>
  <c r="N51" i="21"/>
  <c r="M51" i="21"/>
  <c r="K51" i="21"/>
  <c r="I51" i="21"/>
  <c r="G51" i="21"/>
  <c r="E51" i="21"/>
  <c r="C51" i="21"/>
  <c r="U50" i="21"/>
  <c r="Q50" i="21"/>
  <c r="P50" i="21"/>
  <c r="O50" i="21"/>
  <c r="N50" i="21"/>
  <c r="M50" i="21"/>
  <c r="K50" i="21"/>
  <c r="I50" i="21"/>
  <c r="G50" i="21"/>
  <c r="E50" i="21"/>
  <c r="C50" i="21"/>
  <c r="Q49" i="21"/>
  <c r="P49" i="21"/>
  <c r="O49" i="21"/>
  <c r="N49" i="21"/>
  <c r="M49" i="21"/>
  <c r="S49" i="21" s="1"/>
  <c r="T49" i="21" s="1"/>
  <c r="U49" i="21" s="1"/>
  <c r="K49" i="21"/>
  <c r="I49" i="21"/>
  <c r="G49" i="21"/>
  <c r="E49" i="21"/>
  <c r="C49" i="21"/>
  <c r="J48" i="21"/>
  <c r="H48" i="21"/>
  <c r="H47" i="21" s="1"/>
  <c r="F48" i="21"/>
  <c r="D48" i="21"/>
  <c r="B48" i="21"/>
  <c r="U45" i="21"/>
  <c r="K45" i="21"/>
  <c r="I45" i="21"/>
  <c r="G45" i="21"/>
  <c r="E45" i="21"/>
  <c r="C45" i="21"/>
  <c r="U44" i="21"/>
  <c r="S44" i="21"/>
  <c r="R44" i="21"/>
  <c r="P44" i="21"/>
  <c r="N44" i="21"/>
  <c r="M44" i="21"/>
  <c r="K44" i="21"/>
  <c r="I44" i="21"/>
  <c r="G44" i="21"/>
  <c r="E44" i="21"/>
  <c r="C44" i="21"/>
  <c r="M43" i="21"/>
  <c r="K43" i="21"/>
  <c r="I43" i="21"/>
  <c r="G43" i="21"/>
  <c r="E43" i="21"/>
  <c r="C43" i="21"/>
  <c r="M42" i="21"/>
  <c r="K42" i="21"/>
  <c r="I42" i="21"/>
  <c r="G42" i="21"/>
  <c r="E42" i="21"/>
  <c r="C42" i="21"/>
  <c r="J41" i="21"/>
  <c r="H41" i="21"/>
  <c r="F41" i="21"/>
  <c r="D41" i="21"/>
  <c r="C41" i="21"/>
  <c r="M40" i="21"/>
  <c r="K40" i="21"/>
  <c r="I40" i="21"/>
  <c r="G40" i="21"/>
  <c r="E40" i="21"/>
  <c r="C40" i="21"/>
  <c r="M39" i="21"/>
  <c r="K39" i="21"/>
  <c r="I39" i="21"/>
  <c r="G39" i="21"/>
  <c r="E39" i="21"/>
  <c r="C39" i="21"/>
  <c r="M38" i="21"/>
  <c r="K38" i="21"/>
  <c r="I38" i="21"/>
  <c r="G38" i="21"/>
  <c r="E38" i="21"/>
  <c r="C38" i="21"/>
  <c r="M37" i="21"/>
  <c r="K37" i="21"/>
  <c r="I37" i="21"/>
  <c r="G37" i="21"/>
  <c r="E37" i="21"/>
  <c r="C37" i="21"/>
  <c r="M36" i="21"/>
  <c r="K36" i="21"/>
  <c r="I36" i="21"/>
  <c r="G36" i="21"/>
  <c r="E36" i="21"/>
  <c r="C36" i="21"/>
  <c r="J35" i="21"/>
  <c r="S35" i="21" s="1"/>
  <c r="H35" i="21"/>
  <c r="F35" i="21"/>
  <c r="D35" i="21"/>
  <c r="N35" i="21" s="1"/>
  <c r="C35" i="21"/>
  <c r="M34" i="21"/>
  <c r="K34" i="21"/>
  <c r="I34" i="21"/>
  <c r="G34" i="21"/>
  <c r="E34" i="21"/>
  <c r="C34" i="21"/>
  <c r="M33" i="21"/>
  <c r="K33" i="21"/>
  <c r="I33" i="21"/>
  <c r="G33" i="21"/>
  <c r="E33" i="21"/>
  <c r="C33" i="21"/>
  <c r="M32" i="21"/>
  <c r="K32" i="21"/>
  <c r="I32" i="21"/>
  <c r="G32" i="21"/>
  <c r="E32" i="21"/>
  <c r="C32" i="21"/>
  <c r="J31" i="21"/>
  <c r="H31" i="21"/>
  <c r="F31" i="21"/>
  <c r="D31" i="21"/>
  <c r="C31" i="21"/>
  <c r="B30" i="21"/>
  <c r="Q29" i="21"/>
  <c r="P29" i="21"/>
  <c r="O29" i="21"/>
  <c r="N29" i="21"/>
  <c r="M29" i="21"/>
  <c r="M28" i="21" s="1"/>
  <c r="K29" i="21"/>
  <c r="K28" i="21" s="1"/>
  <c r="I29" i="21"/>
  <c r="I28" i="21" s="1"/>
  <c r="G29" i="21"/>
  <c r="G28" i="21" s="1"/>
  <c r="E29" i="21"/>
  <c r="E28" i="21" s="1"/>
  <c r="C29" i="21"/>
  <c r="J28" i="21"/>
  <c r="H28" i="21"/>
  <c r="F28" i="21"/>
  <c r="D28" i="21"/>
  <c r="B28" i="21"/>
  <c r="Q27" i="21"/>
  <c r="P27" i="21"/>
  <c r="O27" i="21"/>
  <c r="N27" i="21"/>
  <c r="M27" i="21"/>
  <c r="M26" i="21" s="1"/>
  <c r="K27" i="21"/>
  <c r="K26" i="21" s="1"/>
  <c r="I27" i="21"/>
  <c r="I26" i="21" s="1"/>
  <c r="G27" i="21"/>
  <c r="G26" i="21" s="1"/>
  <c r="E27" i="21"/>
  <c r="E26" i="21" s="1"/>
  <c r="C27" i="21"/>
  <c r="C26" i="21" s="1"/>
  <c r="J26" i="21"/>
  <c r="H26" i="21"/>
  <c r="F26" i="21"/>
  <c r="D26" i="21"/>
  <c r="B26" i="21"/>
  <c r="U25" i="21"/>
  <c r="Q25" i="21"/>
  <c r="P25" i="21"/>
  <c r="O25" i="21"/>
  <c r="N25" i="21"/>
  <c r="M25" i="21"/>
  <c r="S25" i="21" s="1"/>
  <c r="S23" i="21" s="1"/>
  <c r="K25" i="21"/>
  <c r="I25" i="21"/>
  <c r="G25" i="21"/>
  <c r="E25" i="21"/>
  <c r="C25" i="21"/>
  <c r="T24" i="21"/>
  <c r="T23" i="21" s="1"/>
  <c r="U23" i="21" s="1"/>
  <c r="Q24" i="21"/>
  <c r="P24" i="21"/>
  <c r="O24" i="21"/>
  <c r="N24" i="21"/>
  <c r="M24" i="21"/>
  <c r="K24" i="21"/>
  <c r="I24" i="21"/>
  <c r="G24" i="21"/>
  <c r="E24" i="21"/>
  <c r="C24" i="21"/>
  <c r="J23" i="21"/>
  <c r="H23" i="21"/>
  <c r="F23" i="21"/>
  <c r="D23" i="21"/>
  <c r="B23" i="21"/>
  <c r="Q22" i="21"/>
  <c r="P22" i="21"/>
  <c r="O22" i="21"/>
  <c r="N22" i="21"/>
  <c r="M22" i="21"/>
  <c r="K22" i="21"/>
  <c r="I22" i="21"/>
  <c r="G22" i="21"/>
  <c r="E22" i="21"/>
  <c r="C22" i="21"/>
  <c r="Q21" i="21"/>
  <c r="P21" i="21"/>
  <c r="O21" i="21"/>
  <c r="N21" i="21"/>
  <c r="M21" i="21"/>
  <c r="K21" i="21"/>
  <c r="I21" i="21"/>
  <c r="G21" i="21"/>
  <c r="E21" i="21"/>
  <c r="C21" i="21"/>
  <c r="J20" i="21"/>
  <c r="H20" i="21"/>
  <c r="F20" i="21"/>
  <c r="D20" i="21"/>
  <c r="B20" i="21"/>
  <c r="Q19" i="21"/>
  <c r="P19" i="21"/>
  <c r="O19" i="21"/>
  <c r="N19" i="21"/>
  <c r="M19" i="21"/>
  <c r="K19" i="21"/>
  <c r="I19" i="21"/>
  <c r="G19" i="21"/>
  <c r="E19" i="21"/>
  <c r="C19" i="21"/>
  <c r="Q18" i="21"/>
  <c r="P18" i="21"/>
  <c r="O18" i="21"/>
  <c r="N18" i="21"/>
  <c r="M18" i="21"/>
  <c r="K18" i="21"/>
  <c r="I18" i="21"/>
  <c r="G18" i="21"/>
  <c r="E18" i="21"/>
  <c r="C18" i="21"/>
  <c r="J17" i="21"/>
  <c r="H17" i="21"/>
  <c r="F17" i="21"/>
  <c r="D17" i="21"/>
  <c r="B17" i="21"/>
  <c r="M15" i="21"/>
  <c r="K15" i="21"/>
  <c r="I15" i="21"/>
  <c r="G15" i="21"/>
  <c r="E15" i="21"/>
  <c r="C15" i="21"/>
  <c r="M14" i="21"/>
  <c r="K14" i="21"/>
  <c r="I14" i="21"/>
  <c r="G14" i="21"/>
  <c r="E14" i="21"/>
  <c r="C14" i="21"/>
  <c r="M13" i="21"/>
  <c r="K13" i="21"/>
  <c r="I13" i="21"/>
  <c r="G13" i="21"/>
  <c r="E13" i="21"/>
  <c r="C13" i="21"/>
  <c r="M12" i="21"/>
  <c r="K12" i="21"/>
  <c r="I12" i="21"/>
  <c r="G12" i="21"/>
  <c r="E12" i="21"/>
  <c r="C12" i="21"/>
  <c r="J11" i="21"/>
  <c r="J9" i="21" s="1"/>
  <c r="H11" i="21"/>
  <c r="H9" i="21" s="1"/>
  <c r="F11" i="21"/>
  <c r="F9" i="21" s="1"/>
  <c r="D11" i="21"/>
  <c r="D9" i="21" s="1"/>
  <c r="B11" i="21"/>
  <c r="B9" i="21" s="1"/>
  <c r="M10" i="21"/>
  <c r="K10" i="21"/>
  <c r="I10" i="21"/>
  <c r="G10" i="21"/>
  <c r="E10" i="21"/>
  <c r="C10" i="21"/>
  <c r="Q8" i="21"/>
  <c r="P8" i="21"/>
  <c r="O8" i="21"/>
  <c r="N8" i="21"/>
  <c r="M8" i="21"/>
  <c r="M7" i="21" s="1"/>
  <c r="K8" i="21"/>
  <c r="K7" i="21" s="1"/>
  <c r="I8" i="21"/>
  <c r="I7" i="21" s="1"/>
  <c r="G8" i="21"/>
  <c r="G7" i="21" s="1"/>
  <c r="E8" i="21"/>
  <c r="E7" i="21" s="1"/>
  <c r="C8" i="21"/>
  <c r="C7" i="21" s="1"/>
  <c r="J7" i="21"/>
  <c r="H7" i="21"/>
  <c r="F7" i="21"/>
  <c r="D7" i="21"/>
  <c r="B7" i="21"/>
  <c r="I166" i="20"/>
  <c r="G166" i="20"/>
  <c r="E166" i="20"/>
  <c r="C166" i="20"/>
  <c r="B166" i="20"/>
  <c r="I148" i="20"/>
  <c r="G148" i="20"/>
  <c r="E148" i="20"/>
  <c r="C148" i="20"/>
  <c r="D148" i="20" s="1"/>
  <c r="B146" i="20"/>
  <c r="I143" i="20"/>
  <c r="G143" i="20"/>
  <c r="E143" i="20"/>
  <c r="C143" i="20"/>
  <c r="B143" i="20"/>
  <c r="I137" i="20"/>
  <c r="G137" i="20"/>
  <c r="E137" i="20"/>
  <c r="C137" i="20"/>
  <c r="B137" i="20"/>
  <c r="B136" i="20" s="1"/>
  <c r="I132" i="20"/>
  <c r="G132" i="20"/>
  <c r="E132" i="20"/>
  <c r="C132" i="20"/>
  <c r="B132" i="20"/>
  <c r="B131" i="20" s="1"/>
  <c r="I128" i="20"/>
  <c r="G128" i="20"/>
  <c r="E128" i="20"/>
  <c r="C128" i="20"/>
  <c r="B128" i="20"/>
  <c r="I125" i="20"/>
  <c r="G125" i="20"/>
  <c r="E125" i="20"/>
  <c r="C125" i="20"/>
  <c r="B125" i="20"/>
  <c r="I104" i="20"/>
  <c r="G104" i="20"/>
  <c r="E104" i="20"/>
  <c r="C104" i="20"/>
  <c r="B104" i="20"/>
  <c r="I101" i="20"/>
  <c r="G101" i="20"/>
  <c r="E101" i="20"/>
  <c r="C101" i="20"/>
  <c r="B101" i="20"/>
  <c r="B97" i="20" s="1"/>
  <c r="E90" i="20"/>
  <c r="E81" i="20" s="1"/>
  <c r="I81" i="20"/>
  <c r="G81" i="20"/>
  <c r="C81" i="20"/>
  <c r="B81" i="20"/>
  <c r="I77" i="20"/>
  <c r="G77" i="20"/>
  <c r="E77" i="20"/>
  <c r="C77" i="20"/>
  <c r="B77" i="20"/>
  <c r="I74" i="20"/>
  <c r="G74" i="20"/>
  <c r="E74" i="20"/>
  <c r="C74" i="20"/>
  <c r="B74" i="20"/>
  <c r="I71" i="20"/>
  <c r="G71" i="20"/>
  <c r="E71" i="20"/>
  <c r="C71" i="20"/>
  <c r="B71" i="20"/>
  <c r="I65" i="20"/>
  <c r="G65" i="20"/>
  <c r="E65" i="20"/>
  <c r="C65" i="20"/>
  <c r="B65" i="20"/>
  <c r="I60" i="20"/>
  <c r="G60" i="20"/>
  <c r="E60" i="20"/>
  <c r="C60" i="20"/>
  <c r="B60" i="20"/>
  <c r="I55" i="20"/>
  <c r="G55" i="20"/>
  <c r="E55" i="20"/>
  <c r="C55" i="20"/>
  <c r="B55" i="20"/>
  <c r="I49" i="20"/>
  <c r="G49" i="20"/>
  <c r="E49" i="20"/>
  <c r="C49" i="20"/>
  <c r="B49" i="20"/>
  <c r="I42" i="20"/>
  <c r="G42" i="20"/>
  <c r="E42" i="20"/>
  <c r="C42" i="20"/>
  <c r="D42" i="20" s="1"/>
  <c r="I36" i="20"/>
  <c r="G36" i="20"/>
  <c r="E36" i="20"/>
  <c r="C36" i="20"/>
  <c r="D36" i="20" s="1"/>
  <c r="I32" i="20"/>
  <c r="G32" i="20"/>
  <c r="E32" i="20"/>
  <c r="C32" i="20"/>
  <c r="D32" i="20" s="1"/>
  <c r="B31" i="20"/>
  <c r="I29" i="20"/>
  <c r="G29" i="20"/>
  <c r="E29" i="20"/>
  <c r="C29" i="20"/>
  <c r="B29" i="20"/>
  <c r="I27" i="20"/>
  <c r="G27" i="20"/>
  <c r="E27" i="20"/>
  <c r="C27" i="20"/>
  <c r="B27" i="20"/>
  <c r="I23" i="20"/>
  <c r="G23" i="20"/>
  <c r="E23" i="20"/>
  <c r="C23" i="20"/>
  <c r="B23" i="20"/>
  <c r="I20" i="20"/>
  <c r="G20" i="20"/>
  <c r="E20" i="20"/>
  <c r="C20" i="20"/>
  <c r="B20" i="20"/>
  <c r="I17" i="20"/>
  <c r="G17" i="20"/>
  <c r="E17" i="20"/>
  <c r="C17" i="20"/>
  <c r="B17" i="20"/>
  <c r="I11" i="20"/>
  <c r="G11" i="20"/>
  <c r="E11" i="20"/>
  <c r="C11" i="20"/>
  <c r="B11" i="20"/>
  <c r="B9" i="20" s="1"/>
  <c r="I7" i="20"/>
  <c r="G7" i="20"/>
  <c r="E7" i="20"/>
  <c r="C7" i="20"/>
  <c r="B7" i="20"/>
  <c r="D149" i="21" l="1"/>
  <c r="J36" i="20"/>
  <c r="R92" i="21"/>
  <c r="D17" i="20"/>
  <c r="R85" i="21"/>
  <c r="R87" i="21"/>
  <c r="O90" i="21"/>
  <c r="R90" i="21" s="1"/>
  <c r="J7" i="20"/>
  <c r="J49" i="20"/>
  <c r="R151" i="21"/>
  <c r="R166" i="21"/>
  <c r="D81" i="20"/>
  <c r="F27" i="20"/>
  <c r="J166" i="20"/>
  <c r="B16" i="21"/>
  <c r="R122" i="21"/>
  <c r="S122" i="21" s="1"/>
  <c r="T122" i="21" s="1"/>
  <c r="U122" i="21" s="1"/>
  <c r="G90" i="21"/>
  <c r="G81" i="21" s="1"/>
  <c r="R115" i="21"/>
  <c r="F101" i="20"/>
  <c r="J143" i="20"/>
  <c r="R130" i="21"/>
  <c r="R159" i="21"/>
  <c r="R164" i="21"/>
  <c r="R124" i="21"/>
  <c r="S124" i="21" s="1"/>
  <c r="F47" i="21"/>
  <c r="R111" i="21"/>
  <c r="J60" i="20"/>
  <c r="D104" i="20"/>
  <c r="F132" i="20"/>
  <c r="R27" i="21"/>
  <c r="R70" i="21"/>
  <c r="R157" i="21"/>
  <c r="H42" i="20"/>
  <c r="R86" i="21"/>
  <c r="R100" i="21"/>
  <c r="R112" i="21"/>
  <c r="S112" i="21" s="1"/>
  <c r="T112" i="21" s="1"/>
  <c r="U112" i="21" s="1"/>
  <c r="J29" i="20"/>
  <c r="J77" i="20"/>
  <c r="D137" i="20"/>
  <c r="F166" i="20"/>
  <c r="R75" i="21"/>
  <c r="J17" i="20"/>
  <c r="R114" i="21"/>
  <c r="S114" i="21" s="1"/>
  <c r="T114" i="21" s="1"/>
  <c r="U114" i="21" s="1"/>
  <c r="R22" i="21"/>
  <c r="S22" i="21" s="1"/>
  <c r="T22" i="21" s="1"/>
  <c r="U22" i="21" s="1"/>
  <c r="R50" i="21"/>
  <c r="S50" i="21" s="1"/>
  <c r="D96" i="21"/>
  <c r="D80" i="21" s="1"/>
  <c r="D143" i="20"/>
  <c r="R60" i="21"/>
  <c r="S60" i="21" s="1"/>
  <c r="T60" i="21" s="1"/>
  <c r="R94" i="21"/>
  <c r="S94" i="21" s="1"/>
  <c r="R143" i="21"/>
  <c r="H55" i="20"/>
  <c r="R171" i="21"/>
  <c r="S171" i="21" s="1"/>
  <c r="B6" i="21"/>
  <c r="R153" i="21"/>
  <c r="D60" i="20"/>
  <c r="F74" i="20"/>
  <c r="J128" i="20"/>
  <c r="R65" i="21"/>
  <c r="S65" i="21" s="1"/>
  <c r="S64" i="21" s="1"/>
  <c r="S152" i="21"/>
  <c r="S150" i="21" s="1"/>
  <c r="R106" i="21"/>
  <c r="J132" i="20"/>
  <c r="J104" i="20"/>
  <c r="D166" i="20"/>
  <c r="I146" i="20"/>
  <c r="I145" i="20" s="1"/>
  <c r="J148" i="20"/>
  <c r="H7" i="20"/>
  <c r="J20" i="20"/>
  <c r="H49" i="20"/>
  <c r="J65" i="20"/>
  <c r="D125" i="20"/>
  <c r="F137" i="20"/>
  <c r="H166" i="20"/>
  <c r="F23" i="20"/>
  <c r="H32" i="20"/>
  <c r="D55" i="20"/>
  <c r="F71" i="20"/>
  <c r="J81" i="20"/>
  <c r="J125" i="20"/>
  <c r="I136" i="20"/>
  <c r="J137" i="20"/>
  <c r="J32" i="20"/>
  <c r="F81" i="20"/>
  <c r="J71" i="20"/>
  <c r="J42" i="20"/>
  <c r="H125" i="20"/>
  <c r="I9" i="20"/>
  <c r="I6" i="20" s="1"/>
  <c r="J11" i="20"/>
  <c r="J55" i="20"/>
  <c r="D11" i="20"/>
  <c r="J23" i="20"/>
  <c r="F17" i="20"/>
  <c r="H27" i="20"/>
  <c r="F60" i="20"/>
  <c r="H74" i="20"/>
  <c r="I97" i="20"/>
  <c r="I96" i="20" s="1"/>
  <c r="J101" i="20"/>
  <c r="J27" i="20"/>
  <c r="J74" i="20"/>
  <c r="D132" i="20"/>
  <c r="F148" i="20"/>
  <c r="F29" i="20"/>
  <c r="F104" i="20"/>
  <c r="F20" i="20"/>
  <c r="D49" i="20"/>
  <c r="F65" i="20"/>
  <c r="H77" i="20"/>
  <c r="H104" i="20"/>
  <c r="D29" i="20"/>
  <c r="G146" i="20"/>
  <c r="G145" i="20" s="1"/>
  <c r="H148" i="20"/>
  <c r="D20" i="20"/>
  <c r="F77" i="20"/>
  <c r="G131" i="20"/>
  <c r="H132" i="20"/>
  <c r="H29" i="20"/>
  <c r="F7" i="20"/>
  <c r="H20" i="20"/>
  <c r="F49" i="20"/>
  <c r="H65" i="20"/>
  <c r="D77" i="20"/>
  <c r="D65" i="20"/>
  <c r="D7" i="20"/>
  <c r="D23" i="20"/>
  <c r="F32" i="20"/>
  <c r="D71" i="20"/>
  <c r="F125" i="20"/>
  <c r="G136" i="20"/>
  <c r="H137" i="20"/>
  <c r="M96" i="20"/>
  <c r="M80" i="20" s="1"/>
  <c r="H81" i="20"/>
  <c r="F11" i="20"/>
  <c r="H23" i="20"/>
  <c r="F55" i="20"/>
  <c r="H71" i="20"/>
  <c r="G9" i="20"/>
  <c r="G6" i="20" s="1"/>
  <c r="H11" i="20"/>
  <c r="F90" i="20"/>
  <c r="H90" i="20"/>
  <c r="F36" i="20"/>
  <c r="D128" i="20"/>
  <c r="F143" i="20"/>
  <c r="D27" i="20"/>
  <c r="H36" i="20"/>
  <c r="D74" i="20"/>
  <c r="D101" i="20"/>
  <c r="F128" i="20"/>
  <c r="H143" i="20"/>
  <c r="H128" i="20"/>
  <c r="G97" i="20"/>
  <c r="H101" i="20"/>
  <c r="H17" i="20"/>
  <c r="F42" i="20"/>
  <c r="H60" i="20"/>
  <c r="C136" i="20"/>
  <c r="D136" i="20" s="1"/>
  <c r="E136" i="20"/>
  <c r="C9" i="20"/>
  <c r="D9" i="20" s="1"/>
  <c r="E9" i="20"/>
  <c r="C97" i="20"/>
  <c r="D97" i="20" s="1"/>
  <c r="E97" i="20"/>
  <c r="C146" i="20"/>
  <c r="D146" i="20" s="1"/>
  <c r="C131" i="20"/>
  <c r="D131" i="20" s="1"/>
  <c r="E146" i="20"/>
  <c r="C48" i="20"/>
  <c r="M145" i="20"/>
  <c r="M130" i="20" s="1"/>
  <c r="K96" i="20"/>
  <c r="K80" i="20" s="1"/>
  <c r="F30" i="21"/>
  <c r="F16" i="21" s="1"/>
  <c r="F96" i="21"/>
  <c r="F80" i="21" s="1"/>
  <c r="J68" i="21"/>
  <c r="J67" i="21" s="1"/>
  <c r="M96" i="21"/>
  <c r="J6" i="21"/>
  <c r="H96" i="21"/>
  <c r="H80" i="21" s="1"/>
  <c r="J96" i="21"/>
  <c r="J80" i="21" s="1"/>
  <c r="J47" i="21"/>
  <c r="Q35" i="21"/>
  <c r="M149" i="21"/>
  <c r="E20" i="21"/>
  <c r="M20" i="21"/>
  <c r="I71" i="21"/>
  <c r="O44" i="21"/>
  <c r="C129" i="21"/>
  <c r="I101" i="21"/>
  <c r="I97" i="21" s="1"/>
  <c r="E71" i="21"/>
  <c r="K74" i="21"/>
  <c r="G77" i="21"/>
  <c r="M41" i="21"/>
  <c r="T41" i="21" s="1"/>
  <c r="T42" i="21" s="1"/>
  <c r="U42" i="21" s="1"/>
  <c r="E74" i="21"/>
  <c r="C17" i="21"/>
  <c r="G41" i="21"/>
  <c r="I74" i="21"/>
  <c r="M23" i="21"/>
  <c r="E129" i="21"/>
  <c r="C71" i="21"/>
  <c r="G17" i="21"/>
  <c r="P41" i="21"/>
  <c r="R41" i="21"/>
  <c r="C48" i="21"/>
  <c r="K71" i="21"/>
  <c r="T71" i="21" s="1"/>
  <c r="K129" i="21"/>
  <c r="K81" i="21"/>
  <c r="E101" i="21"/>
  <c r="E97" i="21" s="1"/>
  <c r="I41" i="21"/>
  <c r="K17" i="21"/>
  <c r="M54" i="21"/>
  <c r="G23" i="21"/>
  <c r="I48" i="21"/>
  <c r="S146" i="21"/>
  <c r="T146" i="21" s="1"/>
  <c r="U146" i="21" s="1"/>
  <c r="C11" i="21"/>
  <c r="C9" i="21" s="1"/>
  <c r="C6" i="21" s="1"/>
  <c r="K101" i="21"/>
  <c r="K97" i="21" s="1"/>
  <c r="G20" i="21"/>
  <c r="C54" i="21"/>
  <c r="E77" i="21"/>
  <c r="I20" i="21"/>
  <c r="K35" i="21"/>
  <c r="T35" i="21" s="1"/>
  <c r="T39" i="21" s="1"/>
  <c r="U39" i="21" s="1"/>
  <c r="Q44" i="21"/>
  <c r="S128" i="21"/>
  <c r="I129" i="21"/>
  <c r="M35" i="21"/>
  <c r="E41" i="21"/>
  <c r="O41" i="21" s="1"/>
  <c r="M48" i="21"/>
  <c r="M77" i="21"/>
  <c r="M68" i="21" s="1"/>
  <c r="M67" i="21" s="1"/>
  <c r="S116" i="21"/>
  <c r="T116" i="21" s="1"/>
  <c r="U116" i="21" s="1"/>
  <c r="I54" i="21"/>
  <c r="E17" i="21"/>
  <c r="G59" i="21"/>
  <c r="E11" i="21"/>
  <c r="E9" i="21" s="1"/>
  <c r="E48" i="21"/>
  <c r="G101" i="21"/>
  <c r="G97" i="21" s="1"/>
  <c r="C23" i="21"/>
  <c r="K11" i="21"/>
  <c r="K9" i="21" s="1"/>
  <c r="K6" i="21" s="1"/>
  <c r="K31" i="21"/>
  <c r="S58" i="21"/>
  <c r="T58" i="21" s="1"/>
  <c r="U58" i="21" s="1"/>
  <c r="I77" i="21"/>
  <c r="C20" i="21"/>
  <c r="G48" i="21"/>
  <c r="S85" i="21"/>
  <c r="N145" i="20"/>
  <c r="N130" i="20" s="1"/>
  <c r="K130" i="20"/>
  <c r="N96" i="20"/>
  <c r="N80" i="20" s="1"/>
  <c r="N68" i="20"/>
  <c r="N67" i="20" s="1"/>
  <c r="M68" i="20"/>
  <c r="M67" i="20" s="1"/>
  <c r="K68" i="20"/>
  <c r="K67" i="20" s="1"/>
  <c r="N48" i="20"/>
  <c r="M48" i="20"/>
  <c r="K48" i="20"/>
  <c r="B48" i="20"/>
  <c r="B68" i="20"/>
  <c r="B67" i="20" s="1"/>
  <c r="E48" i="20"/>
  <c r="N31" i="20"/>
  <c r="N16" i="20" s="1"/>
  <c r="M31" i="20"/>
  <c r="M16" i="20" s="1"/>
  <c r="K31" i="20"/>
  <c r="K16" i="20" s="1"/>
  <c r="K6" i="20"/>
  <c r="N6" i="20"/>
  <c r="M6" i="20"/>
  <c r="B16" i="20"/>
  <c r="I48" i="20"/>
  <c r="C31" i="20"/>
  <c r="D31" i="20" s="1"/>
  <c r="B96" i="20"/>
  <c r="B80" i="20" s="1"/>
  <c r="I31" i="20"/>
  <c r="E68" i="20"/>
  <c r="G68" i="20"/>
  <c r="I68" i="20"/>
  <c r="T132" i="21"/>
  <c r="U132" i="21" s="1"/>
  <c r="U133" i="21"/>
  <c r="R53" i="21"/>
  <c r="K54" i="21"/>
  <c r="S57" i="21"/>
  <c r="T57" i="21" s="1"/>
  <c r="U57" i="21" s="1"/>
  <c r="E81" i="21"/>
  <c r="S87" i="21"/>
  <c r="C101" i="21"/>
  <c r="C97" i="21" s="1"/>
  <c r="R110" i="21"/>
  <c r="S110" i="21" s="1"/>
  <c r="G141" i="21"/>
  <c r="G140" i="21" s="1"/>
  <c r="C150" i="21"/>
  <c r="R168" i="21"/>
  <c r="I11" i="21"/>
  <c r="I9" i="21" s="1"/>
  <c r="I6" i="21" s="1"/>
  <c r="I17" i="21"/>
  <c r="C30" i="21"/>
  <c r="M31" i="21"/>
  <c r="S31" i="21" s="1"/>
  <c r="E35" i="21"/>
  <c r="E59" i="21"/>
  <c r="R61" i="21"/>
  <c r="S61" i="21" s="1"/>
  <c r="T61" i="21" s="1"/>
  <c r="U61" i="21" s="1"/>
  <c r="R88" i="21"/>
  <c r="S88" i="21" s="1"/>
  <c r="S118" i="21"/>
  <c r="R133" i="21"/>
  <c r="I141" i="21"/>
  <c r="I140" i="21" s="1"/>
  <c r="R165" i="21"/>
  <c r="S92" i="21"/>
  <c r="R21" i="21"/>
  <c r="S21" i="21" s="1"/>
  <c r="T21" i="21" s="1"/>
  <c r="D30" i="21"/>
  <c r="D16" i="21" s="1"/>
  <c r="E152" i="21"/>
  <c r="E150" i="21" s="1"/>
  <c r="E149" i="21" s="1"/>
  <c r="I59" i="21"/>
  <c r="R121" i="21"/>
  <c r="G152" i="21"/>
  <c r="G150" i="21" s="1"/>
  <c r="G149" i="21" s="1"/>
  <c r="R18" i="21"/>
  <c r="S18" i="21" s="1"/>
  <c r="E23" i="21"/>
  <c r="R25" i="21"/>
  <c r="H30" i="21"/>
  <c r="H16" i="21" s="1"/>
  <c r="G31" i="21"/>
  <c r="R49" i="21"/>
  <c r="K59" i="21"/>
  <c r="C74" i="21"/>
  <c r="S89" i="21"/>
  <c r="R142" i="21"/>
  <c r="K141" i="21"/>
  <c r="K140" i="21" s="1"/>
  <c r="R156" i="21"/>
  <c r="J30" i="21"/>
  <c r="J16" i="21" s="1"/>
  <c r="B47" i="21"/>
  <c r="R55" i="21"/>
  <c r="S55" i="21" s="1"/>
  <c r="T55" i="21" s="1"/>
  <c r="M59" i="21"/>
  <c r="R82" i="21"/>
  <c r="S82" i="21" s="1"/>
  <c r="R102" i="21"/>
  <c r="K152" i="21"/>
  <c r="K150" i="21" s="1"/>
  <c r="K149" i="21" s="1"/>
  <c r="I23" i="21"/>
  <c r="N41" i="21"/>
  <c r="K48" i="21"/>
  <c r="D47" i="21"/>
  <c r="S62" i="21"/>
  <c r="T62" i="21" s="1"/>
  <c r="U62" i="21" s="1"/>
  <c r="G74" i="21"/>
  <c r="R99" i="21"/>
  <c r="B96" i="21"/>
  <c r="B80" i="21" s="1"/>
  <c r="E141" i="21"/>
  <c r="E140" i="21" s="1"/>
  <c r="R167" i="21"/>
  <c r="K23" i="21"/>
  <c r="E31" i="21"/>
  <c r="R52" i="21"/>
  <c r="S52" i="21" s="1"/>
  <c r="T52" i="21" s="1"/>
  <c r="U52" i="21" s="1"/>
  <c r="R109" i="21"/>
  <c r="S109" i="21" s="1"/>
  <c r="T109" i="21" s="1"/>
  <c r="U109" i="21" s="1"/>
  <c r="R161" i="21"/>
  <c r="G35" i="21"/>
  <c r="G71" i="21"/>
  <c r="R84" i="21"/>
  <c r="S84" i="21" s="1"/>
  <c r="R120" i="21"/>
  <c r="S120" i="21" s="1"/>
  <c r="R158" i="21"/>
  <c r="M11" i="21"/>
  <c r="M9" i="21" s="1"/>
  <c r="M6" i="21" s="1"/>
  <c r="I31" i="21"/>
  <c r="S113" i="21"/>
  <c r="S143" i="21"/>
  <c r="I152" i="21"/>
  <c r="I150" i="21" s="1"/>
  <c r="I149" i="21" s="1"/>
  <c r="P35" i="21"/>
  <c r="R69" i="21"/>
  <c r="R91" i="21"/>
  <c r="S93" i="21"/>
  <c r="T93" i="21" s="1"/>
  <c r="U93" i="21" s="1"/>
  <c r="R144" i="21"/>
  <c r="S144" i="21" s="1"/>
  <c r="R163" i="21"/>
  <c r="I35" i="21"/>
  <c r="S63" i="21"/>
  <c r="T63" i="21" s="1"/>
  <c r="U63" i="21" s="1"/>
  <c r="G107" i="21"/>
  <c r="S131" i="21"/>
  <c r="S129" i="21" s="1"/>
  <c r="R8" i="21"/>
  <c r="S8" i="21" s="1"/>
  <c r="T8" i="21" s="1"/>
  <c r="U8" i="21" s="1"/>
  <c r="H6" i="21"/>
  <c r="G11" i="21"/>
  <c r="G9" i="21" s="1"/>
  <c r="G6" i="21" s="1"/>
  <c r="R56" i="21"/>
  <c r="S56" i="21" s="1"/>
  <c r="T56" i="21" s="1"/>
  <c r="U56" i="21" s="1"/>
  <c r="F68" i="21"/>
  <c r="F67" i="21" s="1"/>
  <c r="F46" i="21" s="1"/>
  <c r="B68" i="21"/>
  <c r="B67" i="21" s="1"/>
  <c r="C77" i="21"/>
  <c r="I81" i="21"/>
  <c r="R98" i="21"/>
  <c r="I107" i="21"/>
  <c r="I136" i="21"/>
  <c r="T148" i="21"/>
  <c r="T147" i="21" s="1"/>
  <c r="R160" i="21"/>
  <c r="M17" i="21"/>
  <c r="K20" i="21"/>
  <c r="R29" i="21"/>
  <c r="S29" i="21" s="1"/>
  <c r="K41" i="21"/>
  <c r="S41" i="21" s="1"/>
  <c r="S42" i="21" s="1"/>
  <c r="R51" i="21"/>
  <c r="S51" i="21" s="1"/>
  <c r="E54" i="21"/>
  <c r="H68" i="21"/>
  <c r="H67" i="21" s="1"/>
  <c r="H46" i="21" s="1"/>
  <c r="D68" i="21"/>
  <c r="D67" i="21" s="1"/>
  <c r="K107" i="21"/>
  <c r="R117" i="21"/>
  <c r="S117" i="21" s="1"/>
  <c r="R119" i="21"/>
  <c r="S119" i="21" s="1"/>
  <c r="G129" i="21"/>
  <c r="B149" i="21"/>
  <c r="B134" i="21" s="1"/>
  <c r="F149" i="21"/>
  <c r="R19" i="21"/>
  <c r="S19" i="21" s="1"/>
  <c r="T19" i="21" s="1"/>
  <c r="U19" i="21" s="1"/>
  <c r="G54" i="21"/>
  <c r="M80" i="21"/>
  <c r="R83" i="21"/>
  <c r="S83" i="21" s="1"/>
  <c r="R95" i="21"/>
  <c r="S95" i="21" s="1"/>
  <c r="R108" i="21"/>
  <c r="S108" i="21" s="1"/>
  <c r="K136" i="21"/>
  <c r="C141" i="21"/>
  <c r="C140" i="21" s="1"/>
  <c r="H149" i="21"/>
  <c r="H134" i="21" s="1"/>
  <c r="T78" i="21"/>
  <c r="S77" i="21"/>
  <c r="S145" i="21"/>
  <c r="T145" i="21" s="1"/>
  <c r="U145" i="21" s="1"/>
  <c r="S71" i="21"/>
  <c r="S111" i="21"/>
  <c r="T111" i="21" s="1"/>
  <c r="U111" i="21" s="1"/>
  <c r="M134" i="21"/>
  <c r="S115" i="21"/>
  <c r="T115" i="21" s="1"/>
  <c r="U115" i="21" s="1"/>
  <c r="N9" i="21"/>
  <c r="D6" i="21"/>
  <c r="F6" i="21"/>
  <c r="P9" i="21"/>
  <c r="I135" i="21"/>
  <c r="S39" i="21"/>
  <c r="S37" i="21"/>
  <c r="S40" i="21"/>
  <c r="S38" i="21"/>
  <c r="S36" i="21"/>
  <c r="S53" i="21"/>
  <c r="J134" i="21"/>
  <c r="K135" i="21"/>
  <c r="E64" i="21"/>
  <c r="K77" i="21"/>
  <c r="C107" i="21"/>
  <c r="T153" i="21"/>
  <c r="S27" i="21"/>
  <c r="O35" i="21"/>
  <c r="D135" i="21"/>
  <c r="C59" i="21"/>
  <c r="E107" i="21"/>
  <c r="F135" i="21"/>
  <c r="C28" i="21"/>
  <c r="C170" i="21"/>
  <c r="C81" i="21"/>
  <c r="T97" i="21"/>
  <c r="U24" i="21"/>
  <c r="E31" i="20"/>
  <c r="C68" i="20"/>
  <c r="I131" i="20"/>
  <c r="G96" i="20"/>
  <c r="G31" i="20"/>
  <c r="B6" i="20"/>
  <c r="G48" i="20"/>
  <c r="B145" i="20"/>
  <c r="B130" i="20" s="1"/>
  <c r="E131" i="20"/>
  <c r="B5" i="21" l="1"/>
  <c r="C16" i="20"/>
  <c r="D16" i="20" s="1"/>
  <c r="F31" i="20"/>
  <c r="S90" i="21"/>
  <c r="J46" i="21"/>
  <c r="M47" i="21"/>
  <c r="M46" i="21" s="1"/>
  <c r="J146" i="20"/>
  <c r="J131" i="20"/>
  <c r="F131" i="20"/>
  <c r="U148" i="21"/>
  <c r="R35" i="21"/>
  <c r="J145" i="20"/>
  <c r="F136" i="20"/>
  <c r="J5" i="21"/>
  <c r="J4" i="21" s="1"/>
  <c r="J3" i="21" s="1"/>
  <c r="I16" i="20"/>
  <c r="I5" i="20" s="1"/>
  <c r="J31" i="20"/>
  <c r="N47" i="20"/>
  <c r="J48" i="20"/>
  <c r="J9" i="20"/>
  <c r="I80" i="20"/>
  <c r="J96" i="20"/>
  <c r="D48" i="20"/>
  <c r="F146" i="20"/>
  <c r="J6" i="20"/>
  <c r="H136" i="20"/>
  <c r="J97" i="20"/>
  <c r="J136" i="20"/>
  <c r="I67" i="20"/>
  <c r="I47" i="20" s="1"/>
  <c r="J68" i="20"/>
  <c r="F68" i="20"/>
  <c r="H131" i="20"/>
  <c r="F97" i="20"/>
  <c r="E6" i="20"/>
  <c r="H6" i="20" s="1"/>
  <c r="F9" i="20"/>
  <c r="H146" i="20"/>
  <c r="F48" i="20"/>
  <c r="G16" i="20"/>
  <c r="G5" i="20" s="1"/>
  <c r="H31" i="20"/>
  <c r="G130" i="20"/>
  <c r="H48" i="20"/>
  <c r="G80" i="20"/>
  <c r="H9" i="20"/>
  <c r="G67" i="20"/>
  <c r="H68" i="20"/>
  <c r="D68" i="20"/>
  <c r="H97" i="20"/>
  <c r="C6" i="20"/>
  <c r="D6" i="20" s="1"/>
  <c r="C96" i="20"/>
  <c r="D96" i="20" s="1"/>
  <c r="C145" i="20"/>
  <c r="D145" i="20" s="1"/>
  <c r="E96" i="20"/>
  <c r="E16" i="20"/>
  <c r="F16" i="20" s="1"/>
  <c r="E67" i="20"/>
  <c r="E145" i="20"/>
  <c r="C67" i="20"/>
  <c r="D67" i="20" s="1"/>
  <c r="M47" i="20"/>
  <c r="B47" i="20"/>
  <c r="E47" i="21"/>
  <c r="K68" i="21"/>
  <c r="K67" i="21" s="1"/>
  <c r="O9" i="21"/>
  <c r="C47" i="21"/>
  <c r="E68" i="21"/>
  <c r="E67" i="21" s="1"/>
  <c r="C149" i="21"/>
  <c r="C134" i="21" s="1"/>
  <c r="U41" i="21"/>
  <c r="T43" i="21"/>
  <c r="U43" i="21" s="1"/>
  <c r="I47" i="21"/>
  <c r="I68" i="21"/>
  <c r="I67" i="21" s="1"/>
  <c r="S141" i="21"/>
  <c r="S140" i="21" s="1"/>
  <c r="T38" i="21"/>
  <c r="U38" i="21" s="1"/>
  <c r="M30" i="21"/>
  <c r="M16" i="21" s="1"/>
  <c r="M5" i="21" s="1"/>
  <c r="C16" i="21"/>
  <c r="C5" i="21" s="1"/>
  <c r="C68" i="21"/>
  <c r="C67" i="21" s="1"/>
  <c r="T141" i="21"/>
  <c r="T140" i="21" s="1"/>
  <c r="H5" i="21"/>
  <c r="H4" i="21" s="1"/>
  <c r="H3" i="21" s="1"/>
  <c r="F5" i="21"/>
  <c r="F4" i="21" s="1"/>
  <c r="T81" i="21"/>
  <c r="U81" i="21" s="1"/>
  <c r="E30" i="21"/>
  <c r="E16" i="21" s="1"/>
  <c r="S54" i="21"/>
  <c r="S101" i="21"/>
  <c r="S97" i="21" s="1"/>
  <c r="G96" i="21"/>
  <c r="G80" i="21" s="1"/>
  <c r="G68" i="21"/>
  <c r="G67" i="21" s="1"/>
  <c r="I134" i="21"/>
  <c r="S43" i="21"/>
  <c r="E96" i="21"/>
  <c r="E80" i="21" s="1"/>
  <c r="I30" i="21"/>
  <c r="I16" i="21" s="1"/>
  <c r="I5" i="21" s="1"/>
  <c r="T59" i="21"/>
  <c r="U59" i="21" s="1"/>
  <c r="S7" i="21"/>
  <c r="K47" i="21"/>
  <c r="S20" i="21"/>
  <c r="Q41" i="21"/>
  <c r="G30" i="21"/>
  <c r="G16" i="21" s="1"/>
  <c r="G5" i="21" s="1"/>
  <c r="G47" i="21"/>
  <c r="T36" i="21"/>
  <c r="U36" i="21" s="1"/>
  <c r="Q9" i="21"/>
  <c r="T40" i="21"/>
  <c r="U40" i="21" s="1"/>
  <c r="U35" i="21"/>
  <c r="T37" i="21"/>
  <c r="U37" i="21" s="1"/>
  <c r="K47" i="20"/>
  <c r="B5" i="20"/>
  <c r="K5" i="20"/>
  <c r="M5" i="20"/>
  <c r="N5" i="20"/>
  <c r="S107" i="21"/>
  <c r="S48" i="21"/>
  <c r="T29" i="21"/>
  <c r="T28" i="21" s="1"/>
  <c r="U28" i="21" s="1"/>
  <c r="S28" i="21"/>
  <c r="B46" i="21"/>
  <c r="I96" i="21"/>
  <c r="I80" i="21" s="1"/>
  <c r="K30" i="21"/>
  <c r="K16" i="21" s="1"/>
  <c r="K5" i="21" s="1"/>
  <c r="T131" i="21"/>
  <c r="U131" i="21" s="1"/>
  <c r="K96" i="21"/>
  <c r="K80" i="21" s="1"/>
  <c r="D46" i="21"/>
  <c r="S81" i="21"/>
  <c r="E6" i="21"/>
  <c r="T108" i="21"/>
  <c r="T107" i="21" s="1"/>
  <c r="U60" i="21"/>
  <c r="S59" i="21"/>
  <c r="T7" i="21"/>
  <c r="S68" i="21"/>
  <c r="S67" i="21" s="1"/>
  <c r="U78" i="21"/>
  <c r="T77" i="21"/>
  <c r="U77" i="21" s="1"/>
  <c r="D5" i="21"/>
  <c r="C96" i="21"/>
  <c r="C80" i="21" s="1"/>
  <c r="T20" i="21"/>
  <c r="U20" i="21" s="1"/>
  <c r="U21" i="21"/>
  <c r="K134" i="21"/>
  <c r="S30" i="21"/>
  <c r="S33" i="21"/>
  <c r="T33" i="21" s="1"/>
  <c r="U33" i="21" s="1"/>
  <c r="S34" i="21"/>
  <c r="T34" i="21" s="1"/>
  <c r="U34" i="21" s="1"/>
  <c r="S32" i="21"/>
  <c r="T32" i="21" s="1"/>
  <c r="U71" i="21"/>
  <c r="T72" i="21"/>
  <c r="U72" i="21" s="1"/>
  <c r="T54" i="21"/>
  <c r="U54" i="21" s="1"/>
  <c r="U55" i="21"/>
  <c r="S17" i="21"/>
  <c r="T18" i="21"/>
  <c r="F134" i="21"/>
  <c r="G135" i="21"/>
  <c r="G134" i="21" s="1"/>
  <c r="S26" i="21"/>
  <c r="T27" i="21"/>
  <c r="T171" i="21"/>
  <c r="S170" i="21"/>
  <c r="S149" i="21" s="1"/>
  <c r="T48" i="21"/>
  <c r="T152" i="21"/>
  <c r="T150" i="21" s="1"/>
  <c r="T149" i="21" s="1"/>
  <c r="U153" i="21"/>
  <c r="U97" i="21"/>
  <c r="D134" i="21"/>
  <c r="E135" i="21"/>
  <c r="E134" i="21" s="1"/>
  <c r="I130" i="20"/>
  <c r="C130" i="20" l="1"/>
  <c r="D130" i="20" s="1"/>
  <c r="F96" i="20"/>
  <c r="C5" i="20"/>
  <c r="R9" i="21"/>
  <c r="S9" i="21" s="1"/>
  <c r="S12" i="21" s="1"/>
  <c r="F145" i="20"/>
  <c r="D5" i="20"/>
  <c r="F3" i="21"/>
  <c r="H67" i="20"/>
  <c r="J130" i="20"/>
  <c r="N4" i="20"/>
  <c r="N3" i="20" s="1"/>
  <c r="H96" i="20"/>
  <c r="I4" i="20"/>
  <c r="I3" i="20" s="1"/>
  <c r="J5" i="20"/>
  <c r="J80" i="20"/>
  <c r="J67" i="20"/>
  <c r="J16" i="20"/>
  <c r="H145" i="20"/>
  <c r="H16" i="20"/>
  <c r="F6" i="20"/>
  <c r="E47" i="20"/>
  <c r="F67" i="20"/>
  <c r="G47" i="20"/>
  <c r="C80" i="20"/>
  <c r="D80" i="20" s="1"/>
  <c r="E5" i="20"/>
  <c r="F5" i="20" s="1"/>
  <c r="M4" i="20"/>
  <c r="M3" i="20" s="1"/>
  <c r="E80" i="20"/>
  <c r="E130" i="20"/>
  <c r="F130" i="20" s="1"/>
  <c r="C47" i="20"/>
  <c r="D47" i="20" s="1"/>
  <c r="B4" i="20"/>
  <c r="B3" i="20" s="1"/>
  <c r="K4" i="20"/>
  <c r="K3" i="20" s="1"/>
  <c r="E46" i="21"/>
  <c r="M4" i="21"/>
  <c r="M3" i="21" s="1"/>
  <c r="K46" i="21"/>
  <c r="K4" i="21" s="1"/>
  <c r="K3" i="21" s="1"/>
  <c r="I46" i="21"/>
  <c r="I4" i="21" s="1"/>
  <c r="I3" i="21" s="1"/>
  <c r="D4" i="21"/>
  <c r="D3" i="21" s="1"/>
  <c r="S134" i="21"/>
  <c r="U29" i="21"/>
  <c r="S96" i="21"/>
  <c r="S80" i="21" s="1"/>
  <c r="G46" i="21"/>
  <c r="G4" i="21" s="1"/>
  <c r="G3" i="21" s="1"/>
  <c r="U108" i="21"/>
  <c r="S47" i="21"/>
  <c r="S46" i="21" s="1"/>
  <c r="S16" i="21"/>
  <c r="E5" i="21"/>
  <c r="T129" i="21"/>
  <c r="U129" i="21" s="1"/>
  <c r="U107" i="21"/>
  <c r="T96" i="21"/>
  <c r="U96" i="21" s="1"/>
  <c r="T68" i="21"/>
  <c r="T67" i="21" s="1"/>
  <c r="U67" i="21" s="1"/>
  <c r="C46" i="21"/>
  <c r="C4" i="21" s="1"/>
  <c r="C3" i="21" s="1"/>
  <c r="B4" i="21"/>
  <c r="B3" i="21" s="1"/>
  <c r="T17" i="21"/>
  <c r="U18" i="21"/>
  <c r="T47" i="21"/>
  <c r="U48" i="21"/>
  <c r="U171" i="21"/>
  <c r="T170" i="21"/>
  <c r="T134" i="21" s="1"/>
  <c r="T31" i="21"/>
  <c r="U32" i="21"/>
  <c r="T26" i="21"/>
  <c r="U26" i="21" s="1"/>
  <c r="U27" i="21"/>
  <c r="S15" i="21" l="1"/>
  <c r="T15" i="21" s="1"/>
  <c r="U15" i="21" s="1"/>
  <c r="S13" i="21"/>
  <c r="T13" i="21" s="1"/>
  <c r="U13" i="21" s="1"/>
  <c r="E4" i="20"/>
  <c r="S6" i="21"/>
  <c r="S5" i="21" s="1"/>
  <c r="S4" i="21" s="1"/>
  <c r="S3" i="21" s="1"/>
  <c r="S14" i="21"/>
  <c r="T14" i="21" s="1"/>
  <c r="U14" i="21" s="1"/>
  <c r="H47" i="20"/>
  <c r="F80" i="20"/>
  <c r="J47" i="20"/>
  <c r="H5" i="20"/>
  <c r="H80" i="20"/>
  <c r="F47" i="20"/>
  <c r="E3" i="20"/>
  <c r="G4" i="20"/>
  <c r="J4" i="20" s="1"/>
  <c r="H130" i="20"/>
  <c r="C4" i="20"/>
  <c r="D4" i="20" s="1"/>
  <c r="E4" i="21"/>
  <c r="E3" i="21" s="1"/>
  <c r="T80" i="21"/>
  <c r="U80" i="21" s="1"/>
  <c r="U68" i="21"/>
  <c r="T46" i="21"/>
  <c r="U46" i="21" s="1"/>
  <c r="U47" i="21"/>
  <c r="T12" i="21"/>
  <c r="T30" i="21"/>
  <c r="U30" i="21" s="1"/>
  <c r="U31" i="21"/>
  <c r="U17" i="21"/>
  <c r="S11" i="21" l="1"/>
  <c r="S10" i="21" s="1"/>
  <c r="T10" i="21" s="1"/>
  <c r="U10" i="21" s="1"/>
  <c r="G3" i="20"/>
  <c r="H4" i="20"/>
  <c r="F4" i="20"/>
  <c r="C3" i="20"/>
  <c r="D3" i="20" s="1"/>
  <c r="T16" i="21"/>
  <c r="U16" i="21" s="1"/>
  <c r="T11" i="21"/>
  <c r="U11" i="21" s="1"/>
  <c r="U12" i="21"/>
  <c r="H3" i="20" l="1"/>
  <c r="J3" i="20"/>
  <c r="F3" i="20"/>
  <c r="T9" i="21"/>
  <c r="U9" i="21" l="1"/>
  <c r="T6" i="21"/>
  <c r="T5" i="21" s="1"/>
  <c r="T4" i="21" s="1"/>
  <c r="T3" i="21" s="1"/>
  <c r="D117" i="12" l="1"/>
  <c r="C96" i="12"/>
  <c r="K6" i="15" l="1"/>
  <c r="C31" i="27"/>
  <c r="H23" i="18"/>
  <c r="H25" i="18" s="1"/>
  <c r="H21" i="18"/>
  <c r="E8" i="18"/>
  <c r="C9" i="18" s="1"/>
  <c r="D9" i="18" s="1"/>
  <c r="C143" i="29" s="1"/>
  <c r="C8" i="18"/>
  <c r="D8" i="18" s="1"/>
  <c r="AV34" i="17" l="1"/>
  <c r="AV36" i="17" s="1"/>
  <c r="H26" i="18"/>
  <c r="B12" i="18" s="1"/>
  <c r="B13" i="18" s="1"/>
  <c r="C144" i="29"/>
  <c r="D46" i="29"/>
  <c r="D45" i="29"/>
  <c r="C61" i="30"/>
  <c r="C62" i="30" s="1"/>
  <c r="E9" i="18"/>
  <c r="D31" i="30" l="1"/>
  <c r="D34" i="30" s="1"/>
  <c r="B14" i="18"/>
  <c r="E10" i="18"/>
  <c r="C10" i="18"/>
  <c r="D10" i="18" s="1"/>
  <c r="E11" i="18" l="1"/>
  <c r="C11" i="18"/>
  <c r="D11" i="18" s="1"/>
  <c r="B15" i="18"/>
  <c r="B16" i="18" l="1"/>
  <c r="C12" i="18"/>
  <c r="D12" i="18" s="1"/>
  <c r="E12" i="18"/>
  <c r="E13" i="18" l="1"/>
  <c r="C13" i="18"/>
  <c r="D13" i="18" s="1"/>
  <c r="B17" i="18"/>
  <c r="B18" i="18" l="1"/>
  <c r="E14" i="18"/>
  <c r="C14" i="18"/>
  <c r="D14" i="18" s="1"/>
  <c r="E15" i="18" l="1"/>
  <c r="C15" i="18"/>
  <c r="D15" i="18" s="1"/>
  <c r="B19" i="18"/>
  <c r="B20" i="18" l="1"/>
  <c r="C16" i="18"/>
  <c r="D16" i="18" s="1"/>
  <c r="E16" i="18"/>
  <c r="E17" i="18" l="1"/>
  <c r="C17" i="18"/>
  <c r="D17" i="18" s="1"/>
  <c r="B21" i="18"/>
  <c r="B22" i="18" l="1"/>
  <c r="E18" i="18"/>
  <c r="C18" i="18"/>
  <c r="D18" i="18" s="1"/>
  <c r="B23" i="18" l="1"/>
  <c r="E19" i="18"/>
  <c r="C19" i="18"/>
  <c r="D19" i="18" s="1"/>
  <c r="C20" i="18" l="1"/>
  <c r="D20" i="18" s="1"/>
  <c r="E20" i="18"/>
  <c r="B24" i="18"/>
  <c r="B25" i="18" l="1"/>
  <c r="E21" i="18"/>
  <c r="C21" i="18"/>
  <c r="D21" i="18" s="1"/>
  <c r="E22" i="18" l="1"/>
  <c r="C22" i="18"/>
  <c r="D22" i="18" s="1"/>
  <c r="B26" i="18"/>
  <c r="B27" i="18" l="1"/>
  <c r="E23" i="18"/>
  <c r="C23" i="18"/>
  <c r="D23" i="18" s="1"/>
  <c r="E24" i="18" l="1"/>
  <c r="C24" i="18"/>
  <c r="D24" i="18" s="1"/>
  <c r="B28" i="18"/>
  <c r="B29" i="18" l="1"/>
  <c r="E25" i="18"/>
  <c r="C25" i="18"/>
  <c r="D25" i="18" s="1"/>
  <c r="B30" i="18" l="1"/>
  <c r="E26" i="18"/>
  <c r="C26" i="18"/>
  <c r="D26" i="18" s="1"/>
  <c r="C27" i="18" l="1"/>
  <c r="D27" i="18" s="1"/>
  <c r="E27" i="18"/>
  <c r="B31" i="18"/>
  <c r="E28" i="18" l="1"/>
  <c r="C28" i="18"/>
  <c r="D28" i="18" s="1"/>
  <c r="B32" i="18"/>
  <c r="B33" i="18" l="1"/>
  <c r="E29" i="18"/>
  <c r="C29" i="18"/>
  <c r="D29" i="18" s="1"/>
  <c r="E30" i="18" l="1"/>
  <c r="C30" i="18"/>
  <c r="D30" i="18" s="1"/>
  <c r="B34" i="18"/>
  <c r="B35" i="18" l="1"/>
  <c r="C31" i="18"/>
  <c r="D31" i="18" s="1"/>
  <c r="E31" i="18"/>
  <c r="E32" i="18" l="1"/>
  <c r="C32" i="18"/>
  <c r="D32" i="18" s="1"/>
  <c r="B36" i="18"/>
  <c r="B37" i="18" l="1"/>
  <c r="E33" i="18"/>
  <c r="C33" i="18"/>
  <c r="D33" i="18" s="1"/>
  <c r="E34" i="18" l="1"/>
  <c r="C34" i="18"/>
  <c r="D34" i="18" s="1"/>
  <c r="B38" i="18"/>
  <c r="B39" i="18" l="1"/>
  <c r="C35" i="18"/>
  <c r="D35" i="18" s="1"/>
  <c r="E35" i="18"/>
  <c r="E36" i="18" l="1"/>
  <c r="C36" i="18"/>
  <c r="D36" i="18" s="1"/>
  <c r="B40" i="18"/>
  <c r="B41" i="18" l="1"/>
  <c r="E37" i="18"/>
  <c r="C37" i="18"/>
  <c r="D37" i="18" s="1"/>
  <c r="E38" i="18" l="1"/>
  <c r="C38" i="18"/>
  <c r="D38" i="18" s="1"/>
  <c r="B42" i="18"/>
  <c r="B43" i="18" l="1"/>
  <c r="C39" i="18"/>
  <c r="D39" i="18" s="1"/>
  <c r="E39" i="18"/>
  <c r="E40" i="18" l="1"/>
  <c r="C40" i="18"/>
  <c r="D40" i="18" s="1"/>
  <c r="B44" i="18"/>
  <c r="B45" i="18" l="1"/>
  <c r="E41" i="18"/>
  <c r="C41" i="18"/>
  <c r="D41" i="18" s="1"/>
  <c r="E42" i="18" l="1"/>
  <c r="C42" i="18"/>
  <c r="D42" i="18" s="1"/>
  <c r="B46" i="18"/>
  <c r="C21" i="14"/>
  <c r="B47" i="18" l="1"/>
  <c r="C43" i="18"/>
  <c r="D43" i="18" s="1"/>
  <c r="E43" i="18"/>
  <c r="B20" i="14"/>
  <c r="C20" i="14" s="1"/>
  <c r="E20" i="14" s="1"/>
  <c r="C12" i="14" l="1"/>
  <c r="C25" i="14"/>
  <c r="C13" i="14"/>
  <c r="E13" i="14" s="1"/>
  <c r="E44" i="18"/>
  <c r="C44" i="18"/>
  <c r="D44" i="18" s="1"/>
  <c r="B48" i="18"/>
  <c r="B16" i="14"/>
  <c r="C16" i="14" s="1"/>
  <c r="E16" i="14" s="1"/>
  <c r="B15" i="14"/>
  <c r="C15" i="14" s="1"/>
  <c r="E15" i="14" s="1"/>
  <c r="B14" i="14"/>
  <c r="C14" i="14" l="1"/>
  <c r="E14" i="14" s="1"/>
  <c r="B24" i="14"/>
  <c r="B22" i="14"/>
  <c r="D23" i="14" s="1"/>
  <c r="C18" i="14"/>
  <c r="E18" i="14" s="1"/>
  <c r="C22" i="14"/>
  <c r="B49" i="18"/>
  <c r="E45" i="18"/>
  <c r="C45" i="18"/>
  <c r="D45" i="18" s="1"/>
  <c r="B26" i="14" l="1"/>
  <c r="C24" i="14"/>
  <c r="E46" i="18"/>
  <c r="C46" i="18"/>
  <c r="D46" i="18" s="1"/>
  <c r="B50" i="18"/>
  <c r="E26" i="14" l="1"/>
  <c r="C122" i="12"/>
  <c r="C26" i="14"/>
  <c r="B51" i="18"/>
  <c r="C47" i="18"/>
  <c r="D47" i="18" s="1"/>
  <c r="E47" i="18"/>
  <c r="E48" i="18" l="1"/>
  <c r="C48" i="18"/>
  <c r="D48" i="18" s="1"/>
  <c r="E49" i="18" l="1"/>
  <c r="C49" i="18"/>
  <c r="D49" i="18" s="1"/>
  <c r="E50" i="18" l="1"/>
  <c r="C50" i="18"/>
  <c r="D50" i="18" s="1"/>
  <c r="C51" i="18" l="1"/>
  <c r="D51" i="18" s="1"/>
  <c r="E51" i="18"/>
  <c r="C141" i="16" l="1"/>
  <c r="C132" i="16"/>
  <c r="C131" i="16"/>
  <c r="C122" i="16"/>
  <c r="C129" i="16" s="1"/>
  <c r="C121" i="16"/>
  <c r="C139" i="16" s="1"/>
  <c r="F106" i="16"/>
  <c r="E106" i="16"/>
  <c r="C104" i="16"/>
  <c r="D104" i="16" s="1"/>
  <c r="D102" i="16"/>
  <c r="C100" i="16"/>
  <c r="D100" i="16" s="1"/>
  <c r="C99" i="16"/>
  <c r="D99" i="16" s="1"/>
  <c r="B99" i="16"/>
  <c r="D98" i="16"/>
  <c r="D97" i="16"/>
  <c r="D96" i="16"/>
  <c r="D95" i="16"/>
  <c r="D94" i="16"/>
  <c r="D93" i="16"/>
  <c r="D92" i="16"/>
  <c r="D91" i="16"/>
  <c r="D90" i="16"/>
  <c r="D89" i="16"/>
  <c r="D88" i="16"/>
  <c r="D87" i="16"/>
  <c r="D86" i="16"/>
  <c r="D85" i="16"/>
  <c r="B85" i="16"/>
  <c r="D84" i="16"/>
  <c r="B84" i="16"/>
  <c r="D83" i="16"/>
  <c r="B83" i="16"/>
  <c r="D82" i="16"/>
  <c r="B82" i="16"/>
  <c r="D81" i="16"/>
  <c r="D80" i="16"/>
  <c r="D78" i="16"/>
  <c r="D77" i="16"/>
  <c r="D76" i="16"/>
  <c r="D75" i="16"/>
  <c r="D74" i="16"/>
  <c r="D73" i="16"/>
  <c r="D72" i="16"/>
  <c r="D71" i="16"/>
  <c r="C67" i="16"/>
  <c r="F66" i="16"/>
  <c r="E65" i="16"/>
  <c r="D64" i="16"/>
  <c r="D63" i="16"/>
  <c r="E62" i="16"/>
  <c r="D61" i="16"/>
  <c r="D60" i="16"/>
  <c r="D59" i="16"/>
  <c r="D58" i="16"/>
  <c r="D57" i="16"/>
  <c r="E56" i="16"/>
  <c r="E55" i="16"/>
  <c r="D54" i="16"/>
  <c r="F53" i="16"/>
  <c r="F52" i="16"/>
  <c r="F51" i="16"/>
  <c r="F50" i="16"/>
  <c r="F49" i="16"/>
  <c r="D46" i="16"/>
  <c r="D45" i="16"/>
  <c r="D44" i="16"/>
  <c r="C43" i="16"/>
  <c r="C47" i="16" s="1"/>
  <c r="F42" i="16"/>
  <c r="E41" i="16"/>
  <c r="D40" i="16"/>
  <c r="F39" i="16"/>
  <c r="F38" i="16"/>
  <c r="F37" i="16"/>
  <c r="F36" i="16"/>
  <c r="E35" i="16"/>
  <c r="E34" i="16"/>
  <c r="F33" i="16"/>
  <c r="E32" i="16"/>
  <c r="E31" i="16"/>
  <c r="D30" i="16"/>
  <c r="D29" i="16"/>
  <c r="D28" i="16"/>
  <c r="D27" i="16"/>
  <c r="D26" i="16"/>
  <c r="E25" i="16"/>
  <c r="E24" i="16"/>
  <c r="E23" i="16"/>
  <c r="D22" i="16"/>
  <c r="F21" i="16"/>
  <c r="F20" i="16"/>
  <c r="F19" i="16"/>
  <c r="F18" i="16"/>
  <c r="F17" i="16"/>
  <c r="E16" i="16"/>
  <c r="F15" i="16"/>
  <c r="F14" i="16"/>
  <c r="E13" i="16"/>
  <c r="E12" i="16"/>
  <c r="E11" i="16"/>
  <c r="D10" i="16"/>
  <c r="E9" i="16"/>
  <c r="F8" i="16"/>
  <c r="F7" i="16"/>
  <c r="D47" i="16" l="1"/>
  <c r="C136" i="16"/>
  <c r="C106" i="16"/>
  <c r="C107" i="16" s="1"/>
  <c r="C146" i="16" s="1"/>
  <c r="F47" i="16"/>
  <c r="C113" i="16" s="1"/>
  <c r="E67" i="16"/>
  <c r="C134" i="16"/>
  <c r="E47" i="16"/>
  <c r="E107" i="16" s="1"/>
  <c r="F67" i="16"/>
  <c r="D67" i="16"/>
  <c r="C142" i="16" s="1"/>
  <c r="D106" i="16"/>
  <c r="D107" i="16" s="1"/>
  <c r="C43" i="12"/>
  <c r="C47" i="12" s="1"/>
  <c r="D36" i="15"/>
  <c r="E36" i="15"/>
  <c r="F36" i="15"/>
  <c r="G36" i="15"/>
  <c r="H36" i="15"/>
  <c r="I36" i="15"/>
  <c r="J36" i="15"/>
  <c r="B29" i="15"/>
  <c r="E11" i="12"/>
  <c r="C21" i="58" s="1"/>
  <c r="B24" i="15"/>
  <c r="B7" i="15"/>
  <c r="E35" i="12"/>
  <c r="F107" i="16" l="1"/>
  <c r="C143" i="16"/>
  <c r="C144" i="16" s="1"/>
  <c r="C21" i="15"/>
  <c r="C21" i="37"/>
  <c r="C111" i="16"/>
  <c r="C123" i="16"/>
  <c r="C110" i="16"/>
  <c r="C109" i="16"/>
  <c r="B25" i="15"/>
  <c r="B34" i="15" s="1"/>
  <c r="B36" i="15" s="1"/>
  <c r="C116" i="16" l="1"/>
  <c r="C135" i="16"/>
  <c r="D118" i="16"/>
  <c r="D117" i="16"/>
  <c r="C124" i="16"/>
  <c r="E117" i="16"/>
  <c r="E118" i="16"/>
  <c r="C130" i="16"/>
  <c r="C137" i="16" s="1"/>
  <c r="C147" i="16" s="1"/>
  <c r="C129" i="12"/>
  <c r="C131" i="29" s="1"/>
  <c r="C124" i="29" l="1"/>
  <c r="C3" i="58"/>
  <c r="D116" i="16"/>
  <c r="C3" i="37"/>
  <c r="K3" i="37"/>
  <c r="K3" i="15"/>
  <c r="C39" i="30"/>
  <c r="C52" i="30" s="1"/>
  <c r="C3" i="15"/>
  <c r="E106" i="12" l="1"/>
  <c r="C54" i="59" s="1"/>
  <c r="F106" i="12"/>
  <c r="D102" i="12"/>
  <c r="D83" i="12"/>
  <c r="D84" i="12"/>
  <c r="D85" i="12"/>
  <c r="D86" i="12"/>
  <c r="D87" i="12"/>
  <c r="D88" i="12"/>
  <c r="D89" i="12"/>
  <c r="D90" i="12"/>
  <c r="D91" i="12"/>
  <c r="D92" i="12"/>
  <c r="D93" i="12"/>
  <c r="D94" i="12"/>
  <c r="D95" i="12"/>
  <c r="D96" i="12"/>
  <c r="D97" i="12"/>
  <c r="D98" i="12"/>
  <c r="D82" i="12"/>
  <c r="D81" i="12"/>
  <c r="D80" i="12"/>
  <c r="D78" i="12"/>
  <c r="D77" i="12"/>
  <c r="D76" i="12"/>
  <c r="C67" i="12"/>
  <c r="C104" i="12"/>
  <c r="C99" i="12"/>
  <c r="D104" i="12" l="1"/>
  <c r="C49" i="29"/>
  <c r="C106" i="12"/>
  <c r="D100" i="12"/>
  <c r="D99" i="12"/>
  <c r="D49" i="29" l="1"/>
  <c r="C50" i="29"/>
  <c r="C107" i="12"/>
  <c r="D75" i="12"/>
  <c r="D74" i="12"/>
  <c r="D73" i="12"/>
  <c r="D72" i="12"/>
  <c r="D71" i="12"/>
  <c r="D106" i="12" s="1"/>
  <c r="E65" i="12"/>
  <c r="C11" i="58" s="1"/>
  <c r="D64" i="12"/>
  <c r="D63" i="12"/>
  <c r="E62" i="12"/>
  <c r="D61" i="12"/>
  <c r="D60" i="12"/>
  <c r="D59" i="12"/>
  <c r="D58" i="12"/>
  <c r="D57" i="12"/>
  <c r="E56" i="12"/>
  <c r="C59" i="59" s="1"/>
  <c r="E55" i="12"/>
  <c r="C65" i="59" s="1"/>
  <c r="D44" i="12"/>
  <c r="E32" i="12"/>
  <c r="E16" i="12"/>
  <c r="E13" i="12"/>
  <c r="D46" i="12"/>
  <c r="D45" i="12"/>
  <c r="F66" i="12"/>
  <c r="F53" i="12"/>
  <c r="F52" i="12"/>
  <c r="F51" i="12"/>
  <c r="F50" i="12"/>
  <c r="F49" i="12"/>
  <c r="F39" i="12"/>
  <c r="F38" i="12"/>
  <c r="F37" i="12"/>
  <c r="F36" i="12"/>
  <c r="F21" i="12"/>
  <c r="F20" i="12"/>
  <c r="F19" i="12"/>
  <c r="F15" i="12"/>
  <c r="F14" i="12"/>
  <c r="F42" i="12"/>
  <c r="D40" i="12"/>
  <c r="E41" i="12"/>
  <c r="E12" i="12"/>
  <c r="C15" i="58" s="1"/>
  <c r="B99" i="12"/>
  <c r="B85" i="12"/>
  <c r="B84" i="12"/>
  <c r="B83" i="12"/>
  <c r="B82" i="12"/>
  <c r="D54" i="12"/>
  <c r="C131" i="12"/>
  <c r="C133" i="29" s="1"/>
  <c r="C5" i="58" s="1"/>
  <c r="C7" i="58" s="1"/>
  <c r="E34" i="12"/>
  <c r="F33" i="12"/>
  <c r="E31" i="12"/>
  <c r="D30" i="12"/>
  <c r="D29" i="12"/>
  <c r="D28" i="12"/>
  <c r="D27" i="12"/>
  <c r="D26" i="12"/>
  <c r="E25" i="12"/>
  <c r="E24" i="12"/>
  <c r="C23" i="58" s="1"/>
  <c r="E23" i="12"/>
  <c r="AJ8" i="8"/>
  <c r="AK8" i="8" s="1"/>
  <c r="AL8" i="8" s="1"/>
  <c r="AJ9" i="8"/>
  <c r="AK9" i="8" s="1"/>
  <c r="AM9" i="8" s="1"/>
  <c r="D131" i="10"/>
  <c r="E131" i="10" s="1"/>
  <c r="F131" i="10" s="1"/>
  <c r="C126" i="10"/>
  <c r="B126" i="10"/>
  <c r="A126" i="10"/>
  <c r="C125" i="10"/>
  <c r="B125" i="10"/>
  <c r="A125" i="10"/>
  <c r="C124" i="10"/>
  <c r="B124" i="10"/>
  <c r="A124" i="10"/>
  <c r="C123" i="10"/>
  <c r="B123" i="10"/>
  <c r="A123" i="10"/>
  <c r="C122" i="10"/>
  <c r="B122" i="10"/>
  <c r="A122" i="10"/>
  <c r="C120" i="10"/>
  <c r="B120" i="10"/>
  <c r="A120" i="10"/>
  <c r="C119" i="10"/>
  <c r="B119" i="10"/>
  <c r="A119" i="10"/>
  <c r="C118" i="10"/>
  <c r="B118" i="10"/>
  <c r="A118" i="10"/>
  <c r="C117" i="10"/>
  <c r="B117" i="10"/>
  <c r="A117" i="10"/>
  <c r="C116" i="10"/>
  <c r="B116" i="10"/>
  <c r="A116" i="10"/>
  <c r="C114" i="10"/>
  <c r="B114" i="10"/>
  <c r="A114" i="10"/>
  <c r="C113" i="10"/>
  <c r="B113" i="10"/>
  <c r="A113" i="10"/>
  <c r="C112" i="10"/>
  <c r="B112" i="10"/>
  <c r="A112" i="10"/>
  <c r="C111" i="10"/>
  <c r="B111" i="10"/>
  <c r="A111" i="10"/>
  <c r="C110" i="10"/>
  <c r="B110" i="10"/>
  <c r="A110" i="10"/>
  <c r="C108" i="10"/>
  <c r="B108" i="10"/>
  <c r="A108" i="10"/>
  <c r="C107" i="10"/>
  <c r="B107" i="10"/>
  <c r="A107" i="10"/>
  <c r="C106" i="10"/>
  <c r="B106" i="10"/>
  <c r="A106" i="10"/>
  <c r="C105" i="10"/>
  <c r="B105" i="10"/>
  <c r="A105" i="10"/>
  <c r="C104" i="10"/>
  <c r="B104" i="10"/>
  <c r="A104" i="10"/>
  <c r="C102" i="10"/>
  <c r="B102" i="10"/>
  <c r="A102" i="10"/>
  <c r="C101" i="10"/>
  <c r="B101" i="10"/>
  <c r="A101" i="10"/>
  <c r="C100" i="10"/>
  <c r="B100" i="10"/>
  <c r="A100" i="10"/>
  <c r="C99" i="10"/>
  <c r="B99" i="10"/>
  <c r="A99" i="10"/>
  <c r="C98" i="10"/>
  <c r="B98" i="10"/>
  <c r="A98" i="10"/>
  <c r="C96" i="10"/>
  <c r="B96" i="10"/>
  <c r="A96" i="10"/>
  <c r="C95" i="10"/>
  <c r="B95" i="10"/>
  <c r="A95" i="10"/>
  <c r="C94" i="10"/>
  <c r="B94" i="10"/>
  <c r="A94" i="10"/>
  <c r="C93" i="10"/>
  <c r="B93" i="10"/>
  <c r="A93" i="10"/>
  <c r="C92" i="10"/>
  <c r="B92" i="10"/>
  <c r="A92" i="10"/>
  <c r="C90" i="10"/>
  <c r="B90" i="10"/>
  <c r="A90" i="10"/>
  <c r="C89" i="10"/>
  <c r="B89" i="10"/>
  <c r="A89" i="10"/>
  <c r="C88" i="10"/>
  <c r="B88" i="10"/>
  <c r="A88" i="10"/>
  <c r="C87" i="10"/>
  <c r="B87" i="10"/>
  <c r="A87" i="10"/>
  <c r="C86" i="10"/>
  <c r="B86" i="10"/>
  <c r="A86" i="10"/>
  <c r="C84" i="10"/>
  <c r="B84" i="10"/>
  <c r="A84" i="10"/>
  <c r="C83" i="10"/>
  <c r="B83" i="10"/>
  <c r="A83" i="10"/>
  <c r="C82" i="10"/>
  <c r="B82" i="10"/>
  <c r="A82" i="10"/>
  <c r="C81" i="10"/>
  <c r="B81" i="10"/>
  <c r="A81" i="10"/>
  <c r="C80" i="10"/>
  <c r="B80" i="10"/>
  <c r="C78" i="10"/>
  <c r="B78" i="10"/>
  <c r="A78" i="10"/>
  <c r="C77" i="10"/>
  <c r="B77" i="10"/>
  <c r="A77" i="10"/>
  <c r="C76" i="10"/>
  <c r="B76" i="10"/>
  <c r="A76" i="10"/>
  <c r="C75" i="10"/>
  <c r="B75" i="10"/>
  <c r="A75" i="10"/>
  <c r="C74" i="10"/>
  <c r="B74" i="10"/>
  <c r="A74" i="10"/>
  <c r="C72" i="10"/>
  <c r="B72" i="10"/>
  <c r="A72" i="10"/>
  <c r="C71" i="10"/>
  <c r="B71" i="10"/>
  <c r="A71" i="10"/>
  <c r="C70" i="10"/>
  <c r="B70" i="10"/>
  <c r="A70" i="10"/>
  <c r="C69" i="10"/>
  <c r="B69" i="10"/>
  <c r="A69" i="10"/>
  <c r="C68" i="10"/>
  <c r="B68" i="10"/>
  <c r="A68" i="10"/>
  <c r="C66" i="10"/>
  <c r="B66" i="10"/>
  <c r="A66" i="10"/>
  <c r="C65" i="10"/>
  <c r="B65" i="10"/>
  <c r="A65" i="10"/>
  <c r="C64" i="10"/>
  <c r="B64" i="10"/>
  <c r="A64" i="10"/>
  <c r="C63" i="10"/>
  <c r="B63" i="10"/>
  <c r="A63" i="10"/>
  <c r="C62" i="10"/>
  <c r="B62" i="10"/>
  <c r="A62" i="10"/>
  <c r="C60" i="10"/>
  <c r="B60" i="10"/>
  <c r="A60" i="10"/>
  <c r="C59" i="10"/>
  <c r="B59" i="10"/>
  <c r="A59" i="10"/>
  <c r="C58" i="10"/>
  <c r="B58" i="10"/>
  <c r="A58" i="10"/>
  <c r="C57" i="10"/>
  <c r="B57" i="10"/>
  <c r="A57" i="10"/>
  <c r="C56" i="10"/>
  <c r="B56" i="10"/>
  <c r="A56" i="10"/>
  <c r="C54" i="10"/>
  <c r="B54" i="10"/>
  <c r="A54" i="10"/>
  <c r="C53" i="10"/>
  <c r="B53" i="10"/>
  <c r="A53" i="10"/>
  <c r="C52" i="10"/>
  <c r="B52" i="10"/>
  <c r="A52" i="10"/>
  <c r="C51" i="10"/>
  <c r="B51" i="10"/>
  <c r="A51" i="10"/>
  <c r="C50" i="10"/>
  <c r="B50" i="10"/>
  <c r="A50" i="10"/>
  <c r="C48" i="10"/>
  <c r="B48" i="10"/>
  <c r="A48" i="10"/>
  <c r="C47" i="10"/>
  <c r="B47" i="10"/>
  <c r="A47" i="10"/>
  <c r="C46" i="10"/>
  <c r="B46" i="10"/>
  <c r="A46" i="10"/>
  <c r="C45" i="10"/>
  <c r="B45" i="10"/>
  <c r="A45" i="10"/>
  <c r="C44" i="10"/>
  <c r="B44" i="10"/>
  <c r="A44" i="10"/>
  <c r="C42" i="10"/>
  <c r="B42" i="10"/>
  <c r="A42" i="10"/>
  <c r="C41" i="10"/>
  <c r="B41" i="10"/>
  <c r="A41" i="10"/>
  <c r="C40" i="10"/>
  <c r="B40" i="10"/>
  <c r="A40" i="10"/>
  <c r="C39" i="10"/>
  <c r="B39" i="10"/>
  <c r="A39" i="10"/>
  <c r="C38" i="10"/>
  <c r="B38" i="10"/>
  <c r="A38" i="10"/>
  <c r="C36" i="10"/>
  <c r="B36" i="10"/>
  <c r="A36" i="10"/>
  <c r="C35" i="10"/>
  <c r="B35" i="10"/>
  <c r="A35" i="10"/>
  <c r="C34" i="10"/>
  <c r="B34" i="10"/>
  <c r="A34" i="10"/>
  <c r="C33" i="10"/>
  <c r="B33" i="10"/>
  <c r="A33" i="10"/>
  <c r="C32" i="10"/>
  <c r="B32" i="10"/>
  <c r="A32" i="10"/>
  <c r="C30" i="10"/>
  <c r="B30" i="10"/>
  <c r="A30" i="10"/>
  <c r="C29" i="10"/>
  <c r="B29" i="10"/>
  <c r="A29" i="10"/>
  <c r="C28" i="10"/>
  <c r="B28" i="10"/>
  <c r="A28" i="10"/>
  <c r="C27" i="10"/>
  <c r="B27" i="10"/>
  <c r="A27" i="10"/>
  <c r="C26" i="10"/>
  <c r="B26" i="10"/>
  <c r="A26" i="10"/>
  <c r="C24" i="10"/>
  <c r="B24" i="10"/>
  <c r="A24" i="10"/>
  <c r="C23" i="10"/>
  <c r="B23" i="10"/>
  <c r="A23" i="10"/>
  <c r="C22" i="10"/>
  <c r="B22" i="10"/>
  <c r="A22" i="10"/>
  <c r="C21" i="10"/>
  <c r="B21" i="10"/>
  <c r="A21" i="10"/>
  <c r="C20" i="10"/>
  <c r="B20" i="10"/>
  <c r="A20" i="10"/>
  <c r="C18" i="10"/>
  <c r="B18" i="10"/>
  <c r="A18" i="10"/>
  <c r="C17" i="10"/>
  <c r="B17" i="10"/>
  <c r="A17" i="10"/>
  <c r="C16" i="10"/>
  <c r="B16" i="10"/>
  <c r="A16" i="10"/>
  <c r="C15" i="10"/>
  <c r="B15" i="10"/>
  <c r="A15" i="10"/>
  <c r="C14" i="10"/>
  <c r="B14" i="10"/>
  <c r="A14" i="10"/>
  <c r="C12" i="10"/>
  <c r="B12" i="10"/>
  <c r="A12" i="10"/>
  <c r="C11" i="10"/>
  <c r="B11" i="10"/>
  <c r="A11" i="10"/>
  <c r="C10" i="10"/>
  <c r="B10" i="10"/>
  <c r="A10" i="10"/>
  <c r="C9" i="10"/>
  <c r="B9" i="10"/>
  <c r="A9" i="10"/>
  <c r="C8" i="10"/>
  <c r="B8" i="10"/>
  <c r="A8" i="10"/>
  <c r="C6" i="10"/>
  <c r="B6" i="10"/>
  <c r="A6" i="10"/>
  <c r="C5" i="10"/>
  <c r="B5" i="10"/>
  <c r="A5" i="10"/>
  <c r="C4" i="10"/>
  <c r="B4" i="10"/>
  <c r="A4" i="10"/>
  <c r="C3" i="10"/>
  <c r="B3" i="10"/>
  <c r="A3" i="10"/>
  <c r="C2" i="10"/>
  <c r="B2" i="10"/>
  <c r="A2" i="10"/>
  <c r="G33" i="9"/>
  <c r="F33" i="9"/>
  <c r="E33" i="9"/>
  <c r="G30" i="9"/>
  <c r="F30" i="9"/>
  <c r="E30" i="9"/>
  <c r="G27" i="9"/>
  <c r="F27" i="9"/>
  <c r="E27" i="9"/>
  <c r="G24" i="9"/>
  <c r="F24" i="9"/>
  <c r="E24" i="9"/>
  <c r="G21" i="9"/>
  <c r="F21" i="9"/>
  <c r="E21" i="9"/>
  <c r="G19" i="9"/>
  <c r="G18" i="9" s="1"/>
  <c r="F19" i="9"/>
  <c r="F18" i="9" s="1"/>
  <c r="E19" i="9"/>
  <c r="E18" i="9" s="1"/>
  <c r="G16" i="9"/>
  <c r="G15" i="9" s="1"/>
  <c r="F16" i="9"/>
  <c r="F15" i="9" s="1"/>
  <c r="E16" i="9"/>
  <c r="E15" i="9" s="1"/>
  <c r="G13" i="9"/>
  <c r="G12" i="9" s="1"/>
  <c r="G11" i="9" s="1"/>
  <c r="G10" i="9" s="1"/>
  <c r="G9" i="9" s="1"/>
  <c r="F13" i="9"/>
  <c r="F12" i="9" s="1"/>
  <c r="F11" i="9" s="1"/>
  <c r="F10" i="9" s="1"/>
  <c r="F9" i="9" s="1"/>
  <c r="E13" i="9"/>
  <c r="E12" i="9" s="1"/>
  <c r="E11" i="9" s="1"/>
  <c r="E10" i="9" s="1"/>
  <c r="E9" i="9" s="1"/>
  <c r="E4" i="9"/>
  <c r="E3" i="9" s="1"/>
  <c r="G2" i="9"/>
  <c r="F2" i="9"/>
  <c r="E2" i="9"/>
  <c r="C19" i="58" l="1"/>
  <c r="C9" i="37"/>
  <c r="C9" i="58"/>
  <c r="C10" i="58"/>
  <c r="C17" i="37"/>
  <c r="C17" i="58"/>
  <c r="C8" i="58"/>
  <c r="E34" i="9"/>
  <c r="G28" i="9"/>
  <c r="E25" i="9"/>
  <c r="F25" i="9"/>
  <c r="E28" i="9"/>
  <c r="E31" i="9"/>
  <c r="C8" i="15"/>
  <c r="C8" i="37"/>
  <c r="C23" i="15"/>
  <c r="C23" i="37"/>
  <c r="C15" i="37"/>
  <c r="C135" i="12"/>
  <c r="G25" i="9"/>
  <c r="C11" i="15"/>
  <c r="C11" i="37"/>
  <c r="F28" i="9"/>
  <c r="C19" i="37"/>
  <c r="C10" i="37"/>
  <c r="F31" i="9"/>
  <c r="G31" i="9"/>
  <c r="K5" i="37"/>
  <c r="C5" i="37"/>
  <c r="C7" i="37" s="1"/>
  <c r="C41" i="30"/>
  <c r="K5" i="15"/>
  <c r="C109" i="29"/>
  <c r="C8" i="30"/>
  <c r="C10" i="30" s="1"/>
  <c r="C24" i="30" s="1"/>
  <c r="C25" i="30" s="1"/>
  <c r="D50" i="29"/>
  <c r="D109" i="29" s="1"/>
  <c r="C147" i="29"/>
  <c r="F34" i="9"/>
  <c r="G34" i="9"/>
  <c r="C148" i="12"/>
  <c r="C10" i="15"/>
  <c r="C17" i="15"/>
  <c r="C5" i="15"/>
  <c r="C15" i="15"/>
  <c r="C19" i="15"/>
  <c r="C9" i="15"/>
  <c r="F67" i="12"/>
  <c r="E67" i="12"/>
  <c r="C52" i="59" s="1"/>
  <c r="C68" i="59" s="1"/>
  <c r="D67" i="12"/>
  <c r="D22" i="12"/>
  <c r="E9" i="12"/>
  <c r="C14" i="58" s="1"/>
  <c r="D10" i="12"/>
  <c r="I33" i="9"/>
  <c r="I34" i="9" s="1"/>
  <c r="J34" i="9" s="1"/>
  <c r="K34" i="9" s="1"/>
  <c r="L34" i="9" s="1"/>
  <c r="M34" i="9" s="1"/>
  <c r="Z60" i="8"/>
  <c r="C33" i="6"/>
  <c r="H23" i="6"/>
  <c r="C19" i="6"/>
  <c r="C16" i="6"/>
  <c r="E16" i="6" s="1"/>
  <c r="C14" i="6"/>
  <c r="D12" i="6" s="1"/>
  <c r="C4" i="6"/>
  <c r="C3" i="6"/>
  <c r="E3" i="6" s="1"/>
  <c r="D19" i="6" l="1"/>
  <c r="N34" i="9"/>
  <c r="K43" i="37"/>
  <c r="C2" i="30"/>
  <c r="C5" i="30" s="1"/>
  <c r="K34" i="15"/>
  <c r="C14" i="37"/>
  <c r="C137" i="12"/>
  <c r="D13" i="6"/>
  <c r="E47" i="12"/>
  <c r="E107" i="12" s="1"/>
  <c r="C14" i="15"/>
  <c r="D47" i="12"/>
  <c r="F8" i="12"/>
  <c r="E15" i="6"/>
  <c r="D16" i="6"/>
  <c r="D3" i="6"/>
  <c r="D14" i="6"/>
  <c r="C5" i="6"/>
  <c r="F24" i="6" l="1"/>
  <c r="F19" i="6"/>
  <c r="E19" i="6"/>
  <c r="F20" i="6"/>
  <c r="F23" i="6"/>
  <c r="E17" i="6"/>
  <c r="C143" i="12"/>
  <c r="C31" i="15" s="1"/>
  <c r="D107" i="12"/>
  <c r="Z18" i="8"/>
  <c r="AA18" i="8" s="1"/>
  <c r="F21" i="6" l="1"/>
  <c r="F25" i="6" s="1"/>
  <c r="F17" i="12"/>
  <c r="F18" i="12"/>
  <c r="C9" i="6" l="1"/>
  <c r="D9" i="6" s="1"/>
  <c r="E9" i="6" l="1"/>
  <c r="I9" i="6" s="1"/>
  <c r="I8" i="6" s="1"/>
  <c r="F9" i="6"/>
  <c r="C30" i="15" l="1"/>
  <c r="C91" i="4"/>
  <c r="C84" i="4" s="1"/>
  <c r="C106" i="4"/>
  <c r="C115" i="4"/>
  <c r="C107" i="4"/>
  <c r="C120" i="4"/>
  <c r="C101" i="4"/>
  <c r="C43" i="4"/>
  <c r="C63" i="4"/>
  <c r="C59" i="4" l="1"/>
  <c r="C47" i="4" l="1"/>
  <c r="C38" i="4"/>
  <c r="C34" i="4"/>
  <c r="C35" i="4"/>
  <c r="C32" i="4" l="1"/>
  <c r="C31" i="4"/>
  <c r="C30" i="4"/>
  <c r="C29" i="4"/>
  <c r="C28" i="4"/>
  <c r="C26" i="4"/>
  <c r="C25" i="4"/>
  <c r="F23" i="4"/>
  <c r="C10" i="4"/>
  <c r="C11" i="4"/>
  <c r="C13" i="4"/>
  <c r="C12" i="4"/>
  <c r="C144" i="4"/>
  <c r="C151" i="4"/>
  <c r="B115" i="4"/>
  <c r="B99" i="4"/>
  <c r="B98" i="4"/>
  <c r="B97" i="4"/>
  <c r="B96" i="4"/>
  <c r="C122" i="4"/>
  <c r="F76" i="4"/>
  <c r="F62" i="4"/>
  <c r="F61" i="4"/>
  <c r="F60" i="4"/>
  <c r="F59" i="4"/>
  <c r="F58" i="4"/>
  <c r="F57" i="4"/>
  <c r="F49" i="4"/>
  <c r="F42" i="4"/>
  <c r="F41" i="4"/>
  <c r="F40" i="4"/>
  <c r="F39" i="4"/>
  <c r="F37" i="4"/>
  <c r="F22" i="4"/>
  <c r="F21" i="4"/>
  <c r="F20" i="4"/>
  <c r="F19" i="4"/>
  <c r="F18" i="4"/>
  <c r="F15" i="4"/>
  <c r="F14" i="4"/>
  <c r="F7" i="4"/>
  <c r="B143" i="3"/>
  <c r="B141" i="3"/>
  <c r="B133" i="3"/>
  <c r="B117" i="3"/>
  <c r="C117" i="3" s="1"/>
  <c r="B115" i="3"/>
  <c r="C115" i="3" s="1"/>
  <c r="B113" i="3"/>
  <c r="C113" i="3" s="1"/>
  <c r="B112" i="3"/>
  <c r="A112" i="3"/>
  <c r="B111" i="3"/>
  <c r="C111" i="3" s="1"/>
  <c r="B110" i="3"/>
  <c r="C110" i="3" s="1"/>
  <c r="B109" i="3"/>
  <c r="C109" i="3" s="1"/>
  <c r="B108" i="3"/>
  <c r="C108" i="3" s="1"/>
  <c r="B107" i="3"/>
  <c r="C107" i="3" s="1"/>
  <c r="B106" i="3"/>
  <c r="C106" i="3" s="1"/>
  <c r="B105" i="3"/>
  <c r="C105" i="3" s="1"/>
  <c r="B104" i="3"/>
  <c r="C104" i="3" s="1"/>
  <c r="B103" i="3"/>
  <c r="C103" i="3" s="1"/>
  <c r="B102" i="3"/>
  <c r="C102" i="3" s="1"/>
  <c r="B101" i="3"/>
  <c r="C101" i="3" s="1"/>
  <c r="B100" i="3"/>
  <c r="C100" i="3" s="1"/>
  <c r="B99" i="3"/>
  <c r="C99" i="3" s="1"/>
  <c r="B98" i="3"/>
  <c r="C98" i="3" s="1"/>
  <c r="B97" i="3"/>
  <c r="C97" i="3" s="1"/>
  <c r="B96" i="3"/>
  <c r="A96" i="3"/>
  <c r="B95" i="3"/>
  <c r="A95" i="3"/>
  <c r="B94" i="3"/>
  <c r="A94" i="3"/>
  <c r="B93" i="3"/>
  <c r="C93" i="3" s="1"/>
  <c r="A93" i="3"/>
  <c r="B92" i="3"/>
  <c r="C92" i="3" s="1"/>
  <c r="B91" i="3"/>
  <c r="C91" i="3" s="1"/>
  <c r="B89" i="3"/>
  <c r="C89" i="3" s="1"/>
  <c r="B88" i="3"/>
  <c r="C88" i="3" s="1"/>
  <c r="B87" i="3"/>
  <c r="C87" i="3" s="1"/>
  <c r="B86" i="3"/>
  <c r="C86" i="3" s="1"/>
  <c r="B85" i="3"/>
  <c r="C85" i="3" s="1"/>
  <c r="B84" i="3"/>
  <c r="C84" i="3" s="1"/>
  <c r="B83" i="3"/>
  <c r="C83" i="3" s="1"/>
  <c r="B82" i="3"/>
  <c r="B73" i="3"/>
  <c r="D73" i="3" s="1"/>
  <c r="B72" i="3"/>
  <c r="C72" i="3" s="1"/>
  <c r="B71" i="3"/>
  <c r="C71" i="3" s="1"/>
  <c r="B70" i="3"/>
  <c r="C70" i="3" s="1"/>
  <c r="B69" i="3"/>
  <c r="C69" i="3" s="1"/>
  <c r="B68" i="3"/>
  <c r="C68" i="3" s="1"/>
  <c r="B67" i="3"/>
  <c r="C67" i="3" s="1"/>
  <c r="B66" i="3"/>
  <c r="C66" i="3" s="1"/>
  <c r="B65" i="3"/>
  <c r="C65" i="3" s="1"/>
  <c r="B64" i="3"/>
  <c r="C64" i="3" s="1"/>
  <c r="B63" i="3"/>
  <c r="C63" i="3" s="1"/>
  <c r="B62" i="3"/>
  <c r="C62" i="3" s="1"/>
  <c r="B61" i="3"/>
  <c r="C61" i="3" s="1"/>
  <c r="B60" i="3"/>
  <c r="C60" i="3" s="1"/>
  <c r="B59" i="3"/>
  <c r="D59" i="3" s="1"/>
  <c r="B58" i="3"/>
  <c r="D58" i="3" s="1"/>
  <c r="B57" i="3"/>
  <c r="D57" i="3" s="1"/>
  <c r="B56" i="3"/>
  <c r="D56" i="3" s="1"/>
  <c r="B55" i="3"/>
  <c r="D55" i="3" s="1"/>
  <c r="B54" i="3"/>
  <c r="D54" i="3" s="1"/>
  <c r="B53" i="3"/>
  <c r="B46" i="3"/>
  <c r="C46" i="3" s="1"/>
  <c r="B45" i="3"/>
  <c r="C45" i="3" s="1"/>
  <c r="B44" i="3"/>
  <c r="C44" i="3" s="1"/>
  <c r="B43" i="3"/>
  <c r="D43" i="3" s="1"/>
  <c r="B42" i="3"/>
  <c r="D42" i="3" s="1"/>
  <c r="B41" i="3"/>
  <c r="C41" i="3" s="1"/>
  <c r="B40" i="3"/>
  <c r="C40" i="3" s="1"/>
  <c r="B39" i="3"/>
  <c r="C39" i="3" s="1"/>
  <c r="B38" i="3"/>
  <c r="D38" i="3" s="1"/>
  <c r="B37" i="3"/>
  <c r="D37" i="3" s="1"/>
  <c r="B36" i="3"/>
  <c r="B35" i="3"/>
  <c r="D35" i="3" s="1"/>
  <c r="B34" i="3"/>
  <c r="D34" i="3" s="1"/>
  <c r="B33" i="3"/>
  <c r="D33" i="3" s="1"/>
  <c r="B32" i="3"/>
  <c r="D32" i="3" s="1"/>
  <c r="B31" i="3"/>
  <c r="D31" i="3" s="1"/>
  <c r="B30" i="3"/>
  <c r="C30" i="3" s="1"/>
  <c r="B29" i="3"/>
  <c r="C29" i="3" s="1"/>
  <c r="B28" i="3"/>
  <c r="C28" i="3" s="1"/>
  <c r="B27" i="3"/>
  <c r="C27" i="3" s="1"/>
  <c r="B26" i="3"/>
  <c r="C26" i="3" s="1"/>
  <c r="B25" i="3"/>
  <c r="C25" i="3" s="1"/>
  <c r="B24" i="3"/>
  <c r="C24" i="3" s="1"/>
  <c r="B23" i="3"/>
  <c r="C23" i="3" s="1"/>
  <c r="B22" i="3"/>
  <c r="C22" i="3" s="1"/>
  <c r="B21" i="3"/>
  <c r="C21" i="3" s="1"/>
  <c r="B20" i="3"/>
  <c r="C20" i="3" s="1"/>
  <c r="B19" i="3"/>
  <c r="D19" i="3" s="1"/>
  <c r="B18" i="3"/>
  <c r="D18" i="3" s="1"/>
  <c r="B17" i="3"/>
  <c r="D17" i="3" s="1"/>
  <c r="B16" i="3"/>
  <c r="D16" i="3" s="1"/>
  <c r="B15" i="3"/>
  <c r="D15" i="3" s="1"/>
  <c r="B14" i="3"/>
  <c r="D14" i="3" s="1"/>
  <c r="B13" i="3"/>
  <c r="D13" i="3" s="1"/>
  <c r="B12" i="3"/>
  <c r="C12" i="3" s="1"/>
  <c r="B11" i="3"/>
  <c r="C11" i="3" s="1"/>
  <c r="B10" i="3"/>
  <c r="C10" i="3" s="1"/>
  <c r="B9" i="3"/>
  <c r="C9" i="3" s="1"/>
  <c r="B8" i="3"/>
  <c r="B7" i="3"/>
  <c r="D7" i="3" s="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66" i="1"/>
  <c r="H162" i="1"/>
  <c r="H161" i="1"/>
  <c r="H158" i="1"/>
  <c r="H152" i="1"/>
  <c r="H151" i="1"/>
  <c r="H150" i="1"/>
  <c r="H149" i="1"/>
  <c r="H148" i="1"/>
  <c r="H147" i="1"/>
  <c r="H146" i="1"/>
  <c r="H145" i="1"/>
  <c r="H144" i="1"/>
  <c r="H143" i="1"/>
  <c r="H142" i="1"/>
  <c r="H141" i="1"/>
  <c r="H140" i="1"/>
  <c r="H139" i="1"/>
  <c r="H138" i="1"/>
  <c r="H137" i="1"/>
  <c r="H136" i="1"/>
  <c r="H135" i="1"/>
  <c r="H134" i="1"/>
  <c r="H133" i="1"/>
  <c r="H132" i="1"/>
  <c r="H131" i="1"/>
  <c r="H130" i="1"/>
  <c r="H129" i="1"/>
  <c r="H123" i="1"/>
  <c r="H122" i="1"/>
  <c r="H121" i="1"/>
  <c r="H120" i="1"/>
  <c r="H113" i="1"/>
  <c r="H109" i="1"/>
  <c r="H108" i="1"/>
  <c r="H105" i="1"/>
  <c r="H102" i="1"/>
  <c r="H95" i="1"/>
  <c r="H92" i="1"/>
  <c r="H86" i="1"/>
  <c r="H85" i="1"/>
  <c r="H84" i="1"/>
  <c r="H83" i="1"/>
  <c r="H77" i="1"/>
  <c r="H76" i="1"/>
  <c r="H75" i="1"/>
  <c r="H74" i="1"/>
  <c r="H73" i="1"/>
  <c r="H72" i="1"/>
  <c r="H71" i="1"/>
  <c r="H70" i="1"/>
  <c r="H69" i="1"/>
  <c r="H66" i="1"/>
  <c r="H65" i="1"/>
  <c r="H64" i="1"/>
  <c r="H63" i="1"/>
  <c r="H62" i="1"/>
  <c r="H61" i="1"/>
  <c r="H60" i="1"/>
  <c r="H59" i="1"/>
  <c r="H58" i="1"/>
  <c r="H49" i="1"/>
  <c r="H48" i="1"/>
  <c r="H47" i="1"/>
  <c r="H46" i="1"/>
  <c r="H45" i="1"/>
  <c r="H44" i="1"/>
  <c r="H43" i="1"/>
  <c r="H42" i="1"/>
  <c r="H41" i="1"/>
  <c r="H40" i="1"/>
  <c r="H39" i="1"/>
  <c r="H37" i="1"/>
  <c r="H36" i="1"/>
  <c r="H35" i="1"/>
  <c r="H32" i="1"/>
  <c r="H31" i="1"/>
  <c r="H26" i="1"/>
  <c r="H25" i="1"/>
  <c r="D324" i="1"/>
  <c r="H324" i="1" s="1"/>
  <c r="D29" i="1"/>
  <c r="H29" i="1" s="1"/>
  <c r="D28" i="1"/>
  <c r="H28" i="1" s="1"/>
  <c r="D22" i="1"/>
  <c r="H22" i="1" s="1"/>
  <c r="D365" i="1"/>
  <c r="H365" i="1" s="1"/>
  <c r="H16" i="1"/>
  <c r="H15" i="1"/>
  <c r="F8" i="1"/>
  <c r="H8" i="1" s="1"/>
  <c r="H6" i="1"/>
  <c r="H99" i="1"/>
  <c r="H18" i="1"/>
  <c r="H17" i="1"/>
  <c r="H14" i="1"/>
  <c r="H13" i="1"/>
  <c r="H12" i="1"/>
  <c r="H11" i="1"/>
  <c r="H10" i="1"/>
  <c r="H9" i="1"/>
  <c r="D192" i="1"/>
  <c r="H192" i="1" s="1"/>
  <c r="D191" i="1"/>
  <c r="H191" i="1" s="1"/>
  <c r="D189" i="1"/>
  <c r="H189" i="1" s="1"/>
  <c r="D188" i="1"/>
  <c r="H188" i="1" s="1"/>
  <c r="D187" i="1"/>
  <c r="H187" i="1" s="1"/>
  <c r="D185" i="1"/>
  <c r="H185" i="1" s="1"/>
  <c r="D184" i="1"/>
  <c r="H184" i="1" s="1"/>
  <c r="D183" i="1"/>
  <c r="H183" i="1" s="1"/>
  <c r="D180" i="1"/>
  <c r="H180" i="1" s="1"/>
  <c r="D179" i="1"/>
  <c r="H179" i="1" s="1"/>
  <c r="D176" i="1"/>
  <c r="H176" i="1" s="1"/>
  <c r="E36" i="3" l="1"/>
  <c r="D36" i="3"/>
  <c r="B74" i="3"/>
  <c r="C76" i="3"/>
  <c r="B119" i="3"/>
  <c r="B152" i="3" s="1"/>
  <c r="B148" i="3"/>
  <c r="B47" i="3"/>
  <c r="F7" i="12"/>
  <c r="F47" i="12" s="1"/>
  <c r="C113" i="12" s="1"/>
  <c r="E37" i="3"/>
  <c r="F37" i="3" s="1"/>
  <c r="D8" i="3"/>
  <c r="D51" i="3" s="1"/>
  <c r="F75" i="3"/>
  <c r="C24" i="4"/>
  <c r="C9" i="4"/>
  <c r="F9" i="4" s="1"/>
  <c r="C154" i="4"/>
  <c r="H78" i="4"/>
  <c r="C148" i="4"/>
  <c r="C155" i="4"/>
  <c r="C123" i="4"/>
  <c r="F81" i="4"/>
  <c r="C48" i="3"/>
  <c r="B145" i="3"/>
  <c r="C75" i="3"/>
  <c r="C49" i="3"/>
  <c r="D53" i="3"/>
  <c r="D78" i="3" s="1"/>
  <c r="C82" i="3"/>
  <c r="D266" i="1"/>
  <c r="H266" i="1" s="1"/>
  <c r="C16" i="37" l="1"/>
  <c r="C16" i="58"/>
  <c r="F36" i="3"/>
  <c r="C77" i="3"/>
  <c r="B120" i="3"/>
  <c r="F107" i="12"/>
  <c r="C50" i="3"/>
  <c r="B151" i="3" s="1"/>
  <c r="B125" i="3"/>
  <c r="B124" i="3"/>
  <c r="B123" i="3"/>
  <c r="B122" i="3"/>
  <c r="B144" i="3" l="1"/>
  <c r="C110" i="12"/>
  <c r="C111" i="12"/>
  <c r="C18" i="58" s="1"/>
  <c r="C109" i="12"/>
  <c r="C20" i="58" s="1"/>
  <c r="C16" i="15"/>
  <c r="B128" i="3"/>
  <c r="B135" i="3" s="1"/>
  <c r="C136" i="12" l="1"/>
  <c r="C20" i="15"/>
  <c r="C20" i="37"/>
  <c r="C18" i="15"/>
  <c r="C18" i="37"/>
  <c r="C116" i="12"/>
  <c r="C123" i="12" s="1"/>
  <c r="C130" i="12" s="1"/>
  <c r="C145" i="4"/>
  <c r="B130" i="3"/>
  <c r="B129" i="3"/>
  <c r="C125" i="29" l="1"/>
  <c r="C127" i="29" s="1"/>
  <c r="C117" i="12"/>
  <c r="E117" i="12"/>
  <c r="B136" i="3"/>
  <c r="B150" i="3" s="1"/>
  <c r="B153" i="3" s="1"/>
  <c r="B142" i="3"/>
  <c r="B146" i="3" s="1"/>
  <c r="B155" i="3" l="1"/>
  <c r="D118" i="12"/>
  <c r="B137" i="3"/>
  <c r="F43" i="4"/>
  <c r="F46" i="4"/>
  <c r="K4" i="15" l="1"/>
  <c r="C40" i="30"/>
  <c r="C48" i="30" s="1"/>
  <c r="E118" i="12"/>
  <c r="C4" i="15"/>
  <c r="C7" i="15" s="1"/>
  <c r="F55" i="4"/>
  <c r="C53" i="30" l="1"/>
  <c r="C128" i="4"/>
  <c r="C125" i="4"/>
  <c r="C127" i="4"/>
  <c r="C126" i="4"/>
  <c r="C153" i="4" s="1"/>
  <c r="C156" i="4" s="1"/>
  <c r="C131" i="4" l="1"/>
  <c r="C147" i="4"/>
  <c r="C149" i="4" s="1"/>
  <c r="C158" i="4" s="1"/>
  <c r="C132" i="4"/>
  <c r="C133" i="4"/>
  <c r="C118" i="12" l="1"/>
  <c r="C124" i="12" l="1"/>
  <c r="C125" i="12"/>
  <c r="C55" i="44" l="1"/>
  <c r="N18" i="25"/>
  <c r="F18" i="25"/>
  <c r="P18" i="25"/>
  <c r="Q18" i="25" l="1"/>
  <c r="P16" i="25"/>
  <c r="N16" i="25"/>
  <c r="C53" i="44"/>
  <c r="O18" i="25"/>
  <c r="F16" i="25"/>
  <c r="Q16" i="25" s="1"/>
  <c r="O16" i="25" l="1"/>
  <c r="P17" i="25" l="1"/>
  <c r="N17" i="25"/>
  <c r="C52" i="44"/>
  <c r="F17" i="25"/>
  <c r="Q17" i="25" s="1"/>
  <c r="P15" i="25" l="1"/>
  <c r="O17" i="25"/>
  <c r="C54" i="44"/>
  <c r="N15" i="25"/>
  <c r="F15" i="25"/>
  <c r="Q15" i="25" l="1"/>
  <c r="O15" i="25"/>
  <c r="C45" i="44" l="1"/>
  <c r="F8" i="25"/>
  <c r="Q8" i="25" s="1"/>
  <c r="O8" i="25"/>
  <c r="O12" i="25"/>
  <c r="N14" i="25" l="1"/>
  <c r="C51" i="44"/>
  <c r="P14" i="25"/>
  <c r="F14" i="25"/>
  <c r="O14" i="25" l="1"/>
  <c r="Q14" i="25"/>
  <c r="C56" i="44" l="1"/>
  <c r="N19" i="25"/>
  <c r="J25" i="25"/>
  <c r="P19" i="25"/>
  <c r="F19" i="25"/>
  <c r="C68" i="44" l="1"/>
  <c r="Q19" i="25"/>
  <c r="O6" i="25"/>
  <c r="C43" i="44"/>
  <c r="O19" i="25"/>
  <c r="C47" i="44" l="1"/>
  <c r="N10" i="25"/>
  <c r="C44" i="44" l="1"/>
  <c r="I1" i="25"/>
  <c r="O10" i="25"/>
  <c r="O7" i="25"/>
  <c r="F7" i="25"/>
  <c r="Q7" i="25" s="1"/>
  <c r="N11" i="25" l="1"/>
  <c r="C48" i="44"/>
  <c r="I25" i="25"/>
  <c r="O11" i="25" l="1"/>
  <c r="K25" i="25"/>
  <c r="J26" i="25" s="1"/>
  <c r="P9" i="25"/>
  <c r="P25" i="25" s="1"/>
  <c r="C46" i="44"/>
  <c r="N9" i="25"/>
  <c r="J30" i="25"/>
  <c r="F9" i="25"/>
  <c r="Q9" i="25" l="1"/>
  <c r="Q25" i="25" s="1"/>
  <c r="F25" i="25"/>
  <c r="O9" i="25"/>
  <c r="C67" i="44"/>
  <c r="C148" i="43"/>
  <c r="C40" i="58" s="1"/>
  <c r="C134" i="12"/>
  <c r="C136" i="29" s="1"/>
  <c r="K12" i="15" l="1"/>
  <c r="C12" i="58"/>
  <c r="C24" i="58" s="1"/>
  <c r="C38" i="37"/>
  <c r="C34" i="37" s="1"/>
  <c r="C160" i="43"/>
  <c r="C12" i="15"/>
  <c r="C24" i="15" s="1"/>
  <c r="C25" i="15" s="1"/>
  <c r="P26" i="25"/>
  <c r="P28" i="25" s="1"/>
  <c r="Q26" i="25"/>
  <c r="C138" i="12"/>
  <c r="C144" i="12"/>
  <c r="C145" i="12" s="1"/>
  <c r="K29" i="37" s="1"/>
  <c r="K12" i="37"/>
  <c r="C12" i="37"/>
  <c r="C24" i="37" s="1"/>
  <c r="C148" i="29"/>
  <c r="C44" i="30"/>
  <c r="C140" i="29"/>
  <c r="K25" i="37" s="1"/>
  <c r="C33" i="27"/>
  <c r="C34" i="27" s="1"/>
  <c r="C161" i="43" l="1"/>
  <c r="C32" i="58"/>
  <c r="C29" i="58" s="1"/>
  <c r="D63" i="44"/>
  <c r="C32" i="15"/>
  <c r="C29" i="15" s="1"/>
  <c r="C32" i="37"/>
  <c r="C29" i="37" s="1"/>
  <c r="C31" i="30"/>
  <c r="C34" i="30" s="1"/>
  <c r="K25" i="15"/>
  <c r="L25" i="15" s="1"/>
  <c r="C54" i="30"/>
  <c r="C55" i="30" s="1"/>
  <c r="E43" i="30"/>
  <c r="E45" i="30" s="1"/>
  <c r="C149" i="29"/>
  <c r="C151" i="29" s="1"/>
  <c r="C147" i="12"/>
  <c r="C67" i="30"/>
  <c r="C68" i="30" s="1"/>
  <c r="K29" i="15"/>
  <c r="C59" i="44" l="1"/>
  <c r="N22" i="25"/>
  <c r="O22" i="25" s="1"/>
  <c r="C58" i="44"/>
  <c r="N21" i="25"/>
  <c r="N23" i="25"/>
  <c r="O23" i="25" s="1"/>
  <c r="C60" i="44"/>
  <c r="C40" i="37"/>
  <c r="H25" i="25"/>
  <c r="E31" i="30"/>
  <c r="C34" i="15"/>
  <c r="C36" i="15" s="1"/>
  <c r="O20" i="25"/>
  <c r="O4" i="25"/>
  <c r="O21" i="25" l="1"/>
  <c r="E34" i="30"/>
  <c r="F31" i="30"/>
  <c r="F34" i="30" s="1"/>
  <c r="D27" i="25"/>
  <c r="J27" i="25" l="1"/>
  <c r="C42" i="44"/>
  <c r="E25" i="25" l="1"/>
  <c r="O5" i="25"/>
  <c r="D40" i="44"/>
  <c r="C63" i="44"/>
  <c r="H26" i="25"/>
  <c r="H33" i="25"/>
  <c r="E40" i="44"/>
  <c r="N25" i="25"/>
  <c r="E45" i="43"/>
  <c r="C151" i="43" l="1"/>
  <c r="C38" i="58" s="1"/>
  <c r="E53" i="43"/>
  <c r="F40" i="44"/>
  <c r="O25" i="25"/>
  <c r="E63" i="44"/>
  <c r="C65" i="44"/>
  <c r="H28" i="25"/>
  <c r="H31" i="25"/>
  <c r="E121" i="43"/>
  <c r="G121" i="43" s="1"/>
  <c r="C152" i="43" l="1"/>
  <c r="C25" i="58" s="1"/>
  <c r="C34" i="58"/>
  <c r="C42" i="58"/>
  <c r="C163" i="43"/>
  <c r="D163" i="43" s="1"/>
  <c r="C45" i="58"/>
  <c r="H121" i="43"/>
  <c r="C25" i="37"/>
  <c r="L25" i="37" s="1"/>
  <c r="C47" i="58" l="1"/>
  <c r="B55" i="58" s="1"/>
  <c r="C43" i="37"/>
  <c r="C45" i="37" s="1"/>
  <c r="C47" i="37" s="1"/>
  <c r="B53" i="37" l="1"/>
  <c r="F25" i="56"/>
  <c r="C182" i="64" s="1"/>
  <c r="K7" i="56"/>
  <c r="K25" i="56" s="1"/>
  <c r="J30" i="56" s="1"/>
  <c r="W182" i="64" l="1"/>
  <c r="C195" i="64"/>
  <c r="C186" i="64"/>
  <c r="C148" i="60"/>
  <c r="C148" i="61"/>
  <c r="E26" i="56"/>
  <c r="C148" i="57"/>
  <c r="C128" i="70" s="1"/>
  <c r="D126" i="70" s="1"/>
  <c r="AI126" i="70" s="1"/>
  <c r="C147" i="53"/>
  <c r="J26" i="56"/>
  <c r="C198" i="64" l="1"/>
  <c r="D198" i="64" s="1"/>
  <c r="W128" i="70"/>
  <c r="AA182" i="64"/>
  <c r="W195" i="64"/>
  <c r="W186" i="64"/>
  <c r="C160" i="61"/>
  <c r="C161" i="61" s="1"/>
  <c r="C163" i="61" s="1"/>
  <c r="C152" i="61"/>
  <c r="B21" i="59"/>
  <c r="C152" i="57"/>
  <c r="D25" i="58" s="1"/>
  <c r="C160" i="60"/>
  <c r="C161" i="60" s="1"/>
  <c r="C152" i="60"/>
  <c r="D40" i="58"/>
  <c r="D34" i="58" s="1"/>
  <c r="C160" i="57"/>
  <c r="C159" i="53"/>
  <c r="C160" i="53" s="1"/>
  <c r="C151" i="53"/>
  <c r="AA128" i="70" l="1"/>
  <c r="AB126" i="70" s="1"/>
  <c r="AA195" i="64"/>
  <c r="AA196" i="64" s="1"/>
  <c r="AA186" i="64"/>
  <c r="X126" i="70"/>
  <c r="AE182" i="64"/>
  <c r="C163" i="60"/>
  <c r="D163" i="60" s="1"/>
  <c r="B13" i="59"/>
  <c r="D32" i="58"/>
  <c r="B31" i="59"/>
  <c r="C162" i="53"/>
  <c r="D162" i="53" s="1"/>
  <c r="C138" i="57"/>
  <c r="C158" i="57"/>
  <c r="B29" i="59" s="1"/>
  <c r="C170" i="57"/>
  <c r="D170" i="57" s="1"/>
  <c r="AA198" i="64" l="1"/>
  <c r="AB198" i="64" s="1"/>
  <c r="AE128" i="70"/>
  <c r="AE195" i="64"/>
  <c r="AE196" i="64" s="1"/>
  <c r="AE186" i="64"/>
  <c r="B28" i="59"/>
  <c r="C161" i="57"/>
  <c r="C163" i="57" s="1"/>
  <c r="C188" i="57"/>
  <c r="D30" i="58"/>
  <c r="D29" i="58" s="1"/>
  <c r="D45" i="58" s="1"/>
  <c r="AE198" i="64" l="1"/>
  <c r="AF198" i="64" s="1"/>
  <c r="AF126" i="70"/>
  <c r="AI128" i="70"/>
  <c r="D42" i="58"/>
  <c r="C48" i="58" s="1"/>
  <c r="B32" i="59"/>
  <c r="C28" i="59" s="1"/>
  <c r="B54" i="58" l="1"/>
  <c r="C49" i="58"/>
  <c r="C17" i="59"/>
  <c r="C19" i="59"/>
  <c r="C20" i="59"/>
  <c r="C26" i="59"/>
  <c r="C18" i="59"/>
  <c r="C14" i="59"/>
  <c r="C27" i="59"/>
  <c r="C25" i="59"/>
  <c r="C16" i="59"/>
  <c r="C22" i="59"/>
  <c r="C24" i="59"/>
  <c r="C30" i="59"/>
  <c r="C23" i="59"/>
  <c r="C15" i="59"/>
  <c r="C21" i="59"/>
  <c r="C31" i="59"/>
  <c r="C13" i="59"/>
  <c r="C29" i="59"/>
  <c r="C32" i="59" l="1"/>
  <c r="W188" i="64" l="1"/>
  <c r="W192" i="64"/>
  <c r="C5" i="65" l="1"/>
  <c r="C6" i="65" s="1"/>
  <c r="C7" i="65" s="1"/>
  <c r="C8" i="65" s="1"/>
  <c r="W196" i="64"/>
  <c r="W198" i="64" s="1"/>
  <c r="X198" i="64" s="1"/>
  <c r="X183" i="64"/>
  <c r="W205" i="64"/>
  <c r="X205" i="64" s="1"/>
  <c r="W172"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B18" authorId="0" shapeId="0" xr:uid="{DD044848-D355-402F-A0B5-DCB11BCB5405}">
      <text>
        <r>
          <rPr>
            <b/>
            <sz val="9"/>
            <color indexed="81"/>
            <rFont val="Tahoma"/>
            <family val="2"/>
          </rPr>
          <t>MHCP:</t>
        </r>
        <r>
          <rPr>
            <sz val="9"/>
            <color indexed="81"/>
            <rFont val="Tahoma"/>
            <family val="2"/>
          </rPr>
          <t xml:space="preserve">
Valor de las Vigencias Futuras ordinarias o excepcionales para la vigencia </t>
        </r>
      </text>
    </comment>
    <comment ref="C18" authorId="0" shapeId="0" xr:uid="{A945ABDF-A8DB-4239-9D6D-F0AFB47A12A8}">
      <text>
        <r>
          <rPr>
            <b/>
            <sz val="9"/>
            <color indexed="81"/>
            <rFont val="Tahoma"/>
            <family val="2"/>
          </rPr>
          <t>MHCP:</t>
        </r>
        <r>
          <rPr>
            <sz val="9"/>
            <color indexed="81"/>
            <rFont val="Tahoma"/>
            <family val="2"/>
          </rPr>
          <t xml:space="preserve">
Valor de las Vigencias Futuras ordinarias o excepcionales para la vigencia </t>
        </r>
      </text>
    </comment>
    <comment ref="D18" authorId="0" shapeId="0" xr:uid="{7F1927F3-0D5D-4176-97DD-1B93878492EA}">
      <text>
        <r>
          <rPr>
            <b/>
            <sz val="9"/>
            <color indexed="81"/>
            <rFont val="Tahoma"/>
            <family val="2"/>
          </rPr>
          <t>MHCP:</t>
        </r>
        <r>
          <rPr>
            <sz val="9"/>
            <color indexed="81"/>
            <rFont val="Tahoma"/>
            <family val="2"/>
          </rPr>
          <t xml:space="preserve">
Valor de las Vigencias Futuras ordinarias o excepcionales para la vigencia </t>
        </r>
      </text>
    </comment>
    <comment ref="B23" authorId="0" shapeId="0" xr:uid="{FF224CD5-E646-4C1B-BFE7-E61A93260E54}">
      <text>
        <r>
          <rPr>
            <b/>
            <sz val="9"/>
            <color indexed="81"/>
            <rFont val="Tahoma"/>
            <family val="2"/>
          </rPr>
          <t>MHCP:</t>
        </r>
        <r>
          <rPr>
            <sz val="9"/>
            <color indexed="81"/>
            <rFont val="Tahoma"/>
            <family val="2"/>
          </rPr>
          <t xml:space="preserve">
</t>
        </r>
        <r>
          <rPr>
            <u/>
            <sz val="9"/>
            <color indexed="81"/>
            <rFont val="Tahoma"/>
            <family val="2"/>
          </rPr>
          <t>Este Saldo corresponde al registrado a Diciembre 31 de año anterior al indicado en la celda C4.
Con y Sin Regalías</t>
        </r>
      </text>
    </comment>
    <comment ref="B24" authorId="0" shapeId="0" xr:uid="{99D7A2A0-C2AA-4660-997D-B38A528CBB49}">
      <text>
        <r>
          <rPr>
            <b/>
            <sz val="9"/>
            <color indexed="81"/>
            <rFont val="Tahoma"/>
            <family val="2"/>
          </rPr>
          <t xml:space="preserve">MHCP:
</t>
        </r>
        <r>
          <rPr>
            <sz val="9"/>
            <color indexed="81"/>
            <rFont val="Tahoma"/>
            <family val="2"/>
          </rPr>
          <t>Este Saldo corresponde al registrado a Diciembre 31 de año anterior al indicado en la celda C4,</t>
        </r>
        <r>
          <rPr>
            <b/>
            <sz val="9"/>
            <color indexed="81"/>
            <rFont val="Tahoma"/>
            <family val="2"/>
          </rPr>
          <t xml:space="preserve"> financiada con Regalías.</t>
        </r>
      </text>
    </comment>
    <comment ref="C24" authorId="0" shapeId="0" xr:uid="{AD8A3AA1-75B2-4F12-BBB2-D1F3FF0A144D}">
      <text>
        <r>
          <rPr>
            <b/>
            <sz val="9"/>
            <color indexed="81"/>
            <rFont val="Tahoma"/>
            <family val="2"/>
          </rPr>
          <t xml:space="preserve">MHCP:
</t>
        </r>
        <r>
          <rPr>
            <sz val="9"/>
            <color indexed="81"/>
            <rFont val="Tahoma"/>
            <family val="2"/>
          </rPr>
          <t>Este Saldo corresponde al registrado a Diciembre 31 de año anterior al indicado en la celda D4,</t>
        </r>
        <r>
          <rPr>
            <b/>
            <sz val="9"/>
            <color indexed="81"/>
            <rFont val="Tahoma"/>
            <family val="2"/>
          </rPr>
          <t xml:space="preserve"> financiada con Regalías.</t>
        </r>
      </text>
    </comment>
    <comment ref="D24" authorId="0" shapeId="0" xr:uid="{6405E16A-6F92-4590-A411-421E47C07667}">
      <text>
        <r>
          <rPr>
            <b/>
            <sz val="9"/>
            <color indexed="81"/>
            <rFont val="Tahoma"/>
            <family val="2"/>
          </rPr>
          <t xml:space="preserve">MHCP:
</t>
        </r>
        <r>
          <rPr>
            <sz val="9"/>
            <color indexed="81"/>
            <rFont val="Tahoma"/>
            <family val="2"/>
          </rPr>
          <t>Este Saldo corresponde al registrado a Diciembre 31 de año anterior al indicado en la celda E4,</t>
        </r>
        <r>
          <rPr>
            <b/>
            <sz val="9"/>
            <color indexed="81"/>
            <rFont val="Tahoma"/>
            <family val="2"/>
          </rPr>
          <t xml:space="preserve"> financiada con Regalías.</t>
        </r>
      </text>
    </comment>
    <comment ref="B25" authorId="0" shapeId="0" xr:uid="{CCFB076E-659B-43C0-94FF-9B4F7EE59B24}">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C25" authorId="0" shapeId="0" xr:uid="{A3665AC1-2F87-4611-AFF5-9FD74219DD4C}">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D25" authorId="0" shapeId="0" xr:uid="{62BB88CB-B9AD-474D-ABF0-9C4A892318D2}">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B26" authorId="0" shapeId="0" xr:uid="{C8A0979E-7489-43D7-B595-64F3B205BCEE}">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C26" authorId="0" shapeId="0" xr:uid="{A6603FE4-1502-4232-BBE2-A8B46F7630DE}">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D26" authorId="0" shapeId="0" xr:uid="{096A3544-0518-4DB5-AA65-CAD6B83D01A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B28" authorId="0" shapeId="0" xr:uid="{25722984-A053-44B7-99AD-0445FA612039}">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C4.
Debe corresponder a las amortizaciones según las condiciones de los créditos vigentes.</t>
        </r>
      </text>
    </comment>
    <comment ref="B29" authorId="0" shapeId="0" xr:uid="{4D53140E-6AC8-4C42-9FB3-3551F57EC83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C4.
Debe corresponder a las amortizaciones según las condiciones de los créditos vigentes.</t>
        </r>
      </text>
    </comment>
    <comment ref="C29" authorId="0" shapeId="0" xr:uid="{A809C2A5-5CF7-4CAF-AF3E-3D228BD0D066}">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D4.
Debe corresponder a las amortizaciones según las condiciones de los créditos vigentes.</t>
        </r>
      </text>
    </comment>
    <comment ref="D29" authorId="0" shapeId="0" xr:uid="{467F608C-932B-4F38-9386-4DD671C0F09C}">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E4.
Debe corresponder a las amortizaciones según las condiciones de los créditos vigentes.</t>
        </r>
      </text>
    </comment>
    <comment ref="B30" authorId="0" shapeId="0" xr:uid="{3CB2BF82-0134-4EF9-9A13-6E8322D95CB3}">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C30" authorId="0" shapeId="0" xr:uid="{4CBD088F-C7A8-4A76-85E3-040DE97E9809}">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D30" authorId="0" shapeId="0" xr:uid="{A3286D35-5EE0-4379-B979-F47E4E7E93C7}">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B31" authorId="0" shapeId="0" xr:uid="{8CCF5DCB-2701-4229-A73B-C6F7B63C4ADD}">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C4.</t>
        </r>
      </text>
    </comment>
    <comment ref="C31" authorId="0" shapeId="0" xr:uid="{5D98C141-2F66-41DC-9E04-1D4E06EC2E56}">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D4.</t>
        </r>
      </text>
    </comment>
    <comment ref="D31" authorId="0" shapeId="0" xr:uid="{32958E9E-178B-4A9E-ADA6-A6D41E399F8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E4.</t>
        </r>
      </text>
    </comment>
    <comment ref="B32" authorId="0" shapeId="0" xr:uid="{89041C15-193A-4C77-AA85-F5598094C327}">
      <text>
        <r>
          <rPr>
            <b/>
            <sz val="9"/>
            <color indexed="81"/>
            <rFont val="Tahoma"/>
            <family val="2"/>
          </rPr>
          <t>MHCP:</t>
        </r>
        <r>
          <rPr>
            <sz val="9"/>
            <color indexed="81"/>
            <rFont val="Tahoma"/>
            <family val="2"/>
          </rPr>
          <t xml:space="preserve">
Este valor corresponde al de las amortizaciones que debe pagar la ET en la vigencia aludida en la celda C4 por no haber obtenido la autorización de condonación.</t>
        </r>
      </text>
    </comment>
    <comment ref="C32" authorId="0" shapeId="0" xr:uid="{59D4D865-B3E1-493F-AB97-85D0DED4523C}">
      <text>
        <r>
          <rPr>
            <b/>
            <sz val="9"/>
            <color indexed="81"/>
            <rFont val="Tahoma"/>
            <family val="2"/>
          </rPr>
          <t>MHCP:</t>
        </r>
        <r>
          <rPr>
            <sz val="9"/>
            <color indexed="81"/>
            <rFont val="Tahoma"/>
            <family val="2"/>
          </rPr>
          <t xml:space="preserve">
Este valor corresponde al de las amortizaciones que debe pagar la ET en la vigencia aludida en la celda D4 por no haber obtenido la autorización de condonación.</t>
        </r>
      </text>
    </comment>
    <comment ref="D32" authorId="0" shapeId="0" xr:uid="{BBFB716F-4DBB-4D9E-B690-C9DB38460E89}">
      <text>
        <r>
          <rPr>
            <b/>
            <sz val="9"/>
            <color indexed="81"/>
            <rFont val="Tahoma"/>
            <family val="2"/>
          </rPr>
          <t>MHCP:</t>
        </r>
        <r>
          <rPr>
            <sz val="9"/>
            <color indexed="81"/>
            <rFont val="Tahoma"/>
            <family val="2"/>
          </rPr>
          <t xml:space="preserve">
Este valor corresponde al de las amortizaciones que debe pagar la ET en la vigencia aludida en la celda E4 por no haber obtenido la autorización de condonación.</t>
        </r>
      </text>
    </comment>
    <comment ref="B34" authorId="0" shapeId="0" xr:uid="{3B122C96-8EA1-4928-B81D-DC94BF23CF84}">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C4.
Debe corresponder a los intereses según las condiciones de los créditos vigentes.</t>
        </r>
      </text>
    </comment>
    <comment ref="C34" authorId="0" shapeId="0" xr:uid="{2A86B515-3B42-41F3-8099-CE0CDA4E33DA}">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D4.
Debe corresponder a los intereses según las condiciones de los créditos vigentes.</t>
        </r>
      </text>
    </comment>
    <comment ref="D34" authorId="0" shapeId="0" xr:uid="{680468A8-64F6-4E78-82A4-D6B4876D8734}">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E4.
Debe corresponder a los intereses según las condiciones de los créditos vigentes.</t>
        </r>
      </text>
    </comment>
    <comment ref="B35" authorId="0" shapeId="0" xr:uid="{5FD4029D-95E8-4FA7-BD64-E36AA54655C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C4.
Debe corresponder a los intereses según las condiciones de los créditos vigentes.</t>
        </r>
      </text>
    </comment>
    <comment ref="C35" authorId="0" shapeId="0" xr:uid="{93A528D4-484B-4FEC-8693-AF7576B0D104}">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D4.
Debe corresponder a los intereses según las condiciones de los créditos vigentes.</t>
        </r>
      </text>
    </comment>
    <comment ref="D35" authorId="0" shapeId="0" xr:uid="{8B413497-C119-4543-9D76-7B8CCA07AC67}">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E4.
Debe corresponder a los intereses según las condiciones de los créditos vigentes.</t>
        </r>
      </text>
    </comment>
    <comment ref="B36" authorId="0" shapeId="0" xr:uid="{FB48CD40-EFCE-4FD7-B4DF-EB835950A06C}">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C36" authorId="0" shapeId="0" xr:uid="{38CC30B5-A0FB-4BBF-BAD2-2A8CB89EED8E}">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D36" authorId="0" shapeId="0" xr:uid="{43BA67F4-FCB4-4988-AD92-55A0AFD21885}">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AUXHACIENDA24</author>
  </authors>
  <commentList>
    <comment ref="J20" authorId="0" shapeId="0" xr:uid="{C9372861-6668-425D-892B-586890571D3D}">
      <text>
        <r>
          <rPr>
            <b/>
            <sz val="9"/>
            <color indexed="81"/>
            <rFont val="Tahoma"/>
            <family val="2"/>
          </rPr>
          <t>AUXHACIENDA24:</t>
        </r>
        <r>
          <rPr>
            <sz val="9"/>
            <color indexed="81"/>
            <rFont val="Tahoma"/>
            <family val="2"/>
          </rPr>
          <t xml:space="preserve">
se elimina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AUXHACIENDA24</author>
  </authors>
  <commentList>
    <comment ref="J20" authorId="0" shapeId="0" xr:uid="{7655CA7A-67FB-417F-B96A-58E698AB51B6}">
      <text>
        <r>
          <rPr>
            <b/>
            <sz val="9"/>
            <color indexed="81"/>
            <rFont val="Tahoma"/>
            <family val="2"/>
          </rPr>
          <t>AUXHACIENDA24:</t>
        </r>
        <r>
          <rPr>
            <sz val="9"/>
            <color indexed="81"/>
            <rFont val="Tahoma"/>
            <family val="2"/>
          </rPr>
          <t xml:space="preserve">
se elimina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AUXHACIENDA24</author>
  </authors>
  <commentList>
    <comment ref="J20" authorId="0" shapeId="0" xr:uid="{00000000-0006-0000-0D00-000001000000}">
      <text>
        <r>
          <rPr>
            <b/>
            <sz val="9"/>
            <color indexed="81"/>
            <rFont val="Tahoma"/>
            <family val="2"/>
          </rPr>
          <t>AUXHACIENDA24:</t>
        </r>
        <r>
          <rPr>
            <sz val="9"/>
            <color indexed="81"/>
            <rFont val="Tahoma"/>
            <family val="2"/>
          </rPr>
          <t xml:space="preserve">
se elimina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acer</author>
    <author>Arcesio Valenzuela Ordoñez</author>
  </authors>
  <commentList>
    <comment ref="C7" authorId="0" shapeId="0" xr:uid="{00000000-0006-0000-1500-000001000000}">
      <text>
        <r>
          <rPr>
            <b/>
            <sz val="9"/>
            <color indexed="81"/>
            <rFont val="Tahoma"/>
            <family val="2"/>
          </rPr>
          <t>MHCP:</t>
        </r>
        <r>
          <rPr>
            <sz val="9"/>
            <color indexed="81"/>
            <rFont val="Tahoma"/>
            <family val="2"/>
          </rPr>
          <t xml:space="preserve">
Valor de las Vigencias Futuras ordinarias o excepcionales para la vigencia </t>
        </r>
      </text>
    </comment>
    <comment ref="D7" authorId="0" shapeId="0" xr:uid="{00000000-0006-0000-1500-000002000000}">
      <text>
        <r>
          <rPr>
            <b/>
            <sz val="9"/>
            <color indexed="81"/>
            <rFont val="Tahoma"/>
            <family val="2"/>
          </rPr>
          <t>MHCP:</t>
        </r>
        <r>
          <rPr>
            <sz val="9"/>
            <color indexed="81"/>
            <rFont val="Tahoma"/>
            <family val="2"/>
          </rPr>
          <t xml:space="preserve">
Valor de las Vigencias Futuras ordinarias o excepcionales para la vigencia </t>
        </r>
      </text>
    </comment>
    <comment ref="E7" authorId="0" shapeId="0" xr:uid="{00000000-0006-0000-1500-000003000000}">
      <text>
        <r>
          <rPr>
            <b/>
            <sz val="9"/>
            <color indexed="81"/>
            <rFont val="Tahoma"/>
            <family val="2"/>
          </rPr>
          <t>MHCP:</t>
        </r>
        <r>
          <rPr>
            <sz val="9"/>
            <color indexed="81"/>
            <rFont val="Tahoma"/>
            <family val="2"/>
          </rPr>
          <t xml:space="preserve">
Valor de las Vigencias Futuras ordinarias o excepcionales para la vigencia </t>
        </r>
      </text>
    </comment>
    <comment ref="F7" authorId="0" shapeId="0" xr:uid="{00000000-0006-0000-1500-000004000000}">
      <text>
        <r>
          <rPr>
            <b/>
            <sz val="9"/>
            <color indexed="81"/>
            <rFont val="Tahoma"/>
            <family val="2"/>
          </rPr>
          <t>MHCP:</t>
        </r>
        <r>
          <rPr>
            <sz val="9"/>
            <color indexed="81"/>
            <rFont val="Tahoma"/>
            <family val="2"/>
          </rPr>
          <t xml:space="preserve">
Valor de las Vigencias Futuras ordinarias o excepcionales para la vigencia </t>
        </r>
      </text>
    </comment>
    <comment ref="G7" authorId="0" shapeId="0" xr:uid="{00000000-0006-0000-1500-000005000000}">
      <text>
        <r>
          <rPr>
            <b/>
            <sz val="9"/>
            <color indexed="81"/>
            <rFont val="Tahoma"/>
            <family val="2"/>
          </rPr>
          <t>MHCP:</t>
        </r>
        <r>
          <rPr>
            <sz val="9"/>
            <color indexed="81"/>
            <rFont val="Tahoma"/>
            <family val="2"/>
          </rPr>
          <t xml:space="preserve">
Valor de las Vigencias Futuras ordinarias o excepcionales para la vigencia </t>
        </r>
      </text>
    </comment>
    <comment ref="H7" authorId="0" shapeId="0" xr:uid="{00000000-0006-0000-1500-000006000000}">
      <text>
        <r>
          <rPr>
            <b/>
            <sz val="9"/>
            <color indexed="81"/>
            <rFont val="Tahoma"/>
            <family val="2"/>
          </rPr>
          <t>MHCP:</t>
        </r>
        <r>
          <rPr>
            <sz val="9"/>
            <color indexed="81"/>
            <rFont val="Tahoma"/>
            <family val="2"/>
          </rPr>
          <t xml:space="preserve">
Valor de las Vigencias Futuras ordinarias o excepcionales para la vigencia </t>
        </r>
      </text>
    </comment>
    <comment ref="I7" authorId="0" shapeId="0" xr:uid="{00000000-0006-0000-1500-000007000000}">
      <text>
        <r>
          <rPr>
            <b/>
            <sz val="9"/>
            <color indexed="81"/>
            <rFont val="Tahoma"/>
            <family val="2"/>
          </rPr>
          <t>MHCP:</t>
        </r>
        <r>
          <rPr>
            <sz val="9"/>
            <color indexed="81"/>
            <rFont val="Tahoma"/>
            <family val="2"/>
          </rPr>
          <t xml:space="preserve">
Valor de las Vigencias Futuras ordinarias o excepcionales para la vigencia </t>
        </r>
      </text>
    </comment>
    <comment ref="J7" authorId="0" shapeId="0" xr:uid="{00000000-0006-0000-1500-000008000000}">
      <text>
        <r>
          <rPr>
            <b/>
            <sz val="9"/>
            <color indexed="81"/>
            <rFont val="Tahoma"/>
            <family val="2"/>
          </rPr>
          <t>MHCP:</t>
        </r>
        <r>
          <rPr>
            <sz val="9"/>
            <color indexed="81"/>
            <rFont val="Tahoma"/>
            <family val="2"/>
          </rPr>
          <t xml:space="preserve">
Valor de las Vigencias Futuras ordinarias o excepcionales para la vigencia </t>
        </r>
      </text>
    </comment>
    <comment ref="K7" authorId="0" shapeId="0" xr:uid="{00000000-0006-0000-1500-000009000000}">
      <text>
        <r>
          <rPr>
            <b/>
            <sz val="9"/>
            <color indexed="81"/>
            <rFont val="Tahoma"/>
            <family val="2"/>
          </rPr>
          <t>MHCP:</t>
        </r>
        <r>
          <rPr>
            <sz val="9"/>
            <color indexed="81"/>
            <rFont val="Tahoma"/>
            <family val="2"/>
          </rPr>
          <t xml:space="preserve">
Valor de las Vigencias Futuras ordinarias o excepcionales para la vigencia </t>
        </r>
      </text>
    </comment>
    <comment ref="L7" authorId="0" shapeId="0" xr:uid="{00000000-0006-0000-1500-00000A000000}">
      <text>
        <r>
          <rPr>
            <b/>
            <sz val="9"/>
            <color indexed="81"/>
            <rFont val="Tahoma"/>
            <family val="2"/>
          </rPr>
          <t>MHCP:</t>
        </r>
        <r>
          <rPr>
            <sz val="9"/>
            <color indexed="81"/>
            <rFont val="Tahoma"/>
            <family val="2"/>
          </rPr>
          <t xml:space="preserve">
Valor de las Vigencias Futuras ordinarias o excepcionales para la vigencia </t>
        </r>
      </text>
    </comment>
    <comment ref="M7" authorId="0" shapeId="0" xr:uid="{00000000-0006-0000-1500-00000B000000}">
      <text>
        <r>
          <rPr>
            <b/>
            <sz val="9"/>
            <color indexed="81"/>
            <rFont val="Tahoma"/>
            <family val="2"/>
          </rPr>
          <t>MHCP:</t>
        </r>
        <r>
          <rPr>
            <sz val="9"/>
            <color indexed="81"/>
            <rFont val="Tahoma"/>
            <family val="2"/>
          </rPr>
          <t xml:space="preserve">
Valor de las Vigencias Futuras ordinarias o excepcionales para la vigencia </t>
        </r>
      </text>
    </comment>
    <comment ref="C13" authorId="0" shapeId="0" xr:uid="{00000000-0006-0000-1500-00000C000000}">
      <text>
        <r>
          <rPr>
            <b/>
            <sz val="9"/>
            <color indexed="81"/>
            <rFont val="Tahoma"/>
            <family val="2"/>
          </rPr>
          <t xml:space="preserve">MHCP:
</t>
        </r>
        <r>
          <rPr>
            <sz val="9"/>
            <color indexed="81"/>
            <rFont val="Tahoma"/>
            <family val="2"/>
          </rPr>
          <t>Este Saldo corresponde al registrado a Diciembre 31 de año anterior al indicado en la celda E4,</t>
        </r>
        <r>
          <rPr>
            <b/>
            <sz val="9"/>
            <color indexed="81"/>
            <rFont val="Tahoma"/>
            <family val="2"/>
          </rPr>
          <t xml:space="preserve"> financiada con Regalías.</t>
        </r>
      </text>
    </comment>
    <comment ref="D13" authorId="0" shapeId="0" xr:uid="{00000000-0006-0000-1500-00000D000000}">
      <text>
        <r>
          <rPr>
            <b/>
            <sz val="9"/>
            <color indexed="81"/>
            <rFont val="Tahoma"/>
            <family val="2"/>
          </rPr>
          <t xml:space="preserve">MHCP:
</t>
        </r>
        <r>
          <rPr>
            <sz val="9"/>
            <color indexed="81"/>
            <rFont val="Tahoma"/>
            <family val="2"/>
          </rPr>
          <t>Este Saldo corresponde al registrado a Diciembre 31 de año anterior al indicado en la celda F4,</t>
        </r>
        <r>
          <rPr>
            <b/>
            <sz val="9"/>
            <color indexed="81"/>
            <rFont val="Tahoma"/>
            <family val="2"/>
          </rPr>
          <t xml:space="preserve"> financiada con Regalías.</t>
        </r>
      </text>
    </comment>
    <comment ref="E13" authorId="0" shapeId="0" xr:uid="{00000000-0006-0000-1500-00000E000000}">
      <text>
        <r>
          <rPr>
            <b/>
            <sz val="9"/>
            <color indexed="81"/>
            <rFont val="Tahoma"/>
            <family val="2"/>
          </rPr>
          <t xml:space="preserve">MHCP:
</t>
        </r>
        <r>
          <rPr>
            <sz val="9"/>
            <color indexed="81"/>
            <rFont val="Tahoma"/>
            <family val="2"/>
          </rPr>
          <t>Este Saldo corresponde al registrado a Diciembre 31 de año anterior al indicado en la celda G4,</t>
        </r>
        <r>
          <rPr>
            <b/>
            <sz val="9"/>
            <color indexed="81"/>
            <rFont val="Tahoma"/>
            <family val="2"/>
          </rPr>
          <t xml:space="preserve"> financiada con Regalías.</t>
        </r>
      </text>
    </comment>
    <comment ref="F13" authorId="0" shapeId="0" xr:uid="{00000000-0006-0000-1500-00000F000000}">
      <text>
        <r>
          <rPr>
            <b/>
            <sz val="9"/>
            <color indexed="81"/>
            <rFont val="Tahoma"/>
            <family val="2"/>
          </rPr>
          <t xml:space="preserve">MHCP:
</t>
        </r>
        <r>
          <rPr>
            <sz val="9"/>
            <color indexed="81"/>
            <rFont val="Tahoma"/>
            <family val="2"/>
          </rPr>
          <t>Este Saldo corresponde al registrado a Diciembre 31 de año anterior al indicado en la celda H4,</t>
        </r>
        <r>
          <rPr>
            <b/>
            <sz val="9"/>
            <color indexed="81"/>
            <rFont val="Tahoma"/>
            <family val="2"/>
          </rPr>
          <t xml:space="preserve"> financiada con Regalías.</t>
        </r>
      </text>
    </comment>
    <comment ref="G13" authorId="0" shapeId="0" xr:uid="{00000000-0006-0000-1500-000010000000}">
      <text>
        <r>
          <rPr>
            <b/>
            <sz val="9"/>
            <color indexed="81"/>
            <rFont val="Tahoma"/>
            <family val="2"/>
          </rPr>
          <t xml:space="preserve">MHCP:
</t>
        </r>
        <r>
          <rPr>
            <sz val="9"/>
            <color indexed="81"/>
            <rFont val="Tahoma"/>
            <family val="2"/>
          </rPr>
          <t>Este Saldo corresponde al registrado a Diciembre 31 de año anterior al indicado en la celda I4,</t>
        </r>
        <r>
          <rPr>
            <b/>
            <sz val="9"/>
            <color indexed="81"/>
            <rFont val="Tahoma"/>
            <family val="2"/>
          </rPr>
          <t xml:space="preserve"> financiada con Regalías.</t>
        </r>
      </text>
    </comment>
    <comment ref="H13" authorId="0" shapeId="0" xr:uid="{00000000-0006-0000-1500-000011000000}">
      <text>
        <r>
          <rPr>
            <b/>
            <sz val="9"/>
            <color indexed="81"/>
            <rFont val="Tahoma"/>
            <family val="2"/>
          </rPr>
          <t xml:space="preserve">MHCP:
</t>
        </r>
        <r>
          <rPr>
            <sz val="9"/>
            <color indexed="81"/>
            <rFont val="Tahoma"/>
            <family val="2"/>
          </rPr>
          <t>Este Saldo corresponde al registrado a Diciembre 31 de año anterior al indicado en la celda J4,</t>
        </r>
        <r>
          <rPr>
            <b/>
            <sz val="9"/>
            <color indexed="81"/>
            <rFont val="Tahoma"/>
            <family val="2"/>
          </rPr>
          <t xml:space="preserve"> financiada con Regalías.</t>
        </r>
      </text>
    </comment>
    <comment ref="I13" authorId="0" shapeId="0" xr:uid="{00000000-0006-0000-1500-000012000000}">
      <text>
        <r>
          <rPr>
            <b/>
            <sz val="9"/>
            <color indexed="81"/>
            <rFont val="Tahoma"/>
            <family val="2"/>
          </rPr>
          <t xml:space="preserve">MHCP:
</t>
        </r>
        <r>
          <rPr>
            <sz val="9"/>
            <color indexed="81"/>
            <rFont val="Tahoma"/>
            <family val="2"/>
          </rPr>
          <t>Este Saldo corresponde al registrado a Diciembre 31 de año anterior al indicado en la celda K4,</t>
        </r>
        <r>
          <rPr>
            <b/>
            <sz val="9"/>
            <color indexed="81"/>
            <rFont val="Tahoma"/>
            <family val="2"/>
          </rPr>
          <t xml:space="preserve"> financiada con Regalías.</t>
        </r>
      </text>
    </comment>
    <comment ref="J13" authorId="0" shapeId="0" xr:uid="{00000000-0006-0000-1500-000013000000}">
      <text>
        <r>
          <rPr>
            <b/>
            <sz val="9"/>
            <color indexed="81"/>
            <rFont val="Tahoma"/>
            <family val="2"/>
          </rPr>
          <t xml:space="preserve">MHCP:
</t>
        </r>
        <r>
          <rPr>
            <sz val="9"/>
            <color indexed="81"/>
            <rFont val="Tahoma"/>
            <family val="2"/>
          </rPr>
          <t>Este Saldo corresponde al registrado a Diciembre 31 de año anterior al indicado en la celda L4,</t>
        </r>
        <r>
          <rPr>
            <b/>
            <sz val="9"/>
            <color indexed="81"/>
            <rFont val="Tahoma"/>
            <family val="2"/>
          </rPr>
          <t xml:space="preserve"> financiada con Regalías.</t>
        </r>
      </text>
    </comment>
    <comment ref="K13" authorId="0" shapeId="0" xr:uid="{00000000-0006-0000-1500-000014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L13" authorId="0" shapeId="0" xr:uid="{00000000-0006-0000-1500-000015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M13" authorId="0" shapeId="0" xr:uid="{00000000-0006-0000-1500-000016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C14" authorId="0" shapeId="0" xr:uid="{00000000-0006-0000-1500-000017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D14" authorId="0" shapeId="0" xr:uid="{00000000-0006-0000-1500-000018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E14" authorId="0" shapeId="0" xr:uid="{00000000-0006-0000-1500-000019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F14" authorId="0" shapeId="0" xr:uid="{00000000-0006-0000-1500-00001A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G14" authorId="0" shapeId="0" xr:uid="{00000000-0006-0000-1500-00001B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H14" authorId="0" shapeId="0" xr:uid="{00000000-0006-0000-1500-00001C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I14" authorId="0" shapeId="0" xr:uid="{00000000-0006-0000-1500-00001D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J14" authorId="0" shapeId="0" xr:uid="{00000000-0006-0000-1500-00001E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K14" authorId="0" shapeId="0" xr:uid="{00000000-0006-0000-1500-00001F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L14" authorId="0" shapeId="0" xr:uid="{00000000-0006-0000-1500-000020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M14" authorId="0" shapeId="0" xr:uid="{00000000-0006-0000-1500-000021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C15" authorId="0" shapeId="0" xr:uid="{00000000-0006-0000-1500-000022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D15" authorId="0" shapeId="0" xr:uid="{00000000-0006-0000-1500-000023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E15" authorId="0" shapeId="0" xr:uid="{00000000-0006-0000-1500-000024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F15" authorId="0" shapeId="0" xr:uid="{00000000-0006-0000-1500-000025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G15" authorId="0" shapeId="0" xr:uid="{00000000-0006-0000-1500-000026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H15" authorId="0" shapeId="0" xr:uid="{00000000-0006-0000-1500-000027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I15" authorId="0" shapeId="0" xr:uid="{00000000-0006-0000-1500-000028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J15" authorId="0" shapeId="0" xr:uid="{00000000-0006-0000-1500-000029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K15" authorId="0" shapeId="0" xr:uid="{00000000-0006-0000-1500-00002A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L15" authorId="0" shapeId="0" xr:uid="{00000000-0006-0000-1500-00002B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M15" authorId="0" shapeId="0" xr:uid="{00000000-0006-0000-1500-00002C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C17" authorId="0" shapeId="0" xr:uid="{00000000-0006-0000-1500-00002D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E4.
Debe corresponder a las amortizaciones según las condiciones de los créditos vigentes.</t>
        </r>
      </text>
    </comment>
    <comment ref="D17" authorId="0" shapeId="0" xr:uid="{00000000-0006-0000-1500-00002E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F4.
Debe corresponder a las amortizaciones según las condiciones de los créditos vigentes.</t>
        </r>
      </text>
    </comment>
    <comment ref="E17" authorId="0" shapeId="0" xr:uid="{00000000-0006-0000-1500-00002F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G4.
Debe corresponder a las amortizaciones según las condiciones de los créditos vigentes.</t>
        </r>
      </text>
    </comment>
    <comment ref="F17" authorId="0" shapeId="0" xr:uid="{00000000-0006-0000-1500-000030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H4.
Debe corresponder a las amortizaciones según las condiciones de los créditos vigentes.</t>
        </r>
      </text>
    </comment>
    <comment ref="G17" authorId="0" shapeId="0" xr:uid="{00000000-0006-0000-1500-000031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I4.
Debe corresponder a las amortizaciones según las condiciones de los créditos vigentes.</t>
        </r>
      </text>
    </comment>
    <comment ref="H17" authorId="0" shapeId="0" xr:uid="{00000000-0006-0000-1500-000032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J4.
Debe corresponder a las amortizaciones según las condiciones de los créditos vigentes.</t>
        </r>
      </text>
    </comment>
    <comment ref="I17" authorId="0" shapeId="0" xr:uid="{00000000-0006-0000-1500-000033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K4.
Debe corresponder a las amortizaciones según las condiciones de los créditos vigentes.K</t>
        </r>
      </text>
    </comment>
    <comment ref="J17" authorId="0" shapeId="0" xr:uid="{00000000-0006-0000-1500-000034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L4.
Debe corresponder a las amortizaciones según las condiciones de los créditos vigentes.</t>
        </r>
      </text>
    </comment>
    <comment ref="K17" authorId="0" shapeId="0" xr:uid="{00000000-0006-0000-1500-000035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L17" authorId="0" shapeId="0" xr:uid="{00000000-0006-0000-1500-000036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M17" authorId="0" shapeId="0" xr:uid="{00000000-0006-0000-1500-000037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C18" authorId="0" shapeId="0" xr:uid="{00000000-0006-0000-1500-000038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E4.
Debe corresponder a las amortizaciones según las condiciones de los créditos vigentes.</t>
        </r>
      </text>
    </comment>
    <comment ref="D18" authorId="0" shapeId="0" xr:uid="{00000000-0006-0000-1500-000039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F4.
Debe corresponder a las amortizaciones según las condiciones de los créditos vigentes.</t>
        </r>
      </text>
    </comment>
    <comment ref="E18" authorId="0" shapeId="0" xr:uid="{00000000-0006-0000-1500-00003A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G4.
Debe corresponder a las amortizaciones según las condiciones de los créditos vigentes.</t>
        </r>
      </text>
    </comment>
    <comment ref="F18" authorId="0" shapeId="0" xr:uid="{00000000-0006-0000-1500-00003B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H4.
Debe corresponder a las amortizaciones según las condiciones de los créditos vigentes.</t>
        </r>
      </text>
    </comment>
    <comment ref="G18" authorId="0" shapeId="0" xr:uid="{00000000-0006-0000-1500-00003C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I4.
Debe corresponder a las amortizaciones según las condiciones de los créditos vigentes.</t>
        </r>
      </text>
    </comment>
    <comment ref="H18" authorId="0" shapeId="0" xr:uid="{00000000-0006-0000-1500-00003D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J4.
Debe corresponder a las amortizaciones según las condiciones de los créditos vigentes.</t>
        </r>
      </text>
    </comment>
    <comment ref="I18" authorId="0" shapeId="0" xr:uid="{00000000-0006-0000-1500-00003E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K4.
Debe corresponder a las amortizaciones según las condiciones de los créditos vigentes.</t>
        </r>
      </text>
    </comment>
    <comment ref="J18" authorId="0" shapeId="0" xr:uid="{00000000-0006-0000-1500-00003F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L4.
Debe corresponder a las amortizaciones según las condiciones de los créditos vigentes.</t>
        </r>
      </text>
    </comment>
    <comment ref="K18" authorId="0" shapeId="0" xr:uid="{00000000-0006-0000-1500-000040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L18" authorId="0" shapeId="0" xr:uid="{00000000-0006-0000-1500-000041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M18" authorId="0" shapeId="0" xr:uid="{00000000-0006-0000-1500-000042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C19" authorId="0" shapeId="0" xr:uid="{00000000-0006-0000-1500-000043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D19" authorId="0" shapeId="0" xr:uid="{00000000-0006-0000-1500-000044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E19" authorId="0" shapeId="0" xr:uid="{00000000-0006-0000-1500-000045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F19" authorId="0" shapeId="0" xr:uid="{00000000-0006-0000-1500-000046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G19" authorId="0" shapeId="0" xr:uid="{00000000-0006-0000-1500-000047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H19" authorId="0" shapeId="0" xr:uid="{00000000-0006-0000-1500-000048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I19" authorId="0" shapeId="0" xr:uid="{00000000-0006-0000-1500-000049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J19" authorId="0" shapeId="0" xr:uid="{00000000-0006-0000-1500-00004A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K19" authorId="0" shapeId="0" xr:uid="{00000000-0006-0000-1500-00004B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L19" authorId="0" shapeId="0" xr:uid="{00000000-0006-0000-1500-00004C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M19" authorId="0" shapeId="0" xr:uid="{00000000-0006-0000-1500-00004D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C20" authorId="0" shapeId="0" xr:uid="{00000000-0006-0000-1500-00004E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E4.</t>
        </r>
      </text>
    </comment>
    <comment ref="D20" authorId="0" shapeId="0" xr:uid="{00000000-0006-0000-1500-00004F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F4.</t>
        </r>
      </text>
    </comment>
    <comment ref="E20" authorId="0" shapeId="0" xr:uid="{00000000-0006-0000-1500-000050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G4.</t>
        </r>
      </text>
    </comment>
    <comment ref="F20" authorId="0" shapeId="0" xr:uid="{00000000-0006-0000-1500-000051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H4.</t>
        </r>
      </text>
    </comment>
    <comment ref="G20" authorId="0" shapeId="0" xr:uid="{00000000-0006-0000-1500-000052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I4.</t>
        </r>
      </text>
    </comment>
    <comment ref="H20" authorId="0" shapeId="0" xr:uid="{00000000-0006-0000-1500-000053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J4.</t>
        </r>
      </text>
    </comment>
    <comment ref="I20" authorId="0" shapeId="0" xr:uid="{00000000-0006-0000-1500-000054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K4.</t>
        </r>
      </text>
    </comment>
    <comment ref="J20" authorId="0" shapeId="0" xr:uid="{00000000-0006-0000-1500-000055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L4.</t>
        </r>
      </text>
    </comment>
    <comment ref="K20" authorId="0" shapeId="0" xr:uid="{00000000-0006-0000-1500-000056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L20" authorId="0" shapeId="0" xr:uid="{00000000-0006-0000-1500-000057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M20" authorId="0" shapeId="0" xr:uid="{00000000-0006-0000-1500-000058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C21" authorId="0" shapeId="0" xr:uid="{00000000-0006-0000-1500-000059000000}">
      <text>
        <r>
          <rPr>
            <b/>
            <sz val="9"/>
            <color indexed="81"/>
            <rFont val="Tahoma"/>
            <family val="2"/>
          </rPr>
          <t>MHCP:</t>
        </r>
        <r>
          <rPr>
            <sz val="9"/>
            <color indexed="81"/>
            <rFont val="Tahoma"/>
            <family val="2"/>
          </rPr>
          <t xml:space="preserve">
Este valor corresponde al de las amortizaciones que debe pagar la ET en la vigencia aludida en la celda E4 por no haber obtenido la autorización de condonación.</t>
        </r>
      </text>
    </comment>
    <comment ref="D21" authorId="0" shapeId="0" xr:uid="{00000000-0006-0000-1500-00005A000000}">
      <text>
        <r>
          <rPr>
            <b/>
            <sz val="9"/>
            <color indexed="81"/>
            <rFont val="Tahoma"/>
            <family val="2"/>
          </rPr>
          <t>MHCP:</t>
        </r>
        <r>
          <rPr>
            <sz val="9"/>
            <color indexed="81"/>
            <rFont val="Tahoma"/>
            <family val="2"/>
          </rPr>
          <t xml:space="preserve">
Este valor corresponde al de las amortizaciones que debe pagar la ET en la vigencia aludida en la celda F4 por no haber obtenido la autorización de condonación.</t>
        </r>
      </text>
    </comment>
    <comment ref="E21" authorId="0" shapeId="0" xr:uid="{00000000-0006-0000-1500-00005B000000}">
      <text>
        <r>
          <rPr>
            <b/>
            <sz val="9"/>
            <color indexed="81"/>
            <rFont val="Tahoma"/>
            <family val="2"/>
          </rPr>
          <t>MHCP:</t>
        </r>
        <r>
          <rPr>
            <sz val="9"/>
            <color indexed="81"/>
            <rFont val="Tahoma"/>
            <family val="2"/>
          </rPr>
          <t xml:space="preserve">
Este valor corresponde al de las amortizaciones que debe pagar la ET en la vigencia aludida en la celda G4 por no haber obtenido la autorización de condonación.</t>
        </r>
      </text>
    </comment>
    <comment ref="F21" authorId="0" shapeId="0" xr:uid="{00000000-0006-0000-1500-00005C000000}">
      <text>
        <r>
          <rPr>
            <b/>
            <sz val="9"/>
            <color indexed="81"/>
            <rFont val="Tahoma"/>
            <family val="2"/>
          </rPr>
          <t>MHCP:</t>
        </r>
        <r>
          <rPr>
            <sz val="9"/>
            <color indexed="81"/>
            <rFont val="Tahoma"/>
            <family val="2"/>
          </rPr>
          <t xml:space="preserve">
Este valor corresponde al de las amortizaciones que debe pagar la ET en la vigencia aludida en la celda H4 por no haber obtenido la autorización de condonación.</t>
        </r>
      </text>
    </comment>
    <comment ref="G21" authorId="0" shapeId="0" xr:uid="{00000000-0006-0000-1500-00005D000000}">
      <text>
        <r>
          <rPr>
            <b/>
            <sz val="9"/>
            <color indexed="81"/>
            <rFont val="Tahoma"/>
            <family val="2"/>
          </rPr>
          <t>MHCP:</t>
        </r>
        <r>
          <rPr>
            <sz val="9"/>
            <color indexed="81"/>
            <rFont val="Tahoma"/>
            <family val="2"/>
          </rPr>
          <t xml:space="preserve">
Este valor corresponde al de las amortizaciones que debe pagar la ET en la vigencia aludida en la celda I4 por no haber obtenido la autorización de condonación.</t>
        </r>
      </text>
    </comment>
    <comment ref="H21" authorId="0" shapeId="0" xr:uid="{00000000-0006-0000-1500-00005E000000}">
      <text>
        <r>
          <rPr>
            <b/>
            <sz val="9"/>
            <color indexed="81"/>
            <rFont val="Tahoma"/>
            <family val="2"/>
          </rPr>
          <t>MHCP:</t>
        </r>
        <r>
          <rPr>
            <sz val="9"/>
            <color indexed="81"/>
            <rFont val="Tahoma"/>
            <family val="2"/>
          </rPr>
          <t xml:space="preserve">
Este valor corresponde al de las amortizaciones que debe pagar la ET en la vigencia aludida en la celda J4 por no haber obtenido la autorización de condonación.</t>
        </r>
      </text>
    </comment>
    <comment ref="I21" authorId="0" shapeId="0" xr:uid="{00000000-0006-0000-1500-00005F000000}">
      <text>
        <r>
          <rPr>
            <b/>
            <sz val="9"/>
            <color indexed="81"/>
            <rFont val="Tahoma"/>
            <family val="2"/>
          </rPr>
          <t>MHCP:</t>
        </r>
        <r>
          <rPr>
            <sz val="9"/>
            <color indexed="81"/>
            <rFont val="Tahoma"/>
            <family val="2"/>
          </rPr>
          <t xml:space="preserve">
Este valor corresponde al de las amortizaciones que debe pagar la ET en la vigencia aludida en la celda K4 por no haber obtenido la autorización de condonación.</t>
        </r>
      </text>
    </comment>
    <comment ref="J21" authorId="0" shapeId="0" xr:uid="{00000000-0006-0000-1500-000060000000}">
      <text>
        <r>
          <rPr>
            <b/>
            <sz val="9"/>
            <color indexed="81"/>
            <rFont val="Tahoma"/>
            <family val="2"/>
          </rPr>
          <t>MHCP:</t>
        </r>
        <r>
          <rPr>
            <sz val="9"/>
            <color indexed="81"/>
            <rFont val="Tahoma"/>
            <family val="2"/>
          </rPr>
          <t xml:space="preserve">
Este valor corresponde al de las amortizaciones que debe pagar la ET en la vigencia aludida en la celda L4 por no haber obtenido la autorización de condonación.</t>
        </r>
      </text>
    </comment>
    <comment ref="K21" authorId="0" shapeId="0" xr:uid="{00000000-0006-0000-1500-000061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L21" authorId="0" shapeId="0" xr:uid="{00000000-0006-0000-1500-000062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M21" authorId="0" shapeId="0" xr:uid="{00000000-0006-0000-1500-000063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C23" authorId="0" shapeId="0" xr:uid="{00000000-0006-0000-1500-000064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E4.
Debe corresponder a los intereses según las condiciones de los créditos vigentes.</t>
        </r>
      </text>
    </comment>
    <comment ref="D23" authorId="0" shapeId="0" xr:uid="{00000000-0006-0000-1500-000065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F4.
Debe corresponder a los intereses según las condiciones de los créditos vigentes.</t>
        </r>
      </text>
    </comment>
    <comment ref="E23" authorId="0" shapeId="0" xr:uid="{00000000-0006-0000-1500-000066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G4.
Debe corresponder a los intereses según las condiciones de los créditos vigentes.</t>
        </r>
      </text>
    </comment>
    <comment ref="F23" authorId="0" shapeId="0" xr:uid="{00000000-0006-0000-1500-000067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H4.
Debe corresponder a los intereses según las condiciones de los créditos vigentes.</t>
        </r>
      </text>
    </comment>
    <comment ref="G23" authorId="0" shapeId="0" xr:uid="{00000000-0006-0000-1500-000068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I4.
Debe corresponder a los intereses según las condiciones de los créditos vigentes.</t>
        </r>
      </text>
    </comment>
    <comment ref="H23" authorId="0" shapeId="0" xr:uid="{00000000-0006-0000-1500-000069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J4.
Debe corresponder a los intereses según las condiciones de los créditos vigentes.</t>
        </r>
      </text>
    </comment>
    <comment ref="I23" authorId="0" shapeId="0" xr:uid="{00000000-0006-0000-1500-00006A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K4.
Debe corresponder a los intereses según las condiciones de los créditos vigentes.</t>
        </r>
      </text>
    </comment>
    <comment ref="J23" authorId="0" shapeId="0" xr:uid="{00000000-0006-0000-1500-00006B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L4.
Debe corresponder a los intereses según las condiciones de los créditos vigentes.</t>
        </r>
      </text>
    </comment>
    <comment ref="K23" authorId="0" shapeId="0" xr:uid="{00000000-0006-0000-1500-00006C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L23" authorId="0" shapeId="0" xr:uid="{00000000-0006-0000-1500-00006D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M23" authorId="0" shapeId="0" xr:uid="{00000000-0006-0000-1500-00006E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C24" authorId="0" shapeId="0" xr:uid="{00000000-0006-0000-1500-00006F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E4.
Debe corresponder a los intereses según las condiciones de los créditos vigentes.</t>
        </r>
      </text>
    </comment>
    <comment ref="D24" authorId="0" shapeId="0" xr:uid="{00000000-0006-0000-1500-000070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F4.
Debe corresponder a los intereses según las condiciones de los créditos vigentes.</t>
        </r>
      </text>
    </comment>
    <comment ref="E24" authorId="0" shapeId="0" xr:uid="{00000000-0006-0000-1500-000071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G4.
Debe corresponder a los intereses según las condiciones de los créditos vigentes.</t>
        </r>
      </text>
    </comment>
    <comment ref="F24" authorId="0" shapeId="0" xr:uid="{00000000-0006-0000-1500-000072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H4.
Debe corresponder a los intereses según las condiciones de los créditos vigentes.</t>
        </r>
      </text>
    </comment>
    <comment ref="G24" authorId="0" shapeId="0" xr:uid="{00000000-0006-0000-1500-000073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I4.
Debe corresponder a los intereses según las condiciones de los créditos vigentes.</t>
        </r>
      </text>
    </comment>
    <comment ref="H24" authorId="0" shapeId="0" xr:uid="{00000000-0006-0000-1500-000074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J4.
Debe corresponder a los intereses según las condiciones de los créditos vigentes.</t>
        </r>
      </text>
    </comment>
    <comment ref="I24" authorId="0" shapeId="0" xr:uid="{00000000-0006-0000-1500-000075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K4.
Debe corresponder a los intereses según las condiciones de los créditos vigentes.</t>
        </r>
      </text>
    </comment>
    <comment ref="J24" authorId="0" shapeId="0" xr:uid="{00000000-0006-0000-1500-000076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L4.
Debe corresponder a los intereses según las condiciones de los créditos vigentes.</t>
        </r>
      </text>
    </comment>
    <comment ref="K24" authorId="0" shapeId="0" xr:uid="{00000000-0006-0000-1500-000077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L24" authorId="0" shapeId="0" xr:uid="{00000000-0006-0000-1500-000078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M24" authorId="0" shapeId="0" xr:uid="{00000000-0006-0000-1500-000079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C25" authorId="0" shapeId="0" xr:uid="{00000000-0006-0000-1500-00007A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D25" authorId="0" shapeId="0" xr:uid="{00000000-0006-0000-1500-00007B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E25" authorId="0" shapeId="0" xr:uid="{00000000-0006-0000-1500-00007C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F25" authorId="0" shapeId="0" xr:uid="{00000000-0006-0000-1500-00007D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G25" authorId="0" shapeId="0" xr:uid="{00000000-0006-0000-1500-00007E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H25" authorId="0" shapeId="0" xr:uid="{00000000-0006-0000-1500-00007F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I25" authorId="0" shapeId="0" xr:uid="{00000000-0006-0000-1500-000080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J25" authorId="0" shapeId="0" xr:uid="{00000000-0006-0000-1500-000081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K25" authorId="0" shapeId="0" xr:uid="{00000000-0006-0000-1500-000082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L25" authorId="0" shapeId="0" xr:uid="{00000000-0006-0000-1500-000083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M25" authorId="0" shapeId="0" xr:uid="{00000000-0006-0000-1500-000084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B35" authorId="1" shapeId="0" xr:uid="{00000000-0006-0000-1500-000085000000}">
      <text>
        <r>
          <rPr>
            <b/>
            <sz val="9"/>
            <color indexed="81"/>
            <rFont val="Tahoma"/>
            <family val="2"/>
          </rPr>
          <t>MHCP:</t>
        </r>
        <r>
          <rPr>
            <sz val="9"/>
            <color indexed="81"/>
            <rFont val="Tahoma"/>
            <family val="2"/>
          </rPr>
          <t xml:space="preserve">
El ejercicio parte del supuesto de trabajar con la tasa de interés implícita, que corresponde al total de los intereses de la vigencia sobre el saldo de la deuda al cierre de la vigencia anterior. Es responsabilidad de la ET. calcular la tasa de interés de acuerdo con las condiciones de cada crédito. </t>
        </r>
      </text>
    </comment>
    <comment ref="B36" authorId="1" shapeId="0" xr:uid="{00000000-0006-0000-1500-000086000000}">
      <text>
        <r>
          <rPr>
            <b/>
            <sz val="9"/>
            <color indexed="81"/>
            <rFont val="Tahoma"/>
            <family val="2"/>
          </rPr>
          <t>MHCP:</t>
        </r>
        <r>
          <rPr>
            <sz val="9"/>
            <color indexed="81"/>
            <rFont val="Tahoma"/>
            <family val="2"/>
          </rPr>
          <t xml:space="preserve">
Corresponde al porcentaje de cobertura definido por la Respectiva Resolución que expide la Superfinanciera trimestralmente. Es responsabilidad de la ET. Revisar periódicamente las disposiciones de la Superfinanciera para actualizar el dato.</t>
        </r>
      </text>
    </comment>
    <comment ref="B48" authorId="1" shapeId="0" xr:uid="{00000000-0006-0000-1500-000087000000}">
      <text>
        <r>
          <rPr>
            <b/>
            <sz val="9"/>
            <color indexed="81"/>
            <rFont val="Tahoma"/>
            <family val="2"/>
          </rPr>
          <t>MHCP:</t>
        </r>
        <r>
          <rPr>
            <sz val="9"/>
            <color indexed="81"/>
            <rFont val="Tahoma"/>
            <family val="2"/>
          </rPr>
          <t xml:space="preserve">
Corresponde al porcentaje de cobertura definido por la Respectiva Resolución que expide la Superfinanciera trimestralmente. Es responsabilidad de la ET. calcular la tasa de cambio con cobertura de riesgo de acuerdo con las condiciones de cada crédito.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Arcesio Valenzuela Ordoñez</author>
    <author>acer</author>
    <author>Gilberto Enrique Tejada Lema</author>
  </authors>
  <commentList>
    <comment ref="D1" authorId="0" shapeId="0" xr:uid="{00000000-0006-0000-1600-000001000000}">
      <text>
        <r>
          <rPr>
            <b/>
            <sz val="9"/>
            <color indexed="81"/>
            <rFont val="Tahoma"/>
            <family val="2"/>
          </rPr>
          <t>MHCP - DNP:</t>
        </r>
        <r>
          <rPr>
            <sz val="9"/>
            <color indexed="81"/>
            <rFont val="Tahoma"/>
            <family val="2"/>
          </rPr>
          <t xml:space="preserve">
IPC establecido en los Supuestos Macroeconómicos para el MFMP de la Nación 2018</t>
        </r>
      </text>
    </comment>
    <comment ref="C7" authorId="1" shapeId="0" xr:uid="{00000000-0006-0000-1600-000002000000}">
      <text>
        <r>
          <rPr>
            <b/>
            <sz val="9"/>
            <color indexed="81"/>
            <rFont val="Tahoma"/>
            <family val="2"/>
          </rPr>
          <t>MHCP:</t>
        </r>
        <r>
          <rPr>
            <sz val="9"/>
            <color indexed="81"/>
            <rFont val="Tahoma"/>
            <family val="2"/>
          </rPr>
          <t xml:space="preserve">
Valor de las Vigencias Futuras ordinarias o excepcionales para la vigencia </t>
        </r>
      </text>
    </comment>
    <comment ref="D7" authorId="1" shapeId="0" xr:uid="{00000000-0006-0000-1600-000003000000}">
      <text>
        <r>
          <rPr>
            <b/>
            <sz val="9"/>
            <color indexed="81"/>
            <rFont val="Tahoma"/>
            <family val="2"/>
          </rPr>
          <t>MHCP:</t>
        </r>
        <r>
          <rPr>
            <sz val="9"/>
            <color indexed="81"/>
            <rFont val="Tahoma"/>
            <family val="2"/>
          </rPr>
          <t xml:space="preserve">
Valor de las Vigencias Futuras ordinarias o excepcionales para la vigencia </t>
        </r>
      </text>
    </comment>
    <comment ref="E7" authorId="1" shapeId="0" xr:uid="{00000000-0006-0000-1600-000004000000}">
      <text>
        <r>
          <rPr>
            <b/>
            <sz val="9"/>
            <color indexed="81"/>
            <rFont val="Tahoma"/>
            <family val="2"/>
          </rPr>
          <t>MHCP:</t>
        </r>
        <r>
          <rPr>
            <sz val="9"/>
            <color indexed="81"/>
            <rFont val="Tahoma"/>
            <family val="2"/>
          </rPr>
          <t xml:space="preserve">
Valor de las Vigencias Futuras ordinarias o excepcionales para la vigencia </t>
        </r>
      </text>
    </comment>
    <comment ref="F7" authorId="1" shapeId="0" xr:uid="{00000000-0006-0000-1600-000005000000}">
      <text>
        <r>
          <rPr>
            <b/>
            <sz val="9"/>
            <color indexed="81"/>
            <rFont val="Tahoma"/>
            <family val="2"/>
          </rPr>
          <t>MHCP:</t>
        </r>
        <r>
          <rPr>
            <sz val="9"/>
            <color indexed="81"/>
            <rFont val="Tahoma"/>
            <family val="2"/>
          </rPr>
          <t xml:space="preserve">
Valor de las Vigencias Futuras ordinarias o excepcionales para la vigencia </t>
        </r>
      </text>
    </comment>
    <comment ref="G7" authorId="1" shapeId="0" xr:uid="{00000000-0006-0000-1600-000006000000}">
      <text>
        <r>
          <rPr>
            <b/>
            <sz val="9"/>
            <color indexed="81"/>
            <rFont val="Tahoma"/>
            <family val="2"/>
          </rPr>
          <t>MHCP:</t>
        </r>
        <r>
          <rPr>
            <sz val="9"/>
            <color indexed="81"/>
            <rFont val="Tahoma"/>
            <family val="2"/>
          </rPr>
          <t xml:space="preserve">
Valor de las Vigencias Futuras ordinarias o excepcionales para la vigencia </t>
        </r>
      </text>
    </comment>
    <comment ref="H7" authorId="1" shapeId="0" xr:uid="{00000000-0006-0000-1600-000007000000}">
      <text>
        <r>
          <rPr>
            <b/>
            <sz val="9"/>
            <color indexed="81"/>
            <rFont val="Tahoma"/>
            <family val="2"/>
          </rPr>
          <t>MHCP:</t>
        </r>
        <r>
          <rPr>
            <sz val="9"/>
            <color indexed="81"/>
            <rFont val="Tahoma"/>
            <family val="2"/>
          </rPr>
          <t xml:space="preserve">
Valor de las Vigencias Futuras ordinarias o excepcionales para la vigencia </t>
        </r>
      </text>
    </comment>
    <comment ref="I7" authorId="1" shapeId="0" xr:uid="{00000000-0006-0000-1600-000008000000}">
      <text>
        <r>
          <rPr>
            <b/>
            <sz val="9"/>
            <color indexed="81"/>
            <rFont val="Tahoma"/>
            <family val="2"/>
          </rPr>
          <t>MHCP:</t>
        </r>
        <r>
          <rPr>
            <sz val="9"/>
            <color indexed="81"/>
            <rFont val="Tahoma"/>
            <family val="2"/>
          </rPr>
          <t xml:space="preserve">
Valor de las Vigencias Futuras ordinarias o excepcionales para la vigencia </t>
        </r>
      </text>
    </comment>
    <comment ref="J7" authorId="1" shapeId="0" xr:uid="{00000000-0006-0000-1600-000009000000}">
      <text>
        <r>
          <rPr>
            <b/>
            <sz val="9"/>
            <color indexed="81"/>
            <rFont val="Tahoma"/>
            <family val="2"/>
          </rPr>
          <t>MHCP:</t>
        </r>
        <r>
          <rPr>
            <sz val="9"/>
            <color indexed="81"/>
            <rFont val="Tahoma"/>
            <family val="2"/>
          </rPr>
          <t xml:space="preserve">
Valor de las Vigencias Futuras ordinarias o excepcionales para la vigencia </t>
        </r>
      </text>
    </comment>
    <comment ref="K7" authorId="1" shapeId="0" xr:uid="{00000000-0006-0000-1600-00000A000000}">
      <text>
        <r>
          <rPr>
            <b/>
            <sz val="9"/>
            <color indexed="81"/>
            <rFont val="Tahoma"/>
            <family val="2"/>
          </rPr>
          <t>MHCP:</t>
        </r>
        <r>
          <rPr>
            <sz val="9"/>
            <color indexed="81"/>
            <rFont val="Tahoma"/>
            <family val="2"/>
          </rPr>
          <t xml:space="preserve">
Valor de las Vigencias Futuras ordinarias o excepcionales para la vigencia </t>
        </r>
      </text>
    </comment>
    <comment ref="L7" authorId="1" shapeId="0" xr:uid="{00000000-0006-0000-1600-00000B000000}">
      <text>
        <r>
          <rPr>
            <b/>
            <sz val="9"/>
            <color indexed="81"/>
            <rFont val="Tahoma"/>
            <family val="2"/>
          </rPr>
          <t>MHCP:</t>
        </r>
        <r>
          <rPr>
            <sz val="9"/>
            <color indexed="81"/>
            <rFont val="Tahoma"/>
            <family val="2"/>
          </rPr>
          <t xml:space="preserve">
Valor de las Vigencias Futuras ordinarias o excepcionales para la vigencia </t>
        </r>
      </text>
    </comment>
    <comment ref="M7" authorId="1" shapeId="0" xr:uid="{00000000-0006-0000-1600-00000C000000}">
      <text>
        <r>
          <rPr>
            <b/>
            <sz val="9"/>
            <color indexed="81"/>
            <rFont val="Tahoma"/>
            <family val="2"/>
          </rPr>
          <t>MHCP:</t>
        </r>
        <r>
          <rPr>
            <sz val="9"/>
            <color indexed="81"/>
            <rFont val="Tahoma"/>
            <family val="2"/>
          </rPr>
          <t xml:space="preserve">
Valor de las Vigencias Futuras ordinarias o excepcionales para la vigencia </t>
        </r>
      </text>
    </comment>
    <comment ref="N7" authorId="1" shapeId="0" xr:uid="{00000000-0006-0000-1600-00000D000000}">
      <text>
        <r>
          <rPr>
            <b/>
            <sz val="9"/>
            <color indexed="81"/>
            <rFont val="Tahoma"/>
            <family val="2"/>
          </rPr>
          <t>MHCP:</t>
        </r>
        <r>
          <rPr>
            <sz val="9"/>
            <color indexed="81"/>
            <rFont val="Tahoma"/>
            <family val="2"/>
          </rPr>
          <t xml:space="preserve">
Valor de las Vigencias Futuras ordinarias o excepcionales para la vigencia </t>
        </r>
      </text>
    </comment>
    <comment ref="O7" authorId="1" shapeId="0" xr:uid="{00000000-0006-0000-1600-00000E000000}">
      <text>
        <r>
          <rPr>
            <b/>
            <sz val="9"/>
            <color indexed="81"/>
            <rFont val="Tahoma"/>
            <family val="2"/>
          </rPr>
          <t>MHCP:</t>
        </r>
        <r>
          <rPr>
            <sz val="9"/>
            <color indexed="81"/>
            <rFont val="Tahoma"/>
            <family val="2"/>
          </rPr>
          <t xml:space="preserve">
Valor de las Vigencias Futuras ordinarias o excepcionales para la vigencia </t>
        </r>
      </text>
    </comment>
    <comment ref="C12" authorId="1" shapeId="0" xr:uid="{00000000-0006-0000-1600-00000F000000}">
      <text>
        <r>
          <rPr>
            <b/>
            <sz val="9"/>
            <color indexed="81"/>
            <rFont val="Tahoma"/>
            <family val="2"/>
          </rPr>
          <t>MHCP:</t>
        </r>
        <r>
          <rPr>
            <sz val="9"/>
            <color indexed="81"/>
            <rFont val="Tahoma"/>
            <family val="2"/>
          </rPr>
          <t xml:space="preserve">
</t>
        </r>
        <r>
          <rPr>
            <u/>
            <sz val="9"/>
            <color indexed="81"/>
            <rFont val="Tahoma"/>
            <family val="2"/>
          </rPr>
          <t>Este Saldo corresponde al registrado a Diciembre 31 de año anterior al indicado en la celda C4.
Con y Sin Regalías</t>
        </r>
      </text>
    </comment>
    <comment ref="C13" authorId="1" shapeId="0" xr:uid="{00000000-0006-0000-1600-000010000000}">
      <text>
        <r>
          <rPr>
            <b/>
            <sz val="9"/>
            <color indexed="81"/>
            <rFont val="Tahoma"/>
            <family val="2"/>
          </rPr>
          <t xml:space="preserve">MHCP:
</t>
        </r>
        <r>
          <rPr>
            <sz val="9"/>
            <color indexed="81"/>
            <rFont val="Tahoma"/>
            <family val="2"/>
          </rPr>
          <t>Este Saldo corresponde al registrado a Diciembre 31 de año anterior al indicado en la celda C4,</t>
        </r>
        <r>
          <rPr>
            <b/>
            <sz val="9"/>
            <color indexed="81"/>
            <rFont val="Tahoma"/>
            <family val="2"/>
          </rPr>
          <t xml:space="preserve"> financiada con Regalías.</t>
        </r>
      </text>
    </comment>
    <comment ref="D13" authorId="1" shapeId="0" xr:uid="{00000000-0006-0000-1600-000011000000}">
      <text>
        <r>
          <rPr>
            <b/>
            <sz val="9"/>
            <color indexed="81"/>
            <rFont val="Tahoma"/>
            <family val="2"/>
          </rPr>
          <t xml:space="preserve">MHCP:
</t>
        </r>
        <r>
          <rPr>
            <sz val="9"/>
            <color indexed="81"/>
            <rFont val="Tahoma"/>
            <family val="2"/>
          </rPr>
          <t>Este Saldo corresponde al registrado a Diciembre 31 de año anterior al indicado en la celda D4,</t>
        </r>
        <r>
          <rPr>
            <b/>
            <sz val="9"/>
            <color indexed="81"/>
            <rFont val="Tahoma"/>
            <family val="2"/>
          </rPr>
          <t xml:space="preserve"> financiada con Regalías.</t>
        </r>
      </text>
    </comment>
    <comment ref="E13" authorId="1" shapeId="0" xr:uid="{00000000-0006-0000-1600-000012000000}">
      <text>
        <r>
          <rPr>
            <b/>
            <sz val="9"/>
            <color indexed="81"/>
            <rFont val="Tahoma"/>
            <family val="2"/>
          </rPr>
          <t xml:space="preserve">MHCP:
</t>
        </r>
        <r>
          <rPr>
            <sz val="9"/>
            <color indexed="81"/>
            <rFont val="Tahoma"/>
            <family val="2"/>
          </rPr>
          <t>Este Saldo corresponde al registrado a Diciembre 31 de año anterior al indicado en la celda E4,</t>
        </r>
        <r>
          <rPr>
            <b/>
            <sz val="9"/>
            <color indexed="81"/>
            <rFont val="Tahoma"/>
            <family val="2"/>
          </rPr>
          <t xml:space="preserve"> financiada con Regalías.</t>
        </r>
      </text>
    </comment>
    <comment ref="F13" authorId="1" shapeId="0" xr:uid="{00000000-0006-0000-1600-000013000000}">
      <text>
        <r>
          <rPr>
            <b/>
            <sz val="9"/>
            <color indexed="81"/>
            <rFont val="Tahoma"/>
            <family val="2"/>
          </rPr>
          <t xml:space="preserve">MHCP:
</t>
        </r>
        <r>
          <rPr>
            <sz val="9"/>
            <color indexed="81"/>
            <rFont val="Tahoma"/>
            <family val="2"/>
          </rPr>
          <t>Este Saldo corresponde al registrado a Diciembre 31 de año anterior al indicado en la celda F4,</t>
        </r>
        <r>
          <rPr>
            <b/>
            <sz val="9"/>
            <color indexed="81"/>
            <rFont val="Tahoma"/>
            <family val="2"/>
          </rPr>
          <t xml:space="preserve"> financiada con Regalías.</t>
        </r>
      </text>
    </comment>
    <comment ref="G13" authorId="1" shapeId="0" xr:uid="{00000000-0006-0000-1600-000014000000}">
      <text>
        <r>
          <rPr>
            <b/>
            <sz val="9"/>
            <color indexed="81"/>
            <rFont val="Tahoma"/>
            <family val="2"/>
          </rPr>
          <t xml:space="preserve">MHCP:
</t>
        </r>
        <r>
          <rPr>
            <sz val="9"/>
            <color indexed="81"/>
            <rFont val="Tahoma"/>
            <family val="2"/>
          </rPr>
          <t>Este Saldo corresponde al registrado a Diciembre 31 de año anterior al indicado en la celda G4,</t>
        </r>
        <r>
          <rPr>
            <b/>
            <sz val="9"/>
            <color indexed="81"/>
            <rFont val="Tahoma"/>
            <family val="2"/>
          </rPr>
          <t xml:space="preserve"> financiada con Regalías.</t>
        </r>
      </text>
    </comment>
    <comment ref="H13" authorId="1" shapeId="0" xr:uid="{00000000-0006-0000-1600-000015000000}">
      <text>
        <r>
          <rPr>
            <b/>
            <sz val="9"/>
            <color indexed="81"/>
            <rFont val="Tahoma"/>
            <family val="2"/>
          </rPr>
          <t xml:space="preserve">MHCP:
</t>
        </r>
        <r>
          <rPr>
            <sz val="9"/>
            <color indexed="81"/>
            <rFont val="Tahoma"/>
            <family val="2"/>
          </rPr>
          <t>Este Saldo corresponde al registrado a Diciembre 31 de año anterior al indicado en la celda H4,</t>
        </r>
        <r>
          <rPr>
            <b/>
            <sz val="9"/>
            <color indexed="81"/>
            <rFont val="Tahoma"/>
            <family val="2"/>
          </rPr>
          <t xml:space="preserve"> financiada con Regalías.</t>
        </r>
      </text>
    </comment>
    <comment ref="I13" authorId="1" shapeId="0" xr:uid="{00000000-0006-0000-1600-000016000000}">
      <text>
        <r>
          <rPr>
            <b/>
            <sz val="9"/>
            <color indexed="81"/>
            <rFont val="Tahoma"/>
            <family val="2"/>
          </rPr>
          <t xml:space="preserve">MHCP:
</t>
        </r>
        <r>
          <rPr>
            <sz val="9"/>
            <color indexed="81"/>
            <rFont val="Tahoma"/>
            <family val="2"/>
          </rPr>
          <t>Este Saldo corresponde al registrado a Diciembre 31 de año anterior al indicado en la celda I4,</t>
        </r>
        <r>
          <rPr>
            <b/>
            <sz val="9"/>
            <color indexed="81"/>
            <rFont val="Tahoma"/>
            <family val="2"/>
          </rPr>
          <t xml:space="preserve"> financiada con Regalías.</t>
        </r>
      </text>
    </comment>
    <comment ref="J13" authorId="1" shapeId="0" xr:uid="{00000000-0006-0000-1600-000017000000}">
      <text>
        <r>
          <rPr>
            <b/>
            <sz val="9"/>
            <color indexed="81"/>
            <rFont val="Tahoma"/>
            <family val="2"/>
          </rPr>
          <t xml:space="preserve">MHCP:
</t>
        </r>
        <r>
          <rPr>
            <sz val="9"/>
            <color indexed="81"/>
            <rFont val="Tahoma"/>
            <family val="2"/>
          </rPr>
          <t>Este Saldo corresponde al registrado a Diciembre 31 de año anterior al indicado en la celda J4,</t>
        </r>
        <r>
          <rPr>
            <b/>
            <sz val="9"/>
            <color indexed="81"/>
            <rFont val="Tahoma"/>
            <family val="2"/>
          </rPr>
          <t xml:space="preserve"> financiada con Regalías.</t>
        </r>
      </text>
    </comment>
    <comment ref="K13" authorId="1" shapeId="0" xr:uid="{00000000-0006-0000-1600-000018000000}">
      <text>
        <r>
          <rPr>
            <b/>
            <sz val="9"/>
            <color indexed="81"/>
            <rFont val="Tahoma"/>
            <family val="2"/>
          </rPr>
          <t xml:space="preserve">MHCP:
</t>
        </r>
        <r>
          <rPr>
            <sz val="9"/>
            <color indexed="81"/>
            <rFont val="Tahoma"/>
            <family val="2"/>
          </rPr>
          <t>Este Saldo corresponde al registrado a Diciembre 31 de año anterior al indicado en la celda K4,</t>
        </r>
        <r>
          <rPr>
            <b/>
            <sz val="9"/>
            <color indexed="81"/>
            <rFont val="Tahoma"/>
            <family val="2"/>
          </rPr>
          <t xml:space="preserve"> financiada con Regalías.</t>
        </r>
      </text>
    </comment>
    <comment ref="L13" authorId="1" shapeId="0" xr:uid="{00000000-0006-0000-1600-000019000000}">
      <text>
        <r>
          <rPr>
            <b/>
            <sz val="9"/>
            <color indexed="81"/>
            <rFont val="Tahoma"/>
            <family val="2"/>
          </rPr>
          <t xml:space="preserve">MHCP:
</t>
        </r>
        <r>
          <rPr>
            <sz val="9"/>
            <color indexed="81"/>
            <rFont val="Tahoma"/>
            <family val="2"/>
          </rPr>
          <t>Este Saldo corresponde al registrado a Diciembre 31 de año anterior al indicado en la celda L4,</t>
        </r>
        <r>
          <rPr>
            <b/>
            <sz val="9"/>
            <color indexed="81"/>
            <rFont val="Tahoma"/>
            <family val="2"/>
          </rPr>
          <t xml:space="preserve"> financiada con Regalías.</t>
        </r>
      </text>
    </comment>
    <comment ref="M13" authorId="1" shapeId="0" xr:uid="{00000000-0006-0000-1600-00001A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N13" authorId="1" shapeId="0" xr:uid="{00000000-0006-0000-1600-00001B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O13" authorId="1" shapeId="0" xr:uid="{00000000-0006-0000-1600-00001C000000}">
      <text>
        <r>
          <rPr>
            <b/>
            <sz val="9"/>
            <color indexed="81"/>
            <rFont val="Tahoma"/>
            <family val="2"/>
          </rPr>
          <t xml:space="preserve">MHCP:
</t>
        </r>
        <r>
          <rPr>
            <sz val="9"/>
            <color indexed="81"/>
            <rFont val="Tahoma"/>
            <family val="2"/>
          </rPr>
          <t>Este Saldo corresponde al registrado a Diciembre 31 de año anterior al indicado en la celda M4,</t>
        </r>
        <r>
          <rPr>
            <b/>
            <sz val="9"/>
            <color indexed="81"/>
            <rFont val="Tahoma"/>
            <family val="2"/>
          </rPr>
          <t xml:space="preserve"> financiada con Regalías.</t>
        </r>
      </text>
    </comment>
    <comment ref="C14" authorId="1" shapeId="0" xr:uid="{00000000-0006-0000-1600-00001D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D14" authorId="1" shapeId="0" xr:uid="{00000000-0006-0000-1600-00001E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E14" authorId="1" shapeId="0" xr:uid="{00000000-0006-0000-1600-00001F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F14" authorId="1" shapeId="0" xr:uid="{00000000-0006-0000-1600-000020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G14" authorId="1" shapeId="0" xr:uid="{00000000-0006-0000-1600-000021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H14" authorId="1" shapeId="0" xr:uid="{00000000-0006-0000-1600-000022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I14" authorId="1" shapeId="0" xr:uid="{00000000-0006-0000-1600-000023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J14" authorId="1" shapeId="0" xr:uid="{00000000-0006-0000-1600-000024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K14" authorId="1" shapeId="0" xr:uid="{00000000-0006-0000-1600-000025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L14" authorId="1" shapeId="0" xr:uid="{00000000-0006-0000-1600-000026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M14" authorId="1" shapeId="0" xr:uid="{00000000-0006-0000-1600-000027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N14" authorId="1" shapeId="0" xr:uid="{00000000-0006-0000-1600-000028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O14" authorId="1" shapeId="0" xr:uid="{00000000-0006-0000-1600-000029000000}">
      <text>
        <r>
          <rPr>
            <b/>
            <sz val="9"/>
            <color indexed="81"/>
            <rFont val="Tahoma"/>
            <family val="2"/>
          </rPr>
          <t>MHCP:</t>
        </r>
        <r>
          <rPr>
            <sz val="9"/>
            <color indexed="81"/>
            <rFont val="Tahoma"/>
            <family val="2"/>
          </rPr>
          <t xml:space="preserve">
Registre el valor de los desembolsos que realizará en la vigencia, </t>
        </r>
        <r>
          <rPr>
            <u/>
            <sz val="9"/>
            <color indexed="81"/>
            <rFont val="Tahoma"/>
            <family val="2"/>
          </rPr>
          <t>correspondiente a los créditos que ha contratado y no desembolsad</t>
        </r>
        <r>
          <rPr>
            <sz val="9"/>
            <color indexed="81"/>
            <rFont val="Tahoma"/>
            <family val="2"/>
          </rPr>
          <t>o</t>
        </r>
      </text>
    </comment>
    <comment ref="C15" authorId="1" shapeId="0" xr:uid="{00000000-0006-0000-1600-00002A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D15" authorId="1" shapeId="0" xr:uid="{00000000-0006-0000-1600-00002B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E15" authorId="1" shapeId="0" xr:uid="{00000000-0006-0000-1600-00002C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F15" authorId="1" shapeId="0" xr:uid="{00000000-0006-0000-1600-00002D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G15" authorId="1" shapeId="0" xr:uid="{00000000-0006-0000-1600-00002E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H15" authorId="1" shapeId="0" xr:uid="{00000000-0006-0000-1600-00002F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I15" authorId="1" shapeId="0" xr:uid="{00000000-0006-0000-1600-000030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J15" authorId="1" shapeId="0" xr:uid="{00000000-0006-0000-1600-000031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K15" authorId="1" shapeId="0" xr:uid="{00000000-0006-0000-1600-000032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L15" authorId="1" shapeId="0" xr:uid="{00000000-0006-0000-1600-000033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M15" authorId="1" shapeId="0" xr:uid="{00000000-0006-0000-1600-000034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N15" authorId="1" shapeId="0" xr:uid="{00000000-0006-0000-1600-000035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O15" authorId="1" shapeId="0" xr:uid="{00000000-0006-0000-1600-000036000000}">
      <text>
        <r>
          <rPr>
            <b/>
            <sz val="9"/>
            <color indexed="81"/>
            <rFont val="Tahoma"/>
            <family val="2"/>
          </rPr>
          <t>MHCP:</t>
        </r>
        <r>
          <rPr>
            <sz val="9"/>
            <color indexed="81"/>
            <rFont val="Tahoma"/>
            <family val="2"/>
          </rPr>
          <t xml:space="preserve">
Registre el monto de los desembolsos que realizará en la vigencia por concepto de nuevos créditos.</t>
        </r>
      </text>
    </comment>
    <comment ref="C17" authorId="1" shapeId="0" xr:uid="{00000000-0006-0000-1600-000037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C4.
Debe corresponder a las amortizaciones según las condiciones de los créditos vigentes.</t>
        </r>
      </text>
    </comment>
    <comment ref="D17" authorId="1" shapeId="0" xr:uid="{00000000-0006-0000-1600-000038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D4.
Debe corresponder a las amortizaciones según las condiciones de los créditos vigentes.</t>
        </r>
      </text>
    </comment>
    <comment ref="E17" authorId="1" shapeId="0" xr:uid="{00000000-0006-0000-1600-000039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E4.
Debe corresponder a las amortizaciones según las condiciones de los créditos vigentes.</t>
        </r>
      </text>
    </comment>
    <comment ref="F17" authorId="1" shapeId="0" xr:uid="{00000000-0006-0000-1600-00003A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F4.
Debe corresponder a las amortizaciones según las condiciones de los créditos vigentes.</t>
        </r>
      </text>
    </comment>
    <comment ref="G17" authorId="1" shapeId="0" xr:uid="{00000000-0006-0000-1600-00003B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G4.
Debe corresponder a las amortizaciones según las condiciones de los créditos vigentes.</t>
        </r>
      </text>
    </comment>
    <comment ref="H17" authorId="1" shapeId="0" xr:uid="{00000000-0006-0000-1600-00003C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H4.
Debe corresponder a las amortizaciones según las condiciones de los créditos vigentes.</t>
        </r>
      </text>
    </comment>
    <comment ref="I17" authorId="1" shapeId="0" xr:uid="{00000000-0006-0000-1600-00003D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I4.
Debe corresponder a las amortizaciones según las condiciones de los créditos vigentes.</t>
        </r>
      </text>
    </comment>
    <comment ref="J17" authorId="1" shapeId="0" xr:uid="{00000000-0006-0000-1600-00003E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J4.
Debe corresponder a las amortizaciones según las condiciones de los créditos vigentes.</t>
        </r>
      </text>
    </comment>
    <comment ref="K17" authorId="1" shapeId="0" xr:uid="{00000000-0006-0000-1600-00003F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K4.
Debe corresponder a las amortizaciones según las condiciones de los créditos vigentes.K</t>
        </r>
      </text>
    </comment>
    <comment ref="L17" authorId="1" shapeId="0" xr:uid="{00000000-0006-0000-1600-000040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L4.
Debe corresponder a las amortizaciones según las condiciones de los créditos vigentes.</t>
        </r>
      </text>
    </comment>
    <comment ref="M17" authorId="1" shapeId="0" xr:uid="{00000000-0006-0000-1600-000041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N17" authorId="1" shapeId="0" xr:uid="{00000000-0006-0000-1600-000042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O17" authorId="1" shapeId="0" xr:uid="{00000000-0006-0000-1600-000043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Con y Sin Regalías</t>
        </r>
        <r>
          <rPr>
            <sz val="9"/>
            <color indexed="81"/>
            <rFont val="Tahoma"/>
            <family val="2"/>
          </rPr>
          <t>) que se tienen presupuestadas pagar en la vigencia aludida en la celda M4.
Debe corresponder a las amortizaciones según las condiciones de los créditos vigentes.</t>
        </r>
      </text>
    </comment>
    <comment ref="C18" authorId="1" shapeId="0" xr:uid="{00000000-0006-0000-1600-000044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C4.
Debe corresponder a las amortizaciones según las condiciones de los créditos vigentes.</t>
        </r>
      </text>
    </comment>
    <comment ref="D18" authorId="1" shapeId="0" xr:uid="{00000000-0006-0000-1600-000045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D4.
Debe corresponder a las amortizaciones según las condiciones de los créditos vigentes.</t>
        </r>
      </text>
    </comment>
    <comment ref="E18" authorId="1" shapeId="0" xr:uid="{00000000-0006-0000-1600-000046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E4.
Debe corresponder a las amortizaciones según las condiciones de los créditos vigentes.</t>
        </r>
      </text>
    </comment>
    <comment ref="F18" authorId="1" shapeId="0" xr:uid="{00000000-0006-0000-1600-000047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F4.
Debe corresponder a las amortizaciones según las condiciones de los créditos vigentes.</t>
        </r>
      </text>
    </comment>
    <comment ref="G18" authorId="1" shapeId="0" xr:uid="{00000000-0006-0000-1600-000048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G4.
Debe corresponder a las amortizaciones según las condiciones de los créditos vigentes.</t>
        </r>
      </text>
    </comment>
    <comment ref="H18" authorId="1" shapeId="0" xr:uid="{00000000-0006-0000-1600-000049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H4.
Debe corresponder a las amortizaciones según las condiciones de los créditos vigentes.</t>
        </r>
      </text>
    </comment>
    <comment ref="I18" authorId="1" shapeId="0" xr:uid="{00000000-0006-0000-1600-00004A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I4.
Debe corresponder a las amortizaciones según las condiciones de los créditos vigentes.</t>
        </r>
      </text>
    </comment>
    <comment ref="J18" authorId="1" shapeId="0" xr:uid="{00000000-0006-0000-1600-00004B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J4.
Debe corresponder a las amortizaciones según las condiciones de los créditos vigentes.</t>
        </r>
      </text>
    </comment>
    <comment ref="K18" authorId="1" shapeId="0" xr:uid="{00000000-0006-0000-1600-00004C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K4.
Debe corresponder a las amortizaciones según las condiciones de los créditos vigentes.</t>
        </r>
      </text>
    </comment>
    <comment ref="L18" authorId="1" shapeId="0" xr:uid="{00000000-0006-0000-1600-00004D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L4.
Debe corresponder a las amortizaciones según las condiciones de los créditos vigentes.</t>
        </r>
      </text>
    </comment>
    <comment ref="M18" authorId="1" shapeId="0" xr:uid="{00000000-0006-0000-1600-00004E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N18" authorId="1" shapeId="0" xr:uid="{00000000-0006-0000-1600-00004F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O18" authorId="1" shapeId="0" xr:uid="{00000000-0006-0000-1600-000050000000}">
      <text>
        <r>
          <rPr>
            <b/>
            <sz val="9"/>
            <color indexed="81"/>
            <rFont val="Tahoma"/>
            <family val="2"/>
          </rPr>
          <t>MHCP:</t>
        </r>
        <r>
          <rPr>
            <sz val="9"/>
            <color indexed="81"/>
            <rFont val="Tahoma"/>
            <family val="2"/>
          </rPr>
          <t xml:space="preserve">
Este valor corresponde a monto de las amortizaciones de la deuda pública (</t>
        </r>
        <r>
          <rPr>
            <b/>
            <u/>
            <sz val="9"/>
            <color indexed="81"/>
            <rFont val="Tahoma"/>
            <family val="2"/>
          </rPr>
          <t>sólo Con Regalías</t>
        </r>
        <r>
          <rPr>
            <sz val="9"/>
            <color indexed="81"/>
            <rFont val="Tahoma"/>
            <family val="2"/>
          </rPr>
          <t>) que se tienen presupuestadas pagar en la vigencia aludida en la celda M4.
Debe corresponder a las amortizaciones según las condiciones de los créditos vigentes.</t>
        </r>
      </text>
    </comment>
    <comment ref="C19" authorId="1" shapeId="0" xr:uid="{00000000-0006-0000-1600-000051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D19" authorId="1" shapeId="0" xr:uid="{00000000-0006-0000-1600-000052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E19" authorId="1" shapeId="0" xr:uid="{00000000-0006-0000-1600-000053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F19" authorId="1" shapeId="0" xr:uid="{00000000-0006-0000-1600-000054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G19" authorId="1" shapeId="0" xr:uid="{00000000-0006-0000-1600-000055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H19" authorId="1" shapeId="0" xr:uid="{00000000-0006-0000-1600-000056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I19" authorId="1" shapeId="0" xr:uid="{00000000-0006-0000-1600-000057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J19" authorId="1" shapeId="0" xr:uid="{00000000-0006-0000-1600-000058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K19" authorId="1" shapeId="0" xr:uid="{00000000-0006-0000-1600-000059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L19" authorId="1" shapeId="0" xr:uid="{00000000-0006-0000-1600-00005A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M19" authorId="1" shapeId="0" xr:uid="{00000000-0006-0000-1600-00005B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N19" authorId="1" shapeId="0" xr:uid="{00000000-0006-0000-1600-00005C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O19" authorId="1" shapeId="0" xr:uid="{00000000-0006-0000-1600-00005D000000}">
      <text>
        <r>
          <rPr>
            <b/>
            <sz val="9"/>
            <color indexed="81"/>
            <rFont val="Tahoma"/>
            <family val="2"/>
          </rPr>
          <t>MHCP:</t>
        </r>
        <r>
          <rPr>
            <sz val="9"/>
            <color indexed="81"/>
            <rFont val="Tahoma"/>
            <family val="2"/>
          </rPr>
          <t xml:space="preserve">
Registre el monto de las amortizaciones que deberá pagar por los desembolsos que realizará en la vigencia por concepto de nuevos créditos.</t>
        </r>
      </text>
    </comment>
    <comment ref="C20" authorId="1" shapeId="0" xr:uid="{00000000-0006-0000-1600-00005E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C4.</t>
        </r>
      </text>
    </comment>
    <comment ref="D20" authorId="1" shapeId="0" xr:uid="{00000000-0006-0000-1600-00005F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D4.</t>
        </r>
      </text>
    </comment>
    <comment ref="E20" authorId="1" shapeId="0" xr:uid="{00000000-0006-0000-1600-000060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E4.</t>
        </r>
      </text>
    </comment>
    <comment ref="F20" authorId="1" shapeId="0" xr:uid="{00000000-0006-0000-1600-000061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F4.</t>
        </r>
      </text>
    </comment>
    <comment ref="G20" authorId="1" shapeId="0" xr:uid="{00000000-0006-0000-1600-000062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G4.</t>
        </r>
      </text>
    </comment>
    <comment ref="H20" authorId="1" shapeId="0" xr:uid="{00000000-0006-0000-1600-000063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H4.</t>
        </r>
      </text>
    </comment>
    <comment ref="I20" authorId="1" shapeId="0" xr:uid="{00000000-0006-0000-1600-000064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I4.</t>
        </r>
      </text>
    </comment>
    <comment ref="J20" authorId="1" shapeId="0" xr:uid="{00000000-0006-0000-1600-000065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J4.</t>
        </r>
      </text>
    </comment>
    <comment ref="K20" authorId="1" shapeId="0" xr:uid="{00000000-0006-0000-1600-000066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K4.</t>
        </r>
      </text>
    </comment>
    <comment ref="L20" authorId="1" shapeId="0" xr:uid="{00000000-0006-0000-1600-000067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L4.</t>
        </r>
      </text>
    </comment>
    <comment ref="M20" authorId="1" shapeId="0" xr:uid="{00000000-0006-0000-1600-000068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N20" authorId="1" shapeId="0" xr:uid="{00000000-0006-0000-1600-000069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O20" authorId="1" shapeId="0" xr:uid="{00000000-0006-0000-1600-00006A000000}">
      <text>
        <r>
          <rPr>
            <b/>
            <sz val="9"/>
            <color indexed="81"/>
            <rFont val="Tahoma"/>
            <family val="2"/>
          </rPr>
          <t>MHCP:</t>
        </r>
        <r>
          <rPr>
            <sz val="9"/>
            <color indexed="81"/>
            <rFont val="Tahoma"/>
            <family val="2"/>
          </rPr>
          <t xml:space="preserve">
Este corresponde al del crédito vigente que le fue otorgado a la ET para el saneamiento hospitalario, el cual es condonable, cuyo saldo es el registrado a Diciembre 31 de año anterior al indicado en la celda M4.</t>
        </r>
      </text>
    </comment>
    <comment ref="C21" authorId="1" shapeId="0" xr:uid="{00000000-0006-0000-1600-00006B000000}">
      <text>
        <r>
          <rPr>
            <b/>
            <sz val="9"/>
            <color indexed="81"/>
            <rFont val="Tahoma"/>
            <family val="2"/>
          </rPr>
          <t>MHCP:</t>
        </r>
        <r>
          <rPr>
            <sz val="9"/>
            <color indexed="81"/>
            <rFont val="Tahoma"/>
            <family val="2"/>
          </rPr>
          <t xml:space="preserve">
Este valor corresponde al de las amortizaciones que debe pagar la ET en la vigencia aludida en la celda C4 por no haber obtenido la autorización de condonación.</t>
        </r>
      </text>
    </comment>
    <comment ref="D21" authorId="1" shapeId="0" xr:uid="{00000000-0006-0000-1600-00006C000000}">
      <text>
        <r>
          <rPr>
            <b/>
            <sz val="9"/>
            <color indexed="81"/>
            <rFont val="Tahoma"/>
            <family val="2"/>
          </rPr>
          <t>MHCP:</t>
        </r>
        <r>
          <rPr>
            <sz val="9"/>
            <color indexed="81"/>
            <rFont val="Tahoma"/>
            <family val="2"/>
          </rPr>
          <t xml:space="preserve">
Este valor corresponde al de las amortizaciones que debe pagar la ET en la vigencia aludida en la celda D4 por no haber obtenido la autorización de condonación.</t>
        </r>
      </text>
    </comment>
    <comment ref="E21" authorId="1" shapeId="0" xr:uid="{00000000-0006-0000-1600-00006D000000}">
      <text>
        <r>
          <rPr>
            <b/>
            <sz val="9"/>
            <color indexed="81"/>
            <rFont val="Tahoma"/>
            <family val="2"/>
          </rPr>
          <t>MHCP:</t>
        </r>
        <r>
          <rPr>
            <sz val="9"/>
            <color indexed="81"/>
            <rFont val="Tahoma"/>
            <family val="2"/>
          </rPr>
          <t xml:space="preserve">
Este valor corresponde al de las amortizaciones que debe pagar la ET en la vigencia aludida en la celda E4 por no haber obtenido la autorización de condonación.</t>
        </r>
      </text>
    </comment>
    <comment ref="F21" authorId="1" shapeId="0" xr:uid="{00000000-0006-0000-1600-00006E000000}">
      <text>
        <r>
          <rPr>
            <b/>
            <sz val="9"/>
            <color indexed="81"/>
            <rFont val="Tahoma"/>
            <family val="2"/>
          </rPr>
          <t>MHCP:</t>
        </r>
        <r>
          <rPr>
            <sz val="9"/>
            <color indexed="81"/>
            <rFont val="Tahoma"/>
            <family val="2"/>
          </rPr>
          <t xml:space="preserve">
Este valor corresponde al de las amortizaciones que debe pagar la ET en la vigencia aludida en la celda F4 por no haber obtenido la autorización de condonación.</t>
        </r>
      </text>
    </comment>
    <comment ref="G21" authorId="1" shapeId="0" xr:uid="{00000000-0006-0000-1600-00006F000000}">
      <text>
        <r>
          <rPr>
            <b/>
            <sz val="9"/>
            <color indexed="81"/>
            <rFont val="Tahoma"/>
            <family val="2"/>
          </rPr>
          <t>MHCP:</t>
        </r>
        <r>
          <rPr>
            <sz val="9"/>
            <color indexed="81"/>
            <rFont val="Tahoma"/>
            <family val="2"/>
          </rPr>
          <t xml:space="preserve">
Este valor corresponde al de las amortizaciones que debe pagar la ET en la vigencia aludida en la celda G4 por no haber obtenido la autorización de condonación.</t>
        </r>
      </text>
    </comment>
    <comment ref="H21" authorId="1" shapeId="0" xr:uid="{00000000-0006-0000-1600-000070000000}">
      <text>
        <r>
          <rPr>
            <b/>
            <sz val="9"/>
            <color indexed="81"/>
            <rFont val="Tahoma"/>
            <family val="2"/>
          </rPr>
          <t>MHCP:</t>
        </r>
        <r>
          <rPr>
            <sz val="9"/>
            <color indexed="81"/>
            <rFont val="Tahoma"/>
            <family val="2"/>
          </rPr>
          <t xml:space="preserve">
Este valor corresponde al de las amortizaciones que debe pagar la ET en la vigencia aludida en la celda H4 por no haber obtenido la autorización de condonación.</t>
        </r>
      </text>
    </comment>
    <comment ref="I21" authorId="1" shapeId="0" xr:uid="{00000000-0006-0000-1600-000071000000}">
      <text>
        <r>
          <rPr>
            <b/>
            <sz val="9"/>
            <color indexed="81"/>
            <rFont val="Tahoma"/>
            <family val="2"/>
          </rPr>
          <t>MHCP:</t>
        </r>
        <r>
          <rPr>
            <sz val="9"/>
            <color indexed="81"/>
            <rFont val="Tahoma"/>
            <family val="2"/>
          </rPr>
          <t xml:space="preserve">
Este valor corresponde al de las amortizaciones que debe pagar la ET en la vigencia aludida en la celda I4 por no haber obtenido la autorización de condonación.</t>
        </r>
      </text>
    </comment>
    <comment ref="J21" authorId="1" shapeId="0" xr:uid="{00000000-0006-0000-1600-000072000000}">
      <text>
        <r>
          <rPr>
            <b/>
            <sz val="9"/>
            <color indexed="81"/>
            <rFont val="Tahoma"/>
            <family val="2"/>
          </rPr>
          <t>MHCP:</t>
        </r>
        <r>
          <rPr>
            <sz val="9"/>
            <color indexed="81"/>
            <rFont val="Tahoma"/>
            <family val="2"/>
          </rPr>
          <t xml:space="preserve">
Este valor corresponde al de las amortizaciones que debe pagar la ET en la vigencia aludida en la celda J4 por no haber obtenido la autorización de condonación.</t>
        </r>
      </text>
    </comment>
    <comment ref="K21" authorId="1" shapeId="0" xr:uid="{00000000-0006-0000-1600-000073000000}">
      <text>
        <r>
          <rPr>
            <b/>
            <sz val="9"/>
            <color indexed="81"/>
            <rFont val="Tahoma"/>
            <family val="2"/>
          </rPr>
          <t>MHCP:</t>
        </r>
        <r>
          <rPr>
            <sz val="9"/>
            <color indexed="81"/>
            <rFont val="Tahoma"/>
            <family val="2"/>
          </rPr>
          <t xml:space="preserve">
Este valor corresponde al de las amortizaciones que debe pagar la ET en la vigencia aludida en la celda K4 por no haber obtenido la autorización de condonación.</t>
        </r>
      </text>
    </comment>
    <comment ref="L21" authorId="1" shapeId="0" xr:uid="{00000000-0006-0000-1600-000074000000}">
      <text>
        <r>
          <rPr>
            <b/>
            <sz val="9"/>
            <color indexed="81"/>
            <rFont val="Tahoma"/>
            <family val="2"/>
          </rPr>
          <t>MHCP:</t>
        </r>
        <r>
          <rPr>
            <sz val="9"/>
            <color indexed="81"/>
            <rFont val="Tahoma"/>
            <family val="2"/>
          </rPr>
          <t xml:space="preserve">
Este valor corresponde al de las amortizaciones que debe pagar la ET en la vigencia aludida en la celda L4 por no haber obtenido la autorización de condonación.</t>
        </r>
      </text>
    </comment>
    <comment ref="M21" authorId="1" shapeId="0" xr:uid="{00000000-0006-0000-1600-000075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N21" authorId="1" shapeId="0" xr:uid="{00000000-0006-0000-1600-000076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O21" authorId="1" shapeId="0" xr:uid="{00000000-0006-0000-1600-000077000000}">
      <text>
        <r>
          <rPr>
            <b/>
            <sz val="9"/>
            <color indexed="81"/>
            <rFont val="Tahoma"/>
            <family val="2"/>
          </rPr>
          <t>MHCP:</t>
        </r>
        <r>
          <rPr>
            <sz val="9"/>
            <color indexed="81"/>
            <rFont val="Tahoma"/>
            <family val="2"/>
          </rPr>
          <t xml:space="preserve">
Este valor corresponde al de las amortizaciones que debe pagar la ET en la vigencia aludida en la celda M4 por no haber obtenido la autorización de condonación.</t>
        </r>
      </text>
    </comment>
    <comment ref="C23" authorId="1" shapeId="0" xr:uid="{00000000-0006-0000-1600-000078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C4.
Debe corresponder a los intereses según las condiciones de los créditos vigentes.</t>
        </r>
      </text>
    </comment>
    <comment ref="D23" authorId="1" shapeId="0" xr:uid="{00000000-0006-0000-1600-000079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D4.
Debe corresponder a los intereses según las condiciones de los créditos vigentes.</t>
        </r>
      </text>
    </comment>
    <comment ref="E23" authorId="1" shapeId="0" xr:uid="{00000000-0006-0000-1600-00007A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E4.
Debe corresponder a los intereses según las condiciones de los créditos vigentes.</t>
        </r>
      </text>
    </comment>
    <comment ref="F23" authorId="1" shapeId="0" xr:uid="{00000000-0006-0000-1600-00007B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F4.
Debe corresponder a los intereses según las condiciones de los créditos vigentes.</t>
        </r>
      </text>
    </comment>
    <comment ref="G23" authorId="1" shapeId="0" xr:uid="{00000000-0006-0000-1600-00007C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G4.
Debe corresponder a los intereses según las condiciones de los créditos vigentes.</t>
        </r>
      </text>
    </comment>
    <comment ref="H23" authorId="1" shapeId="0" xr:uid="{00000000-0006-0000-1600-00007D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H4.
Debe corresponder a los intereses según las condiciones de los créditos vigentes.</t>
        </r>
      </text>
    </comment>
    <comment ref="I23" authorId="1" shapeId="0" xr:uid="{00000000-0006-0000-1600-00007E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I4.
Debe corresponder a los intereses según las condiciones de los créditos vigentes.</t>
        </r>
      </text>
    </comment>
    <comment ref="J23" authorId="1" shapeId="0" xr:uid="{00000000-0006-0000-1600-00007F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J4.
Debe corresponder a los intereses según las condiciones de los créditos vigentes.</t>
        </r>
      </text>
    </comment>
    <comment ref="K23" authorId="1" shapeId="0" xr:uid="{00000000-0006-0000-1600-000080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K4.
Debe corresponder a los intereses según las condiciones de los créditos vigentes.</t>
        </r>
      </text>
    </comment>
    <comment ref="L23" authorId="1" shapeId="0" xr:uid="{00000000-0006-0000-1600-000081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L4.
Debe corresponder a los intereses según las condiciones de los créditos vigentes.</t>
        </r>
      </text>
    </comment>
    <comment ref="M23" authorId="1" shapeId="0" xr:uid="{00000000-0006-0000-1600-000082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N23" authorId="1" shapeId="0" xr:uid="{00000000-0006-0000-1600-000083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O23" authorId="1" shapeId="0" xr:uid="{00000000-0006-0000-1600-000084000000}">
      <text>
        <r>
          <rPr>
            <b/>
            <sz val="9"/>
            <color indexed="81"/>
            <rFont val="Tahoma"/>
            <family val="2"/>
          </rPr>
          <t>MHCP:</t>
        </r>
        <r>
          <rPr>
            <sz val="9"/>
            <color indexed="81"/>
            <rFont val="Tahoma"/>
            <family val="2"/>
          </rPr>
          <t xml:space="preserve">
Este valor corresponde a monto de los intereses de la deuda pública (Con y Sin Regalías) que se tienen presupuestados pagar en la vigencia aludida en la celda M4.
Debe corresponder a los intereses según las condiciones de los créditos vigentes.</t>
        </r>
      </text>
    </comment>
    <comment ref="C24" authorId="1" shapeId="0" xr:uid="{00000000-0006-0000-1600-000085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C4.
Debe corresponder a los intereses según las condiciones de los créditos vigentes.</t>
        </r>
      </text>
    </comment>
    <comment ref="D24" authorId="1" shapeId="0" xr:uid="{00000000-0006-0000-1600-000086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D4.
Debe corresponder a los intereses según las condiciones de los créditos vigentes.</t>
        </r>
      </text>
    </comment>
    <comment ref="E24" authorId="1" shapeId="0" xr:uid="{00000000-0006-0000-1600-000087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E4.
Debe corresponder a los intereses según las condiciones de los créditos vigentes.</t>
        </r>
      </text>
    </comment>
    <comment ref="F24" authorId="1" shapeId="0" xr:uid="{00000000-0006-0000-1600-000088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F4.
Debe corresponder a los intereses según las condiciones de los créditos vigentes.</t>
        </r>
      </text>
    </comment>
    <comment ref="G24" authorId="1" shapeId="0" xr:uid="{00000000-0006-0000-1600-000089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G4.
Debe corresponder a los intereses según las condiciones de los créditos vigentes.</t>
        </r>
      </text>
    </comment>
    <comment ref="H24" authorId="1" shapeId="0" xr:uid="{00000000-0006-0000-1600-00008A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H4.
Debe corresponder a los intereses según las condiciones de los créditos vigentes.</t>
        </r>
      </text>
    </comment>
    <comment ref="I24" authorId="1" shapeId="0" xr:uid="{00000000-0006-0000-1600-00008B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I4.
Debe corresponder a los intereses según las condiciones de los créditos vigentes.</t>
        </r>
      </text>
    </comment>
    <comment ref="J24" authorId="1" shapeId="0" xr:uid="{00000000-0006-0000-1600-00008C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J4.
Debe corresponder a los intereses según las condiciones de los créditos vigentes.</t>
        </r>
      </text>
    </comment>
    <comment ref="K24" authorId="1" shapeId="0" xr:uid="{00000000-0006-0000-1600-00008D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K4.
Debe corresponder a los intereses según las condiciones de los créditos vigentes.</t>
        </r>
      </text>
    </comment>
    <comment ref="L24" authorId="1" shapeId="0" xr:uid="{00000000-0006-0000-1600-00008E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L4.
Debe corresponder a los intereses según las condiciones de los créditos vigentes.</t>
        </r>
      </text>
    </comment>
    <comment ref="M24" authorId="1" shapeId="0" xr:uid="{00000000-0006-0000-1600-00008F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N24" authorId="1" shapeId="0" xr:uid="{00000000-0006-0000-1600-000090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O24" authorId="1" shapeId="0" xr:uid="{00000000-0006-0000-1600-000091000000}">
      <text>
        <r>
          <rPr>
            <b/>
            <sz val="9"/>
            <color indexed="81"/>
            <rFont val="Tahoma"/>
            <family val="2"/>
          </rPr>
          <t>MHCP:</t>
        </r>
        <r>
          <rPr>
            <sz val="9"/>
            <color indexed="81"/>
            <rFont val="Tahoma"/>
            <family val="2"/>
          </rPr>
          <t xml:space="preserve">
Este valor corresponde a monto de los intereses de la deuda pública (sólo Con Regalías) que se tienen presupuestados pagar en la vigencia aludida en la celda M4.
Debe corresponder a los intereses según las condiciones de los créditos vigentes.</t>
        </r>
      </text>
    </comment>
    <comment ref="C25" authorId="1" shapeId="0" xr:uid="{00000000-0006-0000-1600-000092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D25" authorId="1" shapeId="0" xr:uid="{00000000-0006-0000-1600-000093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E25" authorId="1" shapeId="0" xr:uid="{00000000-0006-0000-1600-000094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F25" authorId="1" shapeId="0" xr:uid="{00000000-0006-0000-1600-000095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G25" authorId="1" shapeId="0" xr:uid="{00000000-0006-0000-1600-000096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H25" authorId="1" shapeId="0" xr:uid="{00000000-0006-0000-1600-000097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I25" authorId="1" shapeId="0" xr:uid="{00000000-0006-0000-1600-000098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J25" authorId="1" shapeId="0" xr:uid="{00000000-0006-0000-1600-000099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K25" authorId="1" shapeId="0" xr:uid="{00000000-0006-0000-1600-00009A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L25" authorId="1" shapeId="0" xr:uid="{00000000-0006-0000-1600-00009B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M25" authorId="1" shapeId="0" xr:uid="{00000000-0006-0000-1600-00009C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N25" authorId="1" shapeId="0" xr:uid="{00000000-0006-0000-1600-00009D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O25" authorId="1" shapeId="0" xr:uid="{00000000-0006-0000-1600-00009E000000}">
      <text>
        <r>
          <rPr>
            <b/>
            <sz val="9"/>
            <color indexed="81"/>
            <rFont val="Tahoma"/>
            <family val="2"/>
          </rPr>
          <t>MHCP:</t>
        </r>
        <r>
          <rPr>
            <sz val="9"/>
            <color indexed="81"/>
            <rFont val="Tahoma"/>
            <family val="2"/>
          </rPr>
          <t xml:space="preserve">
Registre el monto de los intereses que deberá pagar por los desembolsos que realizará en la vigencia por concepto de nuevos créditos.</t>
        </r>
      </text>
    </comment>
    <comment ref="B35" authorId="0" shapeId="0" xr:uid="{00000000-0006-0000-1600-00009F000000}">
      <text>
        <r>
          <rPr>
            <b/>
            <sz val="9"/>
            <color indexed="81"/>
            <rFont val="Tahoma"/>
            <family val="2"/>
          </rPr>
          <t>MHCP:</t>
        </r>
        <r>
          <rPr>
            <sz val="9"/>
            <color indexed="81"/>
            <rFont val="Tahoma"/>
            <family val="2"/>
          </rPr>
          <t xml:space="preserve">
El ejercicio parte del supuesto de trabajar con la tasa de interés implícita, que corresponde al total de los intereses de la vigencia sobre el saldo de la deuda al cierre de la vigencia anterior. Es responsabilidad de la ET. calcular la tasa de interés de acuerdo con las condiciones de cada crédito. </t>
        </r>
      </text>
    </comment>
    <comment ref="B36" authorId="0" shapeId="0" xr:uid="{00000000-0006-0000-1600-0000A0000000}">
      <text>
        <r>
          <rPr>
            <b/>
            <sz val="9"/>
            <color indexed="81"/>
            <rFont val="Tahoma"/>
            <family val="2"/>
          </rPr>
          <t>MHCP:</t>
        </r>
        <r>
          <rPr>
            <sz val="9"/>
            <color indexed="81"/>
            <rFont val="Tahoma"/>
            <family val="2"/>
          </rPr>
          <t xml:space="preserve">
Corresponde al porcentaje de cobertura definido por la Respectiva Resolución que expide la Superfinanciera trimestralmente. Es responsabilidad de la ET. Revisar periódicamente las disposiciones de la Superfinanciera para actualizar el dato.</t>
        </r>
      </text>
    </comment>
    <comment ref="C36" authorId="2" shapeId="0" xr:uid="{00000000-0006-0000-1600-0000A1000000}">
      <text>
        <r>
          <rPr>
            <b/>
            <sz val="9"/>
            <color indexed="81"/>
            <rFont val="Tahoma"/>
            <family val="2"/>
          </rPr>
          <t>DAF:</t>
        </r>
        <r>
          <rPr>
            <sz val="9"/>
            <color indexed="81"/>
            <rFont val="Tahoma"/>
            <family val="2"/>
          </rPr>
          <t xml:space="preserve">
Cobertura de riesgo en Tasa de Interés Externa, Resolución No. 0831 del 28 de Junio de 2019 - Superfinanciera</t>
        </r>
      </text>
    </comment>
    <comment ref="B48" authorId="0" shapeId="0" xr:uid="{00000000-0006-0000-1600-0000A2000000}">
      <text>
        <r>
          <rPr>
            <b/>
            <sz val="9"/>
            <color indexed="81"/>
            <rFont val="Tahoma"/>
            <family val="2"/>
          </rPr>
          <t>MHCP:</t>
        </r>
        <r>
          <rPr>
            <sz val="9"/>
            <color indexed="81"/>
            <rFont val="Tahoma"/>
            <family val="2"/>
          </rPr>
          <t xml:space="preserve">
Corresponde al porcentaje de cobertura definido por la Respectiva Resolución que expide la Superfinanciera trimestralmente. Es responsabilidad de la ET. calcular la tasa de cambio con cobertura de riesgo de acuerdo con las condiciones de cada crédito. </t>
        </r>
      </text>
    </comment>
    <comment ref="C48" authorId="2" shapeId="0" xr:uid="{00000000-0006-0000-1600-0000A3000000}">
      <text>
        <r>
          <rPr>
            <b/>
            <sz val="9"/>
            <color indexed="81"/>
            <rFont val="Tahoma"/>
            <family val="2"/>
          </rPr>
          <t xml:space="preserve">DAF:
</t>
        </r>
        <r>
          <rPr>
            <sz val="9"/>
            <color indexed="81"/>
            <rFont val="Tahoma"/>
            <family val="2"/>
          </rPr>
          <t>Cobertura de riesgo en Tasa de Cambio Resolución No. 0831 del 28 de Junio de 2019 - Superfinanciera</t>
        </r>
      </text>
    </comment>
  </commentList>
</comments>
</file>

<file path=xl/sharedStrings.xml><?xml version="1.0" encoding="utf-8"?>
<sst xmlns="http://schemas.openxmlformats.org/spreadsheetml/2006/main" count="15632" uniqueCount="4460">
  <si>
    <t>Recurso</t>
  </si>
  <si>
    <t>Nombre</t>
  </si>
  <si>
    <t>2022 Recaudo al mes de Mayo</t>
  </si>
  <si>
    <t>2021 Recaudo al mes de Mayo</t>
  </si>
  <si>
    <t>2020 Recaudo al mes de Mayo</t>
  </si>
  <si>
    <t>2019 Recaudo al mes de Mayo</t>
  </si>
  <si>
    <t>2018 Recaudo al mes de Mayo</t>
  </si>
  <si>
    <t>2017 Recaudo al mes de Mayo</t>
  </si>
  <si>
    <t>Promedio Recaudo al mes de Mayo 2021-2017</t>
  </si>
  <si>
    <t>2021 Promedio  del 1 de Junio al 31 de Diciembre</t>
  </si>
  <si>
    <t>2021 Recaudo  del 1 de Junio al 31 de Diciembre</t>
  </si>
  <si>
    <t>2020 Recaudo  del 1 de Junio al 31 de Diciembre</t>
  </si>
  <si>
    <t>2019 Recaudo  del 1 de Junio al 31 de Diciembre</t>
  </si>
  <si>
    <t>2018 Recaudo  del 1 de Junio al 31 de Diciembre</t>
  </si>
  <si>
    <t>2017 Recaudo  del 1 de Junio al 31 de Diciembre</t>
  </si>
  <si>
    <t>2020 recaudo diciembre 31</t>
  </si>
  <si>
    <t>2019 recaudo diciembre 31</t>
  </si>
  <si>
    <t>2018 recaudo diciembre 31</t>
  </si>
  <si>
    <t>2017 recaudo diciembre 31</t>
  </si>
  <si>
    <t>Promedio  2017-2021 recaudo diciembre 31</t>
  </si>
  <si>
    <t>Presupuesto Definitivo 2022</t>
  </si>
  <si>
    <t>Porcentaje Recaudo Frente al ingreso definitivo a mayo</t>
  </si>
  <si>
    <t>valor minimo se debio recaudar seguin promedio historico</t>
  </si>
  <si>
    <t>Recaudo-promedio años anteriores</t>
  </si>
  <si>
    <t>Porcentaje Recaudo Frente al ingreso definitivo de junio a diciembre</t>
  </si>
  <si>
    <t>Proyeccion Recaudo 01 junio al 31 de Diciembre 2021</t>
  </si>
  <si>
    <t>Esperado de Recaudo 2021 Suma Recaudo real a mayo con Proyeccion Recaudo Junio Diciembre</t>
  </si>
  <si>
    <t>Deficit / Superavativ Proyectado 2021</t>
  </si>
  <si>
    <t>PRESUPUESTO 2022</t>
  </si>
  <si>
    <t>01</t>
  </si>
  <si>
    <t>IMPUESTO AL REGISTRO 20% FONPET</t>
  </si>
  <si>
    <t>04</t>
  </si>
  <si>
    <t>ESTAMPILLA PRODESARROLLO</t>
  </si>
  <si>
    <t>05</t>
  </si>
  <si>
    <t>ESTAMPILLA PROCULTURA</t>
  </si>
  <si>
    <t>06</t>
  </si>
  <si>
    <t>ESTAMPILLA PROADULTO MAYOR</t>
  </si>
  <si>
    <t>08</t>
  </si>
  <si>
    <t>ESTAMPILLA PROHOSPITAL SAN JUAN DE DIOS</t>
  </si>
  <si>
    <t>09</t>
  </si>
  <si>
    <t>SUPERAVIT S.G.P. EDUCACION</t>
  </si>
  <si>
    <t>110</t>
  </si>
  <si>
    <t>RESOLUCION 971/2016 PROGRAMA INIMPUTABLES</t>
  </si>
  <si>
    <t>111</t>
  </si>
  <si>
    <t>RES. 781/15 PREV. Y CONTROL ENFERMEDADES POR VECT</t>
  </si>
  <si>
    <t>113</t>
  </si>
  <si>
    <t>RES. 1029/16 CAMP Y CONTROL ANTI TUBERCULOSIS QDIO</t>
  </si>
  <si>
    <t>114</t>
  </si>
  <si>
    <t>RES.1030/2016 CAMPAÑA CONTROL LEPRA QUINDIO</t>
  </si>
  <si>
    <t>122</t>
  </si>
  <si>
    <t>SUPERAVIT DESAHORRO FONPET</t>
  </si>
  <si>
    <t>123</t>
  </si>
  <si>
    <t>SUPERAVIT ESTAMPILLA PRO HOSPITAL</t>
  </si>
  <si>
    <t>129</t>
  </si>
  <si>
    <t>SUPERAVIT IMPUESTO AL REGISTRO PROMOTORA</t>
  </si>
  <si>
    <t>13</t>
  </si>
  <si>
    <t>IMPUESTO AL REGISTRO CUOTAS PARTES Y BONOS DEL 10%</t>
  </si>
  <si>
    <t>130</t>
  </si>
  <si>
    <t>SUPERAVIT IMPUESTO AL REGISTRO FONPET</t>
  </si>
  <si>
    <t>134</t>
  </si>
  <si>
    <t>EXTRACCION MATERIAL DE RIO MINAS Y OTROS</t>
  </si>
  <si>
    <t>136</t>
  </si>
  <si>
    <t>DESAHOOROO FONPET CON SITUACION</t>
  </si>
  <si>
    <t>137</t>
  </si>
  <si>
    <t>SUPERAVIT TRANSFERENCIA DE LA NACION PAE</t>
  </si>
  <si>
    <t>145</t>
  </si>
  <si>
    <t>IMPUESTO AL CONSUMO DEL 3%</t>
  </si>
  <si>
    <t>147</t>
  </si>
  <si>
    <t>SUPER AVIT RES. 2311 DE 2017</t>
  </si>
  <si>
    <t>149</t>
  </si>
  <si>
    <t>SUPERAVIT CONSTRUCION CANCHA SINTETICA Y ADUCACION</t>
  </si>
  <si>
    <t>152</t>
  </si>
  <si>
    <t>EXCEDENTES APORTES PATRONALES ESE DEL DEPTO</t>
  </si>
  <si>
    <t>154</t>
  </si>
  <si>
    <t>ADRES SINSITUACION DE FONDOS</t>
  </si>
  <si>
    <t>155</t>
  </si>
  <si>
    <t>IVA CEDIDO SOBRE LICORES ART. 32 LEY 1816</t>
  </si>
  <si>
    <t>157</t>
  </si>
  <si>
    <t>SUPERAVIT RECURSOS DEL CREDITO</t>
  </si>
  <si>
    <t>158</t>
  </si>
  <si>
    <t>SUPERAVIT IMPUESTO AL CONSUMO 3%</t>
  </si>
  <si>
    <t>167</t>
  </si>
  <si>
    <t>SUPERAVIT RECURSOS - ADRES RES. 2359/2019</t>
  </si>
  <si>
    <t>168</t>
  </si>
  <si>
    <t>FONDO DE SALVAMENTO Y GRANT. PARA LA SALUD FONSAET</t>
  </si>
  <si>
    <t>171</t>
  </si>
  <si>
    <t>SUBSIDIO A LA OFERTA</t>
  </si>
  <si>
    <t>172</t>
  </si>
  <si>
    <t>COFINANCIACION MUNICIPIOS PAE</t>
  </si>
  <si>
    <t>173</t>
  </si>
  <si>
    <t>TRANSFERENCIAS NACION FOME</t>
  </si>
  <si>
    <t>176</t>
  </si>
  <si>
    <t>ESTAMPILLA PRO-DESARROLLO (20%) PENSIONES</t>
  </si>
  <si>
    <t>177</t>
  </si>
  <si>
    <t>ESTAMPILLA PRO-DESARROLLO (15%) INFRAESTRUCTURA SA</t>
  </si>
  <si>
    <t>178</t>
  </si>
  <si>
    <t>ESTAMPILLA PRO-ADULTO MAYOR (20%) PENSIONES</t>
  </si>
  <si>
    <t>179</t>
  </si>
  <si>
    <t>IMPUESTO AL CONSUMO (3%) DESTINACION DEPORTE</t>
  </si>
  <si>
    <t>18</t>
  </si>
  <si>
    <t>CUOTAS DE FISCALIZACION</t>
  </si>
  <si>
    <t>181</t>
  </si>
  <si>
    <t>COLCIENCIAS SIN SITUACION DE FONDOS SSF</t>
  </si>
  <si>
    <t>182</t>
  </si>
  <si>
    <t>COLCIENCIAS CON SITUACION DE FONDOS</t>
  </si>
  <si>
    <t>183</t>
  </si>
  <si>
    <t>SUPERAVIT COFINANCIACION MUNICIPIOS PAE</t>
  </si>
  <si>
    <t>184</t>
  </si>
  <si>
    <t>SUPERAVIT RESOLUCION 626 DE 2020 COVID-19</t>
  </si>
  <si>
    <t>185</t>
  </si>
  <si>
    <t>MINISTRIO DE SALUD RESOLUCIONES DISCAPACIDAD</t>
  </si>
  <si>
    <t>186</t>
  </si>
  <si>
    <t>SUPERAVIT EXTRACCION MATERIAL DE RIO MINAS Y OTROS</t>
  </si>
  <si>
    <t>187</t>
  </si>
  <si>
    <t>SUPERAVIT TRANSFERENCIAS NACION FOME</t>
  </si>
  <si>
    <t>188</t>
  </si>
  <si>
    <t>EXIGIBILIDADES SPG EDUCACIÓN</t>
  </si>
  <si>
    <t>189</t>
  </si>
  <si>
    <t>SUPERÁVIT INTERESES SGP EDUCACIÓN</t>
  </si>
  <si>
    <t>190</t>
  </si>
  <si>
    <t>TASA PRO DEPORTE Y RECREACION DEPARTAMENTO DEL QUI</t>
  </si>
  <si>
    <t>191</t>
  </si>
  <si>
    <t>SUPERAVIT RENTAS CEDIDAS REGIMEN SUBSIDIADO</t>
  </si>
  <si>
    <t>192</t>
  </si>
  <si>
    <t>SUPERAVIT SGP SUBSIDIO DE LA OFERTA</t>
  </si>
  <si>
    <t>193</t>
  </si>
  <si>
    <t>SUPERAVIT RENTAS CEDIDAS PRESTACION DE SERVICIOS</t>
  </si>
  <si>
    <t>194</t>
  </si>
  <si>
    <t>SUPERAVIT EXCEDENTES APORTES PATRONALES ESE DEL DE</t>
  </si>
  <si>
    <t>195</t>
  </si>
  <si>
    <t>SUPERAVIT REINTEGRO RECURSOS DEL CREDITO</t>
  </si>
  <si>
    <t>196</t>
  </si>
  <si>
    <t>ACTIVIDADES DE PROMOCION Y DESARROLLO DE LA CULTUR</t>
  </si>
  <si>
    <t>197</t>
  </si>
  <si>
    <t>RESOLUCION 196 DE 2021</t>
  </si>
  <si>
    <t>198</t>
  </si>
  <si>
    <t>SUPERAVIT FONDO DE SALVAMENTO Y GRANT. FONSAET</t>
  </si>
  <si>
    <t>199</t>
  </si>
  <si>
    <t>SUPERAVIT RENTAS CEDIDAS SUBCUEN OTROS GASTOS SALU</t>
  </si>
  <si>
    <t>20</t>
  </si>
  <si>
    <t>RECURSO ORDINARIO</t>
  </si>
  <si>
    <t>200</t>
  </si>
  <si>
    <t>SEPERAVIT COLCIENCIAS</t>
  </si>
  <si>
    <t>21</t>
  </si>
  <si>
    <t>RENDIMIENTOS FINANCIEROS -SGP EDUCACION</t>
  </si>
  <si>
    <t>SOBRETASA AL ACPM</t>
  </si>
  <si>
    <t>25</t>
  </si>
  <si>
    <t>SISTEMA GENERAL D EPARTICIPACION EDUCACION</t>
  </si>
  <si>
    <t>26</t>
  </si>
  <si>
    <t>SISTEMA GENERAL DE PARTICIPACION EDUCACION</t>
  </si>
  <si>
    <t>27</t>
  </si>
  <si>
    <t>SISTEMA GENERAL DE PARTICIPACIONES AGUA POTABLE Y</t>
  </si>
  <si>
    <t>33</t>
  </si>
  <si>
    <t>ESTAMPILLA PRO-CULTURA 10% SEGURIDAD SOCIAL</t>
  </si>
  <si>
    <t>34</t>
  </si>
  <si>
    <t>ESTAMPILLA PRO-CULTURA 10% BIBLIOTECAS</t>
  </si>
  <si>
    <t>35</t>
  </si>
  <si>
    <t>RECURSO DESTINADO DEL MONOPOLIO</t>
  </si>
  <si>
    <t>39</t>
  </si>
  <si>
    <t>ESTAMPILLA PRO-CULTURA 50% CONCERTACION</t>
  </si>
  <si>
    <t>41</t>
  </si>
  <si>
    <t>ESTAMPILLA PRO-CULTRA 10% ESTIMULOS</t>
  </si>
  <si>
    <t>42</t>
  </si>
  <si>
    <t>FONDOS DE SEGURIDAD 5%</t>
  </si>
  <si>
    <t>46</t>
  </si>
  <si>
    <t>RECURSOS DEL CREDITO</t>
  </si>
  <si>
    <t>47</t>
  </si>
  <si>
    <t xml:space="preserve"> IVA TELEFONIA MOVIL CULTURA</t>
  </si>
  <si>
    <t>52</t>
  </si>
  <si>
    <t>TURISMO Y CULTURA 4%</t>
  </si>
  <si>
    <t>53</t>
  </si>
  <si>
    <t>IMPUESTO AL  REGISTRO PROMOTORA 6%</t>
  </si>
  <si>
    <t>56</t>
  </si>
  <si>
    <t>COFINANCIACION CONVENIOS INTERADMINISTRATIVOS</t>
  </si>
  <si>
    <t>58</t>
  </si>
  <si>
    <t>RENTAS CEDIDAS SECRETARIA .DE SALUD</t>
  </si>
  <si>
    <t>59</t>
  </si>
  <si>
    <t>SGP SALUD PRESTACION SERVICIOS C.S.F</t>
  </si>
  <si>
    <t>61</t>
  </si>
  <si>
    <t>SGP SALUD SALUD PUBLICA C.S.F</t>
  </si>
  <si>
    <t>63</t>
  </si>
  <si>
    <t>FONDO DE ESTUPEFACIENTES</t>
  </si>
  <si>
    <t>65</t>
  </si>
  <si>
    <t>COFINANCIACION NACIONAL SALUD</t>
  </si>
  <si>
    <t>70</t>
  </si>
  <si>
    <t>SISTEMA GENERAL DE REGALIAS</t>
  </si>
  <si>
    <t>72</t>
  </si>
  <si>
    <t>RENTAS CEDIDAS SUBCUENTA OTROS GASTOS EN SALUD</t>
  </si>
  <si>
    <t>81</t>
  </si>
  <si>
    <t>TRANSFERENCIAS DE LA NACION POR ALIMENTACION PAE</t>
  </si>
  <si>
    <t>82</t>
  </si>
  <si>
    <t>SUPERAVIT ESTAMPILLA PRO-DESARROLLO</t>
  </si>
  <si>
    <t>83</t>
  </si>
  <si>
    <t>SUPERAVIT ESTAMPILLA PRO-CULTURA</t>
  </si>
  <si>
    <t>84</t>
  </si>
  <si>
    <t>SUPERAVIT ESTAMPILLA PRO-ADULTO MAYOR</t>
  </si>
  <si>
    <t>86</t>
  </si>
  <si>
    <t>SUPERAVIT REGISTRO PAGO CUOTAS PARTES PENSIONALES</t>
  </si>
  <si>
    <t>88</t>
  </si>
  <si>
    <t>SUPERAVIT RECURSO ORDINARIO</t>
  </si>
  <si>
    <t>89</t>
  </si>
  <si>
    <t>SUPERAVIT SOBRETASA ACPM</t>
  </si>
  <si>
    <t>90</t>
  </si>
  <si>
    <t>SUPERAVIT SGP AGUA POTABLE</t>
  </si>
  <si>
    <t>91</t>
  </si>
  <si>
    <t>SUPERAVIT RECURSO DESTIANDO DEL MONOPOLIO</t>
  </si>
  <si>
    <t>92</t>
  </si>
  <si>
    <t>SUPERAVIT FONDO DE SEGURIDAD</t>
  </si>
  <si>
    <t>93</t>
  </si>
  <si>
    <t>SUPERAVIT IVA TELEFONIA MOVIL CULTURA</t>
  </si>
  <si>
    <t>94</t>
  </si>
  <si>
    <t>SUPERAVIT IMPUESTO AL REGISTRO TURISMO 4%</t>
  </si>
  <si>
    <t>95</t>
  </si>
  <si>
    <t>SUPERAVIT CONVENIOS INTERADMINISTRATIVOS</t>
  </si>
  <si>
    <t>96</t>
  </si>
  <si>
    <t>SUPERAVIT RENTAS CEDIDAS SALUD</t>
  </si>
  <si>
    <t>97</t>
  </si>
  <si>
    <t>SUPERAVIT SGP SALUD PRESTACION DE SERVICIOS</t>
  </si>
  <si>
    <t>98</t>
  </si>
  <si>
    <t>SUPERAVIT SGP SALUD PUBLICA</t>
  </si>
  <si>
    <t>99</t>
  </si>
  <si>
    <t>SUPERAVIT FONDO DE ESTUPERFACIENTES</t>
  </si>
  <si>
    <t>COD_RECURSO</t>
  </si>
  <si>
    <t>RUBRO</t>
  </si>
  <si>
    <t>NOM_INGRESO</t>
  </si>
  <si>
    <t>AFORO_INICIAL</t>
  </si>
  <si>
    <t xml:space="preserve"> </t>
  </si>
  <si>
    <t>0307 - 1</t>
  </si>
  <si>
    <t>Ingresos</t>
  </si>
  <si>
    <t>0307 - 11</t>
  </si>
  <si>
    <t>Ingresos Corrientes</t>
  </si>
  <si>
    <t>0307 - 1101</t>
  </si>
  <si>
    <t>Ingresos tributarios</t>
  </si>
  <si>
    <t>0307 - 110101</t>
  </si>
  <si>
    <t>Impuestos directos</t>
  </si>
  <si>
    <t>VIGENCIA 2022</t>
  </si>
  <si>
    <t>VIGENCIA 2021</t>
  </si>
  <si>
    <t>DIFERENCIA</t>
  </si>
  <si>
    <t>0307 - 110101100 - 20</t>
  </si>
  <si>
    <t>Impuesto sobre vehículos automotores</t>
  </si>
  <si>
    <t>0307 - 110102</t>
  </si>
  <si>
    <t>Impuestos indirectos</t>
  </si>
  <si>
    <t>0307 - 110102100</t>
  </si>
  <si>
    <t>Impuesto de Registro</t>
  </si>
  <si>
    <t>0307 - 11010210001 - 01</t>
  </si>
  <si>
    <t>Impuesto de Registro - Cámaras de Comercio</t>
  </si>
  <si>
    <t>0307 - 11010210001 - 13</t>
  </si>
  <si>
    <t>0307 - 11010210001 - 20</t>
  </si>
  <si>
    <t>0307 - 11010210001 - 52</t>
  </si>
  <si>
    <t>0307 - 11010210001 - 53</t>
  </si>
  <si>
    <t>0307 - 11010210002 - 01</t>
  </si>
  <si>
    <t>Impuesto de Registro - Oficinas de Instrumentos Públicos</t>
  </si>
  <si>
    <t>0307 - 11010210002 - 13</t>
  </si>
  <si>
    <t>0307 - 11010210002 - 20</t>
  </si>
  <si>
    <t>0307 - 11010210002 - 52</t>
  </si>
  <si>
    <t>0307 - 11010210002 - 53</t>
  </si>
  <si>
    <t>0307 - 110102102 - 20</t>
  </si>
  <si>
    <t>Impuesto al degüello de ganado mayor</t>
  </si>
  <si>
    <t>0307 - 110102103</t>
  </si>
  <si>
    <t>IVA sobre licores, vinos, aperitivos y similares (régimen anterior)</t>
  </si>
  <si>
    <t>0307 - 11010210302</t>
  </si>
  <si>
    <t>revisar nombre</t>
  </si>
  <si>
    <t>0307 - 1101021030201 - 145</t>
  </si>
  <si>
    <t>0307 - 110102104</t>
  </si>
  <si>
    <t>Impuesto al consumo de licores, vinos, aperitivos y similares</t>
  </si>
  <si>
    <t>0307 - 11010210401</t>
  </si>
  <si>
    <t>Impuesto al consumo de licores</t>
  </si>
  <si>
    <t>0307 - 1101021040101 - 20</t>
  </si>
  <si>
    <t>Impuesto al consumo de licores - Nacionales</t>
  </si>
  <si>
    <t>0307 - 1101021040102 - 20</t>
  </si>
  <si>
    <t>Impuesto al consumo de licores - Extranjeros</t>
  </si>
  <si>
    <t>0307 - 11010210402</t>
  </si>
  <si>
    <t>Impuesto al consumo de vinos, aperitivos y similares</t>
  </si>
  <si>
    <t>0307 - 1101021040201 - 20</t>
  </si>
  <si>
    <t>Impuesto al consumo de vinos, aperitivos y similares - Nacionales</t>
  </si>
  <si>
    <t>0307 - 1101021040202 - 20</t>
  </si>
  <si>
    <t>Impuesto al consumo de vinos, aperitivos y similares - Extranjeros</t>
  </si>
  <si>
    <t>0307 - 110102105</t>
  </si>
  <si>
    <t>Impuesto al consumo de cervezas, sifones, refajos y mezclas</t>
  </si>
  <si>
    <t>0307 - 11010210501 - 20</t>
  </si>
  <si>
    <t>Impuesto al consumo de cervezas, sifones, refajos y mezclas - Nacionales</t>
  </si>
  <si>
    <t>0307 - 11010210502 - 20</t>
  </si>
  <si>
    <t>Impuesto al consumo de cervezas, sifones, refajos y mezclas - Extranjeras</t>
  </si>
  <si>
    <t>0307 - 110102106</t>
  </si>
  <si>
    <t>Impuesto al consumo de cigarrillos y tabaco</t>
  </si>
  <si>
    <t>0307 - 11010210601</t>
  </si>
  <si>
    <t>Componente específico del impuesto al consumo de cigarrillos y tabaco</t>
  </si>
  <si>
    <t>0307 - 1101021060102 - 20</t>
  </si>
  <si>
    <t>Componente específico del impuesto al consumo de cigarrillos y tabaco - Extranjeros</t>
  </si>
  <si>
    <t>0307 - 110102109 - 20</t>
  </si>
  <si>
    <t xml:space="preserve">Sobretasa a la gasolina </t>
  </si>
  <si>
    <t>0307 - 110102213 - 42</t>
  </si>
  <si>
    <t>Sobretasa fondo de Seguridad</t>
  </si>
  <si>
    <t>0307 - 110102300</t>
  </si>
  <si>
    <t>Estampillas</t>
  </si>
  <si>
    <t>0307 - 11010230001 - 06</t>
  </si>
  <si>
    <t>Estampilla para el bienestar del adulto mayor</t>
  </si>
  <si>
    <t>0307 - 11010230001 - 178</t>
  </si>
  <si>
    <t>0307 - 11010230002 - 04</t>
  </si>
  <si>
    <t>Estampilla pro desarrollo departamental</t>
  </si>
  <si>
    <t>0307 - 11010230002 - 176</t>
  </si>
  <si>
    <t>0307 - 11010230002 - 177</t>
  </si>
  <si>
    <t>0307 - 11010230045 - 08</t>
  </si>
  <si>
    <t>Estampilla pro Hospital Departamental Universitario del Quindío San Juan de Dios</t>
  </si>
  <si>
    <t>0307 - 11010230055 - 05</t>
  </si>
  <si>
    <t>Estampilla pro cultura</t>
  </si>
  <si>
    <t>0307 - 11010230055 - 33</t>
  </si>
  <si>
    <t>0307 - 11010230055 - 34</t>
  </si>
  <si>
    <t>0307 - 11010230055 - 39</t>
  </si>
  <si>
    <t>0307 - 11010230055 - 41</t>
  </si>
  <si>
    <t>0307 - 1102</t>
  </si>
  <si>
    <t>Ingresos no tributarios</t>
  </si>
  <si>
    <t>0307 - 110201</t>
  </si>
  <si>
    <t>Contribuciones</t>
  </si>
  <si>
    <t>0307 - 110201003</t>
  </si>
  <si>
    <t>Contribuciones especiales</t>
  </si>
  <si>
    <t>0307 - 11020100301</t>
  </si>
  <si>
    <t>Cuota de fiscalización y auditaje</t>
  </si>
  <si>
    <t>0307 - 1102010030100</t>
  </si>
  <si>
    <t>0307 - 110201003010000</t>
  </si>
  <si>
    <t>0307 - 11020100301000000</t>
  </si>
  <si>
    <t>0307 - 1102010030100000000</t>
  </si>
  <si>
    <t>0307 - 110201003010000000000111116300001859 - 18</t>
  </si>
  <si>
    <t>E.S.P. Empresa Sanitaria del Quindío S.A.</t>
  </si>
  <si>
    <t>0307 - 110201003010000000000111116300002928 - 18</t>
  </si>
  <si>
    <t>Lotería del Quindío E.I.C.E.</t>
  </si>
  <si>
    <t>0307 - 110201003010000000000111126300101002 - 18</t>
  </si>
  <si>
    <t>E.S.E. Hospital San Juan de Dios - Armenia</t>
  </si>
  <si>
    <t>0307 - 110201003010000000000111126313000907 - 18</t>
  </si>
  <si>
    <t>E.S.E. Hospital La Misericordia - Calarcá</t>
  </si>
  <si>
    <t>0307 - 110201003010000000000111126327201301 - 18</t>
  </si>
  <si>
    <t>E.S.E. Hospital Mental - Filandia</t>
  </si>
  <si>
    <t>0307 - 110201003010000000000322116300002621 - 18</t>
  </si>
  <si>
    <t>Instituto Departamental de Deporte y Recreación del Quindío</t>
  </si>
  <si>
    <t>0307 - 110201003010000000000322116300002635 - 18</t>
  </si>
  <si>
    <t>Instituto Departamental de Tránsito del Quindío</t>
  </si>
  <si>
    <t>0307 - 110201003010000000000322116300003197 - 18</t>
  </si>
  <si>
    <t>Promotora de Vivienda y Desarrollo del Quindío</t>
  </si>
  <si>
    <t>0307 - 110201003010000000000322116300003697 - 18</t>
  </si>
  <si>
    <t>Universidad del Quindío</t>
  </si>
  <si>
    <t>0307 - 110202</t>
  </si>
  <si>
    <t>Tasas y derechos administrativos</t>
  </si>
  <si>
    <t>0307 - 110202101</t>
  </si>
  <si>
    <t>Autorización de manejo de medicamentos de control especial del Estado</t>
  </si>
  <si>
    <t>0307 - 11020210104 - 20</t>
  </si>
  <si>
    <t>0307 - 110202111 - 190</t>
  </si>
  <si>
    <t>Tasa Pro Deporte y Recreacion Departamento del Quindio</t>
  </si>
  <si>
    <t>0307 - 110203</t>
  </si>
  <si>
    <t>Multas, sanciones e intereses de mora</t>
  </si>
  <si>
    <t>0307 - 110203001</t>
  </si>
  <si>
    <t>Multas y sanciones</t>
  </si>
  <si>
    <t>0307 - 11020300103 - 20</t>
  </si>
  <si>
    <t>Sanciones disciplinarias</t>
  </si>
  <si>
    <t>0307 - 11020300104 - 20</t>
  </si>
  <si>
    <t>Sanciones contractuales</t>
  </si>
  <si>
    <t>0307 - 11020300105 - 20</t>
  </si>
  <si>
    <t>Sanciones administrativas</t>
  </si>
  <si>
    <t>0307 - 11020300106 - 20</t>
  </si>
  <si>
    <t>Sanciones fiscales</t>
  </si>
  <si>
    <t>0307 - 11020300109 - 20</t>
  </si>
  <si>
    <t>Multas de tránsito y transporte</t>
  </si>
  <si>
    <t>0307 - 11020300111</t>
  </si>
  <si>
    <t>Sanciones tributarias</t>
  </si>
  <si>
    <t>0307 - 1102030011101</t>
  </si>
  <si>
    <t>0307 - 110203001110101</t>
  </si>
  <si>
    <t>0307 - 11020300111010101</t>
  </si>
  <si>
    <t>Ingresos Tributarios</t>
  </si>
  <si>
    <t>0307 - 1102030011101010101</t>
  </si>
  <si>
    <t>0307 - 11020300111010100100110 - 20</t>
  </si>
  <si>
    <t>Impuesto sobre vehículos automotores (Sanciones )</t>
  </si>
  <si>
    <t>0307 - 11020300113 - 20</t>
  </si>
  <si>
    <t>Sanciones sanitarias</t>
  </si>
  <si>
    <t>0307 - 11020300117 - 20</t>
  </si>
  <si>
    <t>Multas y sanciones por infracciones al régimen del monopolio de juegos de suerte y azar</t>
  </si>
  <si>
    <t>0307 - 11020300118 - 20</t>
  </si>
  <si>
    <t>Multas y sanciones por violación al régimen de venta de medicamentos controlados</t>
  </si>
  <si>
    <t>0307 - 110203002</t>
  </si>
  <si>
    <t>Intereses de mora</t>
  </si>
  <si>
    <t>0307 - 11020300201</t>
  </si>
  <si>
    <t>0307 - 1102030020101</t>
  </si>
  <si>
    <t>0307 - 110203002010101</t>
  </si>
  <si>
    <t>0307 - 11020300201010101</t>
  </si>
  <si>
    <t>Impuestos Directos</t>
  </si>
  <si>
    <t>0307 - 110203002010101001100 - 20</t>
  </si>
  <si>
    <t>Impuesto sobre vehículos automotores (Intereses de Mora)</t>
  </si>
  <si>
    <t>0307 - 110205</t>
  </si>
  <si>
    <t>Venta de bienes y servicios</t>
  </si>
  <si>
    <t>0307 - 110205001</t>
  </si>
  <si>
    <t>Ventas de establecimientos de mercado</t>
  </si>
  <si>
    <t>0307 - 11020500109 - 20</t>
  </si>
  <si>
    <t>Servicios para la comunidad, sociales y personales</t>
  </si>
  <si>
    <t>0307 - 110205002</t>
  </si>
  <si>
    <t>Ventas incidentales de establecimientos no de mercado</t>
  </si>
  <si>
    <t>0307 - 11020500207</t>
  </si>
  <si>
    <t>Servicios financieros y servicios conexos, servicios inmobiliarios y servicios de leasing</t>
  </si>
  <si>
    <t>0307 - 1102050020702</t>
  </si>
  <si>
    <t>Servicio Inmobiliario</t>
  </si>
  <si>
    <t>0307 - 110205002070201 - 20</t>
  </si>
  <si>
    <t>Servicion inmobiliarios relativos a bienes raíces propios o arrendados</t>
  </si>
  <si>
    <t>0307 - 11020500208</t>
  </si>
  <si>
    <t>Servicios prestados a las empresas y servicios de producción</t>
  </si>
  <si>
    <t>0307 - 1102050020805</t>
  </si>
  <si>
    <t>Servicio de Soporte</t>
  </si>
  <si>
    <t>0307 - 110205002080505 - 20</t>
  </si>
  <si>
    <t>Servicios de organización de viajes, operadores turísticos y servicios conexos</t>
  </si>
  <si>
    <t>0307 - 110206</t>
  </si>
  <si>
    <t>Transferencias corrientes</t>
  </si>
  <si>
    <t>0307 - 110206001</t>
  </si>
  <si>
    <t>Sistema General de Participaciones</t>
  </si>
  <si>
    <t>0307 - 11020600105 - 27</t>
  </si>
  <si>
    <t>Agua potable y saneamiento básico</t>
  </si>
  <si>
    <t>0307 - 110206003</t>
  </si>
  <si>
    <t>Participaciones distintas del SGP</t>
  </si>
  <si>
    <t>0307 - 11020600301</t>
  </si>
  <si>
    <t>Participación en impuestos</t>
  </si>
  <si>
    <t>0307 - 1102060030110 - 20</t>
  </si>
  <si>
    <t>Participación de la sobretasa al ACPM</t>
  </si>
  <si>
    <t>0307 - 1102060030111 - 47</t>
  </si>
  <si>
    <t>Participación del impuesto nacional al consumo del servicio de telefonía móvil</t>
  </si>
  <si>
    <t>0307 - 11020600304</t>
  </si>
  <si>
    <t>Participación en derechos económicos por el uso de recursos naturales</t>
  </si>
  <si>
    <t>0307 - 1102060030401</t>
  </si>
  <si>
    <t>Participación en regalías del régimen anterior</t>
  </si>
  <si>
    <t>0307 - 110206003040103</t>
  </si>
  <si>
    <t>Regalías por hidrocarburos, petróleo y gas</t>
  </si>
  <si>
    <t>0307 - 110206003040103025 - 134</t>
  </si>
  <si>
    <t>Agencia Nacional de Minería</t>
  </si>
  <si>
    <t>0307 - 110206006</t>
  </si>
  <si>
    <t>Transferencias de otras entidades del gobierno general</t>
  </si>
  <si>
    <t>0307 - 11020600606</t>
  </si>
  <si>
    <t>Otras unidades de gobierno</t>
  </si>
  <si>
    <t>0307 - 1102060060600</t>
  </si>
  <si>
    <t>0307 - 110206006060000</t>
  </si>
  <si>
    <t>0307 - 11020600606000000</t>
  </si>
  <si>
    <t>0307 - 1102060060600000000</t>
  </si>
  <si>
    <t>0307 - 110206006060000000000000000000002990 - 196</t>
  </si>
  <si>
    <t>Ministerio de la Cultura</t>
  </si>
  <si>
    <t>0307 - 110206006060000000000311100000002773 - 56</t>
  </si>
  <si>
    <t>Instituto Nacional de Vías</t>
  </si>
  <si>
    <t>0307 - 110206006060000000000311100000002990 - 201</t>
  </si>
  <si>
    <t>Ministerio de Cutura Convenio 0894-2021 Quindío un corazon para leer</t>
  </si>
  <si>
    <t>0307 - 110206006060000000000322011100002217 - 56</t>
  </si>
  <si>
    <t>Federación Nacional de Departamentos</t>
  </si>
  <si>
    <t>0307 - 11020600902</t>
  </si>
  <si>
    <t>Sistema General de Pensiones</t>
  </si>
  <si>
    <t>0307 - 1102060090202</t>
  </si>
  <si>
    <t>Cuotas partes pensionales</t>
  </si>
  <si>
    <t>0307 - 110206009020200</t>
  </si>
  <si>
    <t>0307 - 11020600902020000</t>
  </si>
  <si>
    <t>0307 - 1102060090202000000</t>
  </si>
  <si>
    <t>0307 - 110206009020200000000111116600001460 - 20</t>
  </si>
  <si>
    <t>E.S.E. Hospital Universitario San Jorge - Pereira</t>
  </si>
  <si>
    <t>0307 - 110206009020200000000111117600000963 - 20</t>
  </si>
  <si>
    <t>E.S.E. Hospital San Antonio - Roldanillo (Valle)</t>
  </si>
  <si>
    <t>0307 - 110206009020200000000111126300102187 - 20</t>
  </si>
  <si>
    <t>Empresas Públicas Municipales de Armenia</t>
  </si>
  <si>
    <t>0307 - 110206009020200000000311100000002986 - 20</t>
  </si>
  <si>
    <t>Ministerio de Defensa Nacional</t>
  </si>
  <si>
    <t>0307 - 110206009020200000000311100000003183 - 20</t>
  </si>
  <si>
    <t>Policía Nacional</t>
  </si>
  <si>
    <t>0307 - 110206009020200000000311100000003513 - 20</t>
  </si>
  <si>
    <t>Superintendencia Financiera de Colombia</t>
  </si>
  <si>
    <t>0307 - 110206009020200000000321111700000574 - 20</t>
  </si>
  <si>
    <t>Departamento de Caldas</t>
  </si>
  <si>
    <t>0307 - 110206009020200000000321116600000579 - 20</t>
  </si>
  <si>
    <t>Departamento de Risaralda</t>
  </si>
  <si>
    <t>0307 - 110206009020200000000322116300002635 - 20</t>
  </si>
  <si>
    <t>0307 - 110206009020200000000322116300003697 - 20</t>
  </si>
  <si>
    <t>0307 - 110206009020200000000322117600003699 - 20</t>
  </si>
  <si>
    <t>Universidad del Valle</t>
  </si>
  <si>
    <t>0307 - 110206009020200000000331111777703516 - 20</t>
  </si>
  <si>
    <t>Supía</t>
  </si>
  <si>
    <t>0307 - 110206009020200000000331112557203231 - 20</t>
  </si>
  <si>
    <t>Puerto Salgar</t>
  </si>
  <si>
    <t>0307 - 110206009020200000000331116300100096 - 20</t>
  </si>
  <si>
    <t>Armenia</t>
  </si>
  <si>
    <t>0307 - 110206009020200000000331116311100233 - 20</t>
  </si>
  <si>
    <t>Buenavista - Quindío</t>
  </si>
  <si>
    <t>0307 - 110206009020200000000331116319000412 - 20</t>
  </si>
  <si>
    <t>Circasia</t>
  </si>
  <si>
    <t>0307 - 110206009020200000000331116327202226 - 20</t>
  </si>
  <si>
    <t>Filandia</t>
  </si>
  <si>
    <t>0307 - 110206009020200000000331116330202372 - 20</t>
  </si>
  <si>
    <t>Génova</t>
  </si>
  <si>
    <t>0307 - 110206009020200000000331116347003013 - 20</t>
  </si>
  <si>
    <t>Montenegro</t>
  </si>
  <si>
    <t>0307 - 110206009020200000000331116359403244 - 20</t>
  </si>
  <si>
    <t>Quimbaya</t>
  </si>
  <si>
    <t>0307 - 110206009020200000000331116600103161 - 20</t>
  </si>
  <si>
    <t>Pereira</t>
  </si>
  <si>
    <t>0307 - 110206009020200000000331117602000042 - 20</t>
  </si>
  <si>
    <t>Alcalá</t>
  </si>
  <si>
    <t>0307 - 110206009020200000000331117673603444 - 20</t>
  </si>
  <si>
    <t>Sevilla</t>
  </si>
  <si>
    <t>0307 - 110206011 - 20</t>
  </si>
  <si>
    <t>Indemnizaciones relacionadas con seguros no de vida</t>
  </si>
  <si>
    <t>0307 - 110207</t>
  </si>
  <si>
    <t>Participación y derechos por monopolio</t>
  </si>
  <si>
    <t>0307 - 110207002</t>
  </si>
  <si>
    <t>Participación y derechos de explotación del ejercicio del monopolio de licores destilados y alcohole</t>
  </si>
  <si>
    <t>0307 - 11020700201</t>
  </si>
  <si>
    <t>Participación y derechos de explotación del ejercicio del monopolio de licores destilados</t>
  </si>
  <si>
    <t>0307 - 1102070020102</t>
  </si>
  <si>
    <t>Derechos de monopolio por la introducción de licores destilados</t>
  </si>
  <si>
    <t>0307 - 110207002010201</t>
  </si>
  <si>
    <t>Derechos de monopolio por la introducción de licores destilados de producción nacional</t>
  </si>
  <si>
    <t>0307 - 11020700201020103 - 179</t>
  </si>
  <si>
    <t>0307 - 1102070020103</t>
  </si>
  <si>
    <t>Participación por el consumo de licores destilados</t>
  </si>
  <si>
    <t>0307 - 110207002010302</t>
  </si>
  <si>
    <t>Participación por el consumo de licores destilados introducidos</t>
  </si>
  <si>
    <t>0307 - 11020700201030201 - 20</t>
  </si>
  <si>
    <t>Participación por el consumo de licores destilados introducidos de producción nacional</t>
  </si>
  <si>
    <t>0307 - 11020700201030201 - 35</t>
  </si>
  <si>
    <r>
      <t xml:space="preserve">0307 - 11020700201030201 - </t>
    </r>
    <r>
      <rPr>
        <sz val="11"/>
        <color rgb="FFFF0000"/>
        <rFont val="Calibri"/>
        <family val="2"/>
        <scheme val="minor"/>
      </rPr>
      <t>??</t>
    </r>
  </si>
  <si>
    <t>Participación por el consumo de licores destilados introducidos de producción nacional (37%) salud</t>
  </si>
  <si>
    <t>0307 - 12</t>
  </si>
  <si>
    <t>Recursos de capital</t>
  </si>
  <si>
    <t>0307 - 1202</t>
  </si>
  <si>
    <t>Excedentes financieros</t>
  </si>
  <si>
    <t>0307 - 120201 - 20</t>
  </si>
  <si>
    <t>Establecimientos públicos</t>
  </si>
  <si>
    <t>0307 - 1203</t>
  </si>
  <si>
    <t>Dividendos y utilidades por otras inversiones de capital</t>
  </si>
  <si>
    <t>0307 - 120303</t>
  </si>
  <si>
    <t>Sociedades de economía mixta</t>
  </si>
  <si>
    <t>0307 - 120303001 - 20</t>
  </si>
  <si>
    <t>Terminal de Transportes de Armenia</t>
  </si>
  <si>
    <t>0307 - 1205</t>
  </si>
  <si>
    <t>Rendimientos financieros</t>
  </si>
  <si>
    <t>0307 - 120502</t>
  </si>
  <si>
    <t>Depósitos</t>
  </si>
  <si>
    <t>0307 - 120502001</t>
  </si>
  <si>
    <t>0307 - 12050200101</t>
  </si>
  <si>
    <t>0307 - 1205020010101</t>
  </si>
  <si>
    <t>0307 - 120502001010101</t>
  </si>
  <si>
    <t>0307 - 120502001010101100 - 20</t>
  </si>
  <si>
    <t>Impuesto sobre vehículos automotores (Rendimientos )</t>
  </si>
  <si>
    <t>0307 - 120502001010102</t>
  </si>
  <si>
    <t>0307 - 120502001010102100</t>
  </si>
  <si>
    <t>0307 - 120502001010102100001 - 20</t>
  </si>
  <si>
    <t>0307 - 120502001010102100002 - 20</t>
  </si>
  <si>
    <t>0307 - 120502001010102104</t>
  </si>
  <si>
    <t>0307 - 120502001010102104001</t>
  </si>
  <si>
    <t>0307 - 12050200101010210400101 - 20</t>
  </si>
  <si>
    <t>0307 - 12050200101010210400102 - 20</t>
  </si>
  <si>
    <t>0307 - 12050200101010210400103 - 145</t>
  </si>
  <si>
    <t>Impuesto al Consumo (3%) Destinación deporte</t>
  </si>
  <si>
    <t>0307 - 120502001010102104002</t>
  </si>
  <si>
    <t>0307 - 120502001010102104002000000000000001 - 20</t>
  </si>
  <si>
    <t>0307 - 12050200101010210400202 - 20</t>
  </si>
  <si>
    <t>0307 - 12050200101010210400203 - 179</t>
  </si>
  <si>
    <t>Impuesto al Consumo 3%  (Deporte)</t>
  </si>
  <si>
    <t>0307 - 120502001010102105</t>
  </si>
  <si>
    <t>0307 - 120502001010102105001 - 20</t>
  </si>
  <si>
    <t>0307 - 120502001010102105002 - 20</t>
  </si>
  <si>
    <t>0307 - 120502001010102106</t>
  </si>
  <si>
    <t>0307 - 120502001010102106001</t>
  </si>
  <si>
    <t>0307 - 12050200101010210600102 - 20</t>
  </si>
  <si>
    <t>0307 - 120502001010102109 - 20</t>
  </si>
  <si>
    <t>0307 - 120502001010102209 - 20</t>
  </si>
  <si>
    <t>0307 - 120502001010102213 - 42</t>
  </si>
  <si>
    <t>0307 - 120502001010102300</t>
  </si>
  <si>
    <t>0307 - 120502001010102300001 - 06</t>
  </si>
  <si>
    <t>0307 - 120502001010102300001 - 178</t>
  </si>
  <si>
    <t>0307 - 120502001010102300002 - 04</t>
  </si>
  <si>
    <t>0307 - 120502001010102300002 - 176</t>
  </si>
  <si>
    <t>0307 - 120502001010102300002 - 177</t>
  </si>
  <si>
    <t>0307 - 120502001010102300055 - 05</t>
  </si>
  <si>
    <t>0307 - 120502001010102300055 - 33</t>
  </si>
  <si>
    <t>0307 - 120502001010102300055 - 34</t>
  </si>
  <si>
    <t>0307 - 120502001010102300055 - 39</t>
  </si>
  <si>
    <t>0307 - 120502001010102300055 - 41</t>
  </si>
  <si>
    <t>0307 - 1205020010102</t>
  </si>
  <si>
    <t>0307 - 120502001010202</t>
  </si>
  <si>
    <t>0307 - 120502001010202002</t>
  </si>
  <si>
    <t>0307 - 120502001010202002003 - 20</t>
  </si>
  <si>
    <t>0307 - 120502001010202002004 - 20</t>
  </si>
  <si>
    <t>0307 - 120502001010202002005 - 20</t>
  </si>
  <si>
    <t>0307 - 120502001010202002006 - 20</t>
  </si>
  <si>
    <t>0307 - 120502001010202002010 - 20</t>
  </si>
  <si>
    <t>Impuesto sobre vehículos automotores (Rendimiento Sanciones)</t>
  </si>
  <si>
    <t>0307 - 120502001010202002013 - 20</t>
  </si>
  <si>
    <t>0307 - 120502001010202002017 - 20</t>
  </si>
  <si>
    <t>0307 - 120502001010202002018 - 20</t>
  </si>
  <si>
    <t>0307 - 120502001010202005</t>
  </si>
  <si>
    <t>0307 - 120502001010202005002 - 20</t>
  </si>
  <si>
    <t>0307 - 120502001010202005005 - 20</t>
  </si>
  <si>
    <t>0307 - 120502001010202005009 - 20</t>
  </si>
  <si>
    <t>0307 - 120502001010206</t>
  </si>
  <si>
    <t>0307 - 12050200101020601</t>
  </si>
  <si>
    <t>0307 - 1205020010102060105 - 27</t>
  </si>
  <si>
    <t>0307 - 12050200101020606</t>
  </si>
  <si>
    <t>0307 - 1205020010102060606</t>
  </si>
  <si>
    <t>0307 - 120502001010206006006221100000003954 - 136</t>
  </si>
  <si>
    <t>Fondo Nacional de Pensiones de las Entidades Territoriales</t>
  </si>
  <si>
    <t>0307 - 120502001010206009 - 134</t>
  </si>
  <si>
    <t xml:space="preserve">Material de Rio Minas y Otros </t>
  </si>
  <si>
    <t>0307 - 120502001010206010 - 20</t>
  </si>
  <si>
    <t>0307 - 120502001010206011 - 20</t>
  </si>
  <si>
    <t>0307 - 120502001010206012 - 20</t>
  </si>
  <si>
    <t>0307 - 120502001010206012 - 35</t>
  </si>
  <si>
    <t>0307 - 120502001010206013 - 20</t>
  </si>
  <si>
    <t>0307 - 120502001010206014 - 20</t>
  </si>
  <si>
    <t>Excedentes financieros Establecimientos públicos</t>
  </si>
  <si>
    <t>0307 - 120502001010206015 - 20</t>
  </si>
  <si>
    <t>Reintegros</t>
  </si>
  <si>
    <t>0307 - 120502001010206016 - 18</t>
  </si>
  <si>
    <t>0307 - 120502001010206017 - 01</t>
  </si>
  <si>
    <t>0307 - 120502001010206017 - 04</t>
  </si>
  <si>
    <t>0307 - 120502001010206017 - 06</t>
  </si>
  <si>
    <t>0307 - 120502001010206017 - 13</t>
  </si>
  <si>
    <t>0307 - 120502001010206017 - 20</t>
  </si>
  <si>
    <t>0307 - 120502001010206017 - 46</t>
  </si>
  <si>
    <t>0307 - 120502001010206017 - 88</t>
  </si>
  <si>
    <t>0307 - 120502001010206018 - 20</t>
  </si>
  <si>
    <t>0307 - 1212</t>
  </si>
  <si>
    <t>Retiros FONPET</t>
  </si>
  <si>
    <t>0307 - 121201</t>
  </si>
  <si>
    <t>Para el pago de bonos pensionales o cuotas partes de bonos pensionales</t>
  </si>
  <si>
    <t>0307 - 121201003 - 136</t>
  </si>
  <si>
    <t>Para el pago del pasivo pensional corriente</t>
  </si>
  <si>
    <t>0307 - 1213</t>
  </si>
  <si>
    <t>Reintegros y otros recursos no apropiados</t>
  </si>
  <si>
    <t>0307 - 121301 - 01</t>
  </si>
  <si>
    <t>0307 - 121301 - 04</t>
  </si>
  <si>
    <t>0307 - 121301 - 06</t>
  </si>
  <si>
    <t>0307 - 121301 - 13</t>
  </si>
  <si>
    <t>0307 - 121301 - 20</t>
  </si>
  <si>
    <t>0307 - 121301 - 46</t>
  </si>
  <si>
    <t>0307 - 121301 - 88</t>
  </si>
  <si>
    <t>0307 - 121301 - 91</t>
  </si>
  <si>
    <t>0314 - 1</t>
  </si>
  <si>
    <t>0314 - 11</t>
  </si>
  <si>
    <t>0314 - 1102</t>
  </si>
  <si>
    <t>0314 - 110206</t>
  </si>
  <si>
    <t>0314 - 110206001</t>
  </si>
  <si>
    <t>0314 - 11020600101</t>
  </si>
  <si>
    <t>Participación para educación</t>
  </si>
  <si>
    <t>0314 - 1102060010101 - 25</t>
  </si>
  <si>
    <t>Prestación de servicio educativo</t>
  </si>
  <si>
    <t>0314 - 1102060010101 - 26</t>
  </si>
  <si>
    <t>0314 - 110206006</t>
  </si>
  <si>
    <t>0314 - 11020600606</t>
  </si>
  <si>
    <t>0314 - 1102060060600</t>
  </si>
  <si>
    <t>0314 - 110206006060000</t>
  </si>
  <si>
    <t>0314 - 11020600606000000</t>
  </si>
  <si>
    <t>0314 - 1102060060600000000</t>
  </si>
  <si>
    <t>0314 - 110206006060000000000311100000004663 - 81</t>
  </si>
  <si>
    <t>U.A.E. de Alimentación Escolar - Alimentos para Aprender (UAPA)</t>
  </si>
  <si>
    <t>0314 - 110206006060000000000331116311100233 - 172</t>
  </si>
  <si>
    <t>0314 - 110206006060000000000331116313000284 - 172</t>
  </si>
  <si>
    <t>Calarcá</t>
  </si>
  <si>
    <t>0314 - 110206006060000000000331116319000412 - 172</t>
  </si>
  <si>
    <t>0314 - 110206006060000000000331116321200470 - 172</t>
  </si>
  <si>
    <t>Córdoba - Quindío</t>
  </si>
  <si>
    <t>0314 - 110206006060000000000331116327202226 - 172</t>
  </si>
  <si>
    <t>0314 - 110206006060000000000331116330202372 - 172</t>
  </si>
  <si>
    <t>0314 - 110206006060000000000331116340102882 - 172</t>
  </si>
  <si>
    <t>La Tebaida</t>
  </si>
  <si>
    <t>0314 - 110206006060000000000331116347003013 - 172</t>
  </si>
  <si>
    <t>0314 - 110206006060000000000331116354803167 - 172</t>
  </si>
  <si>
    <t>Pijao</t>
  </si>
  <si>
    <t>0314 - 110206006060000000000331116359403244 - 172</t>
  </si>
  <si>
    <t>0314 - 110206006060000000000331116369003303 - 172</t>
  </si>
  <si>
    <t>Salento</t>
  </si>
  <si>
    <t>0314 - 12</t>
  </si>
  <si>
    <t>0314 - 1205</t>
  </si>
  <si>
    <t>0314 - 120502</t>
  </si>
  <si>
    <t>0314 - 120502001</t>
  </si>
  <si>
    <t>0314 - 12050200101</t>
  </si>
  <si>
    <t>0314 - 1205020010102</t>
  </si>
  <si>
    <t>0314 - 120502001010206</t>
  </si>
  <si>
    <t>0314 - 12050200101020601</t>
  </si>
  <si>
    <t>0314 - 1205020010102060101 - 21</t>
  </si>
  <si>
    <t>Rendimientos Prestacion de Servicio educativo</t>
  </si>
  <si>
    <t>0314 - 1205020010102060102 - 81</t>
  </si>
  <si>
    <t>Rendimientos PAE</t>
  </si>
  <si>
    <t>0314 - 12050200101020606</t>
  </si>
  <si>
    <t>0314 - 120502001010206006001</t>
  </si>
  <si>
    <t>Aportes Nación</t>
  </si>
  <si>
    <t>0314 - 12050200101020600600101 - 173</t>
  </si>
  <si>
    <t>Rendimientos Financieros FOME</t>
  </si>
  <si>
    <t>0314 - 1205020010102060606</t>
  </si>
  <si>
    <t>0314 - 12050200101020600600601 - 81</t>
  </si>
  <si>
    <t>Rendimientos Financieros PAE</t>
  </si>
  <si>
    <t>0314 - 1213</t>
  </si>
  <si>
    <t>0314 - 121301 - 09</t>
  </si>
  <si>
    <t>0318 - 1</t>
  </si>
  <si>
    <t>0318 - 11</t>
  </si>
  <si>
    <t>0318 - 1101</t>
  </si>
  <si>
    <t>0318 - 110101</t>
  </si>
  <si>
    <t>0318 - 110101101</t>
  </si>
  <si>
    <t>Impuesto a ganadores de sorteos ordinarios y extraordinarios</t>
  </si>
  <si>
    <t>0318 - 11010110101 - 154</t>
  </si>
  <si>
    <t>Impuesto a Ganadores Sorteo Extraordinario  68%</t>
  </si>
  <si>
    <t>0318 - 11010110102 - 154</t>
  </si>
  <si>
    <t>Impuestos a Ganadores Sorteo Ordinario 68%</t>
  </si>
  <si>
    <t>0318 - 11010110103 - 72</t>
  </si>
  <si>
    <t>Impuesto a Ganadores Sorteo Extraordinario 25%</t>
  </si>
  <si>
    <t>0318 - 11010110104 - 72</t>
  </si>
  <si>
    <t>Impuesto a Ganadores Sorteo Ordinario 25%</t>
  </si>
  <si>
    <t>0318 - 11010110105 - 181</t>
  </si>
  <si>
    <t>Colciencias 7% Impuesto a Ganadores Sorteo Extraordinario</t>
  </si>
  <si>
    <t>0318 - 11010110106 - 181</t>
  </si>
  <si>
    <t>Colciencias 7% Impuesto a Ganadores Sorteo ordinario</t>
  </si>
  <si>
    <t>0318 - 110102</t>
  </si>
  <si>
    <t>0318 - 110102101</t>
  </si>
  <si>
    <t>Impuesto de loterías foráneas</t>
  </si>
  <si>
    <t>0318 - 11010210101 - 154</t>
  </si>
  <si>
    <t>Loterias foraneas 68%</t>
  </si>
  <si>
    <t>0318 - 11010210102 - 72</t>
  </si>
  <si>
    <t>Loterias Foráneas 25%</t>
  </si>
  <si>
    <t>0318 - 11010210103 - 181</t>
  </si>
  <si>
    <t>Colciencias 7% Loterias Foraneas</t>
  </si>
  <si>
    <t>0318 - 11010210104 - 182</t>
  </si>
  <si>
    <t>0318 - 110102103</t>
  </si>
  <si>
    <t>0318 - 11010210302</t>
  </si>
  <si>
    <t>0318 - 1101021030201 - 154</t>
  </si>
  <si>
    <t>0318 - 1101021030201 - 155</t>
  </si>
  <si>
    <t>0318 - 110102104</t>
  </si>
  <si>
    <t>0318 - 11010210402</t>
  </si>
  <si>
    <t>0318 - 1101021040203 - 58</t>
  </si>
  <si>
    <t>Impuesto al Consumo de Vinos Aperitivos y  Similares Producción Extranjera 25%</t>
  </si>
  <si>
    <t>0318 - 1101021040203 - 72</t>
  </si>
  <si>
    <t>0318 - 1101021040204 - 154</t>
  </si>
  <si>
    <t xml:space="preserve">Impuesto al Consumo Licores, Vinos, Aperitivos y Similares Producción Extranjera Régimen Subsidiado </t>
  </si>
  <si>
    <t>0318 - 1101021040205 - 58</t>
  </si>
  <si>
    <t>Impuesto al Consumo de Licores, Vinos y Aperitivos y Similares Produccion Nacional  25%</t>
  </si>
  <si>
    <t>0318 - 1101021040205 - 72</t>
  </si>
  <si>
    <t>0318 - 1101021040206 - 154</t>
  </si>
  <si>
    <t>Impuesto al Consumo de Licores, Vinos, Aperitivos y Similares Produccion Nacional  50%</t>
  </si>
  <si>
    <t>0318 - 110102105</t>
  </si>
  <si>
    <t>0318 - 11010210503 - 58</t>
  </si>
  <si>
    <t>Impuesto  Consumo de Cerveza Producción Nacional  25%</t>
  </si>
  <si>
    <t>0318 - 11010210503 - 72</t>
  </si>
  <si>
    <t>0318 - 11010210504 - 154</t>
  </si>
  <si>
    <t>mpuesto al Consumo de Cerveza Producción Nacional Régimen Subsidiado 50%</t>
  </si>
  <si>
    <t>0318 - 11010210505 - 58</t>
  </si>
  <si>
    <t>Impuesto  Consumo de Cerveza Producción Extranjera 25%</t>
  </si>
  <si>
    <t>0318 - 11010210505 - 72</t>
  </si>
  <si>
    <t>0318 - 11010210506 - 154</t>
  </si>
  <si>
    <t>Impuesto al Consumo de Cerveza Producción Extranjera Régimen Subsidiado 50%</t>
  </si>
  <si>
    <t>0318 - 110102106</t>
  </si>
  <si>
    <t>0318 - 11010210601</t>
  </si>
  <si>
    <t>0318 - 1101021060102 - 154</t>
  </si>
  <si>
    <t>0318 - 11010210602</t>
  </si>
  <si>
    <t>Componente ad valorem del impuesto al consumo de cigarrillos y tabaco elaborado</t>
  </si>
  <si>
    <t>0318 - 1101021060202 - 154</t>
  </si>
  <si>
    <t>Componente ad valorem del impuesto al consumo de cigarrillos y tabaco elaborado - Extranjeros</t>
  </si>
  <si>
    <t>0318 - 1102</t>
  </si>
  <si>
    <t>0318 - 110202</t>
  </si>
  <si>
    <t>0318 - 110202101</t>
  </si>
  <si>
    <t>0318 - 11020210101 - 63</t>
  </si>
  <si>
    <t>Fondo De Estupefacientes Venta De Recetarios</t>
  </si>
  <si>
    <t>0318 - 11020210102 - 63</t>
  </si>
  <si>
    <t>Fondo Rotatorio De Estupefacientes Resoluciones Manejo De Medicamentos</t>
  </si>
  <si>
    <t>0318 - 11020210103 - 63</t>
  </si>
  <si>
    <t>Venta de Medicamentos</t>
  </si>
  <si>
    <t>0318 - 110206</t>
  </si>
  <si>
    <t>0318 - 110206001</t>
  </si>
  <si>
    <t>0318 - 11020600102</t>
  </si>
  <si>
    <t>Participación para salud</t>
  </si>
  <si>
    <t>0318 - 1102060010202 - 61</t>
  </si>
  <si>
    <t>Salud pública</t>
  </si>
  <si>
    <t>0318 - 1102060010204 - 171</t>
  </si>
  <si>
    <t>Subsidio a la oferta</t>
  </si>
  <si>
    <t>0318 - 110206006</t>
  </si>
  <si>
    <t>0318 - 11020600601</t>
  </si>
  <si>
    <t>0318 - 1102060060101 - 110</t>
  </si>
  <si>
    <t>Ministerio de Salud - Programa Inimputables</t>
  </si>
  <si>
    <t>0318 - 1102060060102 - 111</t>
  </si>
  <si>
    <t>Min Salud, Program Prevencion y Control de Enfermedades por Vectores</t>
  </si>
  <si>
    <t>0318 - 1102060060103 - 113</t>
  </si>
  <si>
    <t>Min. Salud - Campaña y Control Antituberculosis Quindio</t>
  </si>
  <si>
    <t>0318 - 1102060060104 - 114</t>
  </si>
  <si>
    <t>Min. Salud - Campaña Control Lepra Quindio</t>
  </si>
  <si>
    <t>0318 - 1102060060105 - 197</t>
  </si>
  <si>
    <t>Min. Salud - Resolucion No 196 de 2021</t>
  </si>
  <si>
    <t>0318 - 1102060060106 - 180</t>
  </si>
  <si>
    <t>Min. Salud - Resolución 367 Apoyo al Proceso de Certificación de Discapacidad Nacional</t>
  </si>
  <si>
    <t>0318 - 110207</t>
  </si>
  <si>
    <t>0318 - 110207001</t>
  </si>
  <si>
    <t>Derechos por la explotación juegos de suerte y azar</t>
  </si>
  <si>
    <t>0318 - 11020700103</t>
  </si>
  <si>
    <t>Derechos por la explotación juegos de suerte y azar de lotería tradicional</t>
  </si>
  <si>
    <t>0318 - 1102070010301 - 154</t>
  </si>
  <si>
    <t>0318 - 1102070010302 - 154</t>
  </si>
  <si>
    <t>Explotacion Sorteo Extraordinario 68%</t>
  </si>
  <si>
    <t>0318 - 1102070010303 - 72</t>
  </si>
  <si>
    <t>Explotacion Sorteo Extraordinario 25%</t>
  </si>
  <si>
    <t>0318 - 1102070010304 - 154</t>
  </si>
  <si>
    <t>Explotacion Sorteo Ordinario Loterias 25%</t>
  </si>
  <si>
    <t>0318 - 1102070010304 - 72</t>
  </si>
  <si>
    <t>0318 - 1102070010305 - 181</t>
  </si>
  <si>
    <t>Colciencias 7%  Sorteo Extraordinario</t>
  </si>
  <si>
    <t>0318 - 1102070010306 - 181</t>
  </si>
  <si>
    <t>Colciencias 7% Explotacion Sorteo Ordinario</t>
  </si>
  <si>
    <t>0318 - 11020700104</t>
  </si>
  <si>
    <t>Derechos por la explotación juegos de suerte y azar de apuestas permanentes o chance</t>
  </si>
  <si>
    <t>0318 - 1102070010401 - 154</t>
  </si>
  <si>
    <t>Juegos y  Apuestas Permanentes  Régimen Subsidiado 68%</t>
  </si>
  <si>
    <t>0318 - 1102070010402 - 72</t>
  </si>
  <si>
    <t>Juegos y Apuestas Permanentes  25%</t>
  </si>
  <si>
    <t>0318 - 1102070010403 - 181</t>
  </si>
  <si>
    <t>Colciencias 7% Juegos Y Apuestas Permanentes</t>
  </si>
  <si>
    <t>0318 - 11020700105</t>
  </si>
  <si>
    <t>Derechos por la explotación juegos de suerte y azar de rifas</t>
  </si>
  <si>
    <t>0318 - 1102070010501 - 154</t>
  </si>
  <si>
    <t>Rifas Departamentales 68%</t>
  </si>
  <si>
    <t>0318 - 1102070010502 - 72</t>
  </si>
  <si>
    <t>Rifas Departamentales - Otros 25%</t>
  </si>
  <si>
    <t>0318 - 1102070010503 - 181</t>
  </si>
  <si>
    <t>Colciencias 7% Rifas Departamentales</t>
  </si>
  <si>
    <t>0318 - 11020700109</t>
  </si>
  <si>
    <t>Derechos por la explotación juegos de suerte y azar de juegos novedosos</t>
  </si>
  <si>
    <t>0318 - 1102070010901 - 154</t>
  </si>
  <si>
    <t>Juegos Novedosos - Super Astro 68%</t>
  </si>
  <si>
    <t>0318 - 1102070010902 - 154</t>
  </si>
  <si>
    <t>Juegos Novedosos -otros- 68%</t>
  </si>
  <si>
    <t>0318 - 1102070010903 - 72</t>
  </si>
  <si>
    <t>Juegos Novedosos - Super Astro 25%</t>
  </si>
  <si>
    <t>0318 - 1102070010904 - 72</t>
  </si>
  <si>
    <t>Juegos Novedosos 25% -otros-</t>
  </si>
  <si>
    <t>0318 - 1102070010905 - 181</t>
  </si>
  <si>
    <t>Colciencias 7%  Juegos Novedosos Super Astro</t>
  </si>
  <si>
    <t>0318 - 1102070010906 - 181</t>
  </si>
  <si>
    <t>Colciencias 7%  Juegos Novedosos -otros-</t>
  </si>
  <si>
    <t>0318 - 110207002</t>
  </si>
  <si>
    <t>0318 - 11020700201</t>
  </si>
  <si>
    <t>0318 - 1102070020102</t>
  </si>
  <si>
    <t>0318 - 110207002010201</t>
  </si>
  <si>
    <t>0318 - 11020700201020101 - 58</t>
  </si>
  <si>
    <t>Monopolio Licores Producción Nacional 25%</t>
  </si>
  <si>
    <t>0318 - 11020700201020101 - 72</t>
  </si>
  <si>
    <t>0318 - 11020700201020102 - 154</t>
  </si>
  <si>
    <t>Monopolio de Licores Produccion Nacional Regimen Subsidiado 50%</t>
  </si>
  <si>
    <t>0318 - 12</t>
  </si>
  <si>
    <t>0318 - 1205</t>
  </si>
  <si>
    <t>0318 - 120502</t>
  </si>
  <si>
    <t>0318 - 120502001</t>
  </si>
  <si>
    <t>0318 - 12050200101</t>
  </si>
  <si>
    <t>0318 - 1205020010102</t>
  </si>
  <si>
    <t>0318 - 120502001010202</t>
  </si>
  <si>
    <t>0318 - 12050200101020201</t>
  </si>
  <si>
    <t>0318 - 1205020010102020101 - 63</t>
  </si>
  <si>
    <t>Intereses Fondo Rotatorio de Estupefacientes</t>
  </si>
  <si>
    <t>0318 - 120502001010206</t>
  </si>
  <si>
    <t>0318 - 12050200101020601</t>
  </si>
  <si>
    <t>0318 - 1205020010102060104 - 58</t>
  </si>
  <si>
    <t>Rentas Cedidas 25%</t>
  </si>
  <si>
    <t>0318 - 120502001010206001004 - 59</t>
  </si>
  <si>
    <t>0318 - 12050200101020602 - 61</t>
  </si>
  <si>
    <t>0318 - 12050200101020603 - 154</t>
  </si>
  <si>
    <t>Intereses Rentas Cedidas  50%</t>
  </si>
  <si>
    <t>0318 - 12050200101020604 - 171</t>
  </si>
  <si>
    <t>0318 - 12050200101020605 - 72</t>
  </si>
  <si>
    <t>Intereses Rentas Cedidas 25%</t>
  </si>
  <si>
    <t>0318 - 12050200101020606</t>
  </si>
  <si>
    <t>0318 - 120502001010206006001</t>
  </si>
  <si>
    <t>0318 - 120502001010206006001000000000000002 - 65</t>
  </si>
  <si>
    <t>Cofinanciación Nacional</t>
  </si>
  <si>
    <t>0318 - 1205020010102060606</t>
  </si>
  <si>
    <t>0318 - 120502001010206006006000000000000003 - 152</t>
  </si>
  <si>
    <t>Excedentes de Aportes Patronales de las ESE del Departamento</t>
  </si>
  <si>
    <t>0318 - 120502001010206006006000000000000004 - 167</t>
  </si>
  <si>
    <t>Recursos - ADRES</t>
  </si>
  <si>
    <t>0318 - 1208</t>
  </si>
  <si>
    <t>Transferencias de capital</t>
  </si>
  <si>
    <t>0318 - 120804</t>
  </si>
  <si>
    <t>Premios no reclamados</t>
  </si>
  <si>
    <t>0318 - 120804001</t>
  </si>
  <si>
    <t>Premios de juegos de suerte y azar</t>
  </si>
  <si>
    <t>0318 - 12080400101 - 154</t>
  </si>
  <si>
    <t>Premios de juegos de suerte y azar no reclamados - Juego de Loterias</t>
  </si>
  <si>
    <t>0318 - 12080400102 - 154</t>
  </si>
  <si>
    <t>Premios de juegos de suerte y azar no reclamados - Juego de apuestas permanentes o chance</t>
  </si>
  <si>
    <t>0318 - 12080400103 - 154</t>
  </si>
  <si>
    <t>Premios de juegos de suerte y azar no reclamados - Juegos novedosos - superastro</t>
  </si>
  <si>
    <t>0318 - 1213</t>
  </si>
  <si>
    <t>0318 - 121301 - 63</t>
  </si>
  <si>
    <t>06 - 1102</t>
  </si>
  <si>
    <t>06 - 110206</t>
  </si>
  <si>
    <t>06 - 110206002</t>
  </si>
  <si>
    <t>Sistema General de Regalías</t>
  </si>
  <si>
    <t>06 - 11020600201</t>
  </si>
  <si>
    <t>Asignaciones Directas</t>
  </si>
  <si>
    <t>06 - 1102060020101 - 70</t>
  </si>
  <si>
    <t>Fortalecimiento de la prestación de servicios de salud y las acciones de Salud Pública durante la pa</t>
  </si>
  <si>
    <t>06 - 1102060020102 - 70</t>
  </si>
  <si>
    <t>06 - 1102060020103 - 70</t>
  </si>
  <si>
    <t>06 - 1102060020104 - 70</t>
  </si>
  <si>
    <t>06 - 11020600203</t>
  </si>
  <si>
    <t>Asignación para la Inversión Regional</t>
  </si>
  <si>
    <t>06 - 1102060020304 - 70</t>
  </si>
  <si>
    <t xml:space="preserve">Remodelación, modernización y equipamiento de áreas resultantes del reforzamiento estructural y del </t>
  </si>
  <si>
    <t>06 - 1102060020306 - 70</t>
  </si>
  <si>
    <t xml:space="preserve">Fortalecimiento de la Calidad educativa en las instituciones educativas, mediante la incorpación de </t>
  </si>
  <si>
    <t>06 - 1102060020312 - 70</t>
  </si>
  <si>
    <t>Mantenimiento, mejoramiento y/o rehabilitación de  obras físicas de infraestructura deportiva y recr</t>
  </si>
  <si>
    <t>06 - 1102060020314 - 70</t>
  </si>
  <si>
    <t>Generación de instrumentos de valoración de la amenaza sísmica para el desarrollo de procesos de red</t>
  </si>
  <si>
    <t>06 - 1102060020315 - 70</t>
  </si>
  <si>
    <t>Implementación de Acciones de Adaptación Etapa I del Plan de Gestión Integral del Cambio Climático (</t>
  </si>
  <si>
    <t>.</t>
  </si>
  <si>
    <t>Implementación del Prgrama Integral de Bilinguismo Quindio Bilingue y Competitivo en el Departament",SISTEMA GENERAL DE REGALIAS"</t>
  </si>
  <si>
    <t>Construcción de pavimento en concreto asfaltico para el desarrollo regional y la conectividad  en lo</t>
  </si>
  <si>
    <t>Mejoramiento de Vías Terciarias Mediante el Uso de Placa Huella en el Departamento de Quindio (Proye</t>
  </si>
  <si>
    <t>…........................................................................................................................................................................................................................</t>
  </si>
  <si>
    <t>Remodelación y Optimización de Escenarios Deportivos, Obras de Urbanismo Complementarias y Movilidad</t>
  </si>
  <si>
    <t>06 - 1102060020342 - 70</t>
  </si>
  <si>
    <t>Construcción Obras de estabilización y rehabilitación de la vía Rio Verde-Pijao (cod.40qn03), estabi</t>
  </si>
  <si>
    <t>06 - 1102060020346 - 70</t>
  </si>
  <si>
    <t>Implementación de un programa de educación superior para la profesionalización de los artistas, como</t>
  </si>
  <si>
    <t>06 - 1102060020349 - 70</t>
  </si>
  <si>
    <t xml:space="preserve">Implementación del plan de acción para mantenimiento preventivo y atención de emergencias en la red </t>
  </si>
  <si>
    <t>06 - 1102060020351 - 70</t>
  </si>
  <si>
    <t>Construcción Obras de Rehabilitación de la Banca en Puntos Críticos de la Vía que Intercomunica a Gé</t>
  </si>
  <si>
    <t>06 - 1102060020359 - 70</t>
  </si>
  <si>
    <t>Mejoramiento de la vía Circasia - Montenegro con código 29BQN03, en los municipios de Circasia y Mon</t>
  </si>
  <si>
    <t>06 - 1102060020364 - 70</t>
  </si>
  <si>
    <t>Rehabilitación y Mejoramiento de la vía Filandia - La India código 29QN02-1 Municipio de Filandia, D</t>
  </si>
  <si>
    <t>06 - 1102060020385 - 70</t>
  </si>
  <si>
    <t>Construcción de obras de estabilización y conformación de la banca vía La Española Río Verde, Barrag</t>
  </si>
  <si>
    <t>06 - 11020600205</t>
  </si>
  <si>
    <t>Asignación para la Inversión en Ciencia, Tecnología e Innovación Ambiental</t>
  </si>
  <si>
    <t>06 - 1102060020509 - 70</t>
  </si>
  <si>
    <t>Implementación de un Programa de Innovación Social para el Fomento de una Cultura Ciudadana y Empren</t>
  </si>
  <si>
    <t>06 - 1102060020513 - 70</t>
  </si>
  <si>
    <t>Fortalecimiento de un Centro de Innovación y Productividad agrario adecuando una infraestructura tec</t>
  </si>
  <si>
    <t>06 - 1102060020526 - 70</t>
  </si>
  <si>
    <t xml:space="preserve">Aplicación de Procesos Innovadores en la Cadena de Suministros para la Industria de la Guadua en el </t>
  </si>
  <si>
    <t>06 - 1102060020532 - 70</t>
  </si>
  <si>
    <t>Fortalecimiento de capacidades instaladas de ciencia y tecnología del laboratorio departamental de s</t>
  </si>
  <si>
    <t>06 - 1102060020563 - 70</t>
  </si>
  <si>
    <t>Desarrollo Sostenible del Sector Curtimbre a través de la I+D+I, Quindío Occidente Código BPIN 20130</t>
  </si>
  <si>
    <t>06 - 1102060020599 - 70</t>
  </si>
  <si>
    <t>Desarrollo Experimental para la Competitividad del Sector Cafetero del Departamento del Quindío.</t>
  </si>
  <si>
    <t>06 - 11020600208</t>
  </si>
  <si>
    <t>Funcionamiento del SGR</t>
  </si>
  <si>
    <t>06 - 1102060020801</t>
  </si>
  <si>
    <t>Funcionamiento</t>
  </si>
  <si>
    <t>06 - 110206002080101 - 70</t>
  </si>
  <si>
    <t>Fortalecimiento de las Secretarías Técnicas de los Organos Colegiados de Administracion y Decision D</t>
  </si>
  <si>
    <t>06 - 110206002080102 - 70</t>
  </si>
  <si>
    <t>Fortalecimiento de las Secretarías Técnicas de los OCAD Resolución 0496 de 2019</t>
  </si>
  <si>
    <t>INGRESOS</t>
  </si>
  <si>
    <t>PRESUPUESTO 2022 INICIAL</t>
  </si>
  <si>
    <t>PRESUPUESTO 2022 DEFINITIVO A LA FECHA</t>
  </si>
  <si>
    <t>PRESUPUESTO DE INGRESOS</t>
  </si>
  <si>
    <t>INGRESOS CORRIENTES</t>
  </si>
  <si>
    <t>TRIBUTARIOS</t>
  </si>
  <si>
    <t>NO TRIBUTARIOS</t>
  </si>
  <si>
    <t>FONDOS ESPECIALES</t>
  </si>
  <si>
    <t>RECURSOS DE CAPITAL</t>
  </si>
  <si>
    <t>PROYECCIONES PLAN FINANCIERO 2023</t>
  </si>
  <si>
    <t>PORCENTAJE</t>
  </si>
  <si>
    <t>PROYECCIONES PLAN FINANCIERO 2022</t>
  </si>
  <si>
    <t>EDUCACIÓN</t>
  </si>
  <si>
    <t>SALUD</t>
  </si>
  <si>
    <t>AGUA POTABLE Y SANEAMIENTO BASICO</t>
  </si>
  <si>
    <t>FONDO DE SEGURIDAD</t>
  </si>
  <si>
    <t>RECAUDO 2016</t>
  </si>
  <si>
    <t>RECAUDO 2017</t>
  </si>
  <si>
    <t>RECAUDO 2018</t>
  </si>
  <si>
    <t>RECAUDO 2019</t>
  </si>
  <si>
    <t>RECAUDO 2020</t>
  </si>
  <si>
    <t>RECAUDO 2021</t>
  </si>
  <si>
    <t xml:space="preserve">RECAUDO </t>
  </si>
  <si>
    <t>LIMITE EFECTIVAMENTE CALCULADO PARA EL AÑO 2023</t>
  </si>
  <si>
    <t xml:space="preserve">LIMITES DE LA LEY 617/00- </t>
  </si>
  <si>
    <t>VALOR</t>
  </si>
  <si>
    <t xml:space="preserve">I.C.L.D.                              =                                                                                                              </t>
  </si>
  <si>
    <t xml:space="preserve">MAX. FUNCIONAMIENTO (70%) =                                                     </t>
  </si>
  <si>
    <t xml:space="preserve">INVERSION, D.P. Y OTROS  (30%) =                                               </t>
  </si>
  <si>
    <t>Recurso Ordinario</t>
  </si>
  <si>
    <t xml:space="preserve">ENTIDAD </t>
  </si>
  <si>
    <t xml:space="preserve">  PROYECCION 2023 INGRESOS  </t>
  </si>
  <si>
    <t>Administración Central</t>
  </si>
  <si>
    <t>Instituto Departamental de Transito del Quindío</t>
  </si>
  <si>
    <t>Instituto Departamental del Deporte y la Recreación del Quindío</t>
  </si>
  <si>
    <t xml:space="preserve"> TOTALES </t>
  </si>
  <si>
    <t xml:space="preserve">INGRESOS </t>
  </si>
  <si>
    <t xml:space="preserve"> VALOR </t>
  </si>
  <si>
    <t>Angela</t>
  </si>
  <si>
    <t xml:space="preserve">    Ingresos Corrientes</t>
  </si>
  <si>
    <t xml:space="preserve">    Recursos de Capital</t>
  </si>
  <si>
    <t xml:space="preserve">  TOTAL  </t>
  </si>
  <si>
    <t>IDTQ</t>
  </si>
  <si>
    <t xml:space="preserve">INGRESOS    </t>
  </si>
  <si>
    <t>INDEPORTES</t>
  </si>
  <si>
    <t xml:space="preserve">CONCEPTO </t>
  </si>
  <si>
    <t xml:space="preserve"> FUNCIONAMIENTO </t>
  </si>
  <si>
    <t xml:space="preserve"> DEUDA </t>
  </si>
  <si>
    <t xml:space="preserve"> INVERSION </t>
  </si>
  <si>
    <t xml:space="preserve"> TOTAL </t>
  </si>
  <si>
    <t xml:space="preserve">    Administración Central</t>
  </si>
  <si>
    <t xml:space="preserve">    Instituto Departamental de Transito del Quindío</t>
  </si>
  <si>
    <t xml:space="preserve">    Instituto Departamental del Deporte y la Recreación del Quindío</t>
  </si>
  <si>
    <t xml:space="preserve">  TOTALES  </t>
  </si>
  <si>
    <t>RECAUDO A DIC 2015</t>
  </si>
  <si>
    <t>RECAUDO A DIC 2016</t>
  </si>
  <si>
    <t>CRECIMIENTO 2015-2016</t>
  </si>
  <si>
    <t>RECAUDO A DIC 2017</t>
  </si>
  <si>
    <t>CRECIMIENTO 2016-2017</t>
  </si>
  <si>
    <t>RECAUDO A DIC 2018</t>
  </si>
  <si>
    <t>CRECIMIENTO 2017-2018</t>
  </si>
  <si>
    <t>RECAUDO A DIC 2019</t>
  </si>
  <si>
    <t>CRECIMIENTO 2018-2019</t>
  </si>
  <si>
    <t>RECAUDO A DIC 2020</t>
  </si>
  <si>
    <t>CRECIMIENTO 2019-2020</t>
  </si>
  <si>
    <t>RECAUDO A DIC 31 DE 2021</t>
  </si>
  <si>
    <t>CRECIMIENTO 2020-2021</t>
  </si>
  <si>
    <t>RECAUDO A DIC 31 DE 2022</t>
  </si>
  <si>
    <t>CRECIMIENTO 2021-2022</t>
  </si>
  <si>
    <t>PRESUPUESTO INICIAL 2023</t>
  </si>
  <si>
    <t>PRESUPUESTO DEFINITIVO A JUNIO 2023</t>
  </si>
  <si>
    <t>RECAUDO A JUNIO 30 DE 2023</t>
  </si>
  <si>
    <t>RECAUDO DE JULIO A DIC 31 DE 2022</t>
  </si>
  <si>
    <t xml:space="preserve">PROYECCION 2023 RECAUDO </t>
  </si>
  <si>
    <t>PRESUPUESTO 2024</t>
  </si>
  <si>
    <t>IMPUESTOS DIRECTOS</t>
  </si>
  <si>
    <t>IMPUESTO SOBRE VEHÍCULOS AUTOMOTORES</t>
  </si>
  <si>
    <t>Impuesto Sobre Vehículos Automotores Libre Destinación</t>
  </si>
  <si>
    <t>IMPUESTO AL REGISTRO</t>
  </si>
  <si>
    <t>IMPUESTO DE REGISTRO DE LIBRE DESTINACIÓN</t>
  </si>
  <si>
    <t>IMPUESTO DE REGISTRO DE DESTINACIÓN ESPECIFICA</t>
  </si>
  <si>
    <t>Impuesto de Registro - FONPET 20% (67% DE 20%)</t>
  </si>
  <si>
    <t>Impuesto de Registro TURISMO 4%</t>
  </si>
  <si>
    <t>Impuesto de Registro PROMOTORA 6%</t>
  </si>
  <si>
    <t xml:space="preserve">Impuesto al Registro Ley 1450 Art 25 Pago de Bonos Pensionales 10%  </t>
  </si>
  <si>
    <t>IMPUESTOS INDIRECTOS</t>
  </si>
  <si>
    <t>IMPUESTO AL CONSUMO DE LICORES</t>
  </si>
  <si>
    <t>Licores Vinos De Producción Nacional</t>
  </si>
  <si>
    <t>Licores Vinos De Producción Extranjera</t>
  </si>
  <si>
    <t xml:space="preserve">Impuesto al Consumo de Vinos y Aperitivos Libre Destinación </t>
  </si>
  <si>
    <t>Impuesto al Consumo de Vinos y Aperitivos Deporte</t>
  </si>
  <si>
    <t>IMPUESTO AL CONSUMO DE CERVEZA</t>
  </si>
  <si>
    <t>Cerveza Producción Nacional</t>
  </si>
  <si>
    <t>Cerveza Producción Extranjera</t>
  </si>
  <si>
    <t>CIGARRILLO Y TABACO</t>
  </si>
  <si>
    <t>Cigarrillo De Fabricación Nacional</t>
  </si>
  <si>
    <t>Cigarrilo De Fabricación Extranjera</t>
  </si>
  <si>
    <t>De Fabricación Extranjera ADRES</t>
  </si>
  <si>
    <t>DEGUELLO DE GANADO MAYOR</t>
  </si>
  <si>
    <t>Degüello Ganado Mayor Libre Destinación</t>
  </si>
  <si>
    <t xml:space="preserve">SOBRETASA A LA GASOLINA  </t>
  </si>
  <si>
    <t>Sobretasa a la Gasolina libre destinación</t>
  </si>
  <si>
    <t>ESTAMPILLAS</t>
  </si>
  <si>
    <t>ESTAMPILLA PRO-DESARROLLO</t>
  </si>
  <si>
    <t>Estampilla Pro-Desarrollo Inversión</t>
  </si>
  <si>
    <t>Estampilla Pro-Desarrollo (20% pensiones)</t>
  </si>
  <si>
    <t>Infraestructura Sanitaria Promotora de Vivienda 30%</t>
  </si>
  <si>
    <t>ESTAMPILLA PRO-CULTURA</t>
  </si>
  <si>
    <t>Estampilla Pro-Cultura (20%) Pensiones</t>
  </si>
  <si>
    <t>Estampilla Pro-Cultura (10% Seguridad Social)</t>
  </si>
  <si>
    <t>Estampilla Pro-Cultura (10% Bibliotecas)</t>
  </si>
  <si>
    <t>Estampilla Pro-Cultura (50% Concertación)</t>
  </si>
  <si>
    <t>Estampilla Pro-Cultura (10% Estímulos)</t>
  </si>
  <si>
    <t>ESTAMPILLA PRO-ADULTO MAYOR</t>
  </si>
  <si>
    <t>Estampilla Pro-Adulto Mayor Inversión</t>
  </si>
  <si>
    <t>Estampilla Pro-Adulto Mayor  (20% pensiones)</t>
  </si>
  <si>
    <t>ESTAMPILLA PRO-HOSPITAL</t>
  </si>
  <si>
    <t>ESTAMPILLA PRO-UNIVERSIDAD</t>
  </si>
  <si>
    <t>Tasa Prodeporte</t>
  </si>
  <si>
    <t xml:space="preserve">AGUA POTABLE Y SANEAMIENTO BÁSICO </t>
  </si>
  <si>
    <t xml:space="preserve">SGP Sector Aguas Potable y Saneamiento Básico </t>
  </si>
  <si>
    <t>TASAS</t>
  </si>
  <si>
    <t>Otras Tasas y Tarifas</t>
  </si>
  <si>
    <t>Administración Centro de Convenciones</t>
  </si>
  <si>
    <t>Casa Delegada</t>
  </si>
  <si>
    <t>Retroactivos de Pensiones de Vejez</t>
  </si>
  <si>
    <t>Venta de Servicios Secretaria de Salud</t>
  </si>
  <si>
    <t>MULTAS, INTERESES  Y SANCIONES</t>
  </si>
  <si>
    <t>Intereses Moratorios Impuesto Sobre Vehículos Automotores Vig. Actual</t>
  </si>
  <si>
    <t>Sanciones Impuesto Sobre Vehículos Automotores Vig Actual</t>
  </si>
  <si>
    <t>CUOTAS PARTES PENSIONALES</t>
  </si>
  <si>
    <t>Otras Multas de salud</t>
  </si>
  <si>
    <t>Otros Ingresos No Tributarios</t>
  </si>
  <si>
    <t>MONOPOLIO</t>
  </si>
  <si>
    <t>Monopolio Libre destinación 46%</t>
  </si>
  <si>
    <t>Monopolio Destinación Específica  51%</t>
  </si>
  <si>
    <t>Monopolio Deportes</t>
  </si>
  <si>
    <t>Derechos de explotación introducción de licores  14 %</t>
  </si>
  <si>
    <t>TRANSFERENCIAS CORRIENTES</t>
  </si>
  <si>
    <t>Cuota de Fiscalización</t>
  </si>
  <si>
    <t>Otras tranferencias corrientes</t>
  </si>
  <si>
    <t>TRANSFERENCIAS DE CAPITAL</t>
  </si>
  <si>
    <t>TRANSFERENCIAS NACIONALES</t>
  </si>
  <si>
    <t xml:space="preserve">CONVENIOS  </t>
  </si>
  <si>
    <t>Sobretasa al ACPM Para Inversión</t>
  </si>
  <si>
    <t>Sobretasa al ACPM Para Servicio de Deuda</t>
  </si>
  <si>
    <t>IVA TELEFONIA MOVIL CELULAR</t>
  </si>
  <si>
    <t>IVA telefonía Celular - Cultura</t>
  </si>
  <si>
    <t>IVA telefonía Celular - Deporte</t>
  </si>
  <si>
    <t xml:space="preserve">IVA LICORES  - 3% monopolio y Consumo </t>
  </si>
  <si>
    <t xml:space="preserve">IVA Licores Deportes - Ahora 3% Consumo </t>
  </si>
  <si>
    <t>TRANSFERENCIAS PARA LA INVERSION</t>
  </si>
  <si>
    <t>Monopolio 3% deporte</t>
  </si>
  <si>
    <t>Fondo de seguridad Contribución de Seguridad 5% Obras Publicas</t>
  </si>
  <si>
    <t>FONDO EDUCATIVO DEPARTAMENTAL</t>
  </si>
  <si>
    <t>Sistema General de Participaciones Educación - Prestación de Servicios</t>
  </si>
  <si>
    <t>Sistema General de Participaciones Educación - Aportes Patronales (S.S.F)</t>
  </si>
  <si>
    <t>S.G.P. Aportes Docentes (S.S.F.)</t>
  </si>
  <si>
    <t>S.G.P Cancelación Prestaciones Sociales ( Sin Situación de Fondos )</t>
  </si>
  <si>
    <t>Proyectos Educativos de Conectividad</t>
  </si>
  <si>
    <t>Necesidades Educativas Especiales</t>
  </si>
  <si>
    <t>Convenio PAE Alimentación Escolar</t>
  </si>
  <si>
    <t>Convenios MEN Alimentación Escolar</t>
  </si>
  <si>
    <t>Bolsa Común Programa de Alimentación Escolar PAE</t>
  </si>
  <si>
    <t>Transferencias de la Nación - Programa de Alimentación Escolar PAE</t>
  </si>
  <si>
    <t>Rendimientos por operaciones financieras</t>
  </si>
  <si>
    <t>Rendimientos Financieros Conectividad y Alimentación PAE</t>
  </si>
  <si>
    <t>Rendimientos por operaciones financieras Calidad</t>
  </si>
  <si>
    <t>Recursos del Balance</t>
  </si>
  <si>
    <t>FONDO DE MITIGACION DE EMERGENCIAS - FOME</t>
  </si>
  <si>
    <t>FONDO DEPARTAMENTAL DE SALUD</t>
  </si>
  <si>
    <t>SISTEMA GENERAL DE PARTICIPACIONES - SALUD</t>
  </si>
  <si>
    <t>Sistema General de Participaciones-Prestación Servicios</t>
  </si>
  <si>
    <t xml:space="preserve">Sistema General de Participaciones - Salud – Pública </t>
  </si>
  <si>
    <t>Sistema General de Participaciones - Salud - Oferta</t>
  </si>
  <si>
    <t>Otros Ingresos de Salud (Cancelaciones)</t>
  </si>
  <si>
    <t>Rendimientos por Operaciones Financieras</t>
  </si>
  <si>
    <t>Recursos del balance</t>
  </si>
  <si>
    <t>otros ingresos de capital</t>
  </si>
  <si>
    <t>OTROS INGRESOS FONDO LOCAL DE SALUD</t>
  </si>
  <si>
    <t>Monopolio</t>
  </si>
  <si>
    <t>Impuesto al Consumo de Cerveza Salud</t>
  </si>
  <si>
    <t xml:space="preserve">Ingreso por Apuestas Permanentes </t>
  </si>
  <si>
    <t>Juegos Novedosos Superastro</t>
  </si>
  <si>
    <t>Rifas Departamentales</t>
  </si>
  <si>
    <t>Rentas Cedidas ( otros gastos) iva cedido</t>
  </si>
  <si>
    <t>Impuesto al Consumo de Vinos Aperitivos y Similares</t>
  </si>
  <si>
    <t>Loterías Foráneas</t>
  </si>
  <si>
    <t>Explotacion Sorteo Extraordinario y ordinario monopolio</t>
  </si>
  <si>
    <t>Juegos Operados por Internet y Apuestas tipo paramutual en eventos deportivos</t>
  </si>
  <si>
    <t xml:space="preserve">Ingreso por Producto de Lotería </t>
  </si>
  <si>
    <t>Ingreso Productos de Lotería</t>
  </si>
  <si>
    <t>Impuestos a Ganadores</t>
  </si>
  <si>
    <t>Fondo de Estupefacientes</t>
  </si>
  <si>
    <t>Recursos Ley 1393</t>
  </si>
  <si>
    <t>Cigarrillos y Tabaco</t>
  </si>
  <si>
    <t>Advaloren</t>
  </si>
  <si>
    <t>Premios Caducos</t>
  </si>
  <si>
    <t xml:space="preserve">Impuesto al Consumo Licores, Vinos , Aperitivos y Similares 6% </t>
  </si>
  <si>
    <t>Monopolio 6%</t>
  </si>
  <si>
    <t>Aportes de la Nación</t>
  </si>
  <si>
    <t>Rendimiento</t>
  </si>
  <si>
    <t>Convenio 012 de 2014 MinVivienda</t>
  </si>
  <si>
    <t>Contribución de Seguridad, 5% Obras Viales</t>
  </si>
  <si>
    <t>CREDITO INTERNO</t>
  </si>
  <si>
    <t>Créditos con Entidades Financieras Plan Vial SACPM</t>
  </si>
  <si>
    <t>Créditos con Entidades Financieras Plan de Desarrollo RO</t>
  </si>
  <si>
    <t>VENTA DE ACTIVOS</t>
  </si>
  <si>
    <t>RECUPERACIÓN DE CARTERA</t>
  </si>
  <si>
    <t>INGRESOS TRIBUTARIOS</t>
  </si>
  <si>
    <t>Impuesto Vehículos Automotores Libre destinación  Vigencia Anterior</t>
  </si>
  <si>
    <t>Intereses Impuesto Vehículos Automotores Vigencia Anterior</t>
  </si>
  <si>
    <t>Sanciones Impuesto Vehículos Automotores Vigencia Anterior</t>
  </si>
  <si>
    <t>Ingresos no Tributarios</t>
  </si>
  <si>
    <t>Recuperación de Cartera Cuotas Partes Pensionales</t>
  </si>
  <si>
    <t xml:space="preserve">REINTEGROS </t>
  </si>
  <si>
    <t>RENDIMIENTOS POR OPERACIONES FINANCIERAS</t>
  </si>
  <si>
    <t>INTERESES</t>
  </si>
  <si>
    <t xml:space="preserve">Provenientes de Recursos de Libre Destinación </t>
  </si>
  <si>
    <t>PROVENIENTES DE RECURSOS DE DESTINACIÓN ESPECIFICA</t>
  </si>
  <si>
    <t>Rendimientos Financieros</t>
  </si>
  <si>
    <t>Estampilla Pro-Desarrollo (20%) Pensiones</t>
  </si>
  <si>
    <t xml:space="preserve">Estampilla Pro-Desarrollo (15%) Infraestructura Sanitaria Promotora de Vivienda </t>
  </si>
  <si>
    <t>Estampilla Pro-Adulto Mayor (20%) Pensiones</t>
  </si>
  <si>
    <t>Rendimientos Fondo de Seguridad Obras</t>
  </si>
  <si>
    <t>Rendimientos Sobre tasa al ACPM</t>
  </si>
  <si>
    <t>Rendimientos IVA Cedido Deporte</t>
  </si>
  <si>
    <t xml:space="preserve">Rendimientos SGP Agua Potable y Saneamiento Básico </t>
  </si>
  <si>
    <t>Rendimientos Desahorro FONPET</t>
  </si>
  <si>
    <t xml:space="preserve">Rendimientos Material de Rio Minas y Otros </t>
  </si>
  <si>
    <t>Rendimientos (3%) Monopolio Destinación Deporte</t>
  </si>
  <si>
    <t>Rendimientos Impuesto al Consumo 3%  (Deporte)</t>
  </si>
  <si>
    <t xml:space="preserve">SUPERAVIT RECURSOS DE LIBRE DESTINACIÓN </t>
  </si>
  <si>
    <t>SUPERAVIT RECURSOS DESTINACION ESPECIFICA</t>
  </si>
  <si>
    <t>Reintegros 307</t>
  </si>
  <si>
    <t>Recursos del balance 307</t>
  </si>
  <si>
    <t>DIVIDENDOS</t>
  </si>
  <si>
    <t xml:space="preserve">Cancelación Recurso Ordinario </t>
  </si>
  <si>
    <t>Excedentes de Establecimientos Públicos</t>
  </si>
  <si>
    <t>Retiros fonpet</t>
  </si>
  <si>
    <t>Retiros fonpet pago de cuotas partes y bonos ssf</t>
  </si>
  <si>
    <t>EXCEDENTES FINANCIEROS</t>
  </si>
  <si>
    <t>COD_UNIDAD</t>
  </si>
  <si>
    <t>NRO_NIVEL</t>
  </si>
  <si>
    <t>0307 - 1101021000101 - 01</t>
  </si>
  <si>
    <t>Impuesto de Registro - Cámaras de Comercio ( 20% FONPET)</t>
  </si>
  <si>
    <t>0307 - 1101021000102 - 13</t>
  </si>
  <si>
    <t>Impuesto de Registro - Cámaras de Comercio (10% Cuotas Partes Pensionales)</t>
  </si>
  <si>
    <t>0307 - 1101021000103 - 20</t>
  </si>
  <si>
    <t>Impuesto de Registro - Cámaras de Comercio (ICLD)</t>
  </si>
  <si>
    <t>0307 - 1101021000104 - 52</t>
  </si>
  <si>
    <t>Impuesto de Registro - Cámaras de Comercio (4% Turismo)</t>
  </si>
  <si>
    <t>0307 - 1101021000105 - 53</t>
  </si>
  <si>
    <t>Impuesto de Registro - Cámaras de Comercio (6% Proyecta)</t>
  </si>
  <si>
    <t>0307 - 1101021000201 - 01</t>
  </si>
  <si>
    <t>Impuesto de Registro - Oficinas de Instrumentos Públicos ( 20% FONPET)</t>
  </si>
  <si>
    <t>0307 - 1101021000202 - 13</t>
  </si>
  <si>
    <t>Impuesto de Registro - Oficinas de Instrumentos Públicos (10% Cuotas Partes Pensionales)</t>
  </si>
  <si>
    <t>0307 - 1101021000203 - 20</t>
  </si>
  <si>
    <t>Impuesto de Registro - Oficinas de Instrumentos Públicos (ICLD)</t>
  </si>
  <si>
    <t>0307 - 1101021000204 - 52</t>
  </si>
  <si>
    <t>Impuesto de Registro - Oficinas de Instrumentos Públicos (4% Turismo)</t>
  </si>
  <si>
    <t>0307 - 1101021000205 - 53</t>
  </si>
  <si>
    <t>Impuesto de Registro - Oficinas de Instrumentos Públicos (6% Proyecta)</t>
  </si>
  <si>
    <t>0307 - 1101021040201 - 145</t>
  </si>
  <si>
    <t>0307 - 1101021040202 - 145</t>
  </si>
  <si>
    <t>0307 - 1101023000101 - 06</t>
  </si>
  <si>
    <t>Estampilla para el bienestar del adulto mayor (80% Inversion)</t>
  </si>
  <si>
    <t>0307 - 1101023000102 - 178</t>
  </si>
  <si>
    <t>Estampilla para el bienestar del adulto mayor (20% Pensiones)</t>
  </si>
  <si>
    <t>0307 - 1101023000201 - 04</t>
  </si>
  <si>
    <t>Estampilla pro desarrollo departamental (50% inversion)</t>
  </si>
  <si>
    <t>0307 - 1101023000202 - 176</t>
  </si>
  <si>
    <t>Estampilla pro desarrollo departamental (20% Pension)</t>
  </si>
  <si>
    <t>0307 - 1101023000203 - 177</t>
  </si>
  <si>
    <t>Estampilla pro desarrollo departamental (30% Proyecta)</t>
  </si>
  <si>
    <t>0307 - 1101023005501 - 05</t>
  </si>
  <si>
    <t>Estampilla pro cultura (20% Pensiones)</t>
  </si>
  <si>
    <t>0307 - 1101023005502 - 33</t>
  </si>
  <si>
    <t>Estampilla pro cultura (10% Seguridad Social Artista)</t>
  </si>
  <si>
    <t>0307 - 1101023005503 - 34</t>
  </si>
  <si>
    <t>Estampilla pro cultura (10% Bibliotecas)</t>
  </si>
  <si>
    <t>0307 - 1101023005504 - 39</t>
  </si>
  <si>
    <t>Estampilla pro cultura (50% Concertacion)</t>
  </si>
  <si>
    <t>0307 - 1101023005505 - 41</t>
  </si>
  <si>
    <t>Estampilla pro cultura (10% Estimulos)</t>
  </si>
  <si>
    <t>0307 - 1102030011101 - 20</t>
  </si>
  <si>
    <t>0307 - 1102060030110 - 23</t>
  </si>
  <si>
    <t>0307 - 110206006060000000000031110000002993 - 225</t>
  </si>
  <si>
    <t>Ministerio de Salud y Protección Social</t>
  </si>
  <si>
    <t>0307 - 110206006060000000000311100000002773 - 218</t>
  </si>
  <si>
    <t>0307 - 110206006060000000000311100000002773 - 219</t>
  </si>
  <si>
    <t>0307 - 110206006060000000000311100000002773 - 226</t>
  </si>
  <si>
    <t>0307 - 110206009020200000000111116300002928 - 20</t>
  </si>
  <si>
    <t>0307 - 110207002010201001 - 35</t>
  </si>
  <si>
    <t>Derechos de monopolio por la introducción de licores destilados de producción nacional (Monopolio pa</t>
  </si>
  <si>
    <t>0307 - 110207002010201002 - 179</t>
  </si>
  <si>
    <t>Derechos de monopolio por la introducción de licores destilados de producción Nacional</t>
  </si>
  <si>
    <t>0307 - 110207002010201003 - 20</t>
  </si>
  <si>
    <t>0307 - 110207002010202001 - 35</t>
  </si>
  <si>
    <t xml:space="preserve">Derechos de monopolio por la introducción de licores destilados de producción extranjera (Monopolio </t>
  </si>
  <si>
    <t>0307 - 110207002010202002 - 179</t>
  </si>
  <si>
    <t>Derechos de monopolio por la introducción de licores destilados de producción extranjera</t>
  </si>
  <si>
    <t>0307 - 110207002010202003 - 20</t>
  </si>
  <si>
    <t>0307 - 110207002010302002001 - 179</t>
  </si>
  <si>
    <t>Participación por el consumo de licores destilados introducidos de producción nacional recaudado p</t>
  </si>
  <si>
    <t>0307 - 110207002010302002001 - 20</t>
  </si>
  <si>
    <t>0307 - 110207002010302002001 - 35</t>
  </si>
  <si>
    <t>0307 - 110207002010302002002 - 179</t>
  </si>
  <si>
    <t>Participación por el consumo de licores destilados introducidos de producción extranjera recaudado p</t>
  </si>
  <si>
    <t>0307 - 110207002010302002002 - 20</t>
  </si>
  <si>
    <t>0307 - 110207002010302002002 - 35</t>
  </si>
  <si>
    <t>0307 - 1102070020201 - 20</t>
  </si>
  <si>
    <t>Participación por la utilización de alcohol potable producido</t>
  </si>
  <si>
    <t>0307 - 1102070020201 - 205</t>
  </si>
  <si>
    <t>0307 - 1102070020201 - 35</t>
  </si>
  <si>
    <t>0307 - 120303002 - 20</t>
  </si>
  <si>
    <t>Fondo Nacional de Garantías</t>
  </si>
  <si>
    <t>0307 - 120502002 - 04</t>
  </si>
  <si>
    <t>Depósitos Estampilla Prodesarrollo Inversion 50%</t>
  </si>
  <si>
    <t>0307 - 120502003 - 176</t>
  </si>
  <si>
    <t>Depósitos Estampilla Prodesarrollo Pensiones 20%</t>
  </si>
  <si>
    <t>0307 - 120502004 - 05</t>
  </si>
  <si>
    <t>Depósitos Estampilla Procultura Pensiones 20%</t>
  </si>
  <si>
    <t>0307 - 120502005 - 33</t>
  </si>
  <si>
    <t>Depósitos Estampilla Procultura Seguridad Social 10%</t>
  </si>
  <si>
    <t>0307 - 120502006 - 34</t>
  </si>
  <si>
    <t>Depósitos Estampilla Procultura Bibliotecas 10%</t>
  </si>
  <si>
    <t>0307 - 120502007 - 39</t>
  </si>
  <si>
    <t>Depósitos Estampilla Procultura Concertacion 50%</t>
  </si>
  <si>
    <t>0307 - 120502008 - 41</t>
  </si>
  <si>
    <t>Depósitos Estampilla Procultura Estimulos 10%</t>
  </si>
  <si>
    <t>0307 - 120502009 - 06</t>
  </si>
  <si>
    <t>Depósitos Estampilla Proadulto Mayor Inversion 80%</t>
  </si>
  <si>
    <t>0307 - 120502010 - 178</t>
  </si>
  <si>
    <t>Depósitos Estampilla Proadulto Pensiones 20%</t>
  </si>
  <si>
    <t>0307 - 120502011 - 135</t>
  </si>
  <si>
    <t>Depósitos Desahorro FONPET Pensionales</t>
  </si>
  <si>
    <t>0307 - 120502012 - 42</t>
  </si>
  <si>
    <t>Depósitos Fondo de Seguridad Ciudadana</t>
  </si>
  <si>
    <t>0307 - 120502013 - 27</t>
  </si>
  <si>
    <t>Depósitos SGP Agua Potable</t>
  </si>
  <si>
    <t>0307 - 120502014 - 20</t>
  </si>
  <si>
    <t>Depósitos Recursos Ordinario</t>
  </si>
  <si>
    <t>0307 - 120502019 - 177</t>
  </si>
  <si>
    <t>Depósitos Estampillas Pro-Desarrollo 30%</t>
  </si>
  <si>
    <t>0307 - 120502020 - 23</t>
  </si>
  <si>
    <t>Depósitos Sobretasa al ACPM</t>
  </si>
  <si>
    <t>0307 - 120502021 - 134</t>
  </si>
  <si>
    <t>Depósitos Material de Río</t>
  </si>
  <si>
    <t>0307 - 120502022 - 179</t>
  </si>
  <si>
    <t>Depósitos Derechos del Monopolio e Impuesto al Consumo Deporte</t>
  </si>
  <si>
    <t>0307 - 120502025 - 145</t>
  </si>
  <si>
    <t>Depósitos Impuesto al Consumo 3% Deporte</t>
  </si>
  <si>
    <t>0307 - 120701001 - 46</t>
  </si>
  <si>
    <t>Banca comercial</t>
  </si>
  <si>
    <t>0307 - 12100200101 - 88</t>
  </si>
  <si>
    <t xml:space="preserve">Superávit Recurso Ordinario </t>
  </si>
  <si>
    <t>0307 - 12100200201 - 82</t>
  </si>
  <si>
    <t>Superávit Estampilla Pro-Desarrollo</t>
  </si>
  <si>
    <t>0307 - 12100200202 - 157</t>
  </si>
  <si>
    <t>Superávit Recursos del Crédito</t>
  </si>
  <si>
    <t>0307 - 12100200207 - 91</t>
  </si>
  <si>
    <t xml:space="preserve">Superávit Recurso Destinado del Monopolio </t>
  </si>
  <si>
    <t>0307 - 12100200209 - 92</t>
  </si>
  <si>
    <t xml:space="preserve">Superávit Fondo de Seguridad Ciudadana </t>
  </si>
  <si>
    <t>0307 - 12100200213 - 186</t>
  </si>
  <si>
    <t>Superávit Extracción Material De Rio Minas Y Otros</t>
  </si>
  <si>
    <t>0307 - 12100200218 - 195</t>
  </si>
  <si>
    <t>Superávit Reintegro Recursos del Credito</t>
  </si>
  <si>
    <t>0307 - 12100200219 - 90</t>
  </si>
  <si>
    <t>Superavít SGP Agua Potable</t>
  </si>
  <si>
    <t>0307 - 12100200220 - 84</t>
  </si>
  <si>
    <t>Superavít Estampilla Pro Adulto Mayor</t>
  </si>
  <si>
    <t>0307 - 12100200221 - 217</t>
  </si>
  <si>
    <t xml:space="preserve">Superavít Convenios Interadministrativos </t>
  </si>
  <si>
    <t>0307 - 12100200221 - 95</t>
  </si>
  <si>
    <t>0307 - 12100200234 - 208</t>
  </si>
  <si>
    <t>Superávit Impuesto al Consumo 3% Monopolio Indeportes</t>
  </si>
  <si>
    <t>0307 - 12100200235 - 123</t>
  </si>
  <si>
    <t>Superávit Estampilla Pro Hospital</t>
  </si>
  <si>
    <t>0307 - 12100200238 - 86</t>
  </si>
  <si>
    <t>Suparávit Registro Pago Cuotas Partes Pensionales</t>
  </si>
  <si>
    <t>0307 - 12100200239 - 93</t>
  </si>
  <si>
    <t xml:space="preserve">Superávit IVA Telefonia Movil </t>
  </si>
  <si>
    <t>0307 - 12100200242 - 94</t>
  </si>
  <si>
    <t xml:space="preserve">Superávit Impuesto al Registro Turismo 4% </t>
  </si>
  <si>
    <t>0307 - 12100200243 - 207</t>
  </si>
  <si>
    <t xml:space="preserve">Superávit Convenio Invias Colombia Rural </t>
  </si>
  <si>
    <t>0307 - 12100200244 - 209</t>
  </si>
  <si>
    <t>Superávit estampilla Pro-Desarrollo (20%) Pensiones</t>
  </si>
  <si>
    <t>0307 - 12100200245 - 210</t>
  </si>
  <si>
    <t>Superávit estampilla Pro-Desarrollo (30%) Proyecta</t>
  </si>
  <si>
    <t>0307 - 12100200246 - 211</t>
  </si>
  <si>
    <t>Superávit estampilla Procultura 20% Pensiones</t>
  </si>
  <si>
    <t>0307 - 12100200247 - 216</t>
  </si>
  <si>
    <t>Superávit estampilla Pro-adulto mayor (20%) Pensión</t>
  </si>
  <si>
    <t>0307 - 12100200248 - 122</t>
  </si>
  <si>
    <t>Superávit Desahorro FONPET</t>
  </si>
  <si>
    <t>0307 - 12100200249 - 129</t>
  </si>
  <si>
    <t>Superávit Impuesto al Registro Proyecta</t>
  </si>
  <si>
    <t>0307 - 12100200251 - 213</t>
  </si>
  <si>
    <t>Superávit estampilla Procultura 10% Bibliotecas</t>
  </si>
  <si>
    <t>0307 - 12100200252 - 212</t>
  </si>
  <si>
    <t>Superávit estampilla Procultura 10% Seguridad Social</t>
  </si>
  <si>
    <t>0307 - 12100200253 - 214</t>
  </si>
  <si>
    <t>Superávit estampilla Procultura 50% Concertación</t>
  </si>
  <si>
    <t>0307 - 12100200254 - 215</t>
  </si>
  <si>
    <t>Superávit estampilla Procultura 10% Estimulos</t>
  </si>
  <si>
    <t>0307 - 121201003 - 135</t>
  </si>
  <si>
    <t>0307 - 121301 - 202</t>
  </si>
  <si>
    <t>0307 - 121301 - 84</t>
  </si>
  <si>
    <t>0307 - 121302 - 20</t>
  </si>
  <si>
    <t>Recursos no apropiados</t>
  </si>
  <si>
    <t>0314 - 120502001010206001001 - 21</t>
  </si>
  <si>
    <t>0314 - 120502001010206001002 - 81</t>
  </si>
  <si>
    <t>0314 - 12100200205 - 09</t>
  </si>
  <si>
    <t>Superávit S.G.P. Educación</t>
  </si>
  <si>
    <t>0314 - 12100200210 - 137</t>
  </si>
  <si>
    <t>Superávit PAE Educación</t>
  </si>
  <si>
    <t>0314 - 12100200211 - 183</t>
  </si>
  <si>
    <t>Superávit Cofinanciación Municipios Pae</t>
  </si>
  <si>
    <t>0314 - 12100200216 - 189</t>
  </si>
  <si>
    <t>Superávit Rendimientos Financieros S.G.P. Educación</t>
  </si>
  <si>
    <t>0314 - 12100200250 - 187</t>
  </si>
  <si>
    <t>Superávit  Transferencias Nacion FOME</t>
  </si>
  <si>
    <t>0314 - 12100200255 - 220</t>
  </si>
  <si>
    <t xml:space="preserve">Superávit Reintegro Cuentas Por pagar </t>
  </si>
  <si>
    <t>0314 - 121301 - 204</t>
  </si>
  <si>
    <t>0314 - 121301 - 220</t>
  </si>
  <si>
    <t>0314 - 121301 - 223</t>
  </si>
  <si>
    <t>0314 - 121301 - 227</t>
  </si>
  <si>
    <t>0314 - 121301 - 228</t>
  </si>
  <si>
    <t>0318 - 1101021040201 - 154</t>
  </si>
  <si>
    <t>0318 - 1101021040201 - 58</t>
  </si>
  <si>
    <t>0318 - 1101021040201 - 72</t>
  </si>
  <si>
    <t>0318 - 1101021040202 - 154</t>
  </si>
  <si>
    <t>0318 - 1101021040202 - 58</t>
  </si>
  <si>
    <t>0318 - 1101021040202 - 72</t>
  </si>
  <si>
    <t>0318 - 11010210501 - 154</t>
  </si>
  <si>
    <t>0318 - 11010210501 - 58</t>
  </si>
  <si>
    <t>0318 - 11010210501 - 72</t>
  </si>
  <si>
    <t>0318 - 11010210502 - 154</t>
  </si>
  <si>
    <t>0318 - 11010210502 - 58</t>
  </si>
  <si>
    <t>0318 - 11010210502 - 72</t>
  </si>
  <si>
    <t>0318 - 1102060060108 - 174</t>
  </si>
  <si>
    <t>Min. Salud - Resolución 1638 del Ministerio de Hacienda</t>
  </si>
  <si>
    <t>0318 - 1102060060109 - 222</t>
  </si>
  <si>
    <t>Convenio Interadminstrativo Fondo de Estupefacientes</t>
  </si>
  <si>
    <t>0318 - 1102060060110 - 224</t>
  </si>
  <si>
    <t>Min. Salud - Resolucion 1199 de 2022 Urgencias Poblacion Migrante</t>
  </si>
  <si>
    <t>0318 - 1102060060111 - 180</t>
  </si>
  <si>
    <t>Min. Salud Resolución 1739 de 2022. Apoyo proceso certificacion de Discapacidad Nacional.</t>
  </si>
  <si>
    <t>Explotacion Sorteo Ordinario 68%</t>
  </si>
  <si>
    <t>0318 - 110207002010201001 - 154</t>
  </si>
  <si>
    <t>0318 - 110207002010201001 - 58</t>
  </si>
  <si>
    <t>0318 - 110207002010201001 - 72</t>
  </si>
  <si>
    <t>0318 - 110207002010201002 - 154</t>
  </si>
  <si>
    <t>0318 - 110207002010201002 - 58</t>
  </si>
  <si>
    <t>0318 - 110207002010201002 - 72</t>
  </si>
  <si>
    <t>0318 - 110207002010202002 - 154</t>
  </si>
  <si>
    <t>0318 - 110207002010202002 - 58</t>
  </si>
  <si>
    <t>0318 - 110207002010202002 - 72</t>
  </si>
  <si>
    <t>0318 - 110207002010302001 - 154</t>
  </si>
  <si>
    <t>0318 - 110207002010302001 - 58</t>
  </si>
  <si>
    <t>0318 - 110207002010302001 - 72</t>
  </si>
  <si>
    <t>0318 - 110207002010302002001 - 154</t>
  </si>
  <si>
    <t>0318 - 110207002010302002002 - 58</t>
  </si>
  <si>
    <t>0318 - 110207002010302002002 - 72</t>
  </si>
  <si>
    <t>0318 - 1102070020201 - 154</t>
  </si>
  <si>
    <t>0318 - 1102070020201 - 58</t>
  </si>
  <si>
    <t>0318 - 1102070020201 - 72</t>
  </si>
  <si>
    <t>0318 - 120502015 - 63</t>
  </si>
  <si>
    <t>Depósitos Fondo de Estupefacientes</t>
  </si>
  <si>
    <t>0318 - 120502016 - 58</t>
  </si>
  <si>
    <t>Depósitos Rentas Cedidas</t>
  </si>
  <si>
    <t>0318 - 120502016 - 72</t>
  </si>
  <si>
    <t>0318 - 120502017 - 171</t>
  </si>
  <si>
    <t>Depósitos Subsidio de la Oferta</t>
  </si>
  <si>
    <t>0318 - 120502018 - 61</t>
  </si>
  <si>
    <t>Depósitos Salud Púbica</t>
  </si>
  <si>
    <t>0318 - 120502023 - 161</t>
  </si>
  <si>
    <t>Depósitos Cofinanciación Nacional Salud Púbilca</t>
  </si>
  <si>
    <t>0318 - 120502024 - 102</t>
  </si>
  <si>
    <t>Depósitos Cofinanciación Nacional de Otros Gastos en salud</t>
  </si>
  <si>
    <t>0318 - 120502026 - 152</t>
  </si>
  <si>
    <t>Depósitos Excedentes Aportes Patronales</t>
  </si>
  <si>
    <t>0318 - 120502027 - 154</t>
  </si>
  <si>
    <t>Depósitos Recursos ADRES</t>
  </si>
  <si>
    <t>0318 - 120502027 - 167</t>
  </si>
  <si>
    <t>0318 - 120502028 - 65</t>
  </si>
  <si>
    <t>Depositos Aportes de la Nacion</t>
  </si>
  <si>
    <t>0318 - 120502029 - 96</t>
  </si>
  <si>
    <t>Depósitos  Superávit Rentas Cedidas</t>
  </si>
  <si>
    <t>0318 - 12100200204 - 98</t>
  </si>
  <si>
    <t>Superávit SGP Salud Pública</t>
  </si>
  <si>
    <t>0318 - 12100200225 - 198</t>
  </si>
  <si>
    <t>Superávit Fondo de SAlvamento y Grantias para la Salud FONSAET</t>
  </si>
  <si>
    <t>0318 - 12100200226 - 96</t>
  </si>
  <si>
    <t>Superávit Rentas Cedidas Subcuenta Otros Gastos en Salud</t>
  </si>
  <si>
    <t>0318 - 12100200227 - 200</t>
  </si>
  <si>
    <t>Superávit COLCIENCIAS</t>
  </si>
  <si>
    <t>0318 - 12100200228 - 99</t>
  </si>
  <si>
    <t>Superávit Fondo de Estupefacientes</t>
  </si>
  <si>
    <t>0318 - 12100200229 - 191</t>
  </si>
  <si>
    <t>Superávit Rentas Cedidas Subcuenta Regimen Subsidiado</t>
  </si>
  <si>
    <t>0318 - 12100200230 - 97</t>
  </si>
  <si>
    <t>Superávit SGP Prestacion del Servivio</t>
  </si>
  <si>
    <t>0318 - 12100200231 - 192</t>
  </si>
  <si>
    <t>Superávit SGP Subsidio de la Oferta</t>
  </si>
  <si>
    <t>0318 - 12100200232 - 193</t>
  </si>
  <si>
    <t>Superávit Rentas Cedidas Prestacion del Servicio</t>
  </si>
  <si>
    <t>0318 - 12100200233 - 152</t>
  </si>
  <si>
    <t>Superávit Excedentes Aportes Patronales ESE del Departamento</t>
  </si>
  <si>
    <t>0318 - 12100200255 - 220</t>
  </si>
  <si>
    <t>0318 - 12100200256 - 221</t>
  </si>
  <si>
    <t>Superávit proyecto FRISCO consumo sustancias sicoactivas</t>
  </si>
  <si>
    <t>0318 - 12100200257 - 169</t>
  </si>
  <si>
    <t>Superávit Recursos SGSS Salud Adres</t>
  </si>
  <si>
    <t>0318 - 121302 - 63</t>
  </si>
  <si>
    <t>Fortalecimiento de la Prestación de Servicios de Salud y las acciones de Salud Pública durante la pa</t>
  </si>
  <si>
    <t>Fortalecimiento de la prestación de servicios de salud y las acciones de salud pública durante la pa</t>
  </si>
  <si>
    <t>06 - 1102060020308 - 70</t>
  </si>
  <si>
    <t xml:space="preserve">Desarrollo de Instrumentos y Herramientas para la planeación y gestión del ordenamiento territorial </t>
  </si>
  <si>
    <t>06 - 1102060020328 - 70</t>
  </si>
  <si>
    <t>Implementación del Prgrama Integral de Bilinguismo Quindio Bilingue y Competitivo en el Departamento</t>
  </si>
  <si>
    <t>06 - 1102060020329 - 70</t>
  </si>
  <si>
    <t>06 - 1102060020334 - 70</t>
  </si>
  <si>
    <t>06 - 1102060020338 - 70</t>
  </si>
  <si>
    <t>06 - 1102060020394 - 70</t>
  </si>
  <si>
    <t>Fortalecimiento del Ecosistema de emprendimiento mediante el acompañamiento tecnico y servicio de ap</t>
  </si>
  <si>
    <t>06 - 120502001010206008 - 70</t>
  </si>
  <si>
    <t>Sistema General de Regalias</t>
  </si>
  <si>
    <t>08 - 12100200201 - 82</t>
  </si>
  <si>
    <t>09 - 12100200101 - 88</t>
  </si>
  <si>
    <t>VIGENCIA</t>
  </si>
  <si>
    <t>COD_INGRESO</t>
  </si>
  <si>
    <t>INGRESO</t>
  </si>
  <si>
    <t>NOM_UNIDAD</t>
  </si>
  <si>
    <t>AFORO_DEFINITIVO</t>
  </si>
  <si>
    <t>INGRESO_EFECTIVO</t>
  </si>
  <si>
    <t>03-GOBERNACION_x000D_
0307-SECRETARIA DE HACIENDA</t>
  </si>
  <si>
    <t>0307 - 11010210001</t>
  </si>
  <si>
    <t>0307 - 11010210002</t>
  </si>
  <si>
    <t>0307 - 110102218 - 190</t>
  </si>
  <si>
    <t>Tasa prodeporte y recreación</t>
  </si>
  <si>
    <t>0307 - 11010230001</t>
  </si>
  <si>
    <t>0307 - 11010230002</t>
  </si>
  <si>
    <t>0307 - 11010230018 - 20</t>
  </si>
  <si>
    <t>Estampilla Universidad de los Llanos</t>
  </si>
  <si>
    <t>0307 - 11010230024 - 07</t>
  </si>
  <si>
    <t>Estampilla pro Universidad del Quindío</t>
  </si>
  <si>
    <t>0307 - 11010230055</t>
  </si>
  <si>
    <t>0307 - 110201003010000000</t>
  </si>
  <si>
    <t>0307 - 110201003010000000000</t>
  </si>
  <si>
    <t>0307 - 110201005</t>
  </si>
  <si>
    <t>Contribuciones diversas</t>
  </si>
  <si>
    <t>0307 - 11020100559 - 42</t>
  </si>
  <si>
    <t>Contribución especial sobre contratos de obras públicas</t>
  </si>
  <si>
    <t>0307 - 110203002010101001</t>
  </si>
  <si>
    <t>0307 - 110206006060000000</t>
  </si>
  <si>
    <t>0307 - 110206006060000000000</t>
  </si>
  <si>
    <t>0307 - 110206009020200000</t>
  </si>
  <si>
    <t>0307 - 110206009020200000000</t>
  </si>
  <si>
    <t>0307 - 110206009020200000000111116300002928 - 49</t>
  </si>
  <si>
    <t>0307 - 110206009020200000000111117600000963 - 49</t>
  </si>
  <si>
    <t>0307 - 110206009020200000000111126300102187 - 49</t>
  </si>
  <si>
    <t>0307 - 110206009020200000000111126313001922 - 49</t>
  </si>
  <si>
    <t>E.S.P. Empresas Públicas Municipales de Calarcá - EMCA ESP</t>
  </si>
  <si>
    <t>0307 - 110206009020200000000235100000003954 - 133</t>
  </si>
  <si>
    <t>Fondo Nacional de Pensiones de las Entidades Territoriales - FONPET</t>
  </si>
  <si>
    <t>0307 - 110206009020200000000311100000002986 - 49</t>
  </si>
  <si>
    <t>0307 - 110206009020200000000311100000003513 - 49</t>
  </si>
  <si>
    <t>0307 - 110206009020200000000321111700000574 - 49</t>
  </si>
  <si>
    <t>0307 - 110206009020200000000321116600000579 - 49</t>
  </si>
  <si>
    <t>0307 - 110206009020200000000322116300003697 - 49</t>
  </si>
  <si>
    <t>0307 - 110206009020200000000322117600003699 - 49</t>
  </si>
  <si>
    <t>0307 - 110206009020200000000331111777703516 - 49</t>
  </si>
  <si>
    <t>0307 - 110206009020200000000331116311100233 - 49</t>
  </si>
  <si>
    <t>0307 - 110206009020200000000331116319000412 - 49</t>
  </si>
  <si>
    <t>0307 - 110206009020200000000331116347003013 - 49</t>
  </si>
  <si>
    <t>0307 - 110206009020200000000331117602000042 - 49</t>
  </si>
  <si>
    <t>0307 - 110206009020200000000331117673603444 - 49</t>
  </si>
  <si>
    <t>0307 - 110207002010202</t>
  </si>
  <si>
    <t>0307 - 110207002010302001 - 179</t>
  </si>
  <si>
    <t>0307 - 110207002010302001 - 20</t>
  </si>
  <si>
    <t>0307 - 110207002010302001 - 35</t>
  </si>
  <si>
    <t>0307 - 110207002010302002</t>
  </si>
  <si>
    <t>Participación por el consumo de licores destilados introducidos de producción extranjera</t>
  </si>
  <si>
    <t>0307 - 11020700202</t>
  </si>
  <si>
    <t>Participación sobre el alcohol potable con destino a la fabricación de licores</t>
  </si>
  <si>
    <t>0307 - 120303003 - 20</t>
  </si>
  <si>
    <t xml:space="preserve">Fondo de Garantia Regional del Cafe </t>
  </si>
  <si>
    <t>0307 - 120502011 - 136</t>
  </si>
  <si>
    <t>0307 - 1208</t>
  </si>
  <si>
    <t>0307 - 120806</t>
  </si>
  <si>
    <t>De otras entidades del gobierno general</t>
  </si>
  <si>
    <t>0307 - 120806002 - 235</t>
  </si>
  <si>
    <t>Condicionadas a la adquisición de un activo</t>
  </si>
  <si>
    <t>0307 - 1209</t>
  </si>
  <si>
    <t>Recuperación de cartera - préstamos</t>
  </si>
  <si>
    <t>0307 - 120905 - 50</t>
  </si>
  <si>
    <t>Recuperación cuotas partes pensionales</t>
  </si>
  <si>
    <t>0307 - 1210</t>
  </si>
  <si>
    <t>0307 - 121002</t>
  </si>
  <si>
    <t>Superávit fiscal</t>
  </si>
  <si>
    <t>0307 - 121002001</t>
  </si>
  <si>
    <t>Superávit Fiscal Recurso de Libre Destinacion</t>
  </si>
  <si>
    <t>0307 - 121002002</t>
  </si>
  <si>
    <t>Superávit Fiscal Recurso de Destinacion Especifica</t>
  </si>
  <si>
    <t>0307 - 12100200206 - 89</t>
  </si>
  <si>
    <t xml:space="preserve">Superávit Sobretasa ACPM  </t>
  </si>
  <si>
    <t>0307 - 12100200222 - 92</t>
  </si>
  <si>
    <t>Superavít Fondo De Seguridad Ciudadana</t>
  </si>
  <si>
    <t>0307 - 12100200237 - 94</t>
  </si>
  <si>
    <t>Superávit Impuesto al Registro Turismo 4%</t>
  </si>
  <si>
    <t>0307 - 12100200258 - 227</t>
  </si>
  <si>
    <t>Superávit Convenio Invias 1274/22 Puntos Críticos</t>
  </si>
  <si>
    <t>0307 - 12100200259 - 228</t>
  </si>
  <si>
    <t>Superávit convenio invias 1609 de 2020 vías terciarias</t>
  </si>
  <si>
    <t>0307 - 12100200260 - 230</t>
  </si>
  <si>
    <t>Superávit Resolucion 1293 de 2022 Minsalud Laboratorio de Salud Pública</t>
  </si>
  <si>
    <t>0307 - 12100200261 - 229</t>
  </si>
  <si>
    <t>Superávit convenio Invias 1645 de 2021 Salento Arrayanel</t>
  </si>
  <si>
    <t>0307 - 12100200262 - 231</t>
  </si>
  <si>
    <t xml:space="preserve">Superávit Monopolio Deporte Alcohol Potable </t>
  </si>
  <si>
    <t>0307 - 121203</t>
  </si>
  <si>
    <t>Para el pago de la deuda por docentes al Fondo de Prestaciones Sociales del Magisterio (FPSM)</t>
  </si>
  <si>
    <t>0307 - 121203001 - 135</t>
  </si>
  <si>
    <t>03-GOBERNACION_x000D_
0314-SECRETARIA DE EDUCACION</t>
  </si>
  <si>
    <t>0314 - 110206006060000000</t>
  </si>
  <si>
    <t>0314 - 110206006060000000000</t>
  </si>
  <si>
    <t>0314 - 120502001010206001</t>
  </si>
  <si>
    <t>0314 - 120502001010206006</t>
  </si>
  <si>
    <t>0314 - 120502001010206006006</t>
  </si>
  <si>
    <t>0314 - 1210</t>
  </si>
  <si>
    <t>0314 - 121001 - 236</t>
  </si>
  <si>
    <t>Cancelación Reservas</t>
  </si>
  <si>
    <t>0314 - 121002</t>
  </si>
  <si>
    <t>0314 - 121002001</t>
  </si>
  <si>
    <t>0314 - 12100200101 - 88</t>
  </si>
  <si>
    <t>0314 - 121002002</t>
  </si>
  <si>
    <t>03-GOBERNACION_x000D_
0318-SECRETARIA DE SALUD</t>
  </si>
  <si>
    <t>0318 - 1101021030201 - 72</t>
  </si>
  <si>
    <t>0318 - 1102060060112 - 180</t>
  </si>
  <si>
    <t>Min Salud Res 403 del 21 Marzo_23 para Cofinanciar el Procedimiento de Certificación  de Discapacida</t>
  </si>
  <si>
    <t>0318 - 110207002010202</t>
  </si>
  <si>
    <t>0318 - 1102070020103</t>
  </si>
  <si>
    <t>0318 - 110207002010302</t>
  </si>
  <si>
    <t>0318 - 110207002010302002</t>
  </si>
  <si>
    <t>0318 - 110207002010302002002 - 154</t>
  </si>
  <si>
    <t>0318 - 11020700202</t>
  </si>
  <si>
    <t>0318 - 120804002 - 154</t>
  </si>
  <si>
    <t>Premios de loterías</t>
  </si>
  <si>
    <t>0318 - 1210</t>
  </si>
  <si>
    <t>0318 - 121002</t>
  </si>
  <si>
    <t>0318 - 121002002</t>
  </si>
  <si>
    <t>0318 - 12100200226 - 199</t>
  </si>
  <si>
    <t>0318 - 12100200263 - 127</t>
  </si>
  <si>
    <t>Superávit Iva Licores Nacionales</t>
  </si>
  <si>
    <t>0318 - 12100200264 - 167</t>
  </si>
  <si>
    <t>Superavít Recursos Adres Res 2359/2019</t>
  </si>
  <si>
    <t>0318 - 12100200265 - 232</t>
  </si>
  <si>
    <t>Superavít Rendimientos Adres Res 2359/2019</t>
  </si>
  <si>
    <t>0318 - 12100200266 - 233</t>
  </si>
  <si>
    <t xml:space="preserve">Superavít Rentas Cedidas Prestación de Servicios en Salud </t>
  </si>
  <si>
    <t>0318 - 12100200267 - 234</t>
  </si>
  <si>
    <t>Superavít Rendimientos Adres Vigencia 2020</t>
  </si>
  <si>
    <t>06-SISTEMA GENERAL DE REGALIAS</t>
  </si>
  <si>
    <t>Asignaciones y distribuciones del Sistema General de Regalías</t>
  </si>
  <si>
    <t>Administración, SSEC, inversión y ahorro para la estabilización de la inversión del SGR</t>
  </si>
  <si>
    <t>06 - 1102060020101</t>
  </si>
  <si>
    <t>Administración del Sistema General de Regalías</t>
  </si>
  <si>
    <t>06 - 110206002010101</t>
  </si>
  <si>
    <t>Funcionamiento, operatividad y administración del sistema y evaluación y monitoreo del licenciamient</t>
  </si>
  <si>
    <t>06 - 110206002010101005 - 70</t>
  </si>
  <si>
    <t>Saldos a 31 de diciembre, para fortalecimiento de las oficinas de planeación y/o las secretarías téc</t>
  </si>
  <si>
    <t>06 - 1102060020103</t>
  </si>
  <si>
    <t>Asignaciones del Sistema General de Regalías</t>
  </si>
  <si>
    <t>06 - 110206002010301</t>
  </si>
  <si>
    <t>Asignaciones directas</t>
  </si>
  <si>
    <t>06 - 110206002010301001</t>
  </si>
  <si>
    <t>Asignaciones directas (20% del SGR)</t>
  </si>
  <si>
    <t>06 - 110206002010301001000</t>
  </si>
  <si>
    <t>06 - 110206002010301001000002020003630002 - 70</t>
  </si>
  <si>
    <t>06 - 110206002010303</t>
  </si>
  <si>
    <t>Asignación para la inversión regional</t>
  </si>
  <si>
    <t>06 - 110206002010303001</t>
  </si>
  <si>
    <t xml:space="preserve">Asignación para la Inversión Regional - Departamentos </t>
  </si>
  <si>
    <t>06 - 110206002010303001000</t>
  </si>
  <si>
    <t>06 - 110206002010303001000002016000040028 - 70</t>
  </si>
  <si>
    <t>Implementación del programa integral de bilingüismo Quindío bilingüe y competitivo en el departamen"</t>
  </si>
  <si>
    <t>06 - 110206002010303001000002016000040029 - 70</t>
  </si>
  <si>
    <t>Construcción de pavimento en concreto asfaltico para el desarrollo regional y la conectividad en los</t>
  </si>
  <si>
    <t>06 - 110206002010303001000002017000040014 - 70</t>
  </si>
  <si>
    <t>06 - 110206002010303001000002017000040038 - 70</t>
  </si>
  <si>
    <t>Remodelación Y optimización DE escenarios deportivos, obras DE urbanismo complementarias y movilidad</t>
  </si>
  <si>
    <t>06 - 110206002010303001000002018000040014 - 70</t>
  </si>
  <si>
    <t>Generación DE INSTRUMENTOS DE VALORACIÓN DE LA AMENAZA SÍSMICA PARA EL DESARROLLO DE PROCESOS DE RED</t>
  </si>
  <si>
    <t>06 - 110206002010303001000002018000040015 - 70</t>
  </si>
  <si>
    <t>Implementación de acciones de adaptación etapa i del plan de gestión integral del cambio climático (</t>
  </si>
  <si>
    <t>06 - 110206002010303001000002018000040059 - 70</t>
  </si>
  <si>
    <t>Mejoramiento DE LA VÍA circasia - Montenegro CON CÓDIGO 29bqn03, EN LOS MUNICIPIOS DE circasia Y Mon</t>
  </si>
  <si>
    <t>06 - 110206002010303001000002019000040008 - 70</t>
  </si>
  <si>
    <t xml:space="preserve">Desarrollo DE instrumentos Y herramientas PARA LA PLANEACIÓN Y GESTIÓN DEL ORDENAMIENTO TERRITORIAL </t>
  </si>
  <si>
    <t>06 - 110206002010303001000002019000040046 - 70</t>
  </si>
  <si>
    <t>Implementación DE UN PROGRAMA DE EDUCACIÓN SUPERIOR PARA LA PROFESIONALIZACIÓN DE LOS ARTISTAS, COMO</t>
  </si>
  <si>
    <t>06 - 110206002010303001000002021003630014 - 70</t>
  </si>
  <si>
    <t>Fortalecimiento del ecosistema de emprendimiento mediante el acompañamiento técnico y servicio de ap</t>
  </si>
  <si>
    <t>06 - 110206002010303001000002023003630002 - 70</t>
  </si>
  <si>
    <t>MODERNIZACION DEL LABORATORIO DE SALUD PUBLICA DEPARTAMENTAL QUINDIO</t>
  </si>
  <si>
    <t>06 - 110206002010303001000020181301011142 - 70</t>
  </si>
  <si>
    <t>Construcción obras DE ESTABILIZACIÓN Y REHABILITACIÓN DE LA VÍA rio verde-pijao (COD.40QN03), ESTABI</t>
  </si>
  <si>
    <t>06 - 110206002010306</t>
  </si>
  <si>
    <t>Asignación para la Ciencia, Tecnología E Innovación</t>
  </si>
  <si>
    <t>06 - 110206002010306003</t>
  </si>
  <si>
    <t>Asignación para la Ciencia, Tecnología E Innovación - Convocatorias 2021</t>
  </si>
  <si>
    <t>06 - 110206002010306003000</t>
  </si>
  <si>
    <t>06 - 110206002010306003000002013000100199 - 70</t>
  </si>
  <si>
    <t>Implementación de un programa de innovación social para el fomento de una cultura ciudadana y empren</t>
  </si>
  <si>
    <t>06 - 110206002010306003000002017000100099 - 70</t>
  </si>
  <si>
    <t>Desarrollo experimental para la competitividad del sector cafetero DEL departamento DEL Quindío.</t>
  </si>
  <si>
    <t>06 - 110206002010306003000002017000100113 - 70</t>
  </si>
  <si>
    <t>Fortalecimiento de un centro de innovación y productividad agrario adecuando una infraestructura tec</t>
  </si>
  <si>
    <t>06 - 1205</t>
  </si>
  <si>
    <t>06 - 120502</t>
  </si>
  <si>
    <t>06 - 120502001</t>
  </si>
  <si>
    <t>06 - 12050200101</t>
  </si>
  <si>
    <t>06 - 1205020010102</t>
  </si>
  <si>
    <t>06 - 120502001010206</t>
  </si>
  <si>
    <t>AFORO_INICIAL_P</t>
  </si>
  <si>
    <t>ADICIONES</t>
  </si>
  <si>
    <t>REDUCCIONES</t>
  </si>
  <si>
    <t>MODIFICACIONES</t>
  </si>
  <si>
    <t>P_ADICIONES</t>
  </si>
  <si>
    <t>P_REDUCCIONES</t>
  </si>
  <si>
    <t>ADICION_DXC</t>
  </si>
  <si>
    <t>REDUCCION_DXC</t>
  </si>
  <si>
    <t>TOTAL_DXC</t>
  </si>
  <si>
    <t>ADICION_PAPEL</t>
  </si>
  <si>
    <t>REDUCCION_PAPEL</t>
  </si>
  <si>
    <t>INGRESOS_PAPEL</t>
  </si>
  <si>
    <t>ADICION_EFECTIVO</t>
  </si>
  <si>
    <t>REDUCCION_EFECTIVO</t>
  </si>
  <si>
    <t>P_ADICION_DXC</t>
  </si>
  <si>
    <t>P_REDUCCION_DXC</t>
  </si>
  <si>
    <t>P_TOTAL_DXC</t>
  </si>
  <si>
    <t>P_ADICION_PAPEL</t>
  </si>
  <si>
    <t>P_REDUCCION_PAPEL</t>
  </si>
  <si>
    <t>P_INGRESOS_PAPEL</t>
  </si>
  <si>
    <t>P_ADICION_EFECTIVO</t>
  </si>
  <si>
    <t>P_REDUCCION_EFECTIVO</t>
  </si>
  <si>
    <t>P_INGRESO_EFECTIVO</t>
  </si>
  <si>
    <t>TOTAL_INGRESO_P</t>
  </si>
  <si>
    <t>INGRESO_NT</t>
  </si>
  <si>
    <t>INGRESO_NT_P</t>
  </si>
  <si>
    <t>ING_TESORAL</t>
  </si>
  <si>
    <t>ADD_ING_TESORAL</t>
  </si>
  <si>
    <t>RED_ING_TESORAL</t>
  </si>
  <si>
    <t>P_ING_TESORAL</t>
  </si>
  <si>
    <t>P_ADD_ING_TESORAL</t>
  </si>
  <si>
    <t>P_RED_ING_TESORAL</t>
  </si>
  <si>
    <t>NOM_RECURSO</t>
  </si>
  <si>
    <t>** NULL **</t>
  </si>
  <si>
    <t xml:space="preserve">SISTEMA GENERAL DE PARTICIPACIONES AGUA POTABLE Y </t>
  </si>
  <si>
    <t>M.S.P.S. LABORATORIO DE SALUD</t>
  </si>
  <si>
    <t>CONVENIO 1609 DEL 2020 INVIAS VIAS TERCIARIAS</t>
  </si>
  <si>
    <t>CONVENIO 1645 DE 2021 INVIAS SALENTO</t>
  </si>
  <si>
    <t>CONVENIO IVIAS 1274 DE 2022  PUNTOS CRITICOS</t>
  </si>
  <si>
    <t xml:space="preserve">MINSITERIO DE CULTURA CONV. 0894-2021 </t>
  </si>
  <si>
    <t xml:space="preserve">COFINANCIACION CONVENIOS INTERADMINISTRATIVOS </t>
  </si>
  <si>
    <t xml:space="preserve">MONOPOLIO DEPORTE ALCOHOL POTABLE </t>
  </si>
  <si>
    <t>DESAHORRO FONPET CON SITUACION DE FONDOS</t>
  </si>
  <si>
    <t>0307 - 1207</t>
  </si>
  <si>
    <t>Recursos de crédito interno</t>
  </si>
  <si>
    <t>0307 - 120701</t>
  </si>
  <si>
    <t>Recursos de contratos de empréstitos internos</t>
  </si>
  <si>
    <t>SUPERÁVIT CONVENIO ANTICONTRABANDO</t>
  </si>
  <si>
    <t>SUPERÁVIT IMPUESTO AL CONSUMO 3% DEPORTE</t>
  </si>
  <si>
    <t>SUPERAVIT CONVENIO INVIAS COLOMBIA RURAL</t>
  </si>
  <si>
    <t>SUPERÁVIT ESTAMPILLA PRO-DESARROLLO (20%) PENSIONE</t>
  </si>
  <si>
    <t>SUPERÁVIT ESTAMPILLA PRO-DESARROLLO (30%) PROYECTA</t>
  </si>
  <si>
    <t>SUPERÁVIT ESTAMPILLA PROCULTURA 20% PENSIONES</t>
  </si>
  <si>
    <t>SUPERÁVIT ESTAMPILLA PRO-ADULTO MAYOR (20%) PENSIO</t>
  </si>
  <si>
    <t>SUPERÁVIT ESTAMPILLA PRO-CULTURA 10% BIBLIOTECAS</t>
  </si>
  <si>
    <t>SUPERÁVIT ESTAMPILLA PRO-CULTURA 10% SEGURIDAD SOC</t>
  </si>
  <si>
    <t xml:space="preserve">SUPERÁVIT ESTAMPILLA PRO-CULTURA 50% CONCERTACIÓN </t>
  </si>
  <si>
    <t>SUPERÁVIT ESTAMPILLA PRO-CULTURA  10% ESTÍMULOS</t>
  </si>
  <si>
    <t>REINTEGRO ESTAMPILLA PROADULTO MAYOR</t>
  </si>
  <si>
    <t xml:space="preserve">SUPERAVIT TRANSFERENCIA DE LA NACION PAE </t>
  </si>
  <si>
    <t>REINTEGRO CXP 2021</t>
  </si>
  <si>
    <t>REINTEGROS SGP EDUCACION</t>
  </si>
  <si>
    <t>REINTEGRO SGP CONECTIVDAD</t>
  </si>
  <si>
    <t>REINTEGROS PAE</t>
  </si>
  <si>
    <t>REINTEGROS FOME</t>
  </si>
  <si>
    <t>PROGRAMA INIMPUTABLES</t>
  </si>
  <si>
    <t>PROGRAMA PREV Y CONTROL ENFERMEDADES POR VECTORES</t>
  </si>
  <si>
    <t>PROGRAMA CONTROL TUBERCULOSIS QUINDIO</t>
  </si>
  <si>
    <t>PROGRAMA CONTROL LEPRA QUINDIO</t>
  </si>
  <si>
    <t>LEY DE PUNTO FINAL</t>
  </si>
  <si>
    <t>CONVENIO FONDO NACIONAL DE ESTUPEFACIENTES</t>
  </si>
  <si>
    <t>RESOLUCION 1199 POBLACION MIGRANTE</t>
  </si>
  <si>
    <t>MINISTERIO DE SALUD RESOLUCION DISCAPACIDAD</t>
  </si>
  <si>
    <t xml:space="preserve">SUPERAVIT RESOLUCIONES VIGE. ANTER. SALUD PUBLICA </t>
  </si>
  <si>
    <t>SUPERÁVIT COFINANCIACIÓN NACIONAL RES. 3876/12 DIS</t>
  </si>
  <si>
    <t>SUPERÁVIT PROYECTO FRISCO EST CONSUMO SUSTANCIAS S</t>
  </si>
  <si>
    <t>SUPERAVIT RECURSOS SGSS SALUD -  ADRES</t>
  </si>
  <si>
    <t>08 - 1210</t>
  </si>
  <si>
    <t>08 - 121002</t>
  </si>
  <si>
    <t>08 - 121002002</t>
  </si>
  <si>
    <t>09 - 1210</t>
  </si>
  <si>
    <t>09 - 121002</t>
  </si>
  <si>
    <t>09 - 121002001</t>
  </si>
  <si>
    <t>09 - 121002002</t>
  </si>
  <si>
    <t>09 - 12100200201 - 82</t>
  </si>
  <si>
    <t>09 - 12100200217 - 83</t>
  </si>
  <si>
    <t>Superavit Estampilla Pro-cultura</t>
  </si>
  <si>
    <t>09 - 12100200237 - 94</t>
  </si>
  <si>
    <t>09 - 12100200241 - 206</t>
  </si>
  <si>
    <t>Superávit Resoluciones Programa Inimputables</t>
  </si>
  <si>
    <t>SUPERAVIT RESOLUCION  PROGRAMA INIMPUTABLES</t>
  </si>
  <si>
    <t xml:space="preserve">GOBERNACION DEL QUINDIO </t>
  </si>
  <si>
    <t>FUENTE Y USOS</t>
  </si>
  <si>
    <t>SECRETARIA DE HACIENDA - DIRECCION FINANCIERA</t>
  </si>
  <si>
    <t>AREA DE PRESUPUESTO - INFORME  2023</t>
  </si>
  <si>
    <t>FUENTE</t>
  </si>
  <si>
    <t>CONCEPTO</t>
  </si>
  <si>
    <t>TOTAL</t>
  </si>
  <si>
    <t>DESTINACIÓN ESPECIFICA INVERSION</t>
  </si>
  <si>
    <t>DESTINACIÓN ESPECIFICA FUNCIONAMIENTO</t>
  </si>
  <si>
    <t>I.C.L.D.</t>
  </si>
  <si>
    <t>Según el nuevo clasificador estas recuperaciones son ingresos corrientes</t>
  </si>
  <si>
    <t>Impuesto Sobre Vehículos Vigencia anterior</t>
  </si>
  <si>
    <t>Impuesto al Registro Libre Destinacion</t>
  </si>
  <si>
    <t>Impuesto de Registro - FONPET 20%</t>
  </si>
  <si>
    <t>Impuesto de Registro PROYECTA 6%</t>
  </si>
  <si>
    <t>Impuesto al Consumo de Licores de Producción Extranjera Deporte</t>
  </si>
  <si>
    <t>Impuesto al Consumo de Licores de Producción Extranjera</t>
  </si>
  <si>
    <t>Impuesto al Consumo de Vinos y Aperitivos Libre Destinación Nacional</t>
  </si>
  <si>
    <t>Impuesto al Consumo de Vinos y Aperitivos Deporte Nacional</t>
  </si>
  <si>
    <t>Impuesto al Consumo de Cerveza Producción Nacional</t>
  </si>
  <si>
    <t>Impuesto al Consumo de Cerveza Producción Extranjera</t>
  </si>
  <si>
    <t>Impuesto al Consumo de Cigarrillo de Fabricación Extranjera</t>
  </si>
  <si>
    <t>Infraestructura Sanitaria Educativa y Deporteva PROYECTA 30%</t>
  </si>
  <si>
    <t>Estampilla Prohospital</t>
  </si>
  <si>
    <t>Estampilla Pro univesidad del Quindio</t>
  </si>
  <si>
    <t>ARRE</t>
  </si>
  <si>
    <t>Cuotas Partes Pensionales C.S.F.</t>
  </si>
  <si>
    <t>Esto es ingreso de destinacion especifica y se destina para pago de cuotas partes y bonos pensionales sentencia de la corte</t>
  </si>
  <si>
    <t>Cuotas Partes Pensionales S.S.F.</t>
  </si>
  <si>
    <t>Monopolio Salud y Educación 14%</t>
  </si>
  <si>
    <t>Monopolio Deporte 3%</t>
  </si>
  <si>
    <t>Monopolio Deporte 10% Alcohol Potable</t>
  </si>
  <si>
    <t>Otros Convenios Interadministrativos Institucionales</t>
  </si>
  <si>
    <t>Sobretasa al ACPM</t>
  </si>
  <si>
    <t>Sobretasa Deuda</t>
  </si>
  <si>
    <t>TOTAL INGRESOS CORRIENTES</t>
  </si>
  <si>
    <t>Desahorro FONPET Pensiones</t>
  </si>
  <si>
    <t xml:space="preserve">Intereses Provenientes de Recursos de Libre Destinación </t>
  </si>
  <si>
    <t>Intereses Estampilla Pro-Desarrollo Inversión</t>
  </si>
  <si>
    <t>Intereses Estampilla Pro-Desarrollo (20%) Pensiones</t>
  </si>
  <si>
    <t>Intereses Estampilla Pro-Cultura (20%) Pensiones</t>
  </si>
  <si>
    <t>Intereses Estampilla Pro-Cultura (10% Seguridad Social)</t>
  </si>
  <si>
    <t>Intereses Estampilla Pro-Cultura (10% Bibliotecas)</t>
  </si>
  <si>
    <t>Intereses Estampilla Pro-Cultura (50% Concertación)</t>
  </si>
  <si>
    <t>Intereses Estampilla Pro-Cultura (10% Estímulos)</t>
  </si>
  <si>
    <t>Intereses Estampilla Pro-Adulto Mayor Inversión</t>
  </si>
  <si>
    <t>Intereses Estampilla Pro-Adulto Mayor (20%) Pensiones</t>
  </si>
  <si>
    <t>Intereses Rendimientos Fondo de Seguridad Obras</t>
  </si>
  <si>
    <t xml:space="preserve">Intereses Rendimientos SGP Agua Potable y Saneamiento Básico </t>
  </si>
  <si>
    <t>Intereses Rendimientos Desahorro FONPET</t>
  </si>
  <si>
    <t>TOTAL RECURSOS DE CAPITAL</t>
  </si>
  <si>
    <t>Rendimientos por operaciones financieras PAE</t>
  </si>
  <si>
    <t>TOTAL FONDO EDUCATIVO DEPARTAMENTAL</t>
  </si>
  <si>
    <t>Sistema General de Participaciones - Salud - Subsidio a la Oferta</t>
  </si>
  <si>
    <t>Ad valorem</t>
  </si>
  <si>
    <t>TOTAL FONDO LOCAL DE SALUD</t>
  </si>
  <si>
    <t>TOTAL AGUA POTABLE Y SANEAMIENTO BÁSICO</t>
  </si>
  <si>
    <t>TOTAL FONDO DE SEGURIDAD</t>
  </si>
  <si>
    <t>TOTAL INGRESOS FONDOS ESPECIALES</t>
  </si>
  <si>
    <t xml:space="preserve">TOTAL INGRESOS </t>
  </si>
  <si>
    <t xml:space="preserve">     Indeportes  1% I.C.L.D.</t>
  </si>
  <si>
    <t xml:space="preserve">     Adquisición de tierras ley 99/93- 1% I.C.L.D.</t>
  </si>
  <si>
    <t xml:space="preserve">     RAP región Administrativa de Planificación</t>
  </si>
  <si>
    <t xml:space="preserve">     Trasferencia PROYECTA</t>
  </si>
  <si>
    <t xml:space="preserve">     Transferencia FONPET del 10%</t>
  </si>
  <si>
    <t>INVERSION, D.P. Y OTROS:</t>
  </si>
  <si>
    <t xml:space="preserve">   Deuda Pública</t>
  </si>
  <si>
    <t xml:space="preserve">SE corrige porque el año entrante solo se paga intereses de acpm de los 15 mil
</t>
  </si>
  <si>
    <t xml:space="preserve">   Asamblea (Func.)</t>
  </si>
  <si>
    <t xml:space="preserve">se corrige con un incremento del 10% en el ipc
</t>
  </si>
  <si>
    <t xml:space="preserve">   Contraloría (Func.)</t>
  </si>
  <si>
    <t>Según la metodología del Ministerio de Hacienda se deben restar (Ley tierras, fonpet, rap y rodenanzas)</t>
  </si>
  <si>
    <t xml:space="preserve">Según Capacitación de la Contraloría Genral de la República, TAMBIEN se restan descuentos de Ley y acto administrativo (Ordenanzas) Minuto 54 a 1:02 del siguiente video:
https://drive.google.com/file/d/1XyY56pDJ9isQwbeCIhSrtiPa_Zr_Vvgt/view?usp=sharing
</t>
  </si>
  <si>
    <t>no estaba restado indeportes</t>
  </si>
  <si>
    <t xml:space="preserve">   Inversión (R.O)</t>
  </si>
  <si>
    <t>DISTRIBUCION PRESUPUESTAL DE GASTOS</t>
  </si>
  <si>
    <t xml:space="preserve">   Asamblea Departamental</t>
  </si>
  <si>
    <t xml:space="preserve">   Contraloría Departamental RO</t>
  </si>
  <si>
    <t xml:space="preserve">   Contraloría Departamental Cuota de Fiscalizacion</t>
  </si>
  <si>
    <t>Acuerdo de Pago Fonpet 2023</t>
  </si>
  <si>
    <t xml:space="preserve">  Funcionamiento Gobernación Administracion Central RO</t>
  </si>
  <si>
    <t xml:space="preserve"> Funcionamiento Salud RO</t>
  </si>
  <si>
    <t xml:space="preserve"> Funcionamiento Salud Destinado</t>
  </si>
  <si>
    <t xml:space="preserve">   Gobernación Destinado a Funcionamiento</t>
  </si>
  <si>
    <t xml:space="preserve">Transfrencias de Capital Ro </t>
  </si>
  <si>
    <t>Transferencias de Capital</t>
  </si>
  <si>
    <t>GASTOS DE FUNCIONAMIENTO:</t>
  </si>
  <si>
    <t>DEUDA PUBLICA</t>
  </si>
  <si>
    <t xml:space="preserve">   Con Recursos ACPM</t>
  </si>
  <si>
    <t xml:space="preserve">   Con Recursos RO</t>
  </si>
  <si>
    <t>INVERSIÓN</t>
  </si>
  <si>
    <t xml:space="preserve">   Inversión Con Recursos Ordinarios</t>
  </si>
  <si>
    <t xml:space="preserve">   I.C.D.E.</t>
  </si>
  <si>
    <t xml:space="preserve">   Fondos Especiales</t>
  </si>
  <si>
    <t>INVERSION:</t>
  </si>
  <si>
    <t xml:space="preserve">                              TOTAL</t>
  </si>
  <si>
    <t>PRESUPUESTO INICIAL 2022</t>
  </si>
  <si>
    <t>PRESUPUESTO DEFINITIVO A SEPTIEMBRE 2022</t>
  </si>
  <si>
    <t>RECAUDO A SEPTIEMBRE 30 DE 2022</t>
  </si>
  <si>
    <t>PRESUPUESTO 2023</t>
  </si>
  <si>
    <t>De Producción Nacional</t>
  </si>
  <si>
    <t>De Producción Extranjera</t>
  </si>
  <si>
    <t>De Fabricación Nacional</t>
  </si>
  <si>
    <t>De Fabricación Extranjera</t>
  </si>
  <si>
    <t>Infraestructura Sanitaria Promotora de Vivienda 15%</t>
  </si>
  <si>
    <t xml:space="preserve"> TASAS, MULTAS, CONTRIBUCIONES </t>
  </si>
  <si>
    <t>MULTAS</t>
  </si>
  <si>
    <t>Derechos de explotación introducción de licores 46%</t>
  </si>
  <si>
    <t>Superavit</t>
  </si>
  <si>
    <t>AREA DE PRESUPUESTO - INFORME  2022</t>
  </si>
  <si>
    <t>DEST.ESPEC. INVERSION</t>
  </si>
  <si>
    <t>Ley de Tierras</t>
  </si>
  <si>
    <t>Inversion Con Recursos Propios</t>
  </si>
  <si>
    <t>Monopolio Educación</t>
  </si>
  <si>
    <t xml:space="preserve">Monopolio Salud </t>
  </si>
  <si>
    <t>S.G.P. Salud, Oferta</t>
  </si>
  <si>
    <t>S.G.P. Salud - Salud Pública</t>
  </si>
  <si>
    <t xml:space="preserve">Fondo de Estupefacientes </t>
  </si>
  <si>
    <t xml:space="preserve">Monopolio, Licores (Rentas Cedidas)  </t>
  </si>
  <si>
    <t>Impuesto al Consumo de Licores (Vinos, Aperitivos y Similares) - Nacional</t>
  </si>
  <si>
    <t xml:space="preserve">Impuesto al Consumo de Cerveza (Rentas Cedidas) - Nacional </t>
  </si>
  <si>
    <t>Rendimientos por Operaciones Financieras. (SGP - Salud Pública )</t>
  </si>
  <si>
    <t>Rendimientos por Operaciones Financieras. (SGP - Oferta)</t>
  </si>
  <si>
    <t>Rendimientos por Operaciones Financieras. (Fondo Estupefacientes )</t>
  </si>
  <si>
    <t>Rendimientos por Operaciones Financieras. (Rentas Cedidas )</t>
  </si>
  <si>
    <t xml:space="preserve">Apuestas Permanentes SSF (Rentas Cedidas) </t>
  </si>
  <si>
    <t>Ingreso Productos de Lotería - SSF</t>
  </si>
  <si>
    <t>Impuesto a Ganadores - SSF</t>
  </si>
  <si>
    <t>Loterías Foráneas - SSF</t>
  </si>
  <si>
    <t>Juegos Novedosos - Super Astro 68% - SSF</t>
  </si>
  <si>
    <t>IVA Cedido Sobre Licores, Vinos, Aperitivos y Similares (Ley 1816/2016)</t>
  </si>
  <si>
    <t>Cigarrillo y Tabaco (Ley 1393 de 2010) - Extrajenro</t>
  </si>
  <si>
    <t>Cigarrillo y Tabaco (Ley 1819 de 2016) - Nacional - aumento  tarifa  Impuesto al consumo</t>
  </si>
  <si>
    <t>Premios Caducados (Ley 1393 de 2010) - Loterias</t>
  </si>
  <si>
    <t>Rentas Cedidas Otros Gastos en Salud para Inversion</t>
  </si>
  <si>
    <t>TOTAL INVERSIÓN</t>
  </si>
  <si>
    <t>TECHO PRESUPUESTAL PARA LA INVERSIÓN NIVEL CENTRAL</t>
  </si>
  <si>
    <t>GASTOS DE FUNCIONAMIENTO RENTAS CEDIDAS</t>
  </si>
  <si>
    <t>OTROS GASTOS EN SALUD COLCIENCIAS RENTAS CEDIDAS</t>
  </si>
  <si>
    <t>INSTITUTO DEPARTAMENTAL DE TRANSITO DEL QUINDÍO</t>
  </si>
  <si>
    <t>VENTA DE SERVICIOS DE TRANSITO PARA FUNCIONAMIENTO</t>
  </si>
  <si>
    <t>VENTA DE SERVICIOS DE TRANSITO PARA INVERSIÓN</t>
  </si>
  <si>
    <t>TOTAL INGRESOS PARA IDTQ</t>
  </si>
  <si>
    <t>TOTAL INGRESOS PARA INVERSIÓN IDTQ</t>
  </si>
  <si>
    <t>INSTITUTO DEPARTAMENTAL  PARA EL DEPORTE Y LA RECREACIÓN</t>
  </si>
  <si>
    <t>IMPOCONSUMO</t>
  </si>
  <si>
    <t>MOPOLIO 3% DEPORTE</t>
  </si>
  <si>
    <t>1% INGRESOS PROPIOS DEPARTAMENTO</t>
  </si>
  <si>
    <t>TASA PRODEPORTE</t>
  </si>
  <si>
    <t>RENDIMIENTOS FINANCIEROS</t>
  </si>
  <si>
    <t>IMPUESTO AL CIGARRILLO MUNICIPIOS (30%)</t>
  </si>
  <si>
    <t>APORTES DE LA NACION</t>
  </si>
  <si>
    <t>FUNCIONAMIENTO INDEPORTES</t>
  </si>
  <si>
    <t>TOTAL INGRESOS INDEPORTES</t>
  </si>
  <si>
    <t>TOTAL INGRESOS PARA INVERSIÓN</t>
  </si>
  <si>
    <t>PROYECTA</t>
  </si>
  <si>
    <t>IMPUESTO AL REGISTRO  6%</t>
  </si>
  <si>
    <t xml:space="preserve">ESTAMPILLA PRO-DESARROLLO </t>
  </si>
  <si>
    <t>PROYECTA FUNCIONAMIENTO</t>
  </si>
  <si>
    <t>TOTAL INGRESOS PROYETA</t>
  </si>
  <si>
    <t>TOTAL INGRESOS PARA INVERSIÓN PROYECTA</t>
  </si>
  <si>
    <t>TOTAL INVERSION DEPARTAMENTO DEL QUINDIO</t>
  </si>
  <si>
    <t>PROYECTO DE PRESUPUESTO VIGENCIA 
GASTOS DE FUNCIONAMIENTO/SERVICIO A LA DEUDA/INVERSION</t>
  </si>
  <si>
    <t xml:space="preserve">   Contraloría Departamental</t>
  </si>
  <si>
    <t xml:space="preserve">   Contraloría Departamental Cuota de Fiscalización</t>
  </si>
  <si>
    <t xml:space="preserve">   Nivel Central</t>
  </si>
  <si>
    <t>SUBTOTAL</t>
  </si>
  <si>
    <t xml:space="preserve">   Funcionamiento Pensionados Estampillas Prodesarrollo</t>
  </si>
  <si>
    <t xml:space="preserve">   Funcionamiento Pensionados Estampillas Procultura</t>
  </si>
  <si>
    <t xml:space="preserve">   Funcionamiento Pensionados Estampillas Proanciano</t>
  </si>
  <si>
    <t xml:space="preserve">   Funcionamiento Pensionados FONPET</t>
  </si>
  <si>
    <t xml:space="preserve">   Funcionamiento Salud Destinado</t>
  </si>
  <si>
    <t xml:space="preserve">   Funcionamiento Salud RO</t>
  </si>
  <si>
    <t xml:space="preserve">   FONPET  -  De Registro </t>
  </si>
  <si>
    <t xml:space="preserve">   Pago de Cuotas Partes Pensionales con el 10% I.R. para FONPET Según Ley 1450 Plan de Desarrollo</t>
  </si>
  <si>
    <t xml:space="preserve">   Transferencias Fonpet</t>
  </si>
  <si>
    <t xml:space="preserve">   Transferencias Estampillas Pro Hospital </t>
  </si>
  <si>
    <t xml:space="preserve">   Transferencia RAP</t>
  </si>
  <si>
    <t xml:space="preserve">   Transferencias Indeportes DE</t>
  </si>
  <si>
    <t xml:space="preserve">   Transferencias Indeportes RO</t>
  </si>
  <si>
    <t xml:space="preserve">   Transferencias Proviquindio Registro</t>
  </si>
  <si>
    <t xml:space="preserve">   Transferencias Proviquindio Recurso Ordinario</t>
  </si>
  <si>
    <t xml:space="preserve">   Transferencias Proviquindio Estampilla Prodesarrollo</t>
  </si>
  <si>
    <t>0304 - 1 - 3 1 1 - 01</t>
  </si>
  <si>
    <t xml:space="preserve">FONPET  -  De Registro </t>
  </si>
  <si>
    <t>SECRETARIA ADMINISTRATIVA</t>
  </si>
  <si>
    <t>TOTAL FUNCIONAMIENTO</t>
  </si>
  <si>
    <t>0304 - 1 - 3 2 3 3 - 13</t>
  </si>
  <si>
    <t>Pago de Cuotas Partes Pensionales con el 10% I.R. para FONPET Según Ley 1450 Plan de Desarrollo</t>
  </si>
  <si>
    <t>0304 - 1 - 3 2 3 4 - 05</t>
  </si>
  <si>
    <t>Pago de Pasivos Pensionales con Estampilla Pro-Cultura EPC</t>
  </si>
  <si>
    <t xml:space="preserve">   Con Recursos Ordinarios</t>
  </si>
  <si>
    <t>0304 - 1 - 3 2 3 5 - 06</t>
  </si>
  <si>
    <t>Pago Pasivos Pensiónales Estampilla Pro-Adulto Mayor EPAM</t>
  </si>
  <si>
    <t>0304 - 1 - 4</t>
  </si>
  <si>
    <t>TRANSFERENCIAS</t>
  </si>
  <si>
    <t>0304 - 1 - 4 4 - 04</t>
  </si>
  <si>
    <t>Promotora de Vivienda del Quindío Infraestructura Sanitaria (15% EPD)</t>
  </si>
  <si>
    <t>GASTO PUBLICO SOCIAL PROGRAMADO EN FUNCIONAMIENTO
ARTÍCULO 41 DECRETO 111 DE 1996</t>
  </si>
  <si>
    <t>Gastos Funcionamiento Salud Destinado con RO</t>
  </si>
  <si>
    <t>TOTAL VALORES A COMPUTAR ARTÍCULO 350 CONSTITUCIÓN POLÍTICA</t>
  </si>
  <si>
    <t xml:space="preserve"> TOTAL ANTEPROYECTO PRESUPUESTO DE  GASTOS FUNCIONAMIENTO/ SERVICIO A LA DEUDA / NVERSION</t>
  </si>
  <si>
    <t>0304 - 1 - 4 19 - 35</t>
  </si>
  <si>
    <t>Monopolio Deporte 3% ley 1816 de 2016</t>
  </si>
  <si>
    <t>VALOR % INVERSION 2023</t>
  </si>
  <si>
    <t>VALOR % INVERSION 2022</t>
  </si>
  <si>
    <t>Aumento</t>
  </si>
  <si>
    <t>Crecimiento 2015-2016</t>
  </si>
  <si>
    <t>Crecimiento 2016-2017</t>
  </si>
  <si>
    <t>PRESUPUESTO DEFINITIVO A JULIO 31 2021</t>
  </si>
  <si>
    <t>Rentas Cedidas ( otros gastos)</t>
  </si>
  <si>
    <t>DEST.ESPEC. FUNCIONAMIENTO</t>
  </si>
  <si>
    <t>Cuotas Partes Pensionales</t>
  </si>
  <si>
    <t xml:space="preserve">     Trasferencia Promotora de Vivienda</t>
  </si>
  <si>
    <t xml:space="preserve">     Transferencia del 10%</t>
  </si>
  <si>
    <t>Total</t>
  </si>
  <si>
    <t>DISTRIBUCION PRESUPUESTAL</t>
  </si>
  <si>
    <t xml:space="preserve">   Gobernación Destinado</t>
  </si>
  <si>
    <t>TOTAL INVERSION GOBERNACION</t>
  </si>
  <si>
    <t>TOTAL FONDO EDUCATIVO</t>
  </si>
  <si>
    <t>Inversion con rentas Cedidas Otros Gastos en Salud</t>
  </si>
  <si>
    <t>Sobretasa al ACPM para inversión</t>
  </si>
  <si>
    <t>Sobretasa al ACPM para Deuda</t>
  </si>
  <si>
    <t>FONDO ESPECIALES DEPARTAMENTALES</t>
  </si>
  <si>
    <t xml:space="preserve">TOTAL EDUCACION </t>
  </si>
  <si>
    <t>TOTAL SALUD</t>
  </si>
  <si>
    <t>Limite Maximo</t>
  </si>
  <si>
    <t>Valor Asignado</t>
  </si>
  <si>
    <t>%</t>
  </si>
  <si>
    <t xml:space="preserve">                              TOTAL PRESUPUESTO DE GASTOS</t>
  </si>
  <si>
    <t>SECRETARIA DE SALUD  TECHOS PRESUPUESTALES  2023</t>
  </si>
  <si>
    <t>Fuente</t>
  </si>
  <si>
    <t>Proyección 2023</t>
  </si>
  <si>
    <t>Inversión 2023</t>
  </si>
  <si>
    <t>Funcionamiento 2023</t>
  </si>
  <si>
    <t>Regimen Subsidiado</t>
  </si>
  <si>
    <t>Prestacion de Servicios</t>
  </si>
  <si>
    <t>Colciencias se incluye en Otros Gastos en Salud</t>
  </si>
  <si>
    <t>Funcionamiento Otros Gastos en Salud</t>
  </si>
  <si>
    <t>Inversión Otros Gastos en Salud</t>
  </si>
  <si>
    <t xml:space="preserve">Salud Pública </t>
  </si>
  <si>
    <t>154-58-72</t>
  </si>
  <si>
    <t>58-72</t>
  </si>
  <si>
    <t>154-181-72</t>
  </si>
  <si>
    <t>154-182-72</t>
  </si>
  <si>
    <t>110-111-113-114-180</t>
  </si>
  <si>
    <t>ENTIDAD</t>
  </si>
  <si>
    <t xml:space="preserve"> PROYECCION 2022 INGRESOS </t>
  </si>
  <si>
    <t>TOTALES</t>
  </si>
  <si>
    <t xml:space="preserve">INGRESOS   </t>
  </si>
  <si>
    <t xml:space="preserve"> SUBTOTAL  INGRESOS DE LOS ESTABLECIMIENTOS PÚBLICOS </t>
  </si>
  <si>
    <t xml:space="preserve">SUBTOTAL INGRESOS DEL SECTOR CENTRAL  </t>
  </si>
  <si>
    <t xml:space="preserve"> TOTAL PRESUPUESTO DE INGRESOS DEL DEPARTAMENTO </t>
  </si>
  <si>
    <t>FUNCIONAMIENTO</t>
  </si>
  <si>
    <t>DEUDA</t>
  </si>
  <si>
    <t>INVERSION</t>
  </si>
  <si>
    <t xml:space="preserve">    Asamblea Departamental</t>
  </si>
  <si>
    <t xml:space="preserve">    Contraloría Departamental</t>
  </si>
  <si>
    <t xml:space="preserve">    Gobernacion </t>
  </si>
  <si>
    <t>TOTAL, SERVICIO DE LA DEUDA</t>
  </si>
  <si>
    <t>TOTAL, INVERSION</t>
  </si>
  <si>
    <t xml:space="preserve">   Funcionamiento</t>
  </si>
  <si>
    <t xml:space="preserve">   Inversion </t>
  </si>
  <si>
    <t>BALANCE FINANCIERO DEPARTAMENTO</t>
  </si>
  <si>
    <t>DEPARTAMENTO DEL QUINDIO</t>
  </si>
  <si>
    <t>Valores en millones de pesos</t>
  </si>
  <si>
    <t>Tipo</t>
  </si>
  <si>
    <t>Categoría FUT</t>
  </si>
  <si>
    <t>Cuenta</t>
  </si>
  <si>
    <t>Descripción</t>
  </si>
  <si>
    <t>P</t>
  </si>
  <si>
    <t>NA</t>
  </si>
  <si>
    <t>BF_1</t>
  </si>
  <si>
    <t>INGRESOS TOTALES</t>
  </si>
  <si>
    <t>BF_1.1</t>
  </si>
  <si>
    <t xml:space="preserve">    INGRESOS CORRIENTES</t>
  </si>
  <si>
    <t>BF_1.1.1</t>
  </si>
  <si>
    <t xml:space="preserve">        TRIBUTARIOS</t>
  </si>
  <si>
    <t>H</t>
  </si>
  <si>
    <t>BF_1.1.1.1</t>
  </si>
  <si>
    <t xml:space="preserve">             Vehículos Automotores</t>
  </si>
  <si>
    <t>BF_1.1.1.2</t>
  </si>
  <si>
    <t xml:space="preserve">             Impuesto Predial Unificado</t>
  </si>
  <si>
    <t>BF_1.1.1.3</t>
  </si>
  <si>
    <t xml:space="preserve">             Impuesto de Industria y Comercio</t>
  </si>
  <si>
    <t>BF_1.1.1.4</t>
  </si>
  <si>
    <t xml:space="preserve">             Registro y Anotación</t>
  </si>
  <si>
    <t>BF_1.1.1.5</t>
  </si>
  <si>
    <t xml:space="preserve">             Licores</t>
  </si>
  <si>
    <t>BF_1.1.1.6</t>
  </si>
  <si>
    <t xml:space="preserve">             Cerveza</t>
  </si>
  <si>
    <t>BF_1.1.1.7</t>
  </si>
  <si>
    <t xml:space="preserve">             Cigarrillos y Tabaco</t>
  </si>
  <si>
    <t>BF_1.1.1.8</t>
  </si>
  <si>
    <t xml:space="preserve">             Sobretasa Consumo Gasolina Motor</t>
  </si>
  <si>
    <t>BF_1.1.1.9</t>
  </si>
  <si>
    <t xml:space="preserve">             Estampillas</t>
  </si>
  <si>
    <t>BF_1.1.1.10</t>
  </si>
  <si>
    <t xml:space="preserve">             Impuesto de Transporte por Oleoductos y Gasoductos</t>
  </si>
  <si>
    <t>BF_1.1.1.11</t>
  </si>
  <si>
    <t xml:space="preserve">             Impuesto Único a Favor de San Andrés</t>
  </si>
  <si>
    <t>BF_1.1.1.12</t>
  </si>
  <si>
    <t xml:space="preserve">             Otros Ingresos Tributarios</t>
  </si>
  <si>
    <t>BF_1.1.2</t>
  </si>
  <si>
    <t xml:space="preserve">        NO TRIBUTARIOS</t>
  </si>
  <si>
    <t>BF_1.1.2.1</t>
  </si>
  <si>
    <t xml:space="preserve">             Ingresos de la Propiedad: Tasas, Derechos, Multas y Sanciones</t>
  </si>
  <si>
    <t>BF_1.1.2.2</t>
  </si>
  <si>
    <t xml:space="preserve">             Otros No Tributarios</t>
  </si>
  <si>
    <t>BF_1.1.3</t>
  </si>
  <si>
    <t xml:space="preserve">        TRANSFERENCIAS</t>
  </si>
  <si>
    <t>BF_1.1.3.1</t>
  </si>
  <si>
    <t xml:space="preserve">             Transferencias Para Funcionamiento</t>
  </si>
  <si>
    <t>BF_1.1.3.1.1</t>
  </si>
  <si>
    <t xml:space="preserve">                 Del Nivel Nacional</t>
  </si>
  <si>
    <t>BF_1.1.3.1.1.1</t>
  </si>
  <si>
    <t xml:space="preserve">                   Sistema General de Participaciones - Propósito General - Libre dest. - categorías 4, 5 y 6</t>
  </si>
  <si>
    <t>BF_1.1.3.1.1.2</t>
  </si>
  <si>
    <t xml:space="preserve">                     Otras Transferencias de la Nación</t>
  </si>
  <si>
    <t>BF_1.1.3.1.2</t>
  </si>
  <si>
    <t xml:space="preserve">                 Del Nivel Departamental</t>
  </si>
  <si>
    <t>BF_1.1.3.1.2.1</t>
  </si>
  <si>
    <t xml:space="preserve">                     De Vehículos Automotores</t>
  </si>
  <si>
    <t>BF_1.1.3.1.2.2</t>
  </si>
  <si>
    <t xml:space="preserve">                     Otras Transferencias del Departamento</t>
  </si>
  <si>
    <t>BF_1.1.3.1.3</t>
  </si>
  <si>
    <t xml:space="preserve">                 Otras Transferencias Para Funcionamiento</t>
  </si>
  <si>
    <t>BF_1.1.3.2</t>
  </si>
  <si>
    <t xml:space="preserve">             Transferencias Para Inversión</t>
  </si>
  <si>
    <t>BF_1.1.3.2.1</t>
  </si>
  <si>
    <t>BF_1.1.3.2.1.1</t>
  </si>
  <si>
    <t xml:space="preserve">                     Sistema General de Participaciones</t>
  </si>
  <si>
    <t>BF_1.1.3.2.1.1.1</t>
  </si>
  <si>
    <t xml:space="preserve">                         Sistema General de Participaciones - Educación</t>
  </si>
  <si>
    <t>BF_1.1.3.2.1.1.2</t>
  </si>
  <si>
    <t xml:space="preserve">                         Sistema General de Participaciones - Salud</t>
  </si>
  <si>
    <t>BF_1.1.3.2.1.1.3</t>
  </si>
  <si>
    <t xml:space="preserve">                         Sistema General de Participaciones - Agua Potable y Saneamiento Básico</t>
  </si>
  <si>
    <t>BF_1.1.3.2.1.1.4</t>
  </si>
  <si>
    <t xml:space="preserve">                         Sistema General de Participaciones - Propósito General - Forzosa Inversión</t>
  </si>
  <si>
    <t>BF_1.1.3.2.1.1.5</t>
  </si>
  <si>
    <t xml:space="preserve">                         Otras del Sistema General de Participaciones</t>
  </si>
  <si>
    <t>BF_1.1.3.2.1.2</t>
  </si>
  <si>
    <t xml:space="preserve">                     FOSYGA y ETESA</t>
  </si>
  <si>
    <t>BF_1.1.3.2.1.3</t>
  </si>
  <si>
    <t>BF_1.1.3.2.2</t>
  </si>
  <si>
    <t>BF_1.1.3.2.3</t>
  </si>
  <si>
    <t xml:space="preserve">                 Del Nivel Municipal</t>
  </si>
  <si>
    <t>BF_1.1.3.2.4</t>
  </si>
  <si>
    <t xml:space="preserve">                 Sector Descentralizado</t>
  </si>
  <si>
    <t>BF_1.1.3.2.5</t>
  </si>
  <si>
    <t xml:space="preserve">                 Sector Privado</t>
  </si>
  <si>
    <t>BF_1.1.3.2.6</t>
  </si>
  <si>
    <t xml:space="preserve">                 Otras Transferencias para Inversión</t>
  </si>
  <si>
    <t>BF_2</t>
  </si>
  <si>
    <t>GASTOS  TOTALES</t>
  </si>
  <si>
    <t>BF_2.1</t>
  </si>
  <si>
    <t xml:space="preserve">    GASTOS CORRIENTES</t>
  </si>
  <si>
    <t>BF_2.1.1</t>
  </si>
  <si>
    <t xml:space="preserve">        FUNCIONAMIENTO</t>
  </si>
  <si>
    <t>GASTOS DE FUNCIONAMIENTO</t>
  </si>
  <si>
    <t>BF_2.1.1.1</t>
  </si>
  <si>
    <t xml:space="preserve">             Gastos de Personal  </t>
  </si>
  <si>
    <t>BF_2.1.1.2</t>
  </si>
  <si>
    <t xml:space="preserve">             Gastos Generales</t>
  </si>
  <si>
    <t>BF_2.1.1.3</t>
  </si>
  <si>
    <t xml:space="preserve">             Transferencias</t>
  </si>
  <si>
    <t>BF_2.1.1.3.1</t>
  </si>
  <si>
    <t xml:space="preserve">                 Pensiones</t>
  </si>
  <si>
    <t>BF_2.1.1.3.2</t>
  </si>
  <si>
    <t xml:space="preserve">                 A Fonpet</t>
  </si>
  <si>
    <t>BF_2.1.1.3.3</t>
  </si>
  <si>
    <t xml:space="preserve">                 A Patrimonios Autónomos para Provisión de Pensiones</t>
  </si>
  <si>
    <t>BF_2.1.1.3.4</t>
  </si>
  <si>
    <t xml:space="preserve">                 A Organismos de Control</t>
  </si>
  <si>
    <t>BF_2.1.1.3.5</t>
  </si>
  <si>
    <t xml:space="preserve">                 A Establecimientos Públicos y Entidades Descentralizadas - Nivel Territorial</t>
  </si>
  <si>
    <t>BF_2.1.1.3.6</t>
  </si>
  <si>
    <t xml:space="preserve">                 Sentencias y Conciliaciones</t>
  </si>
  <si>
    <t>BF_2.1.1.3.7</t>
  </si>
  <si>
    <t xml:space="preserve">                 Otras Transferencias</t>
  </si>
  <si>
    <t>BF_2.1.1.4</t>
  </si>
  <si>
    <t xml:space="preserve">             Déficit Fiscal de Vigencias Anteriores por Funcionamiento</t>
  </si>
  <si>
    <t>BF_2.1.1.5</t>
  </si>
  <si>
    <t xml:space="preserve">             Costos y Gastos Asociados a la Operación, Producción y Comercialización</t>
  </si>
  <si>
    <t>BF_2.1.1.6</t>
  </si>
  <si>
    <t xml:space="preserve">             Otros Gastos de Funcionamiento</t>
  </si>
  <si>
    <t>GASTOS DE FUNCIONAMIENTO+SERVICIO DE LA DEUDA</t>
  </si>
  <si>
    <t>BF_2.1.2</t>
  </si>
  <si>
    <t xml:space="preserve">        PAGO DE BONOS PENSIONALES Y CUOTAS PARTES DE BONO PENSIONAL</t>
  </si>
  <si>
    <t>SERVICIO DE LA DEUDA</t>
  </si>
  <si>
    <t>BF_2.1.3</t>
  </si>
  <si>
    <t xml:space="preserve">        APORTES AL FONDO DE CONTINGENCIAS DE LAS ENTIDADES ESTATALES</t>
  </si>
  <si>
    <t>BF_2.1.4</t>
  </si>
  <si>
    <t xml:space="preserve">        GASTOS OPERATIVOS EN SECTORES SOCIALES (Remuneración al Trabajo, Prestaciones, y Subsidios en Sectores de Inversión)</t>
  </si>
  <si>
    <t>GASTOS DE INVERSION</t>
  </si>
  <si>
    <t>BF_2.1.4.1</t>
  </si>
  <si>
    <t xml:space="preserve">             Educación</t>
  </si>
  <si>
    <t>BF_2.1.4.2</t>
  </si>
  <si>
    <t xml:space="preserve">             Salud</t>
  </si>
  <si>
    <t>BF_2.1.4.3</t>
  </si>
  <si>
    <t xml:space="preserve">             Agua Potable y Saneamiento Básico</t>
  </si>
  <si>
    <t>BF_2.1.4.4</t>
  </si>
  <si>
    <t xml:space="preserve">             Vivienda</t>
  </si>
  <si>
    <t>BF_2.1.4.5</t>
  </si>
  <si>
    <t xml:space="preserve">             Otros Sectores</t>
  </si>
  <si>
    <t>BF_2.1.5</t>
  </si>
  <si>
    <t xml:space="preserve">        INTERESES Y COMISIONES DE LA DEUDA</t>
  </si>
  <si>
    <t>BF_2.1.5.1</t>
  </si>
  <si>
    <t xml:space="preserve">             Interna</t>
  </si>
  <si>
    <t>BF_2.1.5.2</t>
  </si>
  <si>
    <t xml:space="preserve">             Externa</t>
  </si>
  <si>
    <t>BF_3</t>
  </si>
  <si>
    <t>DÉFICIT O AHORRO CORRIENTE</t>
  </si>
  <si>
    <t>BF_4</t>
  </si>
  <si>
    <t>INGRESOS DE CAPITAL</t>
  </si>
  <si>
    <t>BF_4.1</t>
  </si>
  <si>
    <t xml:space="preserve">    Cofinanciación</t>
  </si>
  <si>
    <t>BF_4.2</t>
  </si>
  <si>
    <t xml:space="preserve">    Regalías y Compensaciones</t>
  </si>
  <si>
    <t>BF_4.3</t>
  </si>
  <si>
    <t xml:space="preserve">    Regalías Indirectas</t>
  </si>
  <si>
    <t>BF_4.4</t>
  </si>
  <si>
    <t xml:space="preserve">    Rendimientos Financieros</t>
  </si>
  <si>
    <t>BF_4.5</t>
  </si>
  <si>
    <t xml:space="preserve">    Excedentes Financieros</t>
  </si>
  <si>
    <t>BF_4.6</t>
  </si>
  <si>
    <t xml:space="preserve">    Desahorros y Retiros FONPET</t>
  </si>
  <si>
    <t>BF_4.6.1</t>
  </si>
  <si>
    <t xml:space="preserve">           Salud</t>
  </si>
  <si>
    <t>BF_4.6.2</t>
  </si>
  <si>
    <t xml:space="preserve">           Educación</t>
  </si>
  <si>
    <t>BF_4.6.3</t>
  </si>
  <si>
    <t xml:space="preserve">           Propósito General</t>
  </si>
  <si>
    <t>BF_4.6.4</t>
  </si>
  <si>
    <t xml:space="preserve">           Otros Desahorros y Retiros (Cuotas partes, Bonos y Devoluciones)</t>
  </si>
  <si>
    <t>BF_4.7</t>
  </si>
  <si>
    <t xml:space="preserve">    Otros Recursos de Capital (Donaciones, Aprovechamientos y Otros)</t>
  </si>
  <si>
    <t>BF_5</t>
  </si>
  <si>
    <t>GASTOS DE CAPITAL</t>
  </si>
  <si>
    <t>BF_5.1</t>
  </si>
  <si>
    <t xml:space="preserve">    Formación Bruta de Capital (Construcción, Reparación, Mantenimiento, Preinversión, Otros)</t>
  </si>
  <si>
    <t>BF_5.1.1</t>
  </si>
  <si>
    <t xml:space="preserve">        Educación</t>
  </si>
  <si>
    <t>BF_5.1.2</t>
  </si>
  <si>
    <t xml:space="preserve">        Salud</t>
  </si>
  <si>
    <t>BF_5.1.3</t>
  </si>
  <si>
    <t xml:space="preserve">        Agua Potable</t>
  </si>
  <si>
    <t>BF_5.1.4</t>
  </si>
  <si>
    <t xml:space="preserve">        Vivienda</t>
  </si>
  <si>
    <t>BF_5.1.5</t>
  </si>
  <si>
    <t xml:space="preserve">        Vías</t>
  </si>
  <si>
    <t>BF_5.1.6</t>
  </si>
  <si>
    <t xml:space="preserve">        Otros Sectores</t>
  </si>
  <si>
    <t>BF_5.2</t>
  </si>
  <si>
    <t xml:space="preserve">    Déficit Fiscal de Vigencias Anteriores por Inversión</t>
  </si>
  <si>
    <t>BF_6</t>
  </si>
  <si>
    <t>DÉFICIT O SUPERÁVIT DE CAPITAL</t>
  </si>
  <si>
    <t>BF_7</t>
  </si>
  <si>
    <t>DÉFICIT O SUPERÁVIT TOTAL</t>
  </si>
  <si>
    <t>BF_8</t>
  </si>
  <si>
    <t>FINANCIACIÓN</t>
  </si>
  <si>
    <t>BF_8.1</t>
  </si>
  <si>
    <t xml:space="preserve">    RECURSOS DEL CRÉDITO</t>
  </si>
  <si>
    <t>BF_8.1.1</t>
  </si>
  <si>
    <t xml:space="preserve">        Interno</t>
  </si>
  <si>
    <t>BF_8.1.1.1</t>
  </si>
  <si>
    <t xml:space="preserve">             Desembolsos</t>
  </si>
  <si>
    <t>BF_8.1.1.2</t>
  </si>
  <si>
    <t xml:space="preserve">             Amortizaciones</t>
  </si>
  <si>
    <t>BF_8.1.2</t>
  </si>
  <si>
    <t xml:space="preserve">        Externo</t>
  </si>
  <si>
    <t>BF_8.1.2.1</t>
  </si>
  <si>
    <t>BF_8.1.2.2</t>
  </si>
  <si>
    <t>BF_8.2</t>
  </si>
  <si>
    <t xml:space="preserve">    Recursos del Balance (Superávit Fiscal, Cancelación de Reservas)</t>
  </si>
  <si>
    <t>BF_8.3</t>
  </si>
  <si>
    <t xml:space="preserve">    Venta de Activos</t>
  </si>
  <si>
    <t>BF_8.4</t>
  </si>
  <si>
    <t xml:space="preserve">    Reducción de Capital de Empresas</t>
  </si>
  <si>
    <t>BF_8.5</t>
  </si>
  <si>
    <t xml:space="preserve">    DEFICIT O SUPERAVIT RESERVAS PRESUPUESTALES</t>
  </si>
  <si>
    <t>BF_9</t>
  </si>
  <si>
    <t>BALANCE PRIMARIO</t>
  </si>
  <si>
    <t>BF_9.1</t>
  </si>
  <si>
    <t xml:space="preserve">    DÉFICIT O SUPERÁVIT PRIMARIO</t>
  </si>
  <si>
    <t>BF_9.2</t>
  </si>
  <si>
    <t xml:space="preserve">    DÉFICIT O SUPERÁVIT PRIMARIO/INTERESES</t>
  </si>
  <si>
    <t>BF_10</t>
  </si>
  <si>
    <t>1. RESULTADO PRESUPUESTAL</t>
  </si>
  <si>
    <t>BF_10.1</t>
  </si>
  <si>
    <t xml:space="preserve">    INGRESOS TOTALES (Incluye financiación)</t>
  </si>
  <si>
    <t>BF_10.2</t>
  </si>
  <si>
    <t xml:space="preserve">    GASTOS TOTALES (Incluye financiación)</t>
  </si>
  <si>
    <t>BF_10.3</t>
  </si>
  <si>
    <t xml:space="preserve">    DÉFICIT O SUPERÁVIT PRESUPUESTAL</t>
  </si>
  <si>
    <t>BF_13</t>
  </si>
  <si>
    <t>EJECUCION RESERVAS PRESUPUESTALES VIGENCIA ANTERIOR</t>
  </si>
  <si>
    <t>BF_13.1</t>
  </si>
  <si>
    <t xml:space="preserve">    Recursos que Financian Reservas Presupuestales Excepcionales (Ley 819/2003)</t>
  </si>
  <si>
    <t>BF_13.2</t>
  </si>
  <si>
    <t xml:space="preserve">    Reservas Presupuestales de Funcionamiento Vigencia Anterior</t>
  </si>
  <si>
    <t>BF_13.3</t>
  </si>
  <si>
    <t xml:space="preserve">    Reservas Presupuestales de Inversión Vigencia Anterior</t>
  </si>
  <si>
    <t>BF_13.4</t>
  </si>
  <si>
    <t>BF_12</t>
  </si>
  <si>
    <t>2. RESULTADO PRESUPUESTAL INCLUYENDO RESERVAS PRESUPUESTALES</t>
  </si>
  <si>
    <t>BF_12.1</t>
  </si>
  <si>
    <t xml:space="preserve">    INGRESOS TOTALES</t>
  </si>
  <si>
    <t>BF_12.2</t>
  </si>
  <si>
    <t xml:space="preserve">    GASTOS TOTALES</t>
  </si>
  <si>
    <t>BF_12.3</t>
  </si>
  <si>
    <t xml:space="preserve">                     Sistema General de Participaciones - Propósito General - Libre dest. - categorías 4, 5 y 6</t>
  </si>
  <si>
    <t>METAS DEL SUPERAVIT PRIMARIO</t>
  </si>
  <si>
    <t>LEY 819 DE 2003 (millones de pesos)</t>
  </si>
  <si>
    <t>CONCEPTOS</t>
  </si>
  <si>
    <t>SUPERAVIT O DEFICIT PRIMARIO</t>
  </si>
  <si>
    <t>INDICADOR (superávit primario / Intereses) &gt; = 100%</t>
  </si>
  <si>
    <t>SOSTENIBLE</t>
  </si>
  <si>
    <t>Millones de pesos</t>
  </si>
  <si>
    <t>Servicio de la Deuda por:</t>
  </si>
  <si>
    <t>Intereses</t>
  </si>
  <si>
    <t>REFERENTE DE LA CAPACIDAD DE ENDEUDAMIENTO</t>
  </si>
  <si>
    <t>Concepto</t>
  </si>
  <si>
    <t>Capacidad de endeudamiento (Ley 358/97)       2021</t>
  </si>
  <si>
    <t>1. Ingresos corrientes Ley 358 de 1997 (1.1-1.2)</t>
  </si>
  <si>
    <t>CAPEN.1.1</t>
  </si>
  <si>
    <t xml:space="preserve">    1.1 Ingresos corrientes (sin descontar vigencias futuras)</t>
  </si>
  <si>
    <t>CAPEN.1.2</t>
  </si>
  <si>
    <t xml:space="preserve">    1.2 Vigencias futuras</t>
  </si>
  <si>
    <t>CAPEN.2</t>
  </si>
  <si>
    <t>2. Gastos de funcionamiento</t>
  </si>
  <si>
    <t>3. Ahorro operacional (1-2)</t>
  </si>
  <si>
    <t>4. Saldo neto de la deuda con nuevo crédito (4.1-4.2-4.3+4.4)</t>
  </si>
  <si>
    <t xml:space="preserve">    4.1 Saldo de la deuda antes de amortizaciones (4.1.1-4.1.2+4.1.3+4.1.4)</t>
  </si>
  <si>
    <t>CAPEN.4.1.1</t>
  </si>
  <si>
    <t xml:space="preserve">    4.1.1 Saldo de la deuda a 31 de diciembre de la vigencia anterior</t>
  </si>
  <si>
    <t>CAPEN.4.1.2</t>
  </si>
  <si>
    <t xml:space="preserve">    4.1.2 Saldo de la deuda a 31 de diciembre de la vigencia anterior - financiada con regalías</t>
  </si>
  <si>
    <t xml:space="preserve">    4.1.3 Valor de los créditos contratados en la vigencia y no desembolsados</t>
  </si>
  <si>
    <t xml:space="preserve">    4.1.4 Valor del nuevo crédito a contratar - proyección de desembolsos</t>
  </si>
  <si>
    <t xml:space="preserve">    4.2 Amortizaciones de la vigencia (4.2.1-4.2.2+4.2.3)</t>
  </si>
  <si>
    <t>CAPEN.4.2.1</t>
  </si>
  <si>
    <t xml:space="preserve">    4.2.1 Amortizaciones de deuda para la vigencia</t>
  </si>
  <si>
    <t>CAPEN.4.2.2</t>
  </si>
  <si>
    <t xml:space="preserve">    4.2.2 Amortizaciones de deuda financiada con regalías</t>
  </si>
  <si>
    <t xml:space="preserve">    4.2.3 Amortizaciones del Nuevo Crédito</t>
  </si>
  <si>
    <t>CAPEN.4.3</t>
  </si>
  <si>
    <t xml:space="preserve">    4.3 Créditos condonables</t>
  </si>
  <si>
    <t>CAPEN.4.4</t>
  </si>
  <si>
    <t xml:space="preserve">    4.4 Amortizaciones de créditos condonables</t>
  </si>
  <si>
    <t>5. Intereses de la vigencia (5.1-5.2+5.3)</t>
  </si>
  <si>
    <t>CAPEN.5.1</t>
  </si>
  <si>
    <t>5.1 Intereses de la deuda vigente</t>
  </si>
  <si>
    <t>CAPEN.5.2</t>
  </si>
  <si>
    <t>5.2 Intereses de la deuda financiada con regalías</t>
  </si>
  <si>
    <t>5.3 Intereses del Nuevo Crédito</t>
  </si>
  <si>
    <t>SOLVENCIA = Intereses  / Ahorro operacional = (5/3) - Sin cobertura de riesgo</t>
  </si>
  <si>
    <t>SOSTENIBILIDAD = Saldo deuda / Ingresos corrientes = (4/1) - Sin Cobertura de riesgo</t>
  </si>
  <si>
    <t>SEMÁFORO: Estado actual de la entidad</t>
  </si>
  <si>
    <t>VERDE</t>
  </si>
  <si>
    <t>SOLVENCIA = Intereses  / Ahorro operacional = (9/3) - Con cobertura de riesgo</t>
  </si>
  <si>
    <t>SOSTENIBILIDAD = Saldo deuda / Ingresos corrientes = (18/1) Con cobertura de riesgo</t>
  </si>
  <si>
    <t>DATOS PARA ESTABLECER CUBERTURAS DE RIESGO LEY 819 DE 2003</t>
  </si>
  <si>
    <t>6. TASA DE INTERES IMPLICITA DE LOS CREDITOS</t>
  </si>
  <si>
    <t>7. PORCENTAJE DE COBERTURA EN TASA DE INTERES</t>
  </si>
  <si>
    <t>8. TASA DE INTERES CON COBERTURA DE RIESGO</t>
  </si>
  <si>
    <t>9. INTERESES PROYECTADOS CON COBERTURA DE RIESGO</t>
  </si>
  <si>
    <t>10. TASA REPRESENTATIVA DEL MERCADO (SUPUESTOS MACROECONOMICOS)</t>
  </si>
  <si>
    <t>11. SALDO DEUDA EXTERNA EN PESOS=VALOR EN DOLARES POR LA TASA DE CAMBIO DE LA FILA 38</t>
  </si>
  <si>
    <t>12. SALDO DE LA DEUDA INTERNA EN PESOS</t>
  </si>
  <si>
    <t>13. TOTAL SALDO DE LA DEUDA EN PESOS</t>
  </si>
  <si>
    <t>14. DIFERENCIA (SI HAY VALOR DIFERENTE A CERO; CORREGIR SALDOS FILAS 44 Y 45)</t>
  </si>
  <si>
    <t>15. PORCENTAJE DE COBERTURA EN TASA DE CAMBIO</t>
  </si>
  <si>
    <t>16. TASA REPRESENTATIVA DE MERCADO ESTRESADA</t>
  </si>
  <si>
    <t>17. SALDO DE LA DEUDA EXTERNA CON COBERTURA DE RIESGO EN TASA DE CAMBIO</t>
  </si>
  <si>
    <t>18. SALDO DE LA DEUDA TOTAL CON COBERTURA DE RIESGO EN TASA DE CAMBIO</t>
  </si>
  <si>
    <t>19. DIFERENCIA EN SALDO POR COBERTURA</t>
  </si>
  <si>
    <t>IPC PROYECTADO</t>
  </si>
  <si>
    <t>PROYECCION CAPACIDAD LEGAL DE ENDEUDAMIENTO - LEY 358 DE 1997</t>
  </si>
  <si>
    <t>FUENTES Y USOS</t>
  </si>
  <si>
    <t>AREA DE PRESUPUESTO 2022</t>
  </si>
  <si>
    <t>RECURSO ORDINARIO FUNCIONAMIENTO</t>
  </si>
  <si>
    <t>FUNCIONAMIENTO SALUD Y ADMINISTRACION CENTRAL</t>
  </si>
  <si>
    <t>0304 - 1 - 4 9 - 08</t>
  </si>
  <si>
    <t>Estampilla Pro Hospital San Juan de Dios</t>
  </si>
  <si>
    <t>VALOR % INVERSION 2020- 2021</t>
  </si>
  <si>
    <t>Art 350 Constitucion Politica de Colombia El presupuesto de inversión no se podrá disminuir porcentualmente con relación al año anterior respecto del gasto total de la correspondiente ley de apropiaciones.</t>
  </si>
  <si>
    <t>Sistema General de Participaciones
 Pesos Corrientes</t>
  </si>
  <si>
    <t/>
  </si>
  <si>
    <t>Ficha SGP por Entidad</t>
  </si>
  <si>
    <t>Fuente: Grupo GFT - DIFP</t>
  </si>
  <si>
    <t>Entidad</t>
  </si>
  <si>
    <t>Gobernación de Quindío - Quindío</t>
  </si>
  <si>
    <t>Vigencia Reporte</t>
  </si>
  <si>
    <t>2021</t>
  </si>
  <si>
    <t>Pesos Corrientes</t>
  </si>
  <si>
    <t>Ultima Doceava 2020</t>
  </si>
  <si>
    <t>Once Doceavas 2021</t>
  </si>
  <si>
    <t>Total Acumulado</t>
  </si>
  <si>
    <t>Educación</t>
  </si>
  <si>
    <t>      Prestación de Servicios</t>
  </si>
  <si>
    <t>      Calidad </t>
  </si>
  <si>
    <t>          Matrícula Gratuidad</t>
  </si>
  <si>
    <t>          Matrícula Oficial</t>
  </si>
  <si>
    <t>Salud</t>
  </si>
  <si>
    <t>      Régimen Subsidiado</t>
  </si>
  <si>
    <t>      Salud Pública</t>
  </si>
  <si>
    <t>Subsidio de la Oferta</t>
  </si>
  <si>
    <t>Agua Potable</t>
  </si>
  <si>
    <t>Propósito General - Destinación</t>
  </si>
  <si>
    <t>      Libre Destinación</t>
  </si>
  <si>
    <t>      Deporte</t>
  </si>
  <si>
    <t>      Cultura</t>
  </si>
  <si>
    <t>      Libre Inversión </t>
  </si>
  <si>
    <t>      Fonpet(2)</t>
  </si>
  <si>
    <t>Alimentación Escolar</t>
  </si>
  <si>
    <t>Ribereños</t>
  </si>
  <si>
    <t>Resguardos Indígenas</t>
  </si>
  <si>
    <t>Fonpet</t>
  </si>
  <si>
    <t>Primera Infancia</t>
  </si>
  <si>
    <t>TOTAL SGP</t>
  </si>
  <si>
    <t xml:space="preserve">  </t>
  </si>
  <si>
    <t>*/ Las Once Doceavas 2018 de la asignación especial para resguardos indígenas incluyen ajuste certificado por el MHCP, relacionado en el DD SGP-32-2018</t>
  </si>
  <si>
    <t>Compromismos 2015</t>
  </si>
  <si>
    <t>Compromismos 2016</t>
  </si>
  <si>
    <t>Compromismos 2017</t>
  </si>
  <si>
    <t>Compromismos 2018</t>
  </si>
  <si>
    <t>Compromismos 2019</t>
  </si>
  <si>
    <t>Compromismos 2020</t>
  </si>
  <si>
    <t>Presupuesto definitivo 2021</t>
  </si>
  <si>
    <t>Presupuesto definitivo 2022</t>
  </si>
  <si>
    <t xml:space="preserve"> IPC. Variación mensual, año corrido y anual</t>
  </si>
  <si>
    <t>Total IPC (2012 - 2021)</t>
  </si>
  <si>
    <t>2012 - 2021 (Junio)</t>
  </si>
  <si>
    <t>Años</t>
  </si>
  <si>
    <t>Variación %</t>
  </si>
  <si>
    <t>Mensual</t>
  </si>
  <si>
    <t>Año corrido</t>
  </si>
  <si>
    <t>Anual</t>
  </si>
  <si>
    <r>
      <rPr>
        <b/>
        <sz val="8"/>
        <rFont val="Segoe UI"/>
        <family val="2"/>
      </rPr>
      <t>Fuente</t>
    </r>
    <r>
      <rPr>
        <sz val="8"/>
        <rFont val="Segoe UI"/>
        <family val="2"/>
      </rPr>
      <t>: DANE.</t>
    </r>
  </si>
  <si>
    <r>
      <rPr>
        <b/>
        <sz val="8"/>
        <rFont val="Segoe UI"/>
        <family val="2"/>
      </rPr>
      <t xml:space="preserve">Nota: </t>
    </r>
    <r>
      <rPr>
        <sz val="8"/>
        <rFont val="Segoe UI"/>
        <family val="2"/>
      </rPr>
      <t>La diferencia en la suma de las variables, obedece al sistema de aproximación y redondeo.</t>
    </r>
  </si>
  <si>
    <t>Actualizado el 3 de julio de 2021</t>
  </si>
  <si>
    <t>VP RECAUDO 2015</t>
  </si>
  <si>
    <t>VP RECAUDO 2016</t>
  </si>
  <si>
    <t>VP RECAUDO 2017</t>
  </si>
  <si>
    <t>VP RECAUDO 2018</t>
  </si>
  <si>
    <t>VP RECAUDO 2019</t>
  </si>
  <si>
    <t>PRESUPUESTO 2021</t>
  </si>
  <si>
    <t>Crecimiento 2015 frente 2016</t>
  </si>
  <si>
    <t>Crecimiento 2016 frente 2017</t>
  </si>
  <si>
    <t>Crecimiento 2017 frente 2018</t>
  </si>
  <si>
    <t>Crecimiento 2018 frente 2019</t>
  </si>
  <si>
    <t>Media de Crecimiento 2015-2019</t>
  </si>
  <si>
    <t>PROYECCIONES 2022 SEGÚN HISTORICOS</t>
  </si>
  <si>
    <t>PLAN FINANCIERO PRESUPUESTO 2022</t>
  </si>
  <si>
    <t>Retiro FONPET</t>
  </si>
  <si>
    <t>Impuesto al Registro libre Destinacion</t>
  </si>
  <si>
    <t>Trasferencia Promotora de Vivienda</t>
  </si>
  <si>
    <t xml:space="preserve">I.C.L.D.                                                                                                 </t>
  </si>
  <si>
    <t xml:space="preserve">FUNCIONAMIENTO                                                   </t>
  </si>
  <si>
    <t xml:space="preserve">INVERSION, D.P. Y OTROS                                          </t>
  </si>
  <si>
    <t>AREA DE PRESUPUESTO - INFORME  2021</t>
  </si>
  <si>
    <t>DEST.ESPEC.</t>
  </si>
  <si>
    <t>Impuesto al Consumo de Licores de Producción Nacional</t>
  </si>
  <si>
    <t>Sobretasa al ACPM Libre Destinacion</t>
  </si>
  <si>
    <t>TOTAL ING CTES. DEST. ESP</t>
  </si>
  <si>
    <t>RECURSOS D.E.  PARA FUNCIONAM.</t>
  </si>
  <si>
    <t>TOTAL INGRESOS CTES D.E. INVERSION</t>
  </si>
  <si>
    <t>TOTAL  I.C.L.D.</t>
  </si>
  <si>
    <t xml:space="preserve">Intereses Estampilla Pro-Desarrollo (15%) Infraestructura Sanitaria Promotora de Vivienda </t>
  </si>
  <si>
    <t>TOTAL RECURSOS DE CAPITAL. DEST. ESP</t>
  </si>
  <si>
    <t>TOTAL RECURSOS DE CAPITAL D.E. INVERSION</t>
  </si>
  <si>
    <t>TOTAL RECURSOS DE CAPITAL I.C.L.D.</t>
  </si>
  <si>
    <t xml:space="preserve">     Transferencia Fonpet 67% del 10%</t>
  </si>
  <si>
    <t xml:space="preserve">   Gobernación</t>
  </si>
  <si>
    <t>Funcionamiento Destinado</t>
  </si>
  <si>
    <t>NOMBRE</t>
  </si>
  <si>
    <t>INGRESO DEFINITIVO</t>
  </si>
  <si>
    <t>ENERO</t>
  </si>
  <si>
    <t>FEBRERO</t>
  </si>
  <si>
    <t>MARZO</t>
  </si>
  <si>
    <t>ABRIL</t>
  </si>
  <si>
    <t>MAYO</t>
  </si>
  <si>
    <t>JUNIO</t>
  </si>
  <si>
    <t>JULIO</t>
  </si>
  <si>
    <t>AGOSTO</t>
  </si>
  <si>
    <t>SEPTIEMBRE</t>
  </si>
  <si>
    <t>OCTUBRE</t>
  </si>
  <si>
    <t>NOVIEMBRE</t>
  </si>
  <si>
    <t>DICIEMBRE</t>
  </si>
  <si>
    <t>IMPUESTO AL CIGARRILLO Y TABACO</t>
  </si>
  <si>
    <t>IMPUESTO DEGUELLO DE GANADO MAYOR</t>
  </si>
  <si>
    <t>ESTAMPILLA PRO- DESARROLLO</t>
  </si>
  <si>
    <t>FONDO DE SEGURIDAD CIUDADANA</t>
  </si>
  <si>
    <t>IMPUESTO SOBRE VEHICULOS AUTOMOTORES</t>
  </si>
  <si>
    <t>IVA LICORES</t>
  </si>
  <si>
    <t>JUEGOS DE SUERTE Y AZAR OTROS GASTOS EN SALUD</t>
  </si>
  <si>
    <t>}</t>
  </si>
  <si>
    <t>JUEGOS DE SUERTE Y AZAR REGIMEN SUBSIDIADO</t>
  </si>
  <si>
    <t>LEY 1393 REGIMEN SUBSIDIADO</t>
  </si>
  <si>
    <t>RENTAS CEDIDAS OTROS GASTOS EN SALUD</t>
  </si>
  <si>
    <t>RENTAS CEDIDAS PRESTACION DE SERVICIOS</t>
  </si>
  <si>
    <t>RENTAS CEDDIAS REGIMEN SUBSIDIADO</t>
  </si>
  <si>
    <t>SOBRETASA A LA GASOLINA</t>
  </si>
  <si>
    <t xml:space="preserve">Impuesto al Registro </t>
  </si>
  <si>
    <t>Estampilla Pro-Desarrollo</t>
  </si>
  <si>
    <t>Estampilla Pro-Adulto Mayor</t>
  </si>
  <si>
    <t>DEPARTAMENTO DEL QUINDÍO</t>
  </si>
  <si>
    <t>TERCERA CATEGORÍA</t>
  </si>
  <si>
    <t>NÚMERO DE CURULES DE DIPUTADOS: 11</t>
  </si>
  <si>
    <t>Salario mínimo mensual legal vigente (smmlv) vigencia fiscal 2023 (proyectado 2022):</t>
  </si>
  <si>
    <t>Número máximo de meses para sesiones de las asambleas:</t>
  </si>
  <si>
    <t>Ocho (8) meses  (6 Ordinarias 3 Extraordinaria). 
(Artículo 2º. de la Ley 1871 de 2017)</t>
  </si>
  <si>
    <t>Tabla de remuneración de diputados: Dependiendo de la categoría del respectivo departamento</t>
  </si>
  <si>
    <t>Tercera y cuarta (18 Salarios Mínimos)</t>
  </si>
  <si>
    <t>VALOR SALARIO POR DIPUTADO MENSUAL</t>
  </si>
  <si>
    <t>Remuneración diputados según la categoria del Departamento</t>
  </si>
  <si>
    <t>Aportes parafiscales</t>
  </si>
  <si>
    <t>Pensión</t>
  </si>
  <si>
    <t>Riesgos profesionales</t>
  </si>
  <si>
    <t>Cesantías</t>
  </si>
  <si>
    <t>Intereses sobre las cesantías</t>
  </si>
  <si>
    <t>Prima de navidad</t>
  </si>
  <si>
    <t>Prima de Vacaciones</t>
  </si>
  <si>
    <t>Vacaciones</t>
  </si>
  <si>
    <t>TOTAL GASTOS OBLIGADOS A DIPUTADOS</t>
  </si>
  <si>
    <t>TOTAL  GASTOS OBLIGADOS DIPUTADOS</t>
  </si>
  <si>
    <t>PORCENTAJE MAXIMO GASTOS DE FUNCIOANMIENTO (25% )</t>
  </si>
  <si>
    <t>MONTO MAXIMO DE LA ASAMBLEA DEAPRTAMENTAL</t>
  </si>
  <si>
    <r>
      <t>(...) Si bien estos gastos deben ubicarse como gastos de la sección presupuestal asamblea, no computan para efectos de los límites del gasto en vista de que sobre ellos no existe minimamente gobernabilidad, discrecionalidad ni autonomía alguna en su origen. (</t>
    </r>
    <r>
      <rPr>
        <b/>
        <i/>
        <sz val="11"/>
        <color indexed="8"/>
        <rFont val="Arial"/>
        <family val="2"/>
      </rPr>
      <t>Oficio 035 26/10/2021 Ministerio de Hacienda y Crédito Público</t>
    </r>
    <r>
      <rPr>
        <i/>
        <sz val="11"/>
        <color indexed="8"/>
        <rFont val="Arial"/>
        <family val="2"/>
      </rPr>
      <t>)</t>
    </r>
  </si>
  <si>
    <r>
      <t>(...) El alcance del art 8 de la ley 617 que se contrae de forma exclusiva a la remuneración en el prevista, implica que la suma global y fija y única liquidda en salarios mínimos legales mensuales según categoría departamental, referencia para establecer el monto de los gastos maximos de las asambleas, tampoco permite incluir carga prestacional. (</t>
    </r>
    <r>
      <rPr>
        <b/>
        <i/>
        <sz val="11"/>
        <color indexed="8"/>
        <rFont val="Arial"/>
        <family val="2"/>
      </rPr>
      <t>Oficio Rad 20216000280661 03/08/2021 Función Pública</t>
    </r>
    <r>
      <rPr>
        <i/>
        <sz val="11"/>
        <color indexed="8"/>
        <rFont val="Arial"/>
        <family val="2"/>
      </rPr>
      <t>)</t>
    </r>
  </si>
  <si>
    <t>GOBERNACIÓN DEL QUINDÍO</t>
  </si>
  <si>
    <t>AMORTIZACIÓN CRÉDITO</t>
  </si>
  <si>
    <t>BANCO DE OCCIDENTE</t>
  </si>
  <si>
    <t>DEUDA NUEVA A ADQUIRIR EN 2022</t>
  </si>
  <si>
    <t>No CUOTA</t>
  </si>
  <si>
    <t>CAPITAL</t>
  </si>
  <si>
    <t>SALDO</t>
  </si>
  <si>
    <t>Plazo</t>
  </si>
  <si>
    <t>Monto</t>
  </si>
  <si>
    <t>Tasa anual</t>
  </si>
  <si>
    <t>Tasa anual C/ IVA</t>
  </si>
  <si>
    <t>Tasa Trimestral</t>
  </si>
  <si>
    <t>Tasa mensual C/ IVA</t>
  </si>
  <si>
    <t>Pago mensual</t>
  </si>
  <si>
    <t>Secretaría de Hacienda</t>
  </si>
  <si>
    <t>Tesorería</t>
  </si>
  <si>
    <t>PROYECCION DEUDA PUBLICA VIGENCIA 2022</t>
  </si>
  <si>
    <t>PRESUPUESTADO</t>
  </si>
  <si>
    <t>No. Obligación</t>
  </si>
  <si>
    <t>BANCO</t>
  </si>
  <si>
    <t>FECHA DE</t>
  </si>
  <si>
    <t xml:space="preserve">FECHA DE </t>
  </si>
  <si>
    <t xml:space="preserve">TASA DE </t>
  </si>
  <si>
    <t>TRAMO</t>
  </si>
  <si>
    <t xml:space="preserve">RECURSO </t>
  </si>
  <si>
    <t xml:space="preserve">INICIO </t>
  </si>
  <si>
    <t>TERMINA..</t>
  </si>
  <si>
    <t>INTERES</t>
  </si>
  <si>
    <t>DIA</t>
  </si>
  <si>
    <t>INFIVALLE</t>
  </si>
  <si>
    <t>DTF + 2.0% T.A.</t>
  </si>
  <si>
    <t>DAVIVIENDA</t>
  </si>
  <si>
    <t>DTF - 1% T.A.</t>
  </si>
  <si>
    <t>20-23</t>
  </si>
  <si>
    <t>ACPM</t>
  </si>
  <si>
    <t xml:space="preserve">IBR +3,29% M.V. </t>
  </si>
  <si>
    <t>310008996-3</t>
  </si>
  <si>
    <t>OCCIDENTE</t>
  </si>
  <si>
    <t>DTF + 2% TA</t>
  </si>
  <si>
    <t xml:space="preserve">TX. VEHICULOS </t>
  </si>
  <si>
    <t>7</t>
  </si>
  <si>
    <t>310009024-9</t>
  </si>
  <si>
    <t>29</t>
  </si>
  <si>
    <t>310009035-6</t>
  </si>
  <si>
    <t>310009121-9</t>
  </si>
  <si>
    <t>310009122-8</t>
  </si>
  <si>
    <t>310009149-8</t>
  </si>
  <si>
    <t xml:space="preserve">TX. REGISTRO </t>
  </si>
  <si>
    <t>12</t>
  </si>
  <si>
    <t>310009155-1</t>
  </si>
  <si>
    <t>19</t>
  </si>
  <si>
    <t>310009197-0</t>
  </si>
  <si>
    <t>310009225-2</t>
  </si>
  <si>
    <t>310009243-0</t>
  </si>
  <si>
    <t>310009257-5</t>
  </si>
  <si>
    <t xml:space="preserve">TX. CERVEZA </t>
  </si>
  <si>
    <t>310009262-8</t>
  </si>
  <si>
    <t>310009307-1</t>
  </si>
  <si>
    <t>23</t>
  </si>
  <si>
    <t>310009326-9</t>
  </si>
  <si>
    <t>310009341-1</t>
  </si>
  <si>
    <t>0310010741-7</t>
  </si>
  <si>
    <t>IBR+3% T.V.</t>
  </si>
  <si>
    <t>031-0010773-1</t>
  </si>
  <si>
    <t xml:space="preserve">IBR +3% T.V. </t>
  </si>
  <si>
    <t>031-0011139-4</t>
  </si>
  <si>
    <t>031-0011162-5</t>
  </si>
  <si>
    <t>CODDIGO DEL RECURSO</t>
  </si>
  <si>
    <t>NOMBRE DEL INGRESO</t>
  </si>
  <si>
    <t>UNIDAD EJECUTORA</t>
  </si>
  <si>
    <t>AFORO INICIAL</t>
  </si>
  <si>
    <t>AFORO DEFINITIVO</t>
  </si>
  <si>
    <t>TOTAL INGRESO</t>
  </si>
  <si>
    <t>0307 - 01</t>
  </si>
  <si>
    <t xml:space="preserve">SECRETARIA DE HACIENDA </t>
  </si>
  <si>
    <t>0307 - 0101</t>
  </si>
  <si>
    <t>0307 - 010102</t>
  </si>
  <si>
    <t>0307 - 01010202</t>
  </si>
  <si>
    <t>0307 - 0101020202 - 35</t>
  </si>
  <si>
    <t>Monopolio (51%) Destinación Especifica</t>
  </si>
  <si>
    <t>0307 - 0101020207 - 35</t>
  </si>
  <si>
    <t>Monopolio (3%) Destinacion Deporte</t>
  </si>
  <si>
    <t>0307 - 0101020211 - 20</t>
  </si>
  <si>
    <t>Monpolio (46%) Libre Destinacion</t>
  </si>
  <si>
    <t>0318 - 01</t>
  </si>
  <si>
    <t>SECRETARIA DE SALUD</t>
  </si>
  <si>
    <t>0318 - 0102</t>
  </si>
  <si>
    <t>0318 - 010204</t>
  </si>
  <si>
    <t>0318 - 01020401</t>
  </si>
  <si>
    <t>SUBCUENTA PRESTACION DE SERVICIOS A LA POBLACION POBRE EN LO NO CUBIERTO CON SUBSIDIO A LA DEMANDA</t>
  </si>
  <si>
    <t>0318 - 0102040101</t>
  </si>
  <si>
    <t>RENTAS CEDIDAS</t>
  </si>
  <si>
    <t>0318 - 010204010103 - 58</t>
  </si>
  <si>
    <t>0318 - 01020403</t>
  </si>
  <si>
    <t>SUBCUENTA REGIMEN SUBSIDIADO</t>
  </si>
  <si>
    <t>0318 - 0102040301</t>
  </si>
  <si>
    <t>0318 - 010204030103 - 154</t>
  </si>
  <si>
    <t>0318 - 01020404</t>
  </si>
  <si>
    <t>SUBCUENTA OTROS GASTOS EN SALUD</t>
  </si>
  <si>
    <t>0318 - 0102040401</t>
  </si>
  <si>
    <t>0318 - 010204040103 - 72</t>
  </si>
  <si>
    <t>SALUD 37%</t>
  </si>
  <si>
    <t>DEPORTE 3%</t>
  </si>
  <si>
    <t>DESTINACION ESPECIFICA (SALUD O EDUCACION) 14%</t>
  </si>
  <si>
    <t>LIBRE DESTINACION 46%</t>
  </si>
  <si>
    <t>0307 - 010101</t>
  </si>
  <si>
    <t>0307 - 01010101</t>
  </si>
  <si>
    <t>0307 - 0101010101</t>
  </si>
  <si>
    <t>0307 - 010101010101 - 20</t>
  </si>
  <si>
    <t>0307 - 0101010102</t>
  </si>
  <si>
    <t>0307 - 010101010201 - 20</t>
  </si>
  <si>
    <t>Impuesto al Registro de Libre Destinación</t>
  </si>
  <si>
    <t>0307 - 010101010202 - 52</t>
  </si>
  <si>
    <t>Impuesto al Registro Turismo 4%</t>
  </si>
  <si>
    <t>0307 - 010101010203 - 53</t>
  </si>
  <si>
    <t>Impuesto al Regiistro Promotora 6%</t>
  </si>
  <si>
    <t>0307 - 010101010204 - 13</t>
  </si>
  <si>
    <t>Impuesto Al Registro Destinado Al Pago De Bonos Pensiónales Según Plan De Desarrollo N</t>
  </si>
  <si>
    <t>0307 - 010101010205 - 01</t>
  </si>
  <si>
    <t>Impuesto de Registro - FONPET 20%  (EL 30% DEL 20%)</t>
  </si>
  <si>
    <t>0307 - 01010102</t>
  </si>
  <si>
    <t>0307 - 0101010201</t>
  </si>
  <si>
    <t>0307 - 010101020101 - 20</t>
  </si>
  <si>
    <t xml:space="preserve">Licores de Producción Nacional Libre Destinación </t>
  </si>
  <si>
    <t>0307 - 010101020102 - 20</t>
  </si>
  <si>
    <t>Otros Licores de Producción Extranjera Libre Destinación</t>
  </si>
  <si>
    <t>0307 - 0101010202</t>
  </si>
  <si>
    <t>0307 - 010101020201 - 20</t>
  </si>
  <si>
    <t>Cerveza de Producción Nacional Libre Destinación</t>
  </si>
  <si>
    <t>0307 - 010101020202 - 20</t>
  </si>
  <si>
    <t>Cerveza de Producción Extranjera Libre Destinación</t>
  </si>
  <si>
    <t>0307 - 0101010203</t>
  </si>
  <si>
    <t>0307 - 010101020301 - 20</t>
  </si>
  <si>
    <t>Cigarrillo y Tabaco de Producción Nacional Libre Destinación</t>
  </si>
  <si>
    <t>0307 - 010101020302 - 20</t>
  </si>
  <si>
    <t>Cigarrillo y Tabaco de Fabricación Extranjera Libre Destinación</t>
  </si>
  <si>
    <t>0307 - 0101010204</t>
  </si>
  <si>
    <t>0307 - 010101020401 - 20</t>
  </si>
  <si>
    <t>Degüello de Ganado Mayor Libre Destinación</t>
  </si>
  <si>
    <t>0307 - 0101010205</t>
  </si>
  <si>
    <t>0307 - 010101020501 - 20</t>
  </si>
  <si>
    <t>Sobretasa a la Gasolina Libre Destinación</t>
  </si>
  <si>
    <t>0307 - 010101020502 - 166</t>
  </si>
  <si>
    <t>Fondo de Subsidio Sobretasa a la Gasolina 5%</t>
  </si>
  <si>
    <t>SOBRETAS A LA GASOLINA 5%</t>
  </si>
  <si>
    <t>0307 - 0101010206</t>
  </si>
  <si>
    <t>0307 - 010101020601 - 04</t>
  </si>
  <si>
    <t>0307 - 010101020602 - 04</t>
  </si>
  <si>
    <t>0307 - 010101020603 - 04</t>
  </si>
  <si>
    <t>0307 - 0101010207</t>
  </si>
  <si>
    <t>0307 - 010101020702 - 05</t>
  </si>
  <si>
    <t>0307 - 010101020703 - 33</t>
  </si>
  <si>
    <t>Estampilla Pro-Cultura (10% Seguridad Socila)</t>
  </si>
  <si>
    <t>0307 - 010101020704 - 34</t>
  </si>
  <si>
    <t>0307 - 010101020705 - 39</t>
  </si>
  <si>
    <t>Estampilla Pro-Cultura (50% Concertacion)</t>
  </si>
  <si>
    <t>0307 - 010101020706 - 41</t>
  </si>
  <si>
    <t>Estampilla Pro-Cultura (10% Estimulos)</t>
  </si>
  <si>
    <t>0307 - 0101010208</t>
  </si>
  <si>
    <t>0307 - 010101020801 - 06</t>
  </si>
  <si>
    <t>0307 - 010101020802 - 06</t>
  </si>
  <si>
    <t>0307 - 0101010209</t>
  </si>
  <si>
    <t>0307 - 010101020901 - 07</t>
  </si>
  <si>
    <t>Estampilla Pro-Universidad</t>
  </si>
  <si>
    <t>ESTAMPILLA PRO UNIVERSIDAD DEL QUINDIO</t>
  </si>
  <si>
    <t>0307 - 0101010210</t>
  </si>
  <si>
    <t>0307 - 010101021001 - 08</t>
  </si>
  <si>
    <t>ESTAMPILLA PROHOSPITAL SAN JUNA DE DIOS</t>
  </si>
  <si>
    <t>0307 - 01010201</t>
  </si>
  <si>
    <t xml:space="preserve">TASAS, MULTAS, CONTRIBUCIONES </t>
  </si>
  <si>
    <t>0307 - 0101020101</t>
  </si>
  <si>
    <t>0307 - 010102010101 - 20</t>
  </si>
  <si>
    <t>0307 - 0101020102</t>
  </si>
  <si>
    <t>MULTAS Y SANCIONES</t>
  </si>
  <si>
    <t>0307 - 010102010201</t>
  </si>
  <si>
    <t>INTERESES MORATORIOS</t>
  </si>
  <si>
    <t>0307 - 01010201020101 - 20</t>
  </si>
  <si>
    <t>Intereses Moratorios Impuesto Sobre Vehiculos Automotores Vigencia Actual</t>
  </si>
  <si>
    <t>0307 - 01010201020102 - 20</t>
  </si>
  <si>
    <t>Intereses Impuesto Vehículos Automotores Libre Destinación Vigencia Anterior</t>
  </si>
  <si>
    <t>0307 - 010102010202</t>
  </si>
  <si>
    <t>SANCIONES TRIBUTARIAS</t>
  </si>
  <si>
    <t>0307 - 01010201020201 - 20</t>
  </si>
  <si>
    <t>Sanciones Impuesto Sobre Vehiculos Automotores Vigencia Actual</t>
  </si>
  <si>
    <t>0307 - 01010201020202 - 20</t>
  </si>
  <si>
    <t>Sanciones Impuesto Vehículos Automotores Libre Destinación Vigencia Anterior</t>
  </si>
  <si>
    <t>0307 - 01010203</t>
  </si>
  <si>
    <t>0307 - 0101020301 - 18</t>
  </si>
  <si>
    <t>0307 - 0101020304 - 136</t>
  </si>
  <si>
    <t>Desahorro FONPET</t>
  </si>
  <si>
    <t xml:space="preserve">DESAHOOROO FONPET CON SITUACION </t>
  </si>
  <si>
    <t>0307 - 0101020304 - 19</t>
  </si>
  <si>
    <t>RECURSO ORDINARIO SSF</t>
  </si>
  <si>
    <t>0307 - 01010204</t>
  </si>
  <si>
    <t>0307 - 0101020401</t>
  </si>
  <si>
    <t>0307 - 010102040101</t>
  </si>
  <si>
    <t>0307 - 01010204010101 - 23</t>
  </si>
  <si>
    <t>0307 - 010102040102</t>
  </si>
  <si>
    <t>0307 - 01010204010201 - 47</t>
  </si>
  <si>
    <t>IVA Telefonía Celular Cultura</t>
  </si>
  <si>
    <t>0307 - 01010204010202 - 54</t>
  </si>
  <si>
    <t>IVA Telefonía Celular  Deportes</t>
  </si>
  <si>
    <t>IVA TELEFONIA MOVIL DEPORTE</t>
  </si>
  <si>
    <t>0307 - 010102040104</t>
  </si>
  <si>
    <t>COFINANCIACIÓN</t>
  </si>
  <si>
    <t>0307 - 01010204010414 - 56</t>
  </si>
  <si>
    <t>Convenio Anticontrabando</t>
  </si>
  <si>
    <t>0307 - 01010204010418 - 163</t>
  </si>
  <si>
    <t>Transferencia del Fondo Nacional de Gestión del Riesgo de Desastres Res. 0329/2019</t>
  </si>
  <si>
    <t>TRANSFERENCIA RES. 0329/2019 FNGRD</t>
  </si>
  <si>
    <t>0307 - 010102040106</t>
  </si>
  <si>
    <t>Impuesto al Consumo de Licores</t>
  </si>
  <si>
    <t>0307 - 01010204010601 - 145</t>
  </si>
  <si>
    <t>3% Consumo (Deporte)</t>
  </si>
  <si>
    <t>0307 - 01010205</t>
  </si>
  <si>
    <t>OTROS INGRESOS NO TRIBUTARIOS</t>
  </si>
  <si>
    <t>0307 - 0101020501 - 20</t>
  </si>
  <si>
    <t>Operación Comercial Centro de Metropolitano de Convenciones</t>
  </si>
  <si>
    <t>0307 - 0101020502 - 20</t>
  </si>
  <si>
    <t>Operación Comercial Casa Delegada</t>
  </si>
  <si>
    <t>0307 - 0101020503 - 20</t>
  </si>
  <si>
    <t>0307 - 0101020504 - 138</t>
  </si>
  <si>
    <t>RETROACTIVOS DE PENSIONES DE VEJEZ</t>
  </si>
  <si>
    <t>0307 - 01010206</t>
  </si>
  <si>
    <t>CARTERA DE VEHICULOS AUTOMOTORES</t>
  </si>
  <si>
    <t>0307 - 0101020601 - 20</t>
  </si>
  <si>
    <t>Impuestos Vehículos Automotores Libre Destinación Vigencia Anterior</t>
  </si>
  <si>
    <t>0307 - 0102</t>
  </si>
  <si>
    <t>0307 - 010201</t>
  </si>
  <si>
    <t>0307 - 01020101 - 42</t>
  </si>
  <si>
    <t>Contribución de Seguridad 5% Obras Publicas</t>
  </si>
  <si>
    <t>0307 - 010202</t>
  </si>
  <si>
    <t>FONDO DEPARTAMENTAL DE AGUA POTABLE Y SANEAMIENTO BASICO</t>
  </si>
  <si>
    <t>0307 - 01020201 - 27</t>
  </si>
  <si>
    <t>SGP Sector Agua Potable y Saneamiento Básico</t>
  </si>
  <si>
    <t>0307 - 0103</t>
  </si>
  <si>
    <t>0307 - 010301</t>
  </si>
  <si>
    <t>RECURSOS DEL BALANCE</t>
  </si>
  <si>
    <t>0307 - 01030101</t>
  </si>
  <si>
    <t>RECUPERACION CARTERA</t>
  </si>
  <si>
    <t>0307 - 0103010102</t>
  </si>
  <si>
    <t>INGRESOS NO TRIBUTARIOS</t>
  </si>
  <si>
    <t>0307 - 010301010204 - 20</t>
  </si>
  <si>
    <t>Recuperacion Cartera Cuotas Partes Pensionales R.O.</t>
  </si>
  <si>
    <t>0307 - 01030103</t>
  </si>
  <si>
    <t>REINTEGROS DE VIGENCIA ANTERIORES</t>
  </si>
  <si>
    <t>0307 - 0103010301</t>
  </si>
  <si>
    <t xml:space="preserve">REINTEGROS DE LIBRE DESTINACIÓN </t>
  </si>
  <si>
    <t>0307 - 010301030101 - 20</t>
  </si>
  <si>
    <t>Reintegros de Libre Destinacion</t>
  </si>
  <si>
    <t>0307 - 0103010302</t>
  </si>
  <si>
    <t xml:space="preserve">REINTEGROS DE DESTINACIÓN ESPECIFICA </t>
  </si>
  <si>
    <t>0307 - 010301030202 - 35</t>
  </si>
  <si>
    <t xml:space="preserve">Reintegro Monopolio </t>
  </si>
  <si>
    <t>0307 - 010301030205 - 47</t>
  </si>
  <si>
    <t>Reintegro IVA Telefonia Movil Cultura</t>
  </si>
  <si>
    <t>0307 - 010301030205 - 93</t>
  </si>
  <si>
    <t>0307 - 010301030208 - 42</t>
  </si>
  <si>
    <t>Reintegro Contribucion de Seguridad 5%</t>
  </si>
  <si>
    <t>0307 - 010301030213 - 136</t>
  </si>
  <si>
    <t>Reintegro Desahorro FONPET Mesadas Pensionales</t>
  </si>
  <si>
    <t>0307 - 010301030216 - 165</t>
  </si>
  <si>
    <t>Reintegro Poliza de Compañia de Seguros</t>
  </si>
  <si>
    <t>RENTEGRO POLIZA COMPAÑIA DE SEGUROS</t>
  </si>
  <si>
    <t>0307 - 010301030217 - 04</t>
  </si>
  <si>
    <t>Reintegro Estampilla Pro-desarrollo</t>
  </si>
  <si>
    <t>0307 - 01030104</t>
  </si>
  <si>
    <t xml:space="preserve">SUPERÁVIT FISCAL </t>
  </si>
  <si>
    <t>0307 - 0103010401</t>
  </si>
  <si>
    <t xml:space="preserve">RECURSOS DE LIBRE DESTINACIÓN </t>
  </si>
  <si>
    <t>0307 - 010301040101 - 88</t>
  </si>
  <si>
    <t>0307 - 0103010402</t>
  </si>
  <si>
    <t xml:space="preserve">RECURSOS DE DESTINACIÓN ESPECIFICA </t>
  </si>
  <si>
    <t>0307 - 010301040201 - 89</t>
  </si>
  <si>
    <t xml:space="preserve">Superávit sobretasa al ACPM </t>
  </si>
  <si>
    <t>0307 - 010301040205 - 83</t>
  </si>
  <si>
    <t>Superávit Estampilla Pro-Cultura</t>
  </si>
  <si>
    <t>0307 - 010301040207 - 94</t>
  </si>
  <si>
    <t xml:space="preserve">Superávit Impuesto al Registro Turismo </t>
  </si>
  <si>
    <t>0307 - 010301040208 - 82</t>
  </si>
  <si>
    <t>0307 - 010301040209 - 159</t>
  </si>
  <si>
    <t xml:space="preserve">Superávit Cofinanciación Nacional </t>
  </si>
  <si>
    <t>SUPERAVIT COFINANCION NACIONAL</t>
  </si>
  <si>
    <t>0307 - 010301040212 - 157</t>
  </si>
  <si>
    <t>Superávit Recursos del Credito</t>
  </si>
  <si>
    <t>0307 - 010301040214 - 93</t>
  </si>
  <si>
    <t>Superávit IVA Telefonía Celular Cultura</t>
  </si>
  <si>
    <t>0307 - 010301040224 - 91</t>
  </si>
  <si>
    <t>Superávit Monopolio</t>
  </si>
  <si>
    <t>0307 - 010301040225 - 84</t>
  </si>
  <si>
    <t>Superávit Estampilla Pro-Adulto Mayor</t>
  </si>
  <si>
    <t>0307 - 010301040226 - 92</t>
  </si>
  <si>
    <t>Superávit Fondo de Seguridad 5%</t>
  </si>
  <si>
    <t>0307 - 010301040237 - 90</t>
  </si>
  <si>
    <t>Superavit SGP Agua Potable</t>
  </si>
  <si>
    <t>0307 - 010301040240 - 123</t>
  </si>
  <si>
    <t>0307 - 010301040241 - 122</t>
  </si>
  <si>
    <t>0307 - 010301040243 - 129</t>
  </si>
  <si>
    <t>Superávit Impuesto al Registro Promotora 6%</t>
  </si>
  <si>
    <t>0307 - 010301040244 - 130</t>
  </si>
  <si>
    <t>Superávit Impuesto al Registro FONPET</t>
  </si>
  <si>
    <t>0307 - 010301040245 - 138</t>
  </si>
  <si>
    <t>Superávit Retroactivos de Pensiones de Vejez</t>
  </si>
  <si>
    <t>0307 - 010301040247 - 158</t>
  </si>
  <si>
    <t>Superávit Impuesto al Consumo 3%</t>
  </si>
  <si>
    <t>0307 - 010302</t>
  </si>
  <si>
    <t>0307 - 01030201</t>
  </si>
  <si>
    <t>0307 - 0103020101</t>
  </si>
  <si>
    <t>INTERESES DE LIBRE DESTINACION</t>
  </si>
  <si>
    <t>0307 - 010302010104 - 20</t>
  </si>
  <si>
    <t>Rendimeintos Por Operaciones Financieras R.O.</t>
  </si>
  <si>
    <t>0307 - 0103020102</t>
  </si>
  <si>
    <t xml:space="preserve">INTERESES DE DESTINACIÓN ESPECIFICA </t>
  </si>
  <si>
    <t>0307 - 010302010201 - 04</t>
  </si>
  <si>
    <t>Rendimientos Estampilla Pro-Desarrollo</t>
  </si>
  <si>
    <t>0307 - 010302010205 - 42</t>
  </si>
  <si>
    <t>0307 - 010302010206 - 23</t>
  </si>
  <si>
    <t>0307 - 010302010209 - 145</t>
  </si>
  <si>
    <t>0307 - 010302010210 - 27</t>
  </si>
  <si>
    <t>0307 - 010302010213 - 134</t>
  </si>
  <si>
    <t>0307 - 010302010214 - 136</t>
  </si>
  <si>
    <t>0307 - 010302010215 - 04</t>
  </si>
  <si>
    <t>Rendimientos Estampilla Pro-Desarrollo (20%) Pension</t>
  </si>
  <si>
    <t>0307 - 010302010216 - 04</t>
  </si>
  <si>
    <t>Rendimientos Estampilla Pro-Desarrollo (15%) Infraestructura Sanitraira Promotora</t>
  </si>
  <si>
    <t>0307 - 010302010217 - 05</t>
  </si>
  <si>
    <t>Rendimientos Estampilla Pro-Cultura (20%) Pensiones</t>
  </si>
  <si>
    <t>0307 - 010302010218 - 33</t>
  </si>
  <si>
    <t>Rendimientos Estampilla Pro-Cultura (10% Seguridad Social )</t>
  </si>
  <si>
    <t>0307 - 010302010219 - 34</t>
  </si>
  <si>
    <t>Rendimeintos Estampilla Pro-Cultura (10% Bibliotecas)</t>
  </si>
  <si>
    <t>0307 - 010302010220 - 39</t>
  </si>
  <si>
    <t>Rendimientos Estampilla Pro-Cultura (50% Concertacion)</t>
  </si>
  <si>
    <t>0307 - 010302010221 - 41</t>
  </si>
  <si>
    <t>Rendimientos Estampilla Pro-Cultura (10% Estimulos)</t>
  </si>
  <si>
    <t>0307 - 010302010222 - 06</t>
  </si>
  <si>
    <t>Rendimientos Estampilla Pro-Adulto Mayor Inversion</t>
  </si>
  <si>
    <t>0307 - 010302010223 - 06</t>
  </si>
  <si>
    <t>Rendimientos Estampilla Pro-Adulto Mayor (20%) Pensiones</t>
  </si>
  <si>
    <t>0307 - 010302010224 - 35</t>
  </si>
  <si>
    <t>0307 - 010302010225 - 145</t>
  </si>
  <si>
    <t>Rendimientos 3% Consumo (Deporte)</t>
  </si>
  <si>
    <t>0307 - 010303</t>
  </si>
  <si>
    <t>0307 - 01030304 - 20</t>
  </si>
  <si>
    <t>Dividendos del Fondo Regional de Garantías</t>
  </si>
  <si>
    <t>0307 - 01030305 - 20</t>
  </si>
  <si>
    <t>Dividendos Terminal</t>
  </si>
  <si>
    <t>0307 - 010304</t>
  </si>
  <si>
    <t>0307 - 01030401</t>
  </si>
  <si>
    <t>0307 - 0103040101 - 46</t>
  </si>
  <si>
    <t>Creditos con las Entidades Financieras</t>
  </si>
  <si>
    <t>0314 - 01</t>
  </si>
  <si>
    <t>SECRETARIA DE EDUCACION</t>
  </si>
  <si>
    <t>0314 - 0102</t>
  </si>
  <si>
    <t>0314 - 010203</t>
  </si>
  <si>
    <t>0314 - 01020301</t>
  </si>
  <si>
    <t>SISTEMA GENERAL DE PARTICIPACIONES-EDUCACION</t>
  </si>
  <si>
    <t>0314 - 0102030101 - 25</t>
  </si>
  <si>
    <t>Sistema General de Participación Educación Prestación de Servicios</t>
  </si>
  <si>
    <t>0314 - 0102030102 - 26</t>
  </si>
  <si>
    <t>S.G.P - Aportes Patronales ( Sin Situación de Fondos )</t>
  </si>
  <si>
    <t>0314 - 0102030103 - 26</t>
  </si>
  <si>
    <t>S.G.P -Aportes Docentes ( Sin  Situación de Fondos )</t>
  </si>
  <si>
    <t>0314 - 0102030104 - 146</t>
  </si>
  <si>
    <t>S.G.P. CANCELACIONES S.S.F.</t>
  </si>
  <si>
    <t>0314 - 0102030105 - 25</t>
  </si>
  <si>
    <t>0314 - 0102030110 - 25</t>
  </si>
  <si>
    <t>Sistema General de Participación Educacion - Necesidades Educativas Especiales</t>
  </si>
  <si>
    <t>0314 - 01020302</t>
  </si>
  <si>
    <t>0314 - 0102030201</t>
  </si>
  <si>
    <t>RENDIMIENTOS OPERACIONES FINANCIERAS</t>
  </si>
  <si>
    <t>0314 - 010203020105 - 21</t>
  </si>
  <si>
    <t>Rendimientos Financieros SGP Educación</t>
  </si>
  <si>
    <t>0314 - 0102030202</t>
  </si>
  <si>
    <t>0314 - 010203020201</t>
  </si>
  <si>
    <t>0314 - 01020302020101</t>
  </si>
  <si>
    <t>0314 - 0102030202010103 - 21</t>
  </si>
  <si>
    <t>Superávit S.G.P. Intereses</t>
  </si>
  <si>
    <t>0314 - 0102030202010107 - 09</t>
  </si>
  <si>
    <t xml:space="preserve">Superávit S.G.P. Educación </t>
  </si>
  <si>
    <t>0314 - 0102030203</t>
  </si>
  <si>
    <t>REINTEGROS</t>
  </si>
  <si>
    <t>0314 - 010203020305 - 09</t>
  </si>
  <si>
    <t>Reintegros Licencias Sueldos y Otros Vigencias Anteriores</t>
  </si>
  <si>
    <t>0314 - 01020303</t>
  </si>
  <si>
    <t>PROGRAMA DE ALIMENTACION ESCOLAR</t>
  </si>
  <si>
    <t>0314 - 0102030301 - 81</t>
  </si>
  <si>
    <t>0314 - 0102030302 - 56</t>
  </si>
  <si>
    <t>Bolsa Común Municipios - Programa de Alimentación Escolar PAE</t>
  </si>
  <si>
    <t>0314 - 0102030303 - 81</t>
  </si>
  <si>
    <t>0314 - 0102030304 - 137</t>
  </si>
  <si>
    <t>Superávit Programa de Alimentación Escolar PAE</t>
  </si>
  <si>
    <t>0318 - 010204010101 - 58</t>
  </si>
  <si>
    <t>0318 - 010204010102 - 58</t>
  </si>
  <si>
    <t>0318 - 010204010104 - 58</t>
  </si>
  <si>
    <t>0318 - 010204010105 - 58</t>
  </si>
  <si>
    <t>0318 - 0102040102</t>
  </si>
  <si>
    <t>SISTEMA GENERAL DE PARTICIPACIONES SALUD</t>
  </si>
  <si>
    <t>0318 - 010204010201 - 59</t>
  </si>
  <si>
    <t xml:space="preserve">Prestación de Servicios </t>
  </si>
  <si>
    <t>0318 - 010204010202 - 60</t>
  </si>
  <si>
    <t>Aportes Patronales ( Sin Situación de Fondos )</t>
  </si>
  <si>
    <t>SGP SALUD APORTES PATRONALES S.S.F</t>
  </si>
  <si>
    <t>0318 - 0102040103</t>
  </si>
  <si>
    <t>0318 - 010204010301</t>
  </si>
  <si>
    <t>0318 - 01020401030101</t>
  </si>
  <si>
    <t>0318 - 0102040103010101</t>
  </si>
  <si>
    <t>RECURSOS DE DESTINACION ESPECIFICA</t>
  </si>
  <si>
    <t>0318 - 010204010301010101 - 96</t>
  </si>
  <si>
    <t>Superávit Rentas Cedidas</t>
  </si>
  <si>
    <t>0318 - 010204010301010102 - 97</t>
  </si>
  <si>
    <t>Superávit Prestacion de Servicios SGP</t>
  </si>
  <si>
    <t>0318 - 010204010301010103 - 65</t>
  </si>
  <si>
    <t>Superávit Rendimientos Financieros Cofinanciación Nacional</t>
  </si>
  <si>
    <t>0318 - 010204010301010106 - 102</t>
  </si>
  <si>
    <t>Superávit Cofinanciación Nacional Res. 3876/12 Desplazados</t>
  </si>
  <si>
    <t>0318 - 010204010301010111 - 148</t>
  </si>
  <si>
    <t>Superávit Decreto 1684/2017 Ingreso Adicional Cigarrillo</t>
  </si>
  <si>
    <t>DECRETO 1684/2017 INGRESOS ADICIONALES CIGARRILLO</t>
  </si>
  <si>
    <t>0318 - 010204010301010112 - 152</t>
  </si>
  <si>
    <t>Superávit Excedentes de Aportes Patronales de las ESE del Departamento</t>
  </si>
  <si>
    <t xml:space="preserve">0318 - 010204010301010113 - 156 </t>
  </si>
  <si>
    <t>Superávit Resolución 997/2018 Programa Inimputables</t>
  </si>
  <si>
    <t>SUPERAVIT RES. 997 DE 2018 INIMPUTABLES</t>
  </si>
  <si>
    <t>0318 - 010204010301010114 - 96</t>
  </si>
  <si>
    <t>Superávit Recursos SGSS Salud-ADRES</t>
  </si>
  <si>
    <t>0318 - 010204010301010115 - 167</t>
  </si>
  <si>
    <t>Superavit Recursos - ADRES Res. 2359/2019</t>
  </si>
  <si>
    <t>0318 - 010204010302</t>
  </si>
  <si>
    <t>0318 - 01020401030201 - 58</t>
  </si>
  <si>
    <t>0318 - 01020401030202 - 59</t>
  </si>
  <si>
    <t>Intereses Prestacion de Servicios SGP</t>
  </si>
  <si>
    <t>0318 - 01020401030203 - 65</t>
  </si>
  <si>
    <t>Intereses Aportes de la Nacion</t>
  </si>
  <si>
    <t>0318 - 01020401030204 - 152</t>
  </si>
  <si>
    <t>Intereses Excedentes de Aportes Patronales de las ESE del Departamento</t>
  </si>
  <si>
    <t>0318 - 01020401030205 - 148</t>
  </si>
  <si>
    <t>Rendimientos Financieros Mayor Recaudo Impuesto al Cigarrillo</t>
  </si>
  <si>
    <t>0318 - 01020401030206 - 96</t>
  </si>
  <si>
    <t>Intereses Superavit Recuros SGSS SAlud-ADRES</t>
  </si>
  <si>
    <t>0318 - 01020401030207 - 167</t>
  </si>
  <si>
    <t>Rendimientos Superavit Recursos - ADRES Res. 2359/2019</t>
  </si>
  <si>
    <t>0318 - 01020401030208 - 169</t>
  </si>
  <si>
    <t>Rendimineos Res. 3343 de 2019</t>
  </si>
  <si>
    <t>MINISTERIO DE SALUD RES. 3343 DE 2019</t>
  </si>
  <si>
    <t>0318 - 010204010304</t>
  </si>
  <si>
    <t>OTROS INGRESOS DE CAPITAL</t>
  </si>
  <si>
    <t>0318 - 01020401030402</t>
  </si>
  <si>
    <t>LEY 1797 ARTIACULO 3 EXCEDENTES DE APORTES PATRONALES</t>
  </si>
  <si>
    <t>0318 - 0102040103040201 - 152</t>
  </si>
  <si>
    <t>0318 - 0102040104</t>
  </si>
  <si>
    <t>0318 - 010204010401</t>
  </si>
  <si>
    <t>TRANSFERENCIAS PARA INVERSION</t>
  </si>
  <si>
    <t>0318 - 01020401040101</t>
  </si>
  <si>
    <t>TRANSFERENCIAS DEL NIVEL NACIONAL</t>
  </si>
  <si>
    <t>0318 - 0102040104010101 - 110</t>
  </si>
  <si>
    <t xml:space="preserve">Ministerio de Salud, Res 493/2019 Programa Inimputables </t>
  </si>
  <si>
    <t>0318 - 0102040104010104 - 110</t>
  </si>
  <si>
    <t>Ministerio de Salud, Res 493/2019 Programa Inimputables</t>
  </si>
  <si>
    <t>0318 - 0102040104010105 - 110</t>
  </si>
  <si>
    <t>Ministerio de Salud, Res 5864/2018 Programa Inimputables</t>
  </si>
  <si>
    <t>0318 - 0102040104010106 - 169</t>
  </si>
  <si>
    <t>Ministerio de Salud, Res 3343/2019 Pago de Urgencias prestadas a Nacionales Fronterizos</t>
  </si>
  <si>
    <t>0318 - 0102040105</t>
  </si>
  <si>
    <t>CANCELACION DE RESERVAS</t>
  </si>
  <si>
    <t>0318 - 010204010501 - 97</t>
  </si>
  <si>
    <t xml:space="preserve">Cancelacion SGP Salud Prestacion de Servicios </t>
  </si>
  <si>
    <t>0318 - 01020402</t>
  </si>
  <si>
    <t>SUBCUENTA SALUD PUBLICA COLECTIVA</t>
  </si>
  <si>
    <t>0318 - 0102040201</t>
  </si>
  <si>
    <t>SISTEMA GENERAL DE PARTICIPACIONES</t>
  </si>
  <si>
    <t>0318 - 010204020101 - 61</t>
  </si>
  <si>
    <t>Acciones de Salud Pública</t>
  </si>
  <si>
    <t>0318 - 0102040202</t>
  </si>
  <si>
    <t>FONDO ROTATORIO DE ESTUPEFACIENTES</t>
  </si>
  <si>
    <t>0318 - 010204020201 - 63</t>
  </si>
  <si>
    <t>Fondo Rotatorio De Estupefacientes Venta De Medicamentos De Control Especial</t>
  </si>
  <si>
    <t>0318 - 010204020202 - 63</t>
  </si>
  <si>
    <t>0318 - 010204020203 - 63</t>
  </si>
  <si>
    <t>0318 - 0102040203</t>
  </si>
  <si>
    <t>0318 - 010204020301</t>
  </si>
  <si>
    <t>0318 - 01020402030101</t>
  </si>
  <si>
    <t>0318 - 0102040203010101</t>
  </si>
  <si>
    <t>0318 - 010204020301010101 - 98</t>
  </si>
  <si>
    <t>Superavit SGP Salud Publica</t>
  </si>
  <si>
    <t>0318 - 010204020301010102 - 99</t>
  </si>
  <si>
    <t>0318 - 010204020301010103 - 96</t>
  </si>
  <si>
    <t>0318 - 010204020301010127 - 107</t>
  </si>
  <si>
    <t>Superávit RES. 781/15 PREV. Y CONTROL ENFERMEDADES POR VECTORES</t>
  </si>
  <si>
    <t>SUPERÁVIT RES 781/15 PERSONAL TEMPORAL ETV</t>
  </si>
  <si>
    <t>0318 - 010204020301010129 - 147</t>
  </si>
  <si>
    <t>Superávit Resolucion 2311 de 2017 MSPS - Vectores</t>
  </si>
  <si>
    <t>0318 - 010204020301010130 - 161</t>
  </si>
  <si>
    <t>Superávit Resoluciones Vigencias Anteriores</t>
  </si>
  <si>
    <t>0318 - 010204020302</t>
  </si>
  <si>
    <t>0318 - 01020402030201 - 61</t>
  </si>
  <si>
    <t>Intereses Acciones de Salud Publica SGP</t>
  </si>
  <si>
    <t>0318 - 01020402030202 - 63</t>
  </si>
  <si>
    <t>0318 - 01020402030219 - 102</t>
  </si>
  <si>
    <t>Rendimientos Cofinanciacion Nacional Salud</t>
  </si>
  <si>
    <t>0318 - 0102040204</t>
  </si>
  <si>
    <t>0318 - 010204020401</t>
  </si>
  <si>
    <t>0318 - 01020402040101</t>
  </si>
  <si>
    <t>0318 - 0102040204010105 - 111</t>
  </si>
  <si>
    <t>Min Salud, Res 781/2015 Prevencion y Control de Enfermedades por Vectores</t>
  </si>
  <si>
    <t xml:space="preserve">RES. 781/15 PREV. Y CONTROL ENFERMEDADES POR VECT </t>
  </si>
  <si>
    <t>0318 - 0102040204010107 - 113</t>
  </si>
  <si>
    <t>Min. Salud, Res 739/2017 Campaña y Control Antituberculosis Quindio</t>
  </si>
  <si>
    <t>0318 - 0102040204010108 - 114</t>
  </si>
  <si>
    <t>Min. Salud, Res 738/2017 Campaña Control Lepra Quindio</t>
  </si>
  <si>
    <t>0318 - 010204030101 - 154</t>
  </si>
  <si>
    <t>Impuesto al Consumo de Cerveza Producción Nacional Régimen Subsidiado 50%</t>
  </si>
  <si>
    <t>0318 - 010204030102 - 154</t>
  </si>
  <si>
    <t>0318 - 010204030104 - 154</t>
  </si>
  <si>
    <t>0318 - 010204030105 - 154</t>
  </si>
  <si>
    <t>0318 - 010204030107 - 154</t>
  </si>
  <si>
    <t>IVA Cedido Sobre Licores, Vinos, Aperitivos y Similares</t>
  </si>
  <si>
    <t>0318 - 0102040302</t>
  </si>
  <si>
    <t>JUEGOS DE SUERTE Y AZAR</t>
  </si>
  <si>
    <t>0318 - 010204030201 - 154</t>
  </si>
  <si>
    <t>0318 - 010204030202 - 154</t>
  </si>
  <si>
    <t>0318 - 010204030203 - 154</t>
  </si>
  <si>
    <t>0318 - 010204030204 - 154</t>
  </si>
  <si>
    <t>0318 - 010204030205 - 154</t>
  </si>
  <si>
    <t>0318 - 010204030206 - 154</t>
  </si>
  <si>
    <t>0318 - 010204030207 - 154</t>
  </si>
  <si>
    <t>Explotacion Sorteo Ordinario 68% Monopolio</t>
  </si>
  <si>
    <t>0318 - 010204030208 - 154</t>
  </si>
  <si>
    <t xml:space="preserve">Loterias foraneas 68% </t>
  </si>
  <si>
    <t>0318 - 010204030210 - 154</t>
  </si>
  <si>
    <t>0318 - 0102040303</t>
  </si>
  <si>
    <t>LEY 1393 DE 2.010</t>
  </si>
  <si>
    <t>0318 - 010204030301 - 154</t>
  </si>
  <si>
    <t>Cigarrillos y Tabaco Régimen Subsidiado Produccion Nacional 100%</t>
  </si>
  <si>
    <t>0318 - 010204030302 - 154</t>
  </si>
  <si>
    <t>Cigarrillos y Tabaco Régimen Subsidiado Produccion Extranjera 100%</t>
  </si>
  <si>
    <t>0318 - 010204030306 - 154</t>
  </si>
  <si>
    <t>0318 - 010204030307 - 154</t>
  </si>
  <si>
    <t>0318 - 010204030309 - 154</t>
  </si>
  <si>
    <t>0318 - 010204030312 - 154</t>
  </si>
  <si>
    <t>Cigarrillo y Tabaco (ley 1819 de 2016) - Nacional - Aumento Tarifa Impuesto al Consumo</t>
  </si>
  <si>
    <t>0318 - 010204030312 - 64</t>
  </si>
  <si>
    <t>LEY 1393</t>
  </si>
  <si>
    <t>0318 - 010204030313 - 154</t>
  </si>
  <si>
    <t>Cigarrillo y Tabaco (ley 1819 de 2016) - Extranjero - Aumento Tarifa Impuesto al Consumo</t>
  </si>
  <si>
    <t>0318 - 0102040304</t>
  </si>
  <si>
    <t>0318 - 010204030401</t>
  </si>
  <si>
    <t>0318 - 01020403040101</t>
  </si>
  <si>
    <t>0318 - 0102040304010101</t>
  </si>
  <si>
    <t>0318 - 010204030401010105 - 148</t>
  </si>
  <si>
    <t>0318 - 010204030402</t>
  </si>
  <si>
    <t>0318 - 01020403040202 - 154</t>
  </si>
  <si>
    <t>0318 - 01020403040203 - 154</t>
  </si>
  <si>
    <t>Intereses Juegos de Suerte y Azar 75%</t>
  </si>
  <si>
    <t>0318 - 01020403040204 - 154</t>
  </si>
  <si>
    <t>0318 - 0102040306</t>
  </si>
  <si>
    <t xml:space="preserve">ESFUERZO PROPIO DEPARTAMENTO </t>
  </si>
  <si>
    <t>0318 - 010204030601 - 154</t>
  </si>
  <si>
    <t>Recursos transferidos por Coljuegos - SSF</t>
  </si>
  <si>
    <t>0318 - 010204040101 - 72</t>
  </si>
  <si>
    <t>Impuesto al Consumo de Cerveza Producción Nacional 25%</t>
  </si>
  <si>
    <t>0318 - 010204040102 - 72</t>
  </si>
  <si>
    <t>Impuesto al Consumo de Cerveza Producción Extranjera 25%</t>
  </si>
  <si>
    <t>0318 - 010204040104 - 72</t>
  </si>
  <si>
    <t>Impuesto al Consumo Licores, Vinos, Aperitivos y Similares Produccion Nacional  25%</t>
  </si>
  <si>
    <t>0318 - 010204040105 - 72</t>
  </si>
  <si>
    <t>Impuesto al Consumo  Licores, Vinos, Aperitivos  y Similares Producción Extranjera  25%</t>
  </si>
  <si>
    <t>0318 - 010204040107 - 155</t>
  </si>
  <si>
    <t>0318 - 0102040402</t>
  </si>
  <si>
    <t>0318 - 010204040201 - 72</t>
  </si>
  <si>
    <t>0318 - 010204040203 - 72</t>
  </si>
  <si>
    <t>0318 - 010204040204 - 72</t>
  </si>
  <si>
    <t>0318 - 010204040205 - 72</t>
  </si>
  <si>
    <t>0318 - 010204040206 - 72</t>
  </si>
  <si>
    <t>0318 - 010204040207 - 72</t>
  </si>
  <si>
    <t xml:space="preserve">Explotacion Sorteo Extraordinario 25% </t>
  </si>
  <si>
    <t>0318 - 010204040208 - 72</t>
  </si>
  <si>
    <t>0318 - 010204040209 - 72</t>
  </si>
  <si>
    <t>0318 - 010204040210 - 154</t>
  </si>
  <si>
    <t xml:space="preserve">Colciencias 7% Juegos Y Apuestas Permanentes </t>
  </si>
  <si>
    <t>0318 - 010204040210 - 72</t>
  </si>
  <si>
    <t>0318 - 010204040211 - 154</t>
  </si>
  <si>
    <t>0318 - 010204040212 - 154</t>
  </si>
  <si>
    <t>0318 - 010204040213 - 154</t>
  </si>
  <si>
    <t>0318 - 010204040214 - 154</t>
  </si>
  <si>
    <t>0318 - 010204040214 - 72</t>
  </si>
  <si>
    <t>0318 - 010204040215 - 154</t>
  </si>
  <si>
    <t>0318 - 010204040216 - 154</t>
  </si>
  <si>
    <t>0318 - 010204040217 - 154</t>
  </si>
  <si>
    <t>0318 - 010204040217 - 72</t>
  </si>
  <si>
    <t>0318 - 010204040218 - 72</t>
  </si>
  <si>
    <t>0318 - 010204040219 - 154</t>
  </si>
  <si>
    <t xml:space="preserve">Colciencias 7%  Juegos Novedosos -otros- </t>
  </si>
  <si>
    <t>0318 - 0102040403</t>
  </si>
  <si>
    <t>0318 - 010204040301</t>
  </si>
  <si>
    <t>0318 - 01020404030101</t>
  </si>
  <si>
    <t>0318 - 0102040403010101</t>
  </si>
  <si>
    <t>0318 - 010204040301010101 - 96</t>
  </si>
  <si>
    <t xml:space="preserve">Superávit Rentas Cedidas </t>
  </si>
  <si>
    <t>0318 - 010204040301010111 - 162</t>
  </si>
  <si>
    <t>SUPERAVIT RESOLUCIONES VIGE. ANTER.  OTROS GASTOS</t>
  </si>
  <si>
    <t>0318 - 010204040301010112 - 154</t>
  </si>
  <si>
    <t>Superávit Colciencias 7% SSF</t>
  </si>
  <si>
    <t>0318 - 010204040302</t>
  </si>
  <si>
    <t>RENDIMIENTOS POR OPERACIONES FINANCIERA</t>
  </si>
  <si>
    <t>0318 - 01020404030201 - 72</t>
  </si>
  <si>
    <t>0318 - 01020404030212 - 102</t>
  </si>
  <si>
    <t>0318 - 01020404030213 - 168</t>
  </si>
  <si>
    <t>Intereses Fondo de Salvamento y Grantias pra el Sector Salud FONSAET</t>
  </si>
  <si>
    <t>0318 - 0102040404</t>
  </si>
  <si>
    <t>0318 - 010204040402</t>
  </si>
  <si>
    <t>0318 - 01020404040201</t>
  </si>
  <si>
    <t>0318 - 0102040404020108 - 168</t>
  </si>
  <si>
    <t>Fondo de Salvamento y Grantias pra el Sector Salud FONSAET</t>
  </si>
  <si>
    <t>06 - 0201</t>
  </si>
  <si>
    <t>ASIGNACIONES DIRECTAS</t>
  </si>
  <si>
    <t>06 - 020101 - 70</t>
  </si>
  <si>
    <t>06 - 0202</t>
  </si>
  <si>
    <t>RECURSOS PROVENIENTES DE  FCR 60%, FDR, CTEI</t>
  </si>
  <si>
    <t>06 - 020201</t>
  </si>
  <si>
    <t>RECURSOS PROVENIENTES DEL FONDO DE COMPENSACIÓN REGIONAL</t>
  </si>
  <si>
    <t>06 - 02020106 - 70</t>
  </si>
  <si>
    <t>Implementación del Prgrama Integral de Bilinguismo Quindio Bilingue y Competitivo en el Departament"</t>
  </si>
  <si>
    <t>06 - 02020107 - 70</t>
  </si>
  <si>
    <t>Construcción obras de estabilización y rehabilitación de la vía rio verde-pijao (cod.40qn03), estabi</t>
  </si>
  <si>
    <t>06 - 02020108 - 70</t>
  </si>
  <si>
    <t>06 - 020202</t>
  </si>
  <si>
    <t xml:space="preserve">RECURSOS PROVENIENTES DEL FONDO DE DESARROLLO REGIONAL </t>
  </si>
  <si>
    <t>06 - 02020201 - 70</t>
  </si>
  <si>
    <t xml:space="preserve">Mejoramiento Y Reordenamiento Físico Funcional del Servicio de Urgencias de la ESE Hospital Deptal. </t>
  </si>
  <si>
    <t>06 - 02020203 - 70</t>
  </si>
  <si>
    <t>06 - 02020205 - 70</t>
  </si>
  <si>
    <t>Construcción y dotación del Centro de Atención al Drogadicción en el Departamento del Quindío Código</t>
  </si>
  <si>
    <t>06 - 02020206 - 70</t>
  </si>
  <si>
    <t>06 - 02020210 - 70</t>
  </si>
  <si>
    <t>Mejoramiento de Vías Terciarias Mediante el Uso de Placa Huella en el Departamento del Quindio.</t>
  </si>
  <si>
    <t>06 - 02020211 - 70</t>
  </si>
  <si>
    <t>Construccion y Dotacion de Infraestructura Deportiva en el Departamento del Quindio</t>
  </si>
  <si>
    <t>06 - 02020213 - 70</t>
  </si>
  <si>
    <t xml:space="preserve">Remodelación, Modernización y Equipamiento de Áreas Resultantes del Reforzamiento Estructural y del </t>
  </si>
  <si>
    <t>06 - 02020214 - 70</t>
  </si>
  <si>
    <t>06 - 02020215 - 70</t>
  </si>
  <si>
    <t>06 - 02020216 - 70</t>
  </si>
  <si>
    <t>Implementación de Acciones de Adaptación Etapa I del Plan de Gestión Integral de Cambio Climático (P</t>
  </si>
  <si>
    <t>06 - 02020217 - 70</t>
  </si>
  <si>
    <t>06 - 02020218 - 70</t>
  </si>
  <si>
    <t>06 - 02020219 - 70</t>
  </si>
  <si>
    <t>06 - 02020220 - 70</t>
  </si>
  <si>
    <t xml:space="preserve">Implementación de un programa de educación superior para la profesionalización de los artistas como </t>
  </si>
  <si>
    <t>06 - 020203</t>
  </si>
  <si>
    <t xml:space="preserve">RECURSOS PROVENIENTES DE FONDOS DE COMPENSACIÓN REGIONAL DE CIENCIA, TECNOLOGÍA E INNOVACIÓN </t>
  </si>
  <si>
    <t>06 - 02020301 - 70</t>
  </si>
  <si>
    <t>06 - 02020302 - 70</t>
  </si>
  <si>
    <t>06 - 02020303 - 70</t>
  </si>
  <si>
    <t>06 - 02020304 - 70</t>
  </si>
  <si>
    <t xml:space="preserve">Desarrollo de Capacidades de I+D+I para Incrementar la Competitividad en Empresas y Emprendimientos </t>
  </si>
  <si>
    <t>06 - 02020305 - 70</t>
  </si>
  <si>
    <t>06 - 0203</t>
  </si>
  <si>
    <t>RECURSOS PARA EL FUNCIONAMIENTO DEL SISTEMA</t>
  </si>
  <si>
    <t>06 - 020304 - 70</t>
  </si>
  <si>
    <t>06 - 020305 - 70</t>
  </si>
  <si>
    <t>06 - 0204</t>
  </si>
  <si>
    <t>06 - 020402</t>
  </si>
  <si>
    <t>06 - 02040203 - 70</t>
  </si>
  <si>
    <t>Intereses y Dividendos  Asignaciones  Directas</t>
  </si>
  <si>
    <t>INGRESIS DEPARTAMENTO MUNICIPIOS DESERTIFICADOS SGP-APSB</t>
  </si>
  <si>
    <t>07 - 0101</t>
  </si>
  <si>
    <t>07 - 010105</t>
  </si>
  <si>
    <t xml:space="preserve">TRANSFERENCIAS  PARA INVERSION                                                                      </t>
  </si>
  <si>
    <t>07 - 01010500</t>
  </si>
  <si>
    <t>07 - 0101050000</t>
  </si>
  <si>
    <t xml:space="preserve">SISTEMA GENERAL PARTICIPACIONES                                                                     </t>
  </si>
  <si>
    <t>07 - 010105000067</t>
  </si>
  <si>
    <t xml:space="preserve">SGP AGUA POTABLE Y SANEAMIENTO BASICO                                                               </t>
  </si>
  <si>
    <t>07 - 01010500006741</t>
  </si>
  <si>
    <t xml:space="preserve">SECTOR AGUA POTABLE Y SANEAMIENTO BASICO                                                            </t>
  </si>
  <si>
    <t>07 - 0101050000674101 - 119</t>
  </si>
  <si>
    <t xml:space="preserve">SGP APSB - Con Situación de Fondos                                                              </t>
  </si>
  <si>
    <t>SGP - APSB MUNICIPIOS DESERTIFICADOS</t>
  </si>
  <si>
    <t>07 - 0101050000674102 - 119</t>
  </si>
  <si>
    <t xml:space="preserve">SGP APSB -PDA- Sin Situación de Fondos                                                              </t>
  </si>
  <si>
    <t>07 - 0107</t>
  </si>
  <si>
    <t xml:space="preserve">RECURSOS DE CAPITAL                                                                                 </t>
  </si>
  <si>
    <t>07 - 010702</t>
  </si>
  <si>
    <t xml:space="preserve">OTROS RECURSOS DE CAPITAL                                                                           </t>
  </si>
  <si>
    <t>07 - 01070201</t>
  </si>
  <si>
    <t xml:space="preserve">RECURSOS DEL BALANCE                                                                                </t>
  </si>
  <si>
    <t>07 - 0107020100</t>
  </si>
  <si>
    <t xml:space="preserve">OTROS RECURSOS DEL BALANCE                                                                          </t>
  </si>
  <si>
    <t>07 - 010702010067</t>
  </si>
  <si>
    <t>07 - 01070201006741</t>
  </si>
  <si>
    <t xml:space="preserve">SECTOR AGUA POTABLE Y SANEAMINETO BASICO                                                            </t>
  </si>
  <si>
    <t>07 - 0107020100674101 - 120</t>
  </si>
  <si>
    <t xml:space="preserve">Recursos del balance SGP agua potable                                                               </t>
  </si>
  <si>
    <t>SUPERAVIT SGP - APSB MUNICIPIOS DESERTIFICADOS</t>
  </si>
  <si>
    <t>07 - 01070204</t>
  </si>
  <si>
    <t>07 - 0107020400</t>
  </si>
  <si>
    <t>07 - 010702040067</t>
  </si>
  <si>
    <t>07 - 01070204006741</t>
  </si>
  <si>
    <t>07 - 0107020400674101 - 164</t>
  </si>
  <si>
    <t>Rendimientos Financieros SGP-Agua Potable y Saneamiento Básico</t>
  </si>
  <si>
    <t>RENDIMIENTOS SGPA AGUA POTABLE MUNICIPIOS DESERTIF</t>
  </si>
  <si>
    <t>07 - 01070208</t>
  </si>
  <si>
    <t>CANCELACION CUENTA RESERVAS Y CUENTAS POR PAGAR</t>
  </si>
  <si>
    <t>07 - 0107020800</t>
  </si>
  <si>
    <t>CUENTAS POR PAGAR</t>
  </si>
  <si>
    <t>07 - 010702080067</t>
  </si>
  <si>
    <t>SGP AGUA POTABLE Y SANEAMIENTO BASICO</t>
  </si>
  <si>
    <t>07 - 01070208006741</t>
  </si>
  <si>
    <t>CANCELACION CUENTA POR PAGAR</t>
  </si>
  <si>
    <t>07 - 0107020800674101 - 120</t>
  </si>
  <si>
    <t>Cancelación saldo cuenta por pagar</t>
  </si>
  <si>
    <t>CIGARRILLO</t>
  </si>
  <si>
    <t>CERVEZA</t>
  </si>
  <si>
    <t xml:space="preserve">LICORES </t>
  </si>
  <si>
    <t>vinos</t>
  </si>
  <si>
    <t xml:space="preserve">AD VALOREM </t>
  </si>
  <si>
    <t>CRECIMIENTO ESPERADO 2022-2023</t>
  </si>
  <si>
    <t>PROMEDIO CRECIMIENTO O DECRECIMEINTO</t>
  </si>
  <si>
    <t xml:space="preserve">INTERESES Provenientes de Recursos de Libre Destinación </t>
  </si>
  <si>
    <t>AREA DE PRESUPUESTO - INFORME  2024</t>
  </si>
  <si>
    <t>Proyección año 2024 (15%)</t>
  </si>
  <si>
    <t>Acuerdo de Pago Fonpet 2024</t>
  </si>
  <si>
    <t>LIMITE EFECTIVAMENTE CALCULADO PARA EL AÑO 2024</t>
  </si>
  <si>
    <t>MONOPILIO</t>
  </si>
  <si>
    <t>Salud (37%)</t>
  </si>
  <si>
    <t>Deporte (3%)</t>
  </si>
  <si>
    <t>MONOPOLIO DE LICORES NACIONALES</t>
  </si>
  <si>
    <t>Valor Impuesto</t>
  </si>
  <si>
    <t>VINOS</t>
  </si>
  <si>
    <t>Valor Impto. (40%)</t>
  </si>
  <si>
    <t>Valor Salud (8%)</t>
  </si>
  <si>
    <t>CIGARRILLO EXTRANJERO</t>
  </si>
  <si>
    <t>L.D.  (84%)</t>
  </si>
  <si>
    <t>Deporte (16%)</t>
  </si>
  <si>
    <t>ADRES</t>
  </si>
  <si>
    <t>PROYECCION PRESUPUESTO ENERO- DICIEMBRE DE 2024 IMPUESTO AL CONSUMO Y PARTICIPACIÓN ECONOMICA</t>
  </si>
  <si>
    <t>SECRETARIA DE HACIENDA DEPARTAMENTAL - DIRECCIÓN DE INGRESOS</t>
  </si>
  <si>
    <t>Impuesto al Consumo de Licores de Producción  Deporte</t>
  </si>
  <si>
    <t xml:space="preserve">Impuesto al Consumo de Licores </t>
  </si>
  <si>
    <t xml:space="preserve">CERVEZA </t>
  </si>
  <si>
    <t xml:space="preserve">Impuesto al Consumo de Cerveza </t>
  </si>
  <si>
    <t>LICORES Y VINOS (Impuesto al Consumo)</t>
  </si>
  <si>
    <t>14% Salud y Educacion</t>
  </si>
  <si>
    <t>46% Libre</t>
  </si>
  <si>
    <t>Proyección 2024</t>
  </si>
  <si>
    <t>Vr. Ppto. 2024 (L.D.)</t>
  </si>
  <si>
    <t>Gastos Funcionamiento Salud Destinado y RO</t>
  </si>
  <si>
    <t>VALOR % INVERSION 2024</t>
  </si>
  <si>
    <t xml:space="preserve">Tranferencias de Capital </t>
  </si>
  <si>
    <t>Gastos de Funcionamiento Educacion</t>
  </si>
  <si>
    <t xml:space="preserve"> Funcionamiento Educacion RO pago universidad</t>
  </si>
  <si>
    <t>Nomina Abrazar</t>
  </si>
  <si>
    <t xml:space="preserve">Funcionamiento </t>
  </si>
  <si>
    <t>Funcionamiento salud</t>
  </si>
  <si>
    <t>Funcionamiento educacion</t>
  </si>
  <si>
    <t>Acuerdo de pago</t>
  </si>
  <si>
    <t>Contraloria</t>
  </si>
  <si>
    <t>Asamblea</t>
  </si>
  <si>
    <t>funcionamiento destinado</t>
  </si>
  <si>
    <t>Total Funcionamiento RO</t>
  </si>
  <si>
    <t>Deuda</t>
  </si>
  <si>
    <t>Total Funcionamiento y deuda</t>
  </si>
  <si>
    <t xml:space="preserve">Inversion </t>
  </si>
  <si>
    <t>Sanciones Administrativas</t>
  </si>
  <si>
    <t>Sanciones Fiscales</t>
  </si>
  <si>
    <t>Sanciones Contractuales</t>
  </si>
  <si>
    <t>Sanciones Disciplinarias</t>
  </si>
  <si>
    <t>PROYECCIONES PLAN FINANCIERO 2024</t>
  </si>
  <si>
    <t>GASTOS</t>
  </si>
  <si>
    <t>DEUDA PÚBLICA</t>
  </si>
  <si>
    <t>IMPUESTO VEHICULOS AUTOMOTORES</t>
  </si>
  <si>
    <t xml:space="preserve">CRECIMIENTO DEL RECAUDO </t>
  </si>
  <si>
    <t>a diciembre 31</t>
  </si>
  <si>
    <t xml:space="preserve">a julio 12 </t>
  </si>
  <si>
    <t>SECRETARIA DE SALUD  TECHOS PRESUPUESTALES  2024</t>
  </si>
  <si>
    <t>Inversión 2024</t>
  </si>
  <si>
    <t>Funcionamiento 2024</t>
  </si>
  <si>
    <t xml:space="preserve">MAX. FUNCIONAMIENTO (60%) =                                                     </t>
  </si>
  <si>
    <t xml:space="preserve">INVERSION, D.P. Y OTROS  (40%) =                                               </t>
  </si>
  <si>
    <t>MINISTERIO DE HACIENDA Y CRÉDITO PÚBLICO
Dirección General de Apoyo Fiscal
ANEXO 1A INGRESOS ENTIDADES QUE HACEN PARTE DEL PRESUPUESTO GENERAL DE LAS ENTIDADES TERRITORIALES</t>
  </si>
  <si>
    <t>Código Completo</t>
  </si>
  <si>
    <t>Nivel</t>
  </si>
  <si>
    <t>Nombre de la Cuenta</t>
  </si>
  <si>
    <t>Definición</t>
  </si>
  <si>
    <t>Soporte Legal</t>
  </si>
  <si>
    <t>Novedad</t>
  </si>
  <si>
    <t>A</t>
  </si>
  <si>
    <t xml:space="preserve">Los ingresos son recursos monetarios recaudados en una vigencia fiscal por quienes corresponda administrarlos según la ley.
Se consideran ingresos las entradas de caja efectivas, en moneda nacional, que incrementan las disponibilidades para el gasto. </t>
  </si>
  <si>
    <t>-</t>
  </si>
  <si>
    <t>1.1</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</si>
  <si>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</si>
  <si>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Corte Constitucional, Sentencia C-423/1995.</t>
  </si>
  <si>
    <t>1.1.01</t>
  </si>
  <si>
    <t>Son aquellos establecidos como impuestos y estampillas por la ley. Estos representan la obligación de hacer un pago, sin que exista una retribución particular por parte del Estado.</t>
  </si>
  <si>
    <t>Corte Constitucional, Sentencia C-545/1994.</t>
  </si>
  <si>
    <t>1.1.01.01</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</si>
  <si>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</si>
  <si>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</si>
  <si>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C</t>
  </si>
  <si>
    <t>1.1.01.01.100</t>
  </si>
  <si>
    <t>Corresponde a los ingresos recibidos por los departamentos y el Distrito Capital por concepto del impuesto anual que grava la propiedad o posesión de vehículos automotores. El 80% del recaudo pertenece a los departamentos y el 20% restante al municipio o distrito del cual el propietario registra la dirección de residencia. Al Distrito Capital le corresponde la totalidad del recaudo en su jurisdicción.</t>
  </si>
  <si>
    <t>Ley 488 de 1998</t>
  </si>
  <si>
    <t>1.1.01.01.101</t>
  </si>
  <si>
    <t>Corresponde a los ingresos que reciben los departamentos y el Distrito Capital por concepto del impuesto a ganadores de lotería, equivalente al porcentaje definido sobre el valor del premio recibido. Este impuesto será retenido por la lotería responsable u operador autorizado al momento de pagar el premio.</t>
  </si>
  <si>
    <t>Ley 643 de 2001
Decreto 3034 de 2013</t>
  </si>
  <si>
    <t>1.1.01.02</t>
  </si>
  <si>
    <t>Son aquellos que no gravan directamente los ingresos o el patrimonio de las personas naturales y jurídicas sino una manifestación o hecho específico.
Estos impuestos gravan actividades económicas como el consumo o el uso de bienes y servicios, las transacciones y las actividades financieras. Este concepto también incluye los tributos que la ley define como estampillas.</t>
  </si>
  <si>
    <t>1.1.01.02.100</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</si>
  <si>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t>
  </si>
  <si>
    <t>Ley 223 de 1995</t>
  </si>
  <si>
    <t>1.1.01.02.100.01</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</si>
  <si>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y que deban registrarse en las Cámaras de Comercio.</t>
  </si>
  <si>
    <t>1.1.01.02.100.02</t>
  </si>
  <si>
    <t>Corresponde a los recursos que reciben los departamentos por concepto del gravamen que recae sobre la inscripción de actos, contratos o negocios jurídicos documentales en los cuales sean parte o beneficiarios los particulares y que, de conformidad con las disposiciones legales, y que deban registrarse en las Oficinas de Registro de Instrumentos Públicos (ORIP).</t>
  </si>
  <si>
    <t>Ley 223 de 1995. Articulo 233</t>
  </si>
  <si>
    <t>1.1.01.02.101</t>
  </si>
  <si>
    <t>Este impuesto grava el 10% del valor bruto de las ventas realizadas por una lotería en jurisdicción diferente a la propia. Se da a favor del Distrito Capital, cuando la venta se hace en la jurisdicción de Bogotá, y en los departamentos cuando la venta se hace en sus jurisdicciones.</t>
  </si>
  <si>
    <t>Ley 643 de 2001</t>
  </si>
  <si>
    <t>1.1.01.02.102</t>
  </si>
  <si>
    <t xml:space="preserve">Corresponde al recaudo de los departamentos por concepto del impuesto al degüello de ganado mayor. Este impuesto grava el sacrificio de cada res para el consumo. </t>
  </si>
  <si>
    <t>Decreto 1222 de 1986.</t>
  </si>
  <si>
    <t>1.1.01.02.103</t>
  </si>
  <si>
    <t>Corresponde al recaudo del Impuesto al Valor Agregado (IVA) sobre licores, vinos, aperitivos y similares, con tarifa del 5%. De acuerdo con el régimen anterior, el impuesto es cedido a los departamentos, quienes se encargan de su recaudo y administración.</t>
  </si>
  <si>
    <t>Decreto Extraordinario 1222 de 1986, Art. 133 y 134, Ley 1378 de 2010,Ley 788 de 2002, ley 1816 de 2016.</t>
  </si>
  <si>
    <t>1.1.01.02.104</t>
  </si>
  <si>
    <t>Corresponde a los ingresos recibidos por los departamentos por concepto del impuesto al consumo de licores, vinos, aperitivos y similares. Este impuesto grava el consumo de licores, vinos, aperitivos y similares en la jurisdicción de los departamentos.</t>
  </si>
  <si>
    <t xml:space="preserve">Ley 223 de 1995, Ley 788 de 2002, Decreto 127 de 2010
Ley 1393 de 2010 Ley 1816 de 2016 </t>
  </si>
  <si>
    <t>Corresponde a la parte del impuesto que corresponde al Componente Específico.</t>
  </si>
  <si>
    <t>1.1.01.02.104.02</t>
  </si>
  <si>
    <t>Corresponde a la parte del impuesto que grava el consumo de vinos aperitivos y similares, el cual será de libre producción e introducción.</t>
  </si>
  <si>
    <t>1.1.01.02.104.02.01</t>
  </si>
  <si>
    <t>Impuesto al consumo de vinos, aperitivos y similares - Componente Específico</t>
  </si>
  <si>
    <t>1.1.01.02.105</t>
  </si>
  <si>
    <t>Corresponde al recaudo de los departamentos y el Distrito Capital, por concepto del impuesto al consumo de cervezas, sifones, refajos y mezclas.</t>
  </si>
  <si>
    <t>Ley 223 de 1995 y ley 1393 de 2010</t>
  </si>
  <si>
    <t>1.1.01.02.105.01</t>
  </si>
  <si>
    <t>Corresponde al impuesto de consumo de cervezas sifones refajos y mezclas de producción nacional.</t>
  </si>
  <si>
    <t>1.1.01.02.105.02</t>
  </si>
  <si>
    <t>Corresponde al impuesto de consumo de cervezas sifones refajos y mezclas de producción extranjera.</t>
  </si>
  <si>
    <t>1.1.01.02.106</t>
  </si>
  <si>
    <t>Corresponde al recaudo de los departamentos por concepto del impuesto al consumo de cigarrillo y tabaco nacional y foráneo y para el Distrito capital (solamente producto extranjero).</t>
  </si>
  <si>
    <t>Ley 223 de 1995 Modificada por Ley 1111 de 2006 y Ley 1819 de 2016</t>
  </si>
  <si>
    <t>1.1.01.02.106.01</t>
  </si>
  <si>
    <t>Corresponde a los ingresos de los departamentos y el Distrito Capital por concepto del impuesto al consumo de cigarrillos y tabaco elaborado.</t>
  </si>
  <si>
    <t>1.1.01.02.106.01.02</t>
  </si>
  <si>
    <t>Corresponde a los ingresos de los departamentos y el Distrito Capital por concepto del impuesto al consumo de cigarrillos y tabaco elaborado, de origen extranjero.</t>
  </si>
  <si>
    <t>1.1.01.02.106.02</t>
  </si>
  <si>
    <t>Corresponde a los ingresos por concepto del componente ad valorem que se le adiciona al impuesto al consumo de cigarrillos y tabaco elaborado, el cual corresponde al 10% de la base gravable. El componente ad valorem será liquidado y pagado por cada cajetilla de 20 unidades o proporcionalmente a su contenido.</t>
  </si>
  <si>
    <t>1.1.01.02.106.02.02</t>
  </si>
  <si>
    <t>Corresponde a los ingresos por concepto del componente ad valorem que se le adiciona al impuesto al consumo de cigarrillos y tabaco elaborado de origen extranjero.</t>
  </si>
  <si>
    <t>1.1.01.02.109</t>
  </si>
  <si>
    <t>La sobretasa a la gasolina es un impuesto al consumo de gasolina motor extra y corriente nacional o importada, en la jurisdicción de cada municipio, distrito y departamento.</t>
  </si>
  <si>
    <t>Ley 488  de  1998 Art. 117, 130.</t>
  </si>
  <si>
    <t>1.1.01.02.213</t>
  </si>
  <si>
    <t>Corresponde al ingreso por concepto de sobretasa que establezcan los departamentos, distritos y municipios con destino al Fondo Territorial de Seguridad departamental, distrital o municipal.</t>
  </si>
  <si>
    <t>Decreto 399 de 2011, Modificado por el art. 1º, Decreto 577 de 2011.</t>
  </si>
  <si>
    <t>1.1.01.02.218</t>
  </si>
  <si>
    <t>Corresponde a los recursos administrados por el respectivo ente territorial, en la “Cuenta Maestra Especial” que debe constituirse por parte de la entidad, destinados a fomentar y estimular el deporte y la recreación, conforme a planes, programas, proyectos y políticas nacionales o territoriales”.
 Destinación: El tributo tiene 100% de destinación específica dada por la Ley; por los tanto, no hace parte del concepto de “ingresos corrientes de libre destinación”.
 Usos: el concepto de ingreso, como fuente de financiamiento, tiene los usos exclusivos establecidos en el artículo 2 de la ley en comento, atendiendo igualmente los descrito en el artículo 3°:
“Un porcentaje de hasta el 20% de los recursos recaudados por medio de la tasa que crea la presente Ley, deberá destinarse a refrigerio y transporte, de acuerdo con las necesidades, de los jóvenes y niños en condiciones de pobreza y vulnerabilidad miembros de las escuelas y clubes deportivos locales, registrados ante la secretaría municipal o distrital competente en su manejo. Las asambleas departamentales y concejos municipales, según sea el caso, definirán el porcentaje”.</t>
  </si>
  <si>
    <t>Ley 2023 de 2020</t>
  </si>
  <si>
    <t>1.1.01.02.300</t>
  </si>
  <si>
    <t>De acuerdo con la Corte Constitucional (Sentencia C-768 de 2010), las estampillas, tienen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Para reconocer una transacción como una estampilla, además de cumplir con los criterios de reconocimiento de los ingresos tributarios, debe cumplir con los siguientes:
1. Se originan en una imposición legal
2. La Ley define explícitamente este cobro como una estampilla
3. Su cobro se origina por la realización de algunas operaciones o actividades que se realizan a organismos de carácter público
4. Los recursos provenientes de las estampillas se invierten en beneficio de un sector específico
De acuerdo con el art. 47 de la Ley 863 de 2003: "los ingresos que perciban las entidades territoriales por concepto de estampillas autorizadas por la ley, serán objeto de una retención equivalente al veinte por ciento (20%) con destino a los fondos de pensiones de la entidad destinataria de dichos recaudos. En caso de no existir pasivo pensional en dicha entidad, el porcentaje se destinará al pasivo pensional del respectivo municipio o departamento"
Además, la Ley de la Red Nacional de Bibliotecas estableció que los entes que cuenten con estampilla deben destinar no menos del 10% de su recaudo anual a la promoción de la lectura y las bibliotecas (Art. 41, Ley 1379 de 2010).</t>
  </si>
  <si>
    <t>Sentencia C-768 de 2010
Cada estampilla debe tener soporte legal vigente
Ley 863 de 2003
Ley 1379 de 2010</t>
  </si>
  <si>
    <t>1.1.01.02.300.01</t>
  </si>
  <si>
    <t>Corresponde al recaudo de los departamentos, municipios y distritos por concepto de la estampilla para el bienestar del adulto mayor. El valor anual a recaudar, por la emisión de la estampilla, será como mínimo, en los siguientes porcentajes, de acuerdo con la categoría de la entidad territorial: a) Departamentos y Municipios de Categoría Especial y categoría 1:  2% del valor de todos los contratos y sus adiciones; b) Departamentos y Municipios de 2a y 3a Categorías: 3% del valor de todos los contratos y sus adiciones;
c) Departamentos Municipios de 4a, 5a, y 6a Categorías: 4% del valor de todos los contratos y sus adiciones.</t>
  </si>
  <si>
    <t>Ley 1850 de 2017, Ley 1276 de 2009 y Ley 687 de 2001</t>
  </si>
  <si>
    <t>1.1.01.02.300.02</t>
  </si>
  <si>
    <t xml:space="preserve">Corresponde a los ingresos de los departamentos por concepto de las estampillas pro desarrollo departamental. Las ordenanzas que dispongan cada emisión determinarán su monto, que no podrá ser superior a la cuarta parte del correspondiente presupuesto departamental; la tarifa, que no podrá exceder el dos por ciento (2%) del valor del documento o instrumento gravado; las exenciones a que hubiere lugar; las características de las estampillas; y todo los demás que se considere necesario para garantizar su recaudo y adecuada inversión. </t>
  </si>
  <si>
    <t>Ley 3 de 1986
Decreto 1222 de 1986</t>
  </si>
  <si>
    <t>1.1.01.02.300.45</t>
  </si>
  <si>
    <t xml:space="preserve">Estampilla exclusiva del departamento del Quindío con destino al Hospital Departamental Universitario del Quindío, San Juan de Dios. La Asamblea Departamental determina las características, tarifa y todos los demás asuntos referentes al uso de la estampilla en las actividades y operaciones que se deban realizar en el departamento y en los municipios del mismo. La tarifa no podrá exceder del dos por ciento (2%) del valor del hecho u objeto del gravamen.    </t>
  </si>
  <si>
    <t>Ley 440 de 1998</t>
  </si>
  <si>
    <t>1.1.01.02.300.55</t>
  </si>
  <si>
    <t xml:space="preserve">Estampilla destinada al fomento y estímulo de la cultura. Las asambleas departamentales, los concejos distritales y los concejos municipales determinan las características, el hecho generador, las tarifas, las bases gravables y los demás asuntos referentes al uso obligatorio de la estampilla "Procultura" en todas las operaciones que se realicen en su respectiva entidad territorial.  La tarifa con que se graven los diferentes actos sujetos a la estampilla no podrá ser inferior al cero punto cinco por ciento (0.5%), ni exceder el dos por ciento (2%) del valor del hecho sujeto al gravamen. </t>
  </si>
  <si>
    <t>Ley 397 de 1997
Ley 666 de 2001
Ley 2070 de 2020, Art 15</t>
  </si>
  <si>
    <t>Creación</t>
  </si>
  <si>
    <t>1.1.02</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</si>
  <si>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</si>
  <si>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</si>
  <si>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1.1.02.01</t>
  </si>
  <si>
    <t>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única excepción al principio de legalidad del tributo son las contribuciones especiales, las cuales no están definidas como contribuciones, pero de acuerdo con sentencia emitida por la Corte Constitucional, se ajusta a su definición.</t>
  </si>
  <si>
    <t xml:space="preserve">Corte Constitucional, Sentencia C-545/1994.
Constitución política Art. 338 </t>
  </si>
  <si>
    <t>1.1.02.01.003</t>
  </si>
  <si>
    <t>Las contribuciones especiales se derivan de la facultad de recaudo del Estado y se fijan "individualmente a cada una de las entidades de la administración y de los particulares o entidades que manejen fondos o bienes de la Nación". Son señaladas expresamente por la ley o jurisprudencia como tributos especiales, en la medida en que no están enmarcadas dentro de los conceptos de tasas y contribuciones que se cobren a los contribuyentes, como recuperación de los costos de los servicios que les presten o participación en los beneficios que les proporcionen, sino que se derivan de la facultad impositiva del Estado (Corte Constitucional, Sentencia C-1148/2001)</t>
  </si>
  <si>
    <t>Corte Constitucional, Sentencia C-1148 de 2001</t>
  </si>
  <si>
    <t>1.1.02.01.003.01</t>
  </si>
  <si>
    <t>Corresponde al ingreso por la tarifa de control fiscal que cobra la Contraloría General de la República - CGR a los organismos y entidades fiscalizadas,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 (Ley 106 de 1993, art. 4).
Para las contralorías municipales y distritales, el metodología de cálculo de la cuota  de fiscalización que deben pagar los organismos y entidades fiscalizadas se determina de acuerdo con los establecido en la Ley 1416 de 2010. La tarifa de control fiscal corresponde a un tributo especial, derivado de la facultad impositiva del Estado, y fijado individualmente a cada una de las entidades de la administración y de los particulares o entidades que manejen fondos o bienes de la Nación (Corte Constitucional, Sentencia C-1148 de 2001).</t>
  </si>
  <si>
    <t>Ley 106 de 1993, art. 4
Corte Constitucional, Sentencia C-1148 de 2001</t>
  </si>
  <si>
    <t>Habilitación</t>
  </si>
  <si>
    <t>1.1.02.01.005</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</si>
  <si>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</si>
  <si>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1.1.02.01.005.59</t>
  </si>
  <si>
    <t xml:space="preserve">Todas las personas naturales o jurídicas que suscriban contratos de obra pública, con entidades de derecho público o celebren contratos de adición al valor de los existentes deberán pagar a favor de la Nación, Departamento o Municipio, según el nivel al cual pertenezca la entidad pública contratante una contribución equivalente al 5% del valor total del correspondiente contrato o de la respectiva adición. </t>
  </si>
  <si>
    <t>*Ley 1106 de 2006
*Decreto 399 de 2011</t>
  </si>
  <si>
    <t>Ley 812 de 2003</t>
  </si>
  <si>
    <t>1.1.02.02</t>
  </si>
  <si>
    <t xml:space="preserve">Son ingresos derivados de la prestación directa y efectiva de un servicio público individualizado y específico, adquirido de forma voluntaria por un tercero. Las tasas solo pueden ser fijadas por ley, y se transfiere la competencia para que, una vez fijadas, la entidad determine las tarifas correspondientes a través de un acto administrativo (Corte Constitucional, Sentencia C-837/2001). </t>
  </si>
  <si>
    <t>Corte Constitucional. Sentencia C-837/2001</t>
  </si>
  <si>
    <t>1.1.02.02.002</t>
  </si>
  <si>
    <t>Expedición de pasaportes</t>
  </si>
  <si>
    <t>Recursos recibidos como contraprestación, por la expedición de pasaportes por parte del Ministerio de Relaciones Exteriores con destino al Fondo Rotatorio del Ministerio de Relaciones Exteriores.</t>
  </si>
  <si>
    <t>Ley 1212 de 2008</t>
  </si>
  <si>
    <t>1.1.02.02.015</t>
  </si>
  <si>
    <t>Certificaciones y constancias</t>
  </si>
  <si>
    <t xml:space="preserve">Recursos recibidos como contraprestación por la expedición del respectivo documento que certifique o haga constar por verdadera los hechos que sean solicitados ante la entidad. </t>
  </si>
  <si>
    <t>1.1.02.02.033</t>
  </si>
  <si>
    <t>Peajes</t>
  </si>
  <si>
    <t>Recursos recaudados por el Instituto Nacional de Vías – Invías por concepto del uso de la infraestructura nacional de transporte. Las tarifas de los peajes se calculan proporcionalmente a las distancias recorridas, las características vehiculares y sus respectivos costos de operación.</t>
  </si>
  <si>
    <t>Ley 787 de 2002; reglamentada parcialmente por la Resolución 0228 de 2013</t>
  </si>
  <si>
    <t>1.1.02.02.052</t>
  </si>
  <si>
    <t>Derechos de aeródromo</t>
  </si>
  <si>
    <t>Recursos por concepto de las operaciones que realizan los explotadores de aeronaves en vuelos nacionales e internacionales en los aeropuertos administrados por la Unidad Administrativa Especial Aeronáutica Civil.</t>
  </si>
  <si>
    <t>Decreto Ley 260 de 2004, art. 4; reglamentada por la Resolución 00504 de 2017</t>
  </si>
  <si>
    <t>1.1.02.02.053</t>
  </si>
  <si>
    <t>Tasas aeroportuarias</t>
  </si>
  <si>
    <t>Recursos por concepto de la embarcación de pasajeros en vuelos nacionales, en empresas de transporte aéreo público comercial regular o no regular y la embarcación de pasajeros que viajen fuera del país por vía aérea, desde aeropuertos administrados por la Unidad Administrativa Especial Aeronáutica Civil.</t>
  </si>
  <si>
    <t>1.1.02.02.063</t>
  </si>
  <si>
    <t>Certificados catastrales</t>
  </si>
  <si>
    <t>Comprende el ingreso que percibe el Instituto Colombiano Geográfico Agustín Codazzi y las entidades territoriales, por concepto de la expedición de los documentos mediante los cuales la Autoridad Catastral hace constar la inscripción del predio o mejora a sus características y condiciones.</t>
  </si>
  <si>
    <t>1.1.02.02.084</t>
  </si>
  <si>
    <t>Tasas fondos de seguridad</t>
  </si>
  <si>
    <t>Corresponde a los ingresos de los departamentos y municipios por concepto de las tasas o sobretasas especiales creadas para financiar fondos de seguridad, reguladas por la Ley 1421 de 2010, el Decreto 399 de 2011 y el Decreto 577 de 2011. Las tasas o sobretasas son aquellas impuestas por los departamentos o municipios para la financiación de los fondos-cuenta territoriales de seguridad para fomentar la seguridad ciudadana.</t>
  </si>
  <si>
    <t>Ley 1421 de 2010 art 8
Decreto 399 de 2011
Decreto 577 de 2011</t>
  </si>
  <si>
    <t>1.1.02.02.085</t>
  </si>
  <si>
    <t>Tasas fondo departamental de bomberos</t>
  </si>
  <si>
    <t>Corresponde a los ingresos por concepto de las tasas o sobretasas que pueden establecer las asambleas, a iniciativa del gobernador o, con destino al fondo departamental de bomberos. Los departamentos pueden establecer estas tasas a contratos, obras públicas, interventorías, concesiones o demás que sean competencia del orden departamental y/o donaciones y contribuciones.</t>
  </si>
  <si>
    <t>Ley 1575 de 2012. Ar. 14</t>
  </si>
  <si>
    <t>1.1.02.02.086</t>
  </si>
  <si>
    <t>Tasa contributiva por concepto de contaminación ambiental</t>
  </si>
  <si>
    <t>Corresponde al recaudo de los departamentos, municipios y distritos originado en el cobro de la tasa contributiva por concepto de contaminación ambiental, la cual se encuentra regulada por la Ley 812 de 2003. Dicha tasa la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</si>
  <si>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1.1.02.02.087</t>
  </si>
  <si>
    <t>Tasas por el derecho de parqueo sobre las vías públicas</t>
  </si>
  <si>
    <t>Corresponde al recaudo de los municipios y distritos por concepto de las tasas por el derecho de parqueo sobre las vías públicas. Estas tasas las pueden establecer los municipios o distritos por el derecho de parqueo sobre vías públicas.</t>
  </si>
  <si>
    <t>Ley 105 de 1993, art. 28</t>
  </si>
  <si>
    <t>1.1.02.02.088</t>
  </si>
  <si>
    <t>Tasa retributiva</t>
  </si>
  <si>
    <t>Es aquella que cobrará la autoridad ambiental competente a los usuarios por la utilización directa e indirecta del recurso hídrico como receptor de vertimientos puntuales directos o indirectos y sus consecuencias nocivas, originados en actividades antrópicas o propiciadas por el hombre y actividades económicas o de servicios, sean o no lucrativas.</t>
  </si>
  <si>
    <t>Decreto Único Reglamentario 1076 de 2015 Nivel Nacional. Capitulo 7.  Decreto 2667/2012. Art.7
Art. 66 Ley 99/1993</t>
  </si>
  <si>
    <t>1.1.02.02.089</t>
  </si>
  <si>
    <t>Tasa por aprovechamiento forestal</t>
  </si>
  <si>
    <t>Tasa compensatoria, por el aprovechamiento forestal maderable en bosques naturales ubicados en terrenos de dominio público y privado.</t>
  </si>
  <si>
    <t xml:space="preserve">Decreto 1390 /2018
Art. 2.2.9.12.1.3 Dec 1390/2018
Art. 66 Ley 99/1993   </t>
  </si>
  <si>
    <t>1.1.02.02.090</t>
  </si>
  <si>
    <t>Tasa compensatoria por caza de fauna silvestre</t>
  </si>
  <si>
    <t>La fauna silvestre nativa comprende aquellas especies, subespecies taxonómicas, razas o variedades de animales silvestres cuya área natural de dispersión geográfica se extiende al territorio nacional o aguas jurisdiccionales, o forma parte de los mismos, incluidas las especies o subespecies que migran temporalmente a ellos, y que no se encuentran en el país como producto voluntario o involuntario de la actividad humana.</t>
  </si>
  <si>
    <t xml:space="preserve">Decreto 1272 de 2016
Art. 2.2.9.12.1.3 Dec 1390/2018
Art. 66 Ley 99/1993   </t>
  </si>
  <si>
    <t>1.1.02.02.091</t>
  </si>
  <si>
    <t>Tasas por la actividad pesquera</t>
  </si>
  <si>
    <t>Corresponde a los ingresos de los departamentos por concepto de las tasas y derechos que pueden fijar las Asambleas Departamentales, a iniciativa del Gobernador, por la actividad pesquera. Se exceptúan de este pago a los pescadores artesanales y de subsistencia.</t>
  </si>
  <si>
    <t>Ley 47 de 1993. Art 37</t>
  </si>
  <si>
    <t>1.1.02.02.092</t>
  </si>
  <si>
    <t>Tasa por ingreso a las salinas de Zipaquirá</t>
  </si>
  <si>
    <t>Corresponde a los ingresos que cede la Nación a favor del Municipio de Zipaquirá por el valor que se paga por la entrada a visitar la Catedral de Sal de Zipaquirá.</t>
  </si>
  <si>
    <t>Ley 633 de 2000</t>
  </si>
  <si>
    <t>1.1.02.02.093</t>
  </si>
  <si>
    <t>Derechos de tránsito en áreas restringidas o de alta congestión</t>
  </si>
  <si>
    <t>Corresponde a los ingresos por concepto de los derechos de tránsito en áreas restringidas o de alta congestión que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</si>
  <si>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1.1.02.02.094</t>
  </si>
  <si>
    <t>Cobros por estacionamiento en espacio público o en lotes de parqueo</t>
  </si>
  <si>
    <t>Corresponde a los ingresos por concepto del cobro por estacionamiento en espacio público o en lotes de parqueo que pueden establecer las entidades territoriales para el financiamiento de proyectos y programas de infraestructura vial y de transporte. Esta contribución se cobra con fundamento en los establecido en la ley 812 de 2003, sin embargo esta ley fue derogada por el art. 276 de la ley 1450 de 2011 y por los tanto las entidades podrían estar cobrando esta contribución si la establecieron con fundamento en la ley 812 de 2003, pero en la actualidad no pueden crear esta contribución ya que hoy día carece de fundamento legal.</t>
  </si>
  <si>
    <t>Ley 812 de 2003; art. 112</t>
  </si>
  <si>
    <t>1.1.02.02.095</t>
  </si>
  <si>
    <t>Plaza de mercado</t>
  </si>
  <si>
    <t>Corresponde a los recursos obtenidos por la adjudicación de puestos para la venta de productos en los municipios y distritos.</t>
  </si>
  <si>
    <t>Decreto 1504 de 1998
Ley 136 de 1994
Ley 1551 de 2012</t>
  </si>
  <si>
    <t>1.1.02.02.096</t>
  </si>
  <si>
    <t>Contraprestación de las zonas de uso público - municipios portuarios marítimos</t>
  </si>
  <si>
    <t>Corresponde al 20% de la contraprestación por el uso y goce temporal y exclusivo de las zonas de uso público, en aquellos municipios donde opere puerto marítimo.</t>
  </si>
  <si>
    <t>Ley 856 de 2003</t>
  </si>
  <si>
    <t>1.1.02.02.097</t>
  </si>
  <si>
    <t>Punto de Control turístico</t>
  </si>
  <si>
    <t>Corresponde al pago que están autorizados a cobrar los municipios con menos de mil habitantes que posean gran valor histórico y cultural. El peaje se podrá establecer en los accesos a los sitios turísticos respectivos.</t>
  </si>
  <si>
    <t>Ley 300 de 1996  Art 25 Ley 2068 de 2020 art. 6</t>
  </si>
  <si>
    <t>1.1.02.02.098</t>
  </si>
  <si>
    <t>Tarjeta de turista</t>
  </si>
  <si>
    <t>Corresponde a los ingresos por concepto del cobro que está autorizado a realizar el Departamento de San Andrés y Providencia a los turistas que cumplan con los siguientes requisitos:
a) Adquiera el tiquete personal e intransferible de ida y regreso al Departamento Archipiélago;
b) No se encuentre dentro de la relación de las personas que no pueden ingresar al Departamento, de acuerdo con la información suministrada por la Oficina de Control de Circulación y Residencia.</t>
  </si>
  <si>
    <t>Ley 47 de 1993
Decreto 2762 de 1991 San Andrés</t>
  </si>
  <si>
    <t>1.1.02.02.099</t>
  </si>
  <si>
    <t>Tarjeta de residente</t>
  </si>
  <si>
    <t>Corresponde a los ingresos por concepto del cobro que está autorizado a realizar el Departamento de San Andrés, Providencia y Santa Catalina a quienes fijen temporalmente su residencia en el Archipiélago, por una de las siguientes razones:
a) La realización, dentro del departamento, de actividades académicas, científicas, profesionales, de gestión pública o culturales, por un tiempo determinado;
b) El desarrollo de actividades laborales por un tiempo determinado hasta por un año prorrogable por lapsos iguales, que en ningún caso sobrepasen los 3 años;
c) Encontrarse en la situación prevista
El interesado en obtener la residencia temporal deberá demostrar que tiene vivienda adecuada y capacidad económica para su sostenimiento en el Archipiélago. Este cobro está autorizado por la Ley 47 de 1993 y el Decreto 2762 de 1991, del departamento de San Andrés, Providencia y Santa Catalina.</t>
  </si>
  <si>
    <t>1.1.02.02.100</t>
  </si>
  <si>
    <t xml:space="preserve">Expedición de licencias de funcionamiento de equipos de rayos X </t>
  </si>
  <si>
    <t>Corresponde a los ingresos por el cobro de la expedición de licencias de funcionamiento de los equipos de rayos X y otras fuentes emisoras de radiaciones ionizantes. Se entiende por equipos de rayos X y otras fuentes emisoras de ionizantes, "las maquinas o materiales radioactivos capaces de generar energía, que a su paso por la materia producen iones que alteran su composición" (Ministerio de Salud, 1990)
Esta tasa es cobrada por las direcciones o seccionales de salud de acuerdo con las disposiciones de la resolución 9031 del 12 de julio de 1990 del Ministerio de Salud.</t>
  </si>
  <si>
    <t>Resolución 9031 de 1990 del Ministerio de Salud. Esta resolución fue  derogada expresamente por el art 45 de la resolución 482 de 2018, ahora no se llama licencia de funcionamiento sino licencia de práctica médica en el artículo 4 numeral 8.</t>
  </si>
  <si>
    <t>1.1.02.02.101</t>
  </si>
  <si>
    <t>Corresponde a los ingresos por el cobro de la autorización de manejo de medicamentos de control especial del Estado a cargo de los Fondos Rotatorios de Estupefacientes. De acuerdo con la Resolución 1479 de 2006 del Ministerio de la Protección social, entre los ingresos de los Fondos Rotatorios de estupefacientes se encuentran los cobros de inscripciones sobre venta y distribución de medicamentos sometidos a fiscalización y monopolio del Estado.</t>
  </si>
  <si>
    <t>Resolución 1479 de 2006 del Ministerio de Protección Social</t>
  </si>
  <si>
    <t>1.1.02.02.102</t>
  </si>
  <si>
    <t>Derechos de tránsito</t>
  </si>
  <si>
    <t>Corresponde a los ingresos de los departamentos, municipios, distritos y autoridades de tránsito, por concepto del cobro de los derechos de tránsito, correspondientes a las licencias de conducción, licencias de tránsito, placa única nacional y demás especies venales.</t>
  </si>
  <si>
    <t>Ley 769 de 2002; Ley 1383 de 2010</t>
  </si>
  <si>
    <t>1.1.02.02.110</t>
  </si>
  <si>
    <t>Sobretasa ambiental - Peajes</t>
  </si>
  <si>
    <t xml:space="preserve">la Sobretasa Ambiental se creó como un mecanismo de compensación a la afectación y deterioro derivado de las vías del orden nacional actualmente construidas y que llegaren a construirse, próximas o situadas en Áreas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</si>
  <si>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
Art. 4 Ley 981/2005
Art. 13 Ley 768/2002</t>
  </si>
  <si>
    <t>1.1.02.02.116</t>
  </si>
  <si>
    <t>Derechos pecuniarios educación superior</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</si>
  <si>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t>
  </si>
  <si>
    <t>Ley 30 / 1992. artículo 122</t>
  </si>
  <si>
    <t>1.1.02.02.116.01</t>
  </si>
  <si>
    <t xml:space="preserve">Servicios de educación superior (Terciaria) </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</si>
  <si>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 en el nivel de pregrado</t>
  </si>
  <si>
    <t>1.1.02.02.116.01.01</t>
  </si>
  <si>
    <t xml:space="preserve"> Nivel pregrado</t>
  </si>
  <si>
    <t>Los derechos pecuniarios que por razones académicas pueden exigir las instituciones de Educación Superior, son según la Ley: Derechos de Inscripción. Derechos de Matrícula. Derechos por realización de exámenes de habilitación, supletorios y preparatorios. Derechos por la realización de cursos especiales y de educación permanente, en el nivel de postgrado</t>
  </si>
  <si>
    <t>1.1.02.02.116.01.01.01</t>
  </si>
  <si>
    <t xml:space="preserve">Inscripciones </t>
  </si>
  <si>
    <t>1.1.02.02.116.01.01.02</t>
  </si>
  <si>
    <t>Derechos de grado</t>
  </si>
  <si>
    <t>1.1.02.02.116.01.01.03</t>
  </si>
  <si>
    <t>Matrículas</t>
  </si>
  <si>
    <t>1.1.02.02.116.01.01.04</t>
  </si>
  <si>
    <t>Certificaciones, constancias académicas y derechos complementarios</t>
  </si>
  <si>
    <t>1.1.02.02.116.01.02</t>
  </si>
  <si>
    <t>Nivel posgrado</t>
  </si>
  <si>
    <t>1.1.02.02.116.01.02.01</t>
  </si>
  <si>
    <t>1.1.02.02.116.01.02.02</t>
  </si>
  <si>
    <t>1.1.02.02.116.01.02.03</t>
  </si>
  <si>
    <t>1.1.02.02.116.01.02.04</t>
  </si>
  <si>
    <t>1.1.02.02.116.02</t>
  </si>
  <si>
    <t>Derechos complementarios asociados a la educación</t>
  </si>
  <si>
    <t>Son cobros hasta por el 20% del cobro de la matricula, de servicios complementarios prestado por la Universidad.</t>
  </si>
  <si>
    <t>Ley 30 / 1992. artículo 122. Parágrafo 2</t>
  </si>
  <si>
    <t>1.1.02.02.118</t>
  </si>
  <si>
    <t>Incentivo por Aprovechamiento de Residuos Sólidos</t>
  </si>
  <si>
    <t>Es el ingreso que perciben las entidades territoriales por haber definido proyectos de aprovechamiento de residuos sólidos viables en su Plan de Gestión Integral de Residuos Sólidos (PGIRS).</t>
  </si>
  <si>
    <t>Ley 1151 del 24 de julio de 2007, Artículo 101; 1450 del 16 de junio de 2011, Artículo 251; Ley 1753 del 9 de junio de 2015, Artículo 88.</t>
  </si>
  <si>
    <t>1.1.02.02.119</t>
  </si>
  <si>
    <t>Trámite de licencias de funcionamiento y registro de programas de Educación para el Trabajo y el Desarrollo Humano</t>
  </si>
  <si>
    <t>Corresponde al cobro por los tramites adelantados ante las Secretarias de Educación, por la expedición de licencias de funcionamiento, registro de programas, legalizaciones, talleres, entre otros trámites relacionados con la educación y el desarrollo humano.</t>
  </si>
  <si>
    <t>Ley 115 de 1994
Ley 715 de 2001 Decreto 4904 de 2009 hoy compilado en el Decreto 1075 de 2015</t>
  </si>
  <si>
    <t>1.1.02.02.120</t>
  </si>
  <si>
    <t>Contraprestaciones por el uso del espacio público</t>
  </si>
  <si>
    <t>Corresponde a las contraprestaciones recibidas por las Entidades Territoriales por el uso del espacio público en su jurisdicción</t>
  </si>
  <si>
    <t>Ley 388 de 1997 y Ley 2079 de 2021</t>
  </si>
  <si>
    <t>1.1.02.02.121</t>
  </si>
  <si>
    <t>Infraestructura nueva para minimizar la congestión</t>
  </si>
  <si>
    <t>Corresponde a los precios públicos diferenciales por acceso o uso de infraestructura de transporte nueva construida para minimizar la congestión que las autoridades territoriales  establezcan.</t>
  </si>
  <si>
    <t>Ley 1955 de 2019, art. 97</t>
  </si>
  <si>
    <t>1.1.02.02.122</t>
  </si>
  <si>
    <t>Áreas de restricción vehicular</t>
  </si>
  <si>
    <t>Corresponde a las contraprestaciones o precios públicos a favor de las entidades territoriales por el acceso a las áreas de restricción vehicular.</t>
  </si>
  <si>
    <t>1.1.02.02.123</t>
  </si>
  <si>
    <t>Derechos de reconocimiento de personería jurídica organismos comunales - cuenta bajo presunción de legalidad (Valle del Cauca)</t>
  </si>
  <si>
    <t>Ingresos que recibe el departamento como contraprestación por el reconocimiento de las ligas y asociaciones deportivas constituidas como corporaciones o asociaciones por un número mínimo de clubes promotores o deportivos o de ambas clases, para fomentar, patrocinar y organizar la práctica de deportes en el departamento; y por el reconocimiento de personería jurídica a cuerpos de bomberos voluntarios o instituciones de educación formal que tengan su domicilio principal en la jurisdicción del departamento del Valle de Cauca.  (Acto Administrativo Gobernación del Valle del Cauca).</t>
  </si>
  <si>
    <t>Ordenanza 474 de 2017. Artículo 158. Departamento del Valle del Cauca</t>
  </si>
  <si>
    <t>1.1.02.02.124</t>
  </si>
  <si>
    <t>Anulación de rótulos adhesivos de tornaguías de alcohol potable - cuenta bajo presunción de legalidad (Valle del Cauca)</t>
  </si>
  <si>
    <t>Ingresos que recibe el departamento como contraprestación por la anulación del certificado único nacional expedido por las autoridades departamentales a través del cual se autoriza y controla la entrada, salida y movilización de productos que sean objeto del monopolio rentístico de licores entre entidades territoriales, o dentro de las mismas, cuando sea del caso. (Acto Administrativo Gobernación del Valle del Cauca).</t>
  </si>
  <si>
    <t>1.1.02.02.125</t>
  </si>
  <si>
    <t>Rótulos de adhesivos para la expedición y legalización de tornaguías de alcohol potable - cuenta bajo presunción de legalidad  (Valle del Cauca)</t>
  </si>
  <si>
    <t>Ingresos que recibe el departamento como contraprestación por la expedición del certificado único nacional a través del cual se autoriza y controla la entrada, salida y movilización de productos que sean objeto del monopolio rentístico de licores entre entidades territoriales, o dentro de las mismas, cuando sea del caso. La tornaguía consiste en un autoadhesivo o rótulo elaborado en papel de seguridad que se adhiere a la factura o relación de productos gravados. (Acto Administrativo Gobernación del Valle del Cauca).</t>
  </si>
  <si>
    <t>1.1.02.02.126</t>
  </si>
  <si>
    <t>Rótulos de los adhesivos para la expedición y legalización de tornaguías de productos gravados con impuesto al consumo y/o participación - cuenta bajo presunción de legalidad (Valle del Cauca)</t>
  </si>
  <si>
    <t>Ingresos que recibe el departamento como contraprestación por la expedición del certificado único nacional a través del cual se autoriza y controla la entrada, salida y movilización de productos gravados con impuestos al consumo entre entidades territoriales que sean sujetos activos de tales impuestos, o dentro de las mismas, cuando sea del caso. La tornaguía consiste en un autoadhesivo o rótulo elaborado en papel de seguridad que se adhiere a la factura o relación de productos gravados. (Acto Administrativo Gobernación del Valle del Cauca).</t>
  </si>
  <si>
    <t>1.1.02.02.127</t>
  </si>
  <si>
    <t>Anulación de rótulos adhesivos de tornaguías de productos gravados con impuesto al consumo y/o participación - cuenta bajo presunción de legalidad (Valle del Cauca)</t>
  </si>
  <si>
    <t>Ingresos que recibe el departamento como contraprestación por la anulación del certificado único nacional expedido por las autoridades departamentales a través del cual se autoriza y controla la entrada, salida y movilización de productos gravados con impuestos al consumo entre entidades territoriales que sean sujetos activos de tales impuestos, o dentro de las mismas, cuando sea del caso. (Acto Administrativo Gobernación del Valle del Cauca).</t>
  </si>
  <si>
    <t>1.1.02.02.128</t>
  </si>
  <si>
    <t>Derechos de reformas estatutarias organismos comunales - cuenta bajo presunción de legalidad (Valle del Cauca)</t>
  </si>
  <si>
    <t>Los artículos 158 y 159 del Estatuto Tributario Departamental establecen las tasas y derechos que deben pagar los usuarios para adelantar trámites ante la Administración Departamental. (Acto Administrativo Gobernación del Valle del Cauca).</t>
  </si>
  <si>
    <t>1.1.02.02.129</t>
  </si>
  <si>
    <t>Derechos sobre reformas estatutarias - cuenta bajo presunción de legalidad (Valle del Cauca)</t>
  </si>
  <si>
    <t>Ingresos que recibe el departamento como contraprestación por la aprobación de las modificaciones que mediante asamblea realizaron las ligas y clubes deportivos a sus estatutos; y por la aprobación de las modificaciones realizadas a los estatutos establecidos inicialmente en las fundaciones, corporaciones y/o asociaciones de utilidad común y/o sin ánimo de lucro como instituciones de educación para el Trabajo y el Desarrollo Humano que tengan su domicilio principal en la jurisdicción del Departamento del Valle del Cauca. (Acto Administrativo Gobernación del Valle del Cauca).</t>
  </si>
  <si>
    <t>1.1.02.02.130</t>
  </si>
  <si>
    <t>Derechos de inscripción de dignatarios organismos comunales - cuenta bajo presunción de legalidad (Valle del Cauca)</t>
  </si>
  <si>
    <t>Ingresos que recibe el departamento como contraprestación por la inscripción de los dignatarios de las Juntas de Acción Comunal, Juntas de Vivienda Comunitaria y Asociación de Juntas de Acción Comunal, que hayan sido elegidos para el desempeño de cargos en los órganos de dirección y/o administración, vigilancia, comités de conciliación, órganos de control, delegados y comités de trabajos. (Acto Administrativo Gobernación del Valle del Cauca).</t>
  </si>
  <si>
    <t>Ordenanza 474 de 2017. Artículo 158. 158. Departamento del Valle del Cauca</t>
  </si>
  <si>
    <t>1.1.02.02.131</t>
  </si>
  <si>
    <t>Derechos de inscripción de dignatarios - cuenta bajo presunción de legalidad (Valle del Cauca)</t>
  </si>
  <si>
    <t>Ingresos que recibe el departamento como contraprestación por el registro y reconocimiento legal de las designaciones o elecciones del representante legal, revisor fiscal y demás dignatarios de las fundaciones, corporaciones y/o asociaciones de utilidad común y/o sin ánimo de lucro de educación formal que tengan su domicilio principal en la jurisdicción del departamento; y de los dignatarios de las ligas y clubes deportivos que hayan sido elegidos para el desempeño de los órganos de administración, control y disciplina.  (Acto Administrativo Gobernación del Valle del Cauca).</t>
  </si>
  <si>
    <t>1.1.02.02.132</t>
  </si>
  <si>
    <t>Derechos de reconocimiento de personería jurídica - cuenta bajo presunción de legalidad (Valle del Cauca)</t>
  </si>
  <si>
    <t>Ingresos que recibe el departamento como contraprestación por el reconocimiento de las ligas y asociaciones deportivas constituidas como corporaciones o asociaciones por un número mínimo de clubes promotores o deportivos o de ambas clases, para fomentar, patrocinar y organizar la práctica de deportes  en el departamento; y por el reconocimiento de personería jurídica a cuerpos de bomberos voluntarios o instituciones de educación formal que tengan su domicilio principal en la jurisdicción del departamento del Valle de Cauca. (Acto Administrativo Gobernación del Valle del Cauca).</t>
  </si>
  <si>
    <t>1.1.02.02.134</t>
  </si>
  <si>
    <t>Tasa de nomenclatura urbana - cuenta bajo presunción de legalidad (Bucaramanga)</t>
  </si>
  <si>
    <t>Acuerdo 034 de 2000, 046 de 2003, 047 de 2007, Decreto Municipal  08 de 2008.</t>
  </si>
  <si>
    <t>1.1.02.03</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</si>
  <si>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</si>
  <si>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1.1.02.03.001</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</si>
  <si>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</si>
  <si>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</si>
  <si>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1.1.02.03.001.03</t>
  </si>
  <si>
    <t>Corresponde al recaudo por el concepto de penalidades pecuniarias relacionadas con el incumplimiento Régimen Disciplinario de los Servidores Públicos, las cuales son impuestas por la Procuraduría General de la Nación y las oficinas de control interno de las entidades del PGN en desarrollo de la potestad disciplinaria prevista en el artículo 269 de la Constitución Política. Estas sanciones tienen por objetico “salvaguardar la obediencia, la disciplina, la rectitud y la eficiencia de los servidores públicos”.
Las sanciones disciplinarias se encuentran establecidas en el Título V - Capítulo segundo Clasificación y límite de las sanciones del Código Único Disciplinario. La graduación de estas sanciones se define a partir de criterios de grado de culpabilidad, la naturaleza esencial del servicio, el grado de perturbación del servicio, entro otros criterios consignados en el artículo 43 del Código Único Disciplinario. Este rubro también incluye las penalidades pecuniarias derivadas del Régimen Disciplinario para las Fuerzas Militares, definido por el Código Disciplinario único y el Régimen Disciplinario para las Fuerzas Militares.</t>
  </si>
  <si>
    <t>Ley 734 de 2002 / Ley 1952 de 2019, que empezará a regir el 1 de julio de 2021 por disposición del artículo 140 de la ley 1955 de 2019.</t>
  </si>
  <si>
    <t>1.1.02.03.001.04</t>
  </si>
  <si>
    <t>Corresponden al recaudo de penalidades pecuniarias que se imputan como consecuencia de acciones u omisiones relacionadas con una obligación contractual.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</si>
  <si>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Ley 80 de 1993
Ley 1474 de 2011</t>
  </si>
  <si>
    <t>1.1.02.03.001.05</t>
  </si>
  <si>
    <t>Corresponden al recaudo de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Este concepto incluye el ingreso por concepto del cobro de los recursos derivados del pago de multas y sanciones generados por el incumplimiento de las disposiciones de la Ley comercial.</t>
  </si>
  <si>
    <t>Sentencia C-616 de 2002</t>
  </si>
  <si>
    <t>1.1.02.03.001.06</t>
  </si>
  <si>
    <t>Corresponde al recaudo de indemnizaciones pecuniarias impuestas por las contralorías en desarrollo de su facultad de vigilancia fiscal, a los servidores públicos y particulares que manejen fondos o bienes del Estado, cuando en el ejercicio de la gestión fiscal causan por acción u omisión y en forma dolosa o culposa un daño al patrimonio del Estado. Los fallos con responsabilidad deben determinar en forma precisa la cuantía del daño causado, previo cumplimiento a los establecido en la Ley 42 de 1993 y del procedimiento señalado en la Ley 610 de 2000.</t>
  </si>
  <si>
    <t>Ley 610 de 2000
Ley 42 de 1993</t>
  </si>
  <si>
    <t>1.1.02.03.001.09</t>
  </si>
  <si>
    <t>Son los recaudos por sanciones pecuniarias que se imponen a quienes infrinjan o incumplan disposiciones legales correspondientes a tránsito y transporte.
El recaudo por concepto de multas de tránsito se destinará a planes de tránsito, educación, dotación de equipos, combustible y seguridad vial, salvo en los que corresponde a la Federación Colombiana de Municipios y los particulares en quienes se delegue y participen en la administración, liquidación, recaudo y distribución de las multas.</t>
  </si>
  <si>
    <t>1.1.02.03.001.11</t>
  </si>
  <si>
    <t>Corresponde a los recursos recaudados por concepto de las penalidades pecuniarias relativas al incumplimiento de obligaciones tributarias. Las sanciones en materia tributaria surgen del poder punitivo del Estado, el cual busca hacer efectivas las responsabilidades de los contribuyentes en el marco de su poder impositivo. Estas sanciones se encuentran consignadas en el Título III Sanciones del Estatuto tributario y en las demás normas tributarias nacionales y territoriales. Entre las sanciones tributarias se encuentran, aquellas relativas al incumplimiento en la obligación de inscribirse en el RUT y obtención del NIT, sanciones tributarias por la extemporaneidad en la presentación de las declaraciones tributarias, sanciones tributarias por irregularidades en la contabilidad, entre otras.</t>
  </si>
  <si>
    <t>Estatuto Tributario Nacional, Estatutos de rentas de las entidades territoriales.</t>
  </si>
  <si>
    <t>1.1.02.03.001.13</t>
  </si>
  <si>
    <t>Corresponde al recaudo por sanción pecuniaria que se impone a una persona natural o jurídica por la violación de las disposiciones sanitarias, mediante la ejecución de una actividad o la omisión de una conducta.</t>
  </si>
  <si>
    <t>Decreto 3518 de 2006</t>
  </si>
  <si>
    <t>1.1.02.03.001.17</t>
  </si>
  <si>
    <t>Corresponde a los recursos recaudados por concepto de las multas y sanciones por infracciones al régimen del monopolio de juegos de suerte y azar.</t>
  </si>
  <si>
    <t>Ley 643 de 2001
Ley 1393 de 2010</t>
  </si>
  <si>
    <t>1.1.02.03.001.18</t>
  </si>
  <si>
    <t>Corresponde a los recursos recaudados por concepto de las multas, infracciones y sanciones por violación al régimen de venta de medicamentos controlados sometidos a fiscalización y monopolio del Estado.</t>
  </si>
  <si>
    <t>Resolución 1479 de 2006</t>
  </si>
  <si>
    <t>1.1.02.03.001.19</t>
  </si>
  <si>
    <t>Multas de San Andrés (OCCRE)</t>
  </si>
  <si>
    <t>Con el fin de limitar y regular los derechos de circulación y residencia en el Departamento Archipiélago de San Andrés, Providencia y Santa Catalina, el Decreto 2762 de 1991 presenta las siguientes multas:
"- Los empleadores que dieren empleo a los no residentes sin el cumplimiento de los requisitos serán sancionados con multas sucesivas de hasta 100 salarios mínimos legales mensuales (art. 13).
- Las personas que se encuentren en situación irregular serán devueltas a su lugar de origen y deberán pagar una multa hasta de 20 salarios mínimos legales mensuales (art. 19).
- Las agencias de viajes o de turismo que incumplan las disposiciones del presente Decreto deberán pagar multa sucesiva hasta por el valor de trescientos salarios mínimos legales mensuales y se les podrá suspender la licencia de funcionamiento por la entidad competente, a solicitud del Director de la Oficina de Control de Circulación y Residencia (art. 28).
- Las compañías transportadoras nacionales o extranjeras que incumplan las disposiciones de este Decreto, serán obligadas a transportar de regreso al turista al lugar de origen, deberán pagar multa sucesiva hasta por el valor de quinientos salarios mínimos legales mensuales y se les podrá suspender la licencia de funcionamiento por la entidad competente, a solicitud del Director de la Oficina de Control de Circulación y Residencia (art. 29).
- Los hoteles o establecimientos de alojamiento del departamento deberán exigir a las personas, antes de su registro como huéspedes, la correspondiente tarjeta. El incumplimiento de esta disposición acarreará la imposición de multas sucesivas hasta por el valor de 200 salarios mínimos legales mensuales y se les podrá suspender la licencia de funcionamiento por la entidad competente, a solicitud del Director de la Oficina de Circulación y Residencia (art. 30)."</t>
  </si>
  <si>
    <t>Decreto 2762 de 1991</t>
  </si>
  <si>
    <t>1.1.02.03.001.20</t>
  </si>
  <si>
    <t>Multas código nacional de Seguridad y Convivencia Ciudadana</t>
  </si>
  <si>
    <t>Corresponde a los recursos recaudados por concepto de las multas establecidas en el Código Nacional de Policía y Convivencia, expedido en la Ley 1801 de 2016 y modificado por el Decreto 555 de 2017. El valor de la multa depende del comportamiento realizado. Asimismo, la desobediencia, resistencia, desacato, o reiteración del comportamiento contrario a la convivencia, incrementará el valor de la multa, sin perjuicio de los intereses causados y el costo del cobro coactivo (art. 13 del Decreto 555 de 2017). Las multas se clasifican en generales y especiales.</t>
  </si>
  <si>
    <t>Ley 1801 de 2016; ley 2054 de 2020
Decreto 555 de 2017</t>
  </si>
  <si>
    <t>1.1.02.03.001.20.01</t>
  </si>
  <si>
    <t>Multas código nacional de Seguridad y Convivencia Ciudadana - Multas generales</t>
  </si>
  <si>
    <t>Corresponde a los recursos recaudados por concepto de las multas generales, establecidas en el Código Nacional de Policía y Convivencia. Las multas generales se clasifican así:
* Multa Tipo 1: Cuatro (4) salarios mínimos diarios legales vigentes (smdlv).
* Multa Tipo 2: Ocho (8) salarios mínimos diarios legales vigentes (smdlv).
* Multa Tipo 3: Dieciséis (16) salarios mínimos diarios legales vigentes (smdlv).
* Multa Tipo 4: Treinta y dos (32) salarios mínimos diarios legales vigentes (smdlv).</t>
  </si>
  <si>
    <t>1.1.02.03.001.20.02</t>
  </si>
  <si>
    <t>Multas código nacional de Seguridad y Convivencia Ciudadana - Multas especiales</t>
  </si>
  <si>
    <t>Corresponde a los recursos recaudados por concepto de las multas especiales, establecidas en el Código Nacional de Policía y Convivencia. Las multas especiales, son de tres tipos:
1. Comportamientos de los organizadores de actividades que involucran aglomeraciones de público complejas.
2. Infracción urbanística.
3. Contaminación visual.</t>
  </si>
  <si>
    <t>1.1.02.03.001.21</t>
  </si>
  <si>
    <t>Multa por incumplimiento en el registro de marcas y herretes</t>
  </si>
  <si>
    <t>Corresponde a los recursos recaudados por concepto de multa por malas marcas en semovientes. Esta multa se genera cuando un semoviente no lleva la marca o herrete debidamente colocado y visible en los términos especificados en la Ley.</t>
  </si>
  <si>
    <t>Ley 132 de 1931; Decreto 1372 de 1933; Decreto 1608 de 1933; Ley 34 de 1940</t>
  </si>
  <si>
    <t>1.1.02.03.001.22</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</si>
  <si>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</si>
  <si>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</si>
  <si>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</si>
  <si>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1.1.02.03.001.23</t>
  </si>
  <si>
    <t>Sanciones urbanísticas</t>
  </si>
  <si>
    <t>Sanciones urbanísticas que se generen por actuaciones de construcción, ampliación, modificación, adecuación y demolición de edificaciones, de urbanización y parcelación, que contravengan los planes de ordenamiento territorial y las normas urbanísticas que los desarrollan y complementan incluyendo los planes parciales.</t>
  </si>
  <si>
    <t>Artículo 104 Ley 388 de 1997</t>
  </si>
  <si>
    <t>1.1.02.03.002</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</si>
  <si>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</si>
  <si>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</si>
  <si>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1.1.02.05</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</si>
  <si>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</si>
  <si>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</si>
  <si>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1.1.02.05.001</t>
  </si>
  <si>
    <t>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t>
  </si>
  <si>
    <t>1.1.02.05.001.00</t>
  </si>
  <si>
    <t>Agricultura, silvicultura y productos de la pesca</t>
  </si>
  <si>
    <t>Son los ingresos asociados a la comercialización y producción de productos relacionados con la agricultura, la horticultura, la silvicultura y los productos de explotación forestal. Incluye también la venta de animales o productos animales, y la venta de pescados o productos de la pesca.</t>
  </si>
  <si>
    <t xml:space="preserve"> Clasificación Central de Productos (CPC Ver. 2.0)</t>
  </si>
  <si>
    <t>1.1.02.05.001.01</t>
  </si>
  <si>
    <t>Minerales; electricidad, gas y agua</t>
  </si>
  <si>
    <t>Son los ingresos asociados a la comercialización y producción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</si>
  <si>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1.1.02.05.001.02</t>
  </si>
  <si>
    <t>Productos alimenticios, bebidas y tabaco; textiles, prendas de vestir y productos de cuero</t>
  </si>
  <si>
    <t>Son los ingresos asociados a la comercialización y producción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</si>
  <si>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1.1.02.05.001.03</t>
  </si>
  <si>
    <t>Otros bienes transportables (excepto productos metálicos, maquinaria y equipo)</t>
  </si>
  <si>
    <t>Son los ingresos asociados a la comercialización y producción de productos de madera; libros, diarios o publicaciones impresas; productos de refinación de petróleo y combustibles; productos químicos; productos de caucho y plástico; productos de vidrio; muebles; desechos; entre otros.</t>
  </si>
  <si>
    <t>1.1.02.05.001.04</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</si>
  <si>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</si>
  <si>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</si>
  <si>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1.1.02.05.001.05</t>
  </si>
  <si>
    <t>Construcción y servicios de la construcción</t>
  </si>
  <si>
    <t>Son los ingresos asociados a la venta de servicios de construcción como preparaciones de terreno, montaje de construcciones prefabricadas, instalaciones, servicios de terminación y acabados de edificios, entre otros.</t>
  </si>
  <si>
    <t>1.1.02.05.001.06</t>
  </si>
  <si>
    <t>Comercio y distribución; alojamiento; servicios de suministro de comidas y bebidas; servicios de transporte; y servicios de distribución de electricidad, gas y agua</t>
  </si>
  <si>
    <t>Son los ingresos asociados a la venta de servicios de alojamiento; servicios de suministro de comidas y bebidas; servicios de transporte de pasajeros o de carga; servicios de mensajería y servicios de distribución de electricidad, gas y agua.</t>
  </si>
  <si>
    <t>1.1.02.05.001.07</t>
  </si>
  <si>
    <t>Servicios financieros y servicios conexos; servicios inmobiliarios; y servicios de arrendamiento y leasing</t>
  </si>
  <si>
    <t>Son los ingresos asociados a la venta de servicios financieros, seguros, servicios de mantenimiento de activos financieros, servicios inmobiliarios y arrendamientos.</t>
  </si>
  <si>
    <t>1.1.02.05.001.08</t>
  </si>
  <si>
    <t xml:space="preserve">Servicios prestados a las empresas y servicios de producción </t>
  </si>
  <si>
    <t>Son los ingresos asociados a la venta de servicios de investigación y desarrollo, servicios jurídicos y contables, servicios de consultoría, servicios de publicidad, servicios de impresión servicios de telecomunicaciones, servicios de limpieza, servicios de seguridad, servicios de mantenimiento, entre otros.</t>
  </si>
  <si>
    <t>1.1.02.05.001.09</t>
  </si>
  <si>
    <t>Son los ingresos asociados a la venta de servicios educativos, servicios de salud, servicios culturales y deportivos, servicios de tratamiento y recolección de desechos, servicios proporcionados por asociaciones, entre otros.</t>
  </si>
  <si>
    <t>1.1.02.05.002</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</si>
  <si>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</si>
  <si>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1.1.02.05.002.00</t>
  </si>
  <si>
    <t>Son los ingresos asociados a la venta de productos relacionados con la agricultura, la horticultura, la silvicultura y los productos de explotación forestal. Incluye también la venta de animales o productos animales, y la venta de pescados o productos de la pesca.</t>
  </si>
  <si>
    <t>1.1.02.05.002.01</t>
  </si>
  <si>
    <t>Son los ingresos asociados a la venta de todo tipo de minerales incluidos el carbón, el petróleo, los concentrados de uranio y torio, los minerales metálicos, las piedras preciosas, entre otros. En esta cuenta también se registran los ingresos por venta de energía eléctrica, gas de ciudad y agua caliente.</t>
  </si>
  <si>
    <t>1.1.02.05.002.02</t>
  </si>
  <si>
    <t>Son los ingresos asociados a la venta de productos alimenticios como la carne; las preparaciones y conservas de pescados, frutas y hortalizas; los productos lácteos y ovoproductos; los productos de la molinería; y todo tipo de bebidas. Esta sección incluye también la comercialización y producción de hilados, tejidos, artículos textiles y dotación.</t>
  </si>
  <si>
    <t>1.1.02.05.002.03</t>
  </si>
  <si>
    <t>Son los ingresos asociados a la venta de productos de madera; libros, diarios o publicaciones impresas; productos de refinación de petróleo y combustibles; productos químicos; productos de caucho y plástico; productos de vidrio; muebles; desechos; entre otros.</t>
  </si>
  <si>
    <t>1.1.02.05.002.04</t>
  </si>
  <si>
    <t>1.1.02.05.002.05</t>
  </si>
  <si>
    <t>1.1.02.05.002.06</t>
  </si>
  <si>
    <t>1.1.02.05.002.07</t>
  </si>
  <si>
    <t>1.1.02.05.002.08</t>
  </si>
  <si>
    <t>1.1.02.05.002.09</t>
  </si>
  <si>
    <t>1.1.02.06</t>
  </si>
  <si>
    <t>Comprende a los ingresos por transacciones monetarias que realiza un tercero a una unidad ejecutora del Presupuesto General del Sector Público (PGSP) sin recibir de este último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t>
  </si>
  <si>
    <t>1.1.02.06.001</t>
  </si>
  <si>
    <t>Son las transferencias corrientes que realizan las entidades del sector central nacional en virtud del Sistema General de Participaciones (SGP). Este sistema de transferencias intergubernamentales se fundamenta en los artículos 356 y 357 de la Constitución Política, y en la financiación de los servicios de las entidades territoriales, cuya competencia se les asigna en la Ley 715 de 2001 y la Ley 1176 de 2007.</t>
  </si>
  <si>
    <t>Constitución Política, art. 356 y 357; Ley 715 de 2001; Ley 1176 de 2007</t>
  </si>
  <si>
    <t>1.1.02.06.001.01</t>
  </si>
  <si>
    <t>Son las transferencias que realiza la nación a las entidades territoriales de acuerdo con las disposiciones de la Ley 715 de 2001. Esta transferencia corresponde al 58,5% de las asignaciones sectoriales del Sistema General de Participaciones, y está destinado al sector educativo. Específicamente, esta transferencia está destinada a la prestación del servicio educativo, el mejoramiento de la calidad educativa y la cancelación de prestaciones sociales del Magisterio</t>
  </si>
  <si>
    <t>Ley 715 de 2001;  Decreto legislativo  533 de 2020 vigente temporalmente mientras  permanezca vigente la Emergencia Sanitaria declarada por el Ministerio de Salud y Protección Social, con ocasión de la pandemia derivada del Coronavirus COVID-19.</t>
  </si>
  <si>
    <t>1.1.02.06.001.01.01</t>
  </si>
  <si>
    <t>Son las transferencias de SGP educación destinada a la prestación del servicio, según la matrícula oficial y la ampliación de cobertura de las entidades territoriales certificadas. En el primer caso, el monto de recursos girado a cada entidad territorial es determinado por el Ministerio de Educación Nacional, de acuerdo con el número de estudiantes oficiales matriculados multiplicado por un valor determinado por las características de la prestación del servicio según niveles, zonas y modalidades. En el segundo caso, se reconoce el incremento de la matrícula oficial de un año a otro. Sin perjuicio de los anterior, esta transferencia comprende un complemento a la asignación por alumno atendido, el cual se asigna a las entidades territoriales certificadas que no alcanzan a cubrir el costo del personal docente y administrativo.</t>
  </si>
  <si>
    <t>Ley 715 de 2001</t>
  </si>
  <si>
    <t>1.1.02.06.001.01.02</t>
  </si>
  <si>
    <t>Cancelación de prestaciones sociales del magisterio</t>
  </si>
  <si>
    <t>Son las transferencias del SGP educación destinada a la cancelación de las prestaciones sociales del magisterio. Estos recursos se transfieren a los Fondos de Pensiones Públicas Territoriales para atender las prestaciones del personal nacionalizado por la Ley 43 de 1975; los cuales, en virtud de la Ley 91 de 1989, no quedaron a cargo del Fondo Nacional de Prestaciones Sociales del Magisterio.</t>
  </si>
  <si>
    <t>Ley 43 de 1975; Ley 91 de 1989</t>
  </si>
  <si>
    <t>1.1.02.06.001.01.03</t>
  </si>
  <si>
    <t>Calidad</t>
  </si>
  <si>
    <t>Son las transferencias del SGP educación destinada a la calidad del servicio educativo. Estos recursos son distribuidos entre los distritos y municipios certificados y no certificados y las áreas no municipalizadas de los departamentos de Amazonas, Guainía y Vaupés, para que complementen el financiamiento de las actividades que contribuyan al mejoramiento de la calidad educativa.</t>
  </si>
  <si>
    <t>1.1.02.06.001.01.03.01</t>
  </si>
  <si>
    <t>Calidad  por matrícula oficial</t>
  </si>
  <si>
    <t>Son las transferencias del SGP educación destinados a las entidades territoriales certificadas y no certificadas para dotación, mantenimiento de infraestructura, servicios públicos, etc.</t>
  </si>
  <si>
    <t>1.1.02.06.001.01.03.02</t>
  </si>
  <si>
    <t>Calidad  por gratuidad</t>
  </si>
  <si>
    <t>Son las transferencias del SGP educación destinados a los establecimientos educativos estatales para asegurar la exención en el pago de derechos académicos y servicios complementarios a la población vulnerable</t>
  </si>
  <si>
    <t>1.1.02.06.001.02</t>
  </si>
  <si>
    <t>Son las transferencias de recursos que realiza la Nación a las entidades territoriales en el marco del Sistema General de Participaciones (SGP). Esta transferencia corresponde al 24,5% de la distribución sectorial del SGP, destinada al sector salud.</t>
  </si>
  <si>
    <t>Ley 715 de 2001, título III</t>
  </si>
  <si>
    <t>1.1.02.06.001.02.01</t>
  </si>
  <si>
    <t xml:space="preserve">Régimen subsidiado </t>
  </si>
  <si>
    <t>Son las transferencias de recursos del SGP salud destinados a financiar la afiliación al régimen subsidiado del Sistema de Seguridad Social en Salud de la población pobre y vulnerable. Esta financiación corresponde a los subsidios a la demanda que deben atender las entidades territoriales, de manera progresiva hasta lograr y sostener la cobertura total del aseguramiento.</t>
  </si>
  <si>
    <t>1.1.02.06.001.02.02</t>
  </si>
  <si>
    <t>Son las transferencias de recursos del SGP salud destinados a la financiación de programas de salud pública. Esta transferencia tiene por objetivo financiar la ejecución de acciones de promoción y prevención en salud, la programación y ejecución del Plan de Intervenciones Colectivas, y el desarrollo de acciones de inspección, vigilancia y control del riesgo en el ambiente y la salud.</t>
  </si>
  <si>
    <t xml:space="preserve"> Ley 715 de 2001, art. 52</t>
  </si>
  <si>
    <t>1.1.02.06.001.02.04</t>
  </si>
  <si>
    <t>Son las transferencias del SGP salud, componente de subsidio a la oferta, recursos que deberán ser usados por los departamentos, municipios certificados y distritos referidos en el artículo 2.4.1.3 del decreto 268 de 2020, para la financiación de los gastos de operación de la prestación de servicios de salud de las Empresas Sociales del Estado o administradores de infraestructura pública destinados a la prestación de servicios de salud, de acuerdo con los establecido en numeral 52.2 del artículo 52 de la Ley 715 de 2001 , modificado por el artículo 235 de la Ley 1955 de 2019.</t>
  </si>
  <si>
    <t>1.1.02.06.001.03</t>
  </si>
  <si>
    <t>Participación para propósito general</t>
  </si>
  <si>
    <t>Son las transferencias de recursos que realiza la Nación a las entidades territoriales en el marco del SGP, correspondiente al 11,6% de la distribución sectorial.</t>
  </si>
  <si>
    <t>Ley 715 de 2001, título IV</t>
  </si>
  <si>
    <t>1.1.02.06.001.03.01</t>
  </si>
  <si>
    <t>Deporte y recreación</t>
  </si>
  <si>
    <t>Son las transferencias del SGP propósito general destinada al deporte y recreación. Estos recursos son destinados a proyectos de fomento del deporte y de construcción y mantenimiento de escenarios deportivos.</t>
  </si>
  <si>
    <t>Ley 715 de 2001, art. 77</t>
  </si>
  <si>
    <t>1.1.02.06.001.03.02</t>
  </si>
  <si>
    <t>Cultura</t>
  </si>
  <si>
    <t xml:space="preserve">Son las transferencias del SGP propósito general destinada a la cultura. Estos recursos son destinados a proyectos de acceso, innovación, creación y producción artística; construcción, dotación y mantenimiento de la infraestructura cultural y las redes de información cultural </t>
  </si>
  <si>
    <t>1.1.02.06.001.03.03</t>
  </si>
  <si>
    <t>Propósito general Libre inversión</t>
  </si>
  <si>
    <t>Son las transferencias de recursos del SGP propósito general de libre inversión en desarrollo de las competencias asignadas por la Ley 715 de 2001.</t>
  </si>
  <si>
    <t>1.1.02.06.001.03.04</t>
  </si>
  <si>
    <t>Propósito general libre destinación municipios categorías 4, 5 y 6</t>
  </si>
  <si>
    <t>Son los ingresos de transferencias del SGP propósito general para libre destinación de los municipios de categorías 4, 5 y 6. De acuerdo con el art. 78 de la Ley 715 de 2001, modificado por el art. 21 de la Ley 1176 de 2007: “Los municipios clasificados en las categorías 4, 5 y 6 podrán destinar libremente, para inversión u otros gastos inherentes al funcionamiento de la administración municipal, hasta un 42% de los recursos que perciban por la participación de propósito general”</t>
  </si>
  <si>
    <t>Ley 715 de 2001, art. 78;  Ley 1176 de 2007, art. 21; Acto Legislativo 04 de 2007, art. 4°</t>
  </si>
  <si>
    <t>1.1.02.06.001.04</t>
  </si>
  <si>
    <t>Asignaciones especiales</t>
  </si>
  <si>
    <t>Son las transferencias de recursos del SGP de asignaciones especiales. Esta transferencia corresponde al 4% del total de recursos del SGP (Ley 715 de 2001)</t>
  </si>
  <si>
    <t>Ley 715 de 2001. Art. 2 Parágrafo 2</t>
  </si>
  <si>
    <t>1.1.02.06.001.04.01</t>
  </si>
  <si>
    <t>Programas de alimentación escolar</t>
  </si>
  <si>
    <t>Son las transferencias de recursos del SGP destinados a la financiación de programas de alimentación escolar, correspondiente al 0,5% de los recursos.</t>
  </si>
  <si>
    <t>1.1.02.06.001.04.02</t>
  </si>
  <si>
    <t>Municipios de la ribera del río Magdalena</t>
  </si>
  <si>
    <t xml:space="preserve">Son las transferencias de recursos del SGP destinada a los Municipios cuyo territorio limitan con el Río Magdalena. Esta transferencia corresponde al 0,08% del SGP, y se distribuye en proporción a la ribera de cada municipio, según la certificación del Instituto Geográfico Agustín Codazzi (IGAC). </t>
  </si>
  <si>
    <t>Ley 715 de 2001. Ley 2048  de 2020</t>
  </si>
  <si>
    <t>1.1.02.06.001.04.03</t>
  </si>
  <si>
    <t>Resguardos indígenas</t>
  </si>
  <si>
    <t>Son las transferencias de recursos del SGP destinada a los resguardos indígenas. Esta transferencia equivalente al 0.52% del 100% de los recursos del SGP, los cuales son de libre destinación para la financiación de proyectos de inversión debidamente formulados e incluidos en los planes de vida, o de acuerdo con los usos y costumbres de los pueblos indígenas.</t>
  </si>
  <si>
    <t>Ley 715 de 2001, Ley 1176 de 2007 y disposiciones reglamentarias</t>
  </si>
  <si>
    <t>1.1.02.06.001.05</t>
  </si>
  <si>
    <t>Son las transferencias de recursos que realiza la Nación a las entidades territoriales en el marco del SGP. Esta transferencia corresponde al 5,4% de la distribución sectorial del SGP, la cual está destinada a sector de agua potable y saneamiento básico.</t>
  </si>
  <si>
    <t>1.1.02.06.001.06</t>
  </si>
  <si>
    <t>Atención integral de la primera infancia</t>
  </si>
  <si>
    <t>Son las transferencias de recursos que realiza la Nación a las entidades territoriales, en el marco del SGP, destinada a la atención integral de la primera infancia. Estos recursos se asignan por el crecimiento de la economía en una cifra superior al 4%.  Esta cuenta estuvo vigente durante el periodo de transición del SGP hasta 2016, se mantiene esta cuenta en el CICP para efectos de registro de posibles saldos a favor (Ley 715 de 2001).</t>
  </si>
  <si>
    <t>1.1.02.06.003</t>
  </si>
  <si>
    <t>Son las transferencias que realizan a las entidades territoriales por sus derechos de participación en los ingresos tributarios y no tributarios distintos del SGP.
Se consideran transferencias de participaciones en ingresos tributarios y no tributarios, todos los ingresos derivados de impuestos, contribuciones, multas y sanciones y derechos económicos por uso de recursos naturales, cuya administración mantiene la nación u otra entidad territorial, pero tiene la obligación legal realizar el giro de estos recursos (en su totalidad o un porcentaje) a las entidades territoriales.</t>
  </si>
  <si>
    <t>1.1.02.06.003.01</t>
  </si>
  <si>
    <t>Son las transferencias de recursos que reciben las entidades territoriales de otras entidades por su participación en los impuestos recaudados.</t>
  </si>
  <si>
    <t>1.1.02.06.003.01.01</t>
  </si>
  <si>
    <t>Participación del impuesto nacional a la explotación de oro, plata y platino</t>
  </si>
  <si>
    <t>Son las transferencias de recursos por concepto de la participación de los municipios productores en el impuesto nacional por la explotación de oro, plata y platino, administrado y recaudado por la Nación. En virtud del artículo 152 de la Ley 488 de 1998, este impuesto se destina con exclusividad a los municipios productores.</t>
  </si>
  <si>
    <t>Ley 488 de 1998, art. 152</t>
  </si>
  <si>
    <t>1.1.02.06.003.01.02</t>
  </si>
  <si>
    <t>Participación del impuesto sobre vehículos automotores</t>
  </si>
  <si>
    <t xml:space="preserve">Son las transferencias de recursos por concepto de la participación de los municipios en el impuesto sobre vehículos automotores. La administración y recaudo de este impuesto se encuentra a cargo de los departamentos. </t>
  </si>
  <si>
    <t>1.1.02.06.003.01.03</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</si>
  <si>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</si>
  <si>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</si>
  <si>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</si>
  <si>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1.1.02.06.003.01.04</t>
  </si>
  <si>
    <t>Participación del componente ad valorem del consumo de cigarrillos y tabaco elaborado</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</si>
  <si>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</si>
  <si>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Ley 1393 de 2010, art. 6; 
Ley 223 de 1995, art. 212
Ley 1819 de 2016, art 348</t>
  </si>
  <si>
    <t>1.1.02.06.003.01.05</t>
  </si>
  <si>
    <t xml:space="preserve">Participación del impuesto de registro </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</si>
  <si>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</si>
  <si>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</si>
  <si>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1.1.02.06.003.01.06</t>
  </si>
  <si>
    <t>Participación del impuesto adicional del 10% a las cajetillas de cigarrillos nacionales</t>
  </si>
  <si>
    <t xml:space="preserve">Son las transferencias de recursos por concepto de la participación de Bogotá D.C. en el impuesto adicional del 10% sobre el valor de cada una de las cajetillas de cigarrillos nacionales que se expendan al público </t>
  </si>
  <si>
    <t>Ley 30 de 1971, art. 2; Ley 181 de 1995, art. 78</t>
  </si>
  <si>
    <t>1.1.02.06.003.01.07</t>
  </si>
  <si>
    <t xml:space="preserve">Participación del impuesto al consumo de cigarrillos y tabaco </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</si>
  <si>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</si>
  <si>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</si>
  <si>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1.1.02.06.003.01.08</t>
  </si>
  <si>
    <t>Participación del impuesto al degüello de ganado mayor (en los términos que los defina la Ordenanza)</t>
  </si>
  <si>
    <t>Son las transferencias de recursos por concepto de la participación de los departamentos o municipios en el impuesto al degüello de ganado mayor, siempre que mediante ordenanza se haya cedido parcialmente este tributo.</t>
  </si>
  <si>
    <t>1.1.02.06.003.01.09</t>
  </si>
  <si>
    <t xml:space="preserve">Participación del IVA antiguas intendencias y comisarías </t>
  </si>
  <si>
    <t>Son las transferencias de recursos que realiza la Nación (MHCP) por concepto de la cesión del IVA a los departamentos de Guaviare, Putumayo, Vaupés, Vichada, San Andrés Providencia y Santa Catalina, Amazonas, Arauca, Casanare y Guainía.</t>
  </si>
  <si>
    <t>Constitución Política, art. 309; Ley 12 de 1986</t>
  </si>
  <si>
    <t>1.1.02.06.003.01.10</t>
  </si>
  <si>
    <t>Son las transferencias de recursos por concepto de la participación de los departamentos y el Distrito Capital en la contribución nacional sobretasa al ACPM. De acuerdo con el artículo 117 de la Ley 488 de 1998, esta contribución es cobrada por la Nación y distribuida en un 50% para los departamentos y el Distrito Capital. Por disposición del decreto legislativo 678 de 2020, desde julio de 2020  y hasta diciembre de 2021 el 100% de los recaudado por sobretasa al ACPM será transferido a los Departamentos en proporción al consumo en cada jurisdicción.</t>
  </si>
  <si>
    <t>Ley 488 de 1998, art. 117. Decreto Legislativo 678 de 2020</t>
  </si>
  <si>
    <t>1.1.02.06.003.01.11</t>
  </si>
  <si>
    <t xml:space="preserve">Participación del impuesto nacional al consumo del servicio de telefonía móvil </t>
  </si>
  <si>
    <t>Son las transferencias de recursos que realiza la Nación por concepto del impuesto nacional al consumo del servicio de telefonía móvil, en desarrollo del artículo 72 de la Ley 1607 de 2012 y el Estatuto Tributario. Este artículo establece que el 25% del recaudo del impuesto en mención debe ser transferido al Distrito Capital y a los departamentos.</t>
  </si>
  <si>
    <t>Ley 1607 de 2012, art. 72; Estatuto tributario</t>
  </si>
  <si>
    <t>1.1.02.06.003.01.12</t>
  </si>
  <si>
    <t>Participación del IVA licores, vinos, aperitivos y similares</t>
  </si>
  <si>
    <t>Son las transferencias por concepto de la participación de los departamentos en el IVA que grava los licores, vinos, aperitivos y similares. Estos recursos deben destinarse para el sector salud.</t>
  </si>
  <si>
    <t>Decreto Extraordinario 1222 de 1986, Art. 133 y 134, Ley 1378 de 2010, Ley 788 de 2002, ley 1816 de 2016 y Decreto 719 de 2018</t>
  </si>
  <si>
    <t>1.1.02.06.003.02</t>
  </si>
  <si>
    <t>Participación en contribuciones</t>
  </si>
  <si>
    <t xml:space="preserve">Son las transferencias de recursos que reciben las entidades territoriales de otras entidades por su participación en las contribuciones recaudadas. </t>
  </si>
  <si>
    <t>1.1.02.06.003.02.01</t>
  </si>
  <si>
    <t>Participación superávit de las contribuciones de solidaridad de servicios públicos</t>
  </si>
  <si>
    <t>Son las transferencias de recursos que realizan las Empresas de Servicios Públicos (ESP) a los Fondos de Solidaridad y Redistribución de Ingresos (FSRI), correspondiente a la diferencia entre las contribuciones solidarias recibidas y los subsidios cubiertos por la empresa (Ley 142 de 1994, art. 89, numeral 1).
De acuerdo con el numeral 2 del artículo 89 de la Ley 142 de 1994, y el artículo 12 del Decreto 565 de 1996, las ESP son las encargadas de recaudar estas contribuciones y aplicarlas para el pago de subsidios. En caso de superávit, estos recursos deben ser girados a los FSRI del municipio donde se prestó el servicio.</t>
  </si>
  <si>
    <t>Ley 142 de 1994, art. 89; Decreto 565 de 1996, art. 12</t>
  </si>
  <si>
    <t>1.1.02.06.003.02.02</t>
  </si>
  <si>
    <t>Participación de la contribución parafiscal cultural</t>
  </si>
  <si>
    <t xml:space="preserve">Son las transferencias de recursos que realiza el Ministerio de Cultura a los municipios o distritos, por concepto de su derecho sobre la contribución parafiscal cultural. Esta contribución, creada mediante la Ley 1493 de 2011, es recaudada por el Ministerio de Cultura. De acuerdo con el artículo 12 de esta Ley, el Ministerio tiene la obligación de realizar el giro de recursos a las secretarías de hacienda municipales y distritales el mes inmediatamente siguiente a la fecha de recaudo de la contribución. </t>
  </si>
  <si>
    <t>Ley 1493 de 2011, art. 12</t>
  </si>
  <si>
    <t>1.1.02.06.003.03</t>
  </si>
  <si>
    <t>Participación en multas, sanciones e intereses de mora</t>
  </si>
  <si>
    <t>Son las transferencias de recursos que reciben las entidades del presupuesto general del sector público de otras entidades por su participación en las multas y sanciones recaudadas por la segunda entidad, incluyendo intereses moratorios.</t>
  </si>
  <si>
    <t>1.1.02.06.003.03.01</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</si>
  <si>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</si>
  <si>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</si>
  <si>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1.1.02.06.003.03.02</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</si>
  <si>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</si>
  <si>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</si>
  <si>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1.1.02.06.003.04</t>
  </si>
  <si>
    <t>Son las transferencias de recursos que reciben las entidades territoriales de otras entidades por su participación en los derechos económicos por uso de recursos naturales recaudados por dicha entidad.</t>
  </si>
  <si>
    <t>1.1.02.06.003.04.01</t>
  </si>
  <si>
    <t>Son las transferencias que realiza la Nación a las entidades territoriales productoras por concepto de las regalías del Régimen Anterior, establecido mediante la Ley 141 de 1994. Estas transferencias se realizan en virtud del Acto legislativo 5 de 2011 y el Decreto 4923 de 2011, el cual establece los criterios de distribución de los recursos del Fondo Nacional de Regalías en liquidación entre los departamentos y municipios productores beneficiarios.
Los recursos transferidos corresponden a las regalías dispuestas en los artículos 31 al 39 de la Ley 141 de 1994.</t>
  </si>
  <si>
    <t xml:space="preserve">Ley 141 de 1994, art. 31 al 39; Acto legislativo 5 de 2011; Decreto 4923 de 2011. </t>
  </si>
  <si>
    <t>1.1.02.06.003.04.01.01</t>
  </si>
  <si>
    <t>Regalías por calizas, yesos, arcillas, gravas , minerales no metálicos y materiales de construcción</t>
  </si>
  <si>
    <t xml:space="preserve">Son las transferencias de recursos del régimen anterior de regalías derivados de la explotación   y transporte de calizas, yesos, arcillas, gravas y otros minerales no metálicos, que reciben los departamentos, municipios y distritos productores y portuarios. (Art 38, Ley 141 de 1994) </t>
  </si>
  <si>
    <t>Ley 141 de 1994, art. 38; Decreto 145 de 1995, artículo 7.</t>
  </si>
  <si>
    <t>1.1.02.06.003.04.01.02</t>
  </si>
  <si>
    <t>Regalías por carbón</t>
  </si>
  <si>
    <t xml:space="preserve">Son las transferencias de recursos del régimen anterior de regalías derivados de la explotación y transporte de carbón, que reciben los departamentos, municipios y distritos productores y portuarios. (Art 32, Ley 141 de 1994) </t>
  </si>
  <si>
    <t>Ley 141 de 1994, art. 32; Acto legislativo 5 de 2011 y el Decreto 4923 de 2011</t>
  </si>
  <si>
    <t>1.1.02.06.003.04.01.03</t>
  </si>
  <si>
    <t>Son las transferencias de recursos del régimen anterior de regalías, derivados de la explotación  y transporte de hidrocarburos, que reciben los departamentos, municipios y distritos productores y portuarios. (Art. 31, Ley 141 de 1994)</t>
  </si>
  <si>
    <t>Ley 141 de 1994, art. 31; Acto legislativo 5 de 2011 y el Decreto 4923 de 2011</t>
  </si>
  <si>
    <t>1.1.02.06.003.04.01.04</t>
  </si>
  <si>
    <t>Regalías por Níquel, hierro, cobre y demás minerales metálicos</t>
  </si>
  <si>
    <t xml:space="preserve">Son las transferencias de recursos del régimen anterior de regalías derivados de la explotación y transporte de Níquel, hierro y cobre, que reciben los departamentos, municipios y distritos productores y portuarios. (Art 33 y 34, Ley 141 de 1994) </t>
  </si>
  <si>
    <t>Ley 141 de 1994, art. 33 y 34; Acto legislativo 5 de 2011 y el Decreto 4923 de 2011</t>
  </si>
  <si>
    <t>1.1.02.06.003.04.01.05</t>
  </si>
  <si>
    <t>Regalías por oro, plata, platino y piedras preciosas</t>
  </si>
  <si>
    <t>Son las transferencias de recursos del régimen anterior de regalías derivados de la explotación  de oro, plata, platino y piedras preciosas, que reciben los departamentos, municipios y distritos productores. (Art 35 y 36, Ley 141 de 1994)</t>
  </si>
  <si>
    <t>Ley 141 de 1994, art. 35 y 36; Acto legislativo 5 de 2011 y el Decreto 4923 de 2011</t>
  </si>
  <si>
    <t>1.1.02.06.003.04.01.06</t>
  </si>
  <si>
    <t>Regalías por sal</t>
  </si>
  <si>
    <t xml:space="preserve">Son las transferencias de recursos del régimen anterior de regalías derivados de la explotación y transporte de sal, que reciben los departamentos, municipios y distritos productores y portuarios. (Art 37, Ley 141 de 1994) </t>
  </si>
  <si>
    <t>Ley 141 de 1994, art. 37; Acto legislativo 5 de 2011 y el Decreto 4923 de 2011</t>
  </si>
  <si>
    <t>1.1.02.06.004</t>
  </si>
  <si>
    <t>Compensaciones de ingresos tributarios y no tributarios</t>
  </si>
  <si>
    <t>Son las transferencias recibidas como compensación por menores recaudos en los ingresos tributarios y no tributarios. Esta cuenta incluye las compensaciones del Impuesto Predial Unificado (IPU) de territorios colectivos de comunidades negras y de resguardos indígenas.</t>
  </si>
  <si>
    <t>1.1.02.06.004.01</t>
  </si>
  <si>
    <t>Compensación por menor recaudo de los derechos de explotación del juego de apuestas permanentes</t>
  </si>
  <si>
    <t>Son las transferencias de recursos que realiza la Nación a los departamentos y el Distrito Capital por la disminución en términos constantes del recaudo por concepto de derechos de explotación del juego de las apuestas permanentes o chance. Esta transferencia se realiza siguiendo el giro de recursos previsto en el Decreto 2550 de 2012.</t>
  </si>
  <si>
    <t>Ley 1393 de 2010, art. 4; Decreto 2550 de 2012</t>
  </si>
  <si>
    <t>1.1.02.06.004.02</t>
  </si>
  <si>
    <t>Compensación Impuesto Predial Unificado territorios colectivos de comunidades negras</t>
  </si>
  <si>
    <t xml:space="preserve">Es la compensación que realiza la Nación por concepto de Impuesto Predial Unificado (IPU) a los municipios donde existan territorios colectivos de comunidades negras. De acuerdo con el artículo 255 del Plan Nacional de Desarrollo 2014-2018 "Todos por un nuevo país" (Ley 1753 de 2015), con cargo al Presupuesto General de la Nación, el MHCP debe girar anualmente el monto que dejen de recaudar por concepto del IPU, a los municipios donde existan territorios colectivos de comunidades negras. </t>
  </si>
  <si>
    <t>Ley 1753 de 2015, art. 255</t>
  </si>
  <si>
    <t>1.1.02.06.004.03</t>
  </si>
  <si>
    <t>Compensación Impuesto Predial Unificado resguardos indígenas</t>
  </si>
  <si>
    <t>Es la compensación que realiza la Nación por concepto de IPU a los municipios donde existan resguardos indígenas. De acuerdo con el artículo 184 de la Ley 233 de 1995, que modifica el artículo 24 de la Ley 44 de 1990, la Nación debe girar a los municipios el equivalente al IPU de los predios pertenecientes a los resguardos indígenas legalmente constituidos en su jurisdicción.</t>
  </si>
  <si>
    <t>Ley 44 de 1990, art. 24; Ley 233 de 1995, art. 184</t>
  </si>
  <si>
    <t>1.1.02.06.005</t>
  </si>
  <si>
    <t xml:space="preserve">A entidades territoriales distintas de participaciones y compensaciones </t>
  </si>
  <si>
    <t>Son las transferencias corrientes recibidas por las entidades territoriales que no corresponden a participaciones ni compensaciones por menores recaudos de ingresos tributarios y no tributarios</t>
  </si>
  <si>
    <t>1.1.02.06.005.01</t>
  </si>
  <si>
    <t>Suministro de medicamentos de leishmaniasis</t>
  </si>
  <si>
    <t>Transferencias de la Nación a las entidades territoriales por concepto de suministro de medicamentos para atender a los pacientes de leishimaniasis , en virtud de  la Ley 715 de de 2001, la cual estipula en su artículo 42, numeral 2, que la Nación debe impulsar, coordinar, financiar, cofinanciar y evaluar programas, planes y proyectos de inversión en materia de salud, con recursos diferentes a los del Sistema General de Participaciones, tal como se evidencia en el Protocolo de Vigilancia en Salud Pública Leishmaniasis.</t>
  </si>
  <si>
    <t>1.1.02.06.005.02</t>
  </si>
  <si>
    <t>Prevención de la farmacodependencia y de medicamentos de control especial</t>
  </si>
  <si>
    <t>Transferencias de la Nación a los departamentos en virtud del Decreto 205 de 2003, y la Resolución 1479 de 2006 del Ministerio de la Protección Social, con el fin de prevenir la farmacodependencia y fortalecer las medidas en torno a los medicamentos de control especial.</t>
  </si>
  <si>
    <t>1.1.02.06.005.03</t>
  </si>
  <si>
    <t>Fondo de Desarrollo para la Guajira - FONDEG</t>
  </si>
  <si>
    <t xml:space="preserve">Transferencias en virtud del artículo 19 de la Ley 677 de 2001, por medio del cual la Nación cede la renta generada por concepto del impuesto único de ingreso a la mercancía importada a la Zona de Régimen Aduanera Especial de Maicao, Uribia, y Manaure, al departamento de La Guajira. Estos recursos se administran en el Fondo de Desarrollo para la Guajira (FONDEG), y  deben ser destinados exclusivamente a obras de inversión social dentro del territorio de dicho departamento. </t>
  </si>
  <si>
    <t>Artículo 19 Ley 677 de 2001</t>
  </si>
  <si>
    <t>1.1.02.06.005.04</t>
  </si>
  <si>
    <t>Aportes a programas de prevención y control de enfermedades transmitidas por vectores</t>
  </si>
  <si>
    <t>Corresponde a las transferencias realizadas a las entidades territoriales para el desarrollo de acciones del PIC y de gestión de la Salud Pública para prevención y control de enfermedades transmitidas por vectores - ETV y Zoonosis, de acuerdo con lineamientos nacionales y normatividad vigente.</t>
  </si>
  <si>
    <t>Ley 715 de 2002, art 42</t>
  </si>
  <si>
    <t>1.1.02.06.005.05</t>
  </si>
  <si>
    <t xml:space="preserve">Transferir a las entidades territoriales para apoyar la operación del programa de alimentación escolar </t>
  </si>
  <si>
    <t xml:space="preserve">Es la transferencia que realizan el Gobierno Nacional y las entidades territoriales por concepto de recursos para la financiación de los programas de alimentación escolar. </t>
  </si>
  <si>
    <t>1.1.02.06.005.06</t>
  </si>
  <si>
    <t>A instituciones de educación superior - establecimientos públicos del orden territorial</t>
  </si>
  <si>
    <t xml:space="preserve">Transferencias de recursos de funcionamiento del Presupuesto General de la Nación a todas las Instituciones de Educación Superior que son establecimientos públicos del orden territorial. </t>
  </si>
  <si>
    <t>Artículo 183 de la Ley 1955 de 2019</t>
  </si>
  <si>
    <t>1.1.02.06.005.07</t>
  </si>
  <si>
    <t>Transferencia a Fondos Territoriales de Mitigación del Riesgo</t>
  </si>
  <si>
    <t>Corresponde al giro anual de recursos que deben realizar las entidades descentralizadas para la sostenibilidad del Fondo de Mitigación de Riesgos ordenado por un Acuerdo municipal.</t>
  </si>
  <si>
    <t>1.1.02.06.005.08</t>
  </si>
  <si>
    <t>Transferencia de recursos para la descontaminación ambiental de Barrancabermeja</t>
  </si>
  <si>
    <t>Aquellos recursos que transfiere CORMAGDALENA a Barrancabermeja para efectos de la descontaminación ambiental, para tal efecto la junta directiva de la mencionada empresa, destinará no menos de 10 mil salarios mínimos mensuales.</t>
  </si>
  <si>
    <t>1.1.02.06.005.09</t>
  </si>
  <si>
    <t>Atención en salud a población Inimputable por trastorno mental</t>
  </si>
  <si>
    <t>Corresponde a las transferencias de la Nación a los Departamentos y Distritos para la atención de la población inimputable por trastorno mental.</t>
  </si>
  <si>
    <t xml:space="preserve">Ley 906 de 2004, Art 465
Resolución 1721 de 2017 </t>
  </si>
  <si>
    <t>1.1.02.06.005.10</t>
  </si>
  <si>
    <t>Programa atención áreas marginadas y población dispersa</t>
  </si>
  <si>
    <t>Corresponde a las transferencias realizadas a las entidades territoriales para la atención de Grupos Indígenas, Negros, Afros, Raizales, Palenqueros y Rom</t>
  </si>
  <si>
    <t>Decreto 1973 de 2013; 
Decreto 1372 de 2018, 
Ley 1955 de 2019, Art 3</t>
  </si>
  <si>
    <t>1.1.02.06.005.11</t>
  </si>
  <si>
    <t>Campaña y control antituberculosis</t>
  </si>
  <si>
    <t>Corresponde a las transferencias realizadas a las entidades territoriales para el desarrollo de acciones de Salud Pública para el Programa Nacional para la prevención y el control de la Tuberculosis</t>
  </si>
  <si>
    <t>Ley 715 de 2001, Art 42</t>
  </si>
  <si>
    <t>1.1.02.06.005.12</t>
  </si>
  <si>
    <t>Campañas control Lepra</t>
  </si>
  <si>
    <t>Recursos transferidos para el desarrollo de acciones de Salud Pública para el Programa Nacional de prevención y control de la Lepra o Enfermedad de Hansen</t>
  </si>
  <si>
    <t>1.1.02.06.006</t>
  </si>
  <si>
    <t xml:space="preserve">Comprende los recursos recibidos de otras entidades del gobierno general que no cumplen con las características de las demás categorías de transferencias corrientes. </t>
  </si>
  <si>
    <t>1.1.02.06.006.01</t>
  </si>
  <si>
    <t>Corresponde a los recursos del Presupuesto de la Nación que el gobierno transfiere con el objeto de contribuir a la atención de sus compromisos y al cumplimiento de sus funciones (Ministerio de Hacienda y Crédito Público, 2011).</t>
  </si>
  <si>
    <t>1.1.02.06.006.02</t>
  </si>
  <si>
    <t>Devolución IVA- instituciones de educación superior</t>
  </si>
  <si>
    <t>Son los recursos correspondientes a la devolución del IVA que pagan las Instituciones Estatales u Oficiales de Educación Superior, los Colegios de Bachillerato y las Instituciones de Educación de Educación No Formal, por los bienes, insumos y servicios que adquieren (Art. 92 de la Ley 30 de 1992, y Art. 1 del Decreto 2627 de 1993)</t>
  </si>
  <si>
    <t>Art. 92 de la Ley 30 de 1992,
y Art. 1 del Decreto 2627 de 1993</t>
  </si>
  <si>
    <t>1.1.02.06.006.06</t>
  </si>
  <si>
    <t> </t>
  </si>
  <si>
    <t>1.1.02.06.006.08</t>
  </si>
  <si>
    <t>Programas de acceso y permanencia a la educación superior</t>
  </si>
  <si>
    <t>Corresponde a los recursos recibidos por las IES, para el apoyo de sostenimiento a los estudiantes regulado por Resolución 175 de 2018 artículo 9º. Diario Oficial No. 50.495 de 2 de febrero de 2018 Ministerio de Educación Nacional.</t>
  </si>
  <si>
    <t>Resolución 175 de 2018 artículo 9º. Diario Oficial No. 50.495 de 2 de febrero de 2018 MINISTERIO DE EDUCACIÓN NACIONAL.</t>
  </si>
  <si>
    <t>1.1.02.06.006.09</t>
  </si>
  <si>
    <t>Recursos para el mejoramiento de vivienda urbana y rural</t>
  </si>
  <si>
    <t>Corresponde a los recursos percibidos por las Entidades Territoriales para el mejoramiento de vivienda rural y urbana</t>
  </si>
  <si>
    <t>1.1.02.06.009</t>
  </si>
  <si>
    <t>Recursos del Sistema de Seguridad Social Integral</t>
  </si>
  <si>
    <t>Son las transferencias corrientes recibidas destinadas al financiamiento del Sistema de Seguridad Social Integral establecido en la Ley 100 de 1993.</t>
  </si>
  <si>
    <t>1.1.02.06.009.01</t>
  </si>
  <si>
    <t>Sistema General de Seguridad Social en Salud</t>
  </si>
  <si>
    <t>Son las transferencias para el financiamiento del Sistema General de Seguridad Social en Salud, de acuerdo con los establecido en la Ley 100 de 1993.</t>
  </si>
  <si>
    <t>1.1.02.06.009.01.06</t>
  </si>
  <si>
    <t>Recursos ADRES - Cofinanciación UPC régimen subsidiado</t>
  </si>
  <si>
    <t>Son las transferencias que realiza el Ministerio de Salud y Protección Social a las entidades territoriales para la financiación de la Unidad de Pago por Capitación (UPC) del Régimen Subsidiado en Salud. Estos recursos forman parte del ADRESS, y se giran en virtud de las disposiciones del artículo 44 de la Ley 1438 de 2011, el cual modifica el artículo 214 de la Ley 100 de 1993.</t>
  </si>
  <si>
    <t>Ley 1438 de 2011, art. 44; Ley 100 de 1993, art. 2014.</t>
  </si>
  <si>
    <t>1.1.02.06.009.01.08</t>
  </si>
  <si>
    <t>Saldos de liquidación de los contratos para el aseguramiento en el régimen subsidiado</t>
  </si>
  <si>
    <t>Es la transferencia de recursos que realizan los municipios a los departamentos para cubrir las prestaciones en salud no cubiertas con subsidios a la demanda, a la universalización y a la unificación de los Planes Obligatorios de Saludo (POS). De acuerdo con el Artículo 39 de la Ley 1393 de 2010, los municipios deben girar los saldos de liquidación y los contratos para el aseguramiento en el régimen subsidiado, a más tardar seis meses después de terminado el período de ejecución de los respectivos contratos</t>
  </si>
  <si>
    <t>Ley 1393 de 2010 art 39</t>
  </si>
  <si>
    <t>1.1.02.06.009.01.09</t>
  </si>
  <si>
    <t>Transferencia Cajas de Compensación Familiar - Financiación del Régimen Subsidiado en Salud - Ley 100 de 1993</t>
  </si>
  <si>
    <t>Son las transferencias que realizan las Cajas de Compensación para la financiación del Régimen Subsidiado en Salud, por concepto del 5% de los recaudos del subsidio familiar que administran, salvo aquellas Cajas que obtengan un cuociente superior al 100% del recaudo del subsidio familiar del respectivo año, las cuales tendrán que destinar un 10% (Ley 100 de 1993, art. 217).</t>
  </si>
  <si>
    <t>1.1.02.06.009.01.11</t>
  </si>
  <si>
    <t>Aportes de unidades del gobierno general para el financiamiento del SGSSS</t>
  </si>
  <si>
    <t>Corresponde al giro de recursos que hacen las unidades del gobierno general para la financiación del Sistema General de Seguridad Social en Salud, de acuerdo con los mandatos legales de la Ley 1393 de 2010 y la Ley 1753 de 2015.
Esta cuenta incluye los recursos del Sistema General de Participaciones, los recursos derivados de la gestión de la Unidad de Gestión de Pensiones Parafiscales (UGPP) y de los recursos tributarios destinados a salud, y los demás definidos por la normatividad colombiana.
Esta cuenta se debe desagregar de acuerdo con los conceptos de recursos con cargo a los cuales se financia el sistema.</t>
  </si>
  <si>
    <t>1.1.02.06.009.01.11.01</t>
  </si>
  <si>
    <t>Aportes de la Nación para el aseguramiento en salud</t>
  </si>
  <si>
    <t>Aportes de la Nación para el Aseguramiento en Salud Cierre (fuente 10)
b) Imporenta
c)Aportes de la Nación para el Aseguramiento en Salud Cierre (fuente 11)
d)Aportes de la Nación para el Aseguramiento en Salud Cierre (fuente 13)</t>
  </si>
  <si>
    <t>1.1.02.06.009.01.11.09</t>
  </si>
  <si>
    <t>Recursos departamentales para Aseguramiento del Régimen Subsidiado</t>
  </si>
  <si>
    <t xml:space="preserve">Son los recursos transferidos por el Departamento por concepto de rentas cedidas, para garantizar la continuidad de la afiliación al régimen subsidiado en salud.
</t>
  </si>
  <si>
    <t>Ley 1438 de 2011. art. 44</t>
  </si>
  <si>
    <t>Modificación</t>
  </si>
  <si>
    <t>1.1.02.06.009.02</t>
  </si>
  <si>
    <t>Son las transferencias corrientes que reciben las entidades de otras unidades para la provisión de derechos de pensiones.</t>
  </si>
  <si>
    <t>1.1.02.06.009.02.02</t>
  </si>
  <si>
    <t>Es la transferencia de recursos que recibe una entidad reconocedora de pensiones por la participación sobre dichas obligaciones reconocidas. Este monto de recursos corresponde a las cotizaciones  del personal que laboró en la entidad, por el plazo de tiempo de los servicios prestados.
Las transferencias por cuotas partes pensionales se deben girar de acuerdo con la participación aceptada en la mesada pensional y los acuerdos de pago con la entidad que reconoce las prestaciones pensionales.</t>
  </si>
  <si>
    <t>Corte Constitucional. Sentencia C-895 de 2009</t>
  </si>
  <si>
    <t>1.1.02.06.010</t>
  </si>
  <si>
    <t>Sentencias y conciliaciones</t>
  </si>
  <si>
    <t>Son las transferencias que reciben las entidades del presupuesto general del sector público como producto de conciliaciones o fallos en procesos judiciales a favor de la entidad en los cuales haya lugar a una indemnización económica. Esta cuenta excluye los recursos recibidos por sanciones fiscales, disciplinares, aduaneras, contractuales y tributarias.</t>
  </si>
  <si>
    <t>Decreto 111 de 1996</t>
  </si>
  <si>
    <t>1.1.02.06.010.01</t>
  </si>
  <si>
    <t>Fallos nacionales</t>
  </si>
  <si>
    <t>Comprende las transferencias corrientes que entidades del presupuesto general del sector público reciben de otra unidad como efecto del acatamiento de un fallo judicial, de un mandamiento ejecutivo, de créditos judicialmente reconocidos, de laudos arbitrales, o de una conciliación ante una autoridad de orden nacional.</t>
  </si>
  <si>
    <t>1.1.02.06.010.01.01</t>
  </si>
  <si>
    <t>Sentencias</t>
  </si>
  <si>
    <t>Comprende las transferencias corrientes que las entidades del presupuesto general del sector público reciben de otra unidad en acatamiento de una decisión judicial que pone fin a un pleito civil o a una causa criminal, resolviendo respectivamente los derechos de cada litigante y la condena o absolución del procesado (OSORIO, 2000).</t>
  </si>
  <si>
    <t>1.1.02.06.010.01.02</t>
  </si>
  <si>
    <t>Conciliaciones</t>
  </si>
  <si>
    <t>Comprende las transferencias corrientes que una unidad del presupuesto general del sector público reciben de otra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</si>
  <si>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1.1.02.06.010.01.03</t>
  </si>
  <si>
    <t>Laudos arbitrales</t>
  </si>
  <si>
    <t>Comprende las transferencias corrientes que las entidades del presupuesto general del sector público reciben de otra unidad en acatamiento de las sentencias que profieren los tribunales de arbitraje. Un laudo arbitral puede ser en derecho, en equidad o técnico.</t>
  </si>
  <si>
    <t>Ley 1563 de 2012</t>
  </si>
  <si>
    <t>1.1.02.06.010.02</t>
  </si>
  <si>
    <t>Fallos internacionales</t>
  </si>
  <si>
    <t xml:space="preserve">Comprende las transferencias corrientes que las entidades del presupuesto general del sector público reciben de otra unidad como efecto del acatamiento de un fallo judicial, de un mandamiento ejecutivo, de créditos judicialmente reconocidos, de laudos arbitrales, o de una conciliación ante una autoridad de carácter internacional. </t>
  </si>
  <si>
    <t>1.1.02.06.011</t>
  </si>
  <si>
    <t>Comprende los ingresos por concepto de indemnizaciones otorgadas por un sistema de aseguramiento contra riesgos, así como ingresos por liquidaciones de seguros no de vida que no sean excepcionales (Fondo Monetario Internacional, 2014, pág. 126)</t>
  </si>
  <si>
    <t>1.1.02.07</t>
  </si>
  <si>
    <t>Se refiere a los recursos por el establecimiento de monopolios como arbitrios rentísticos, autorizados por la Constitución Política.
De acuerdo con la Constitución, los monopolios como arbitrios rentísticos se establecen a partir de la reserva por parte del Estado de la explotación de ciertas actividades económicas. Las características del régimen de los monopolios rentísticos, definidos en la Constitución, son:
• Buscan satisfacer una finalidad de interés público,
• Debe constituir un arbitrio rentístico,
• Es necesaria la indemnización previa a los individuos que se vean privados de su ejercicio
• Debe estar predeterminada la destinación de algunas de esas rentas,
• Ordena la sanción penal de la evasión fiscal en esas actividades, y
• Obliga al Gobierno a liquidar estos monopolios si no demuestran ser eficientes.</t>
  </si>
  <si>
    <t>Cada participación y derecho de monopolio debe tener soporte legal vigente.</t>
  </si>
  <si>
    <t>1.1.02.07.001</t>
  </si>
  <si>
    <t xml:space="preserve">Corresponde a los ingresos de las entidades por concepto del ejercicio del monopolio rentístico de los juegos de suerte y azar, de conformidad con la Ley 643 de 2001.
Son de suerte y azar aquellos juegos en los cuales, según reglas predeterminadas por la ley y el reglamento, una persona, que actúa en calidad de jugador, realiza una apuesta o paga por el derecho a participar, a otra persona que actúa en calidad de operador, que ofrece a cambio un premio, en dinero o en especie, el cual ganará si acierta, dados los resultados del juego, no siendo este previsible con certeza, por estar determinado por la suerte, el azar o la casualidad.
Los recursos obtenidos por los departamentos, Distrito Capital de Bogotá y los municipios como producto del monopolio de juegos de suerte y azar, se deberán transferir directamente a los servicios de salud [...] y emplearse para contratar directamente con las empresas sociales del Estado o entidades públicas o privadas la prestación de los servicios de salud a la población vinculada, o para la afiliación de dicha población al régimen subsidiado (Ley 643 de 2001).
Los juegos de suerte y azar son los siguientes: eventos hípicos, lotería instantánea y lotto impreso, lotería tradicional, apuestas permanentes o chance, rifas, juegos promocionales, juegos localizados, eventos deportivos, gallísticos, caninos y similares y juegos novedosos.
De acuerdo con el artículo 42 de la Ley 643 de 2001, los recursos obtenidos de los juegos diferentes del lotto, la lotería preimpresa y la instantánea, se distribuirán así: a) El ochenta por ciento (80%) para atender la oferta y la demanda en la prestación de los servicios de salud, en cada entidad territorial; b) El siete por ciento (7%) con destino al Fondo de Investigación en Salud; c) El cinco por ciento (5%) para la vinculación al régimen subsidiado contributivo para la tercera edad; d) El cuatro por ciento (4%) para vinculación al régimen subsidiado a los discapacitados, limitados visuales y la salud mental; e) El cuatro por ciento (4%) para vinculación al régimen subsidiado en salud a la población menor de 18 años no beneficiarios de los regímenes contributivos.
Por su parte, Los recursos de la lotería instantánea, la lotería preimpresa y del lotto en línea, se destinarán en primer lugar, al pago del pasivo pensional territorial del sector salud, que se viene asumiendo de acuerdo con la Ley 60 de 1993, en forma compartida. Una vez garantizados los recursos para el pago de pensiones el sector salud territorial, se destinará a la financiación de los servicios de salud, como en el caso de los otros juegos. </t>
  </si>
  <si>
    <t>1.1.02.07.001.01</t>
  </si>
  <si>
    <t>Derechos por la explotación juegos de suerte y azar de eventos hípicos</t>
  </si>
  <si>
    <t>Corresponde a los recursos por concepto de la explotación, por parte de los departamentos y distritos, de los eventos y apuestas hípicas, de conformidad con la Ley 643 de 2001.
Los recursos obtenidos por la explotación de eventos y apuestas hípicas se deben destinar de la siguiente manera:
1. 50% con destino a la financiación de servicios prestados a la población pobre en los no cubierto por subsidios a la demanda y a la población vinculada que se atienda a través de la red hospitalaria pública
2. 50% a la financiación de renovación tecnológica de la red pública hospitalaria en la respectiva entidad territorial</t>
  </si>
  <si>
    <t>1.1.02.07.001.02</t>
  </si>
  <si>
    <t>Derechos por la explotación juegos de suerte y azar de lotería instantánea y lotto impreso</t>
  </si>
  <si>
    <t>Corresponde a los recursos por concepto de los derechos de explotación de lotería instantánea y de lotto impreso, de conformidad con la Ley 643 de 2001. La lotería instantánea es un juego en el cual el jugador compra un tiquete preimpreso y raspa la capa de seguridad removible para descubrir si se encuentra una combinación predeterminada de números o figuras, resultado de un sorteo previo a la impresión que determina aleatoriamente los tiquetes ganadores.
Los recursos obtenidos por la explotación de lotería instantánea y de lotto impreso se destinarán, en primer lugar, al pago del pasivo pensional territorial del sector salud, que se viene asumiendo de acuerdo con la Ley 60 de 1993, en forma compartida. En segundo lugar, al financiamiento de los servicios de salud tal y como sigue (Ley 643 de 2001, artículo 42):
a) El ochenta por ciento (80%) para atender la oferta y la demanda en la prestación de los servicios de salud, en cada entidad territorial;
b) El siete por ciento (7%) con destino al Fondo de Investigación en Salud;
c) El cinco por ciento (5%) para la vinculación al régimen subsidiado contributivo para la tercera edad;
d) El cuatro por ciento (4%) para vinculación al régimen subsidiado a los discapacitados, limitados visuales y la salud mental;
e) El cuatro por ciento (4%) para vinculación al régimen subsidiado en salud a la población menor de 18 años no beneficiarios de los regímenes contributivos.</t>
  </si>
  <si>
    <t>1.1.02.07.001.03</t>
  </si>
  <si>
    <t>Corresponde a los recursos por concepto de la explotación de la lotería tradicional (Art 11, Ley 643 de 2001). La lotería tradicional es una modalidad de juego de suerte y azar realizada en forma periódica por un ente legal autorizado, el cual emite y pone en circulación billetes indivisos o fraccionados de precios fijos singularizados con una combinación numérica y de otros caracteres a la vista, obligándose a otorgar un premio en dinero, fijado previamente en el correspondiente plan al tenedor del billete o fracción cuya combinación o aproximaciones preestablecidas coincidan en su orden con aquella obtenida al azar en sorteo público efectuado por la entidad gestora.
Los recursos obtenidos por la explotación de lotería tradicional deben ser girados al correspondiente Fondo de Salud dentro de los primeros diez días hábiles del mes siguiente a la realización del juego.</t>
  </si>
  <si>
    <t>1.1.02.07.001.04</t>
  </si>
  <si>
    <t>Corresponde a los recursos por concepto de la explotación de las apuestas permanentes o chance (Art. 21, Ley 643 de 2001). Esta es una modalidad de juego de suerte y azar en la cual el jugador, en formulario oficial, en forma manual o sistematizada, indica el valor de su apuesta y escoge un número de no más de cuatro (4) cifras, de manera que si su número coincide, según las reglas predeterminadas, con el resultado del premio mayor de la lotería o juego autorizado para el efecto, gana un premio en dinero, de acuerdo con un plan de premios predefinido y autorizado por el Gobierno Nacional mediante decreto reglamentario.
La explotación del juego corresponde a los Departamentos y al Distrito Capital, pudiéndola realizar directamente por intermedio de las Empresas Industriales y Comerciales del Estado operadoras de loterías, o por intermedio de las Sociedades de Capital Público Departamental (SCPD) que se autoriza y ordena crear en la presente ley.
Los recursos obtenidos por la explotación de apuestas permanentes o chance deben ser destinados a los fondos de salud de la entidad territorial. En el caso de Bogotá y Cundinamarca, el 70% será para el Fondo Financiero de Salud de Bogotá, y el 30% restante para el Fondo Departamental de Salud de Cundinamarca.</t>
  </si>
  <si>
    <t>Ley 643 de 2001
Decreto 1350 de 2003</t>
  </si>
  <si>
    <t>1.1.02.07.001.05</t>
  </si>
  <si>
    <t>Corresponde a los recursos por concepto de la explotación de rifas, de conformidad con la Ley 643 de 2001. Las rifas son una modalidad de juego de suerte y azar en la cual se sortean, en una fecha predeterminada, premios en especie entre quienes hubieren adquirido o fueren poseedores de una o varias boletas, emitidas en serie continua y puestas en venta en el mercado a precio fijo por un operador previa y debidamente autorizado.
De acuerdo con el art. 3 del Decreto 1968 de 2001  "cuando la rifa opere en dos o más departamentos o en un departamento y el Distrito Capital, la explotación le corresponde a la Empresa Territorial para la Salud ETESA y cuando la rifa opere en más de un municipio de un mismo departamento su explotación corresponde al departamento, por intermedio de la respectiva Sociedad de Capital Público Departamental (SCPD)". Posteriormente, el art. 23 del decreto 4142 de 2011 estableció: "las referencias que hagan las disposiciones legales y reglamentarias vigentes a la Empresa Territorial para la Salud, ETESA,  deberán entenderse referidas a la Empresa Industrial y Comercial del Estado, Coljuegos".</t>
  </si>
  <si>
    <t>Ley 643 de 2001
Decreto 1968 de 2001
Decreto 4142 de 2011</t>
  </si>
  <si>
    <t>1.1.02.07.001.06</t>
  </si>
  <si>
    <t>Derechos por la explotación juegos de suerte y azar de juegos promocionales</t>
  </si>
  <si>
    <t>Corresponde a los recursos por concepto de la explotación de juegos promocionales (Art 31, Ley 643 de 2001). Esta modalidad de juegos de suerte y azar son organizados y operados con fines de publicidad o promoción de bienes o servicios, establecimientos, empresas o entidades, en los cuales se ofrece un premio al público, sin que para acceder al juego se pague directamente. Se podrán utilizar como juegos promocionales los sorteos, bingos, apuestas deportivas, lotería instantánea y lotto preimpresa, sus derechos de explotación se pagarán sobre el valor total del plan de premios y cada premio contenido en el plan no debe superar los ciento sesenta (160) Salarios Mínimos Mensuales Legales vigentes
Un juego promocional es de carácter nacional, cuando el  mismo opera en la jurisdicción de dos o más departamentos, bien sea que cobije a todo el departamento, o solamente a algunos de sus municipios y distritos. En este caso, la explotación de los juegos promocionales se destinarán a Coljuegos, de acuerdo con los establecido por el Decreto 493 de 2001 y el Decreto 4142 de 2011.  Por el contrario, un juego promocional es de carácter departamental, cuando su operación se realiza únicamente en jurisdicción de un solo departamento y es de carácter distrital o municipal, cuando opera únicamente en jurisdicción de un solo distrito o municipio.</t>
  </si>
  <si>
    <t>Ley 643 de 2001
Decreto 493 de 2001
Decreto 4142 de 2011</t>
  </si>
  <si>
    <t>1.1.02.07.001.07</t>
  </si>
  <si>
    <t>Derechos por la explotación juegos de suerte y azar de juegos localizados</t>
  </si>
  <si>
    <t>Corresponde a los recursos por concepto de la explotación de juegos localizados (Art 32, Ley 643 de 2001) . Estos son una modalidad de  juegos de suerte y azar que operan con equipos o elementos de juegos en locales de comercio. Los juegos localizados requieren la presencia física de los jugadores, siendo esto una condición necesaria para poder apostar, adicionalmente el jugador deberá pagar previamente para participar en el juego.
Dentro de los juegos de suerte y azar localizados se encuentran los siguiente elementos de juego: bingos, videobingos, esferódromos, Máquinas Electrónicas Tragamonedas (MET’S), apuestas de carreras y deportes virtuales,  y otros operados en casinos y similares.
Coljuegos explota los juegos de carácter nacional (dos o más departamentos o municipios de diferentes departamentos o un departamento y el distrito capital); la Sociedad de Capital Público Departamental, si la actividades de nivel departamental y municipal; la Lotería De Bogotá en virtud del Decreto 148 de 2003, autoriza y expide los conceptos requeridos en el Distrito Capital.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t>
  </si>
  <si>
    <t>Ley 643 de 2001
Decreto 148 de 2003</t>
  </si>
  <si>
    <t>1.1.02.07.001.08</t>
  </si>
  <si>
    <t>Derechos por la explotación juegos de suerte y azar de eventos deportivos, gallísticos, caninos y similares</t>
  </si>
  <si>
    <t>Corresponde a los recursos por concepto de la explotación del monopolio de juegos de azar por eventos deportivos, gallísticos, caninos y similares (art. 36, Ley 643 de 2001). Estos eventos son modalidades de juegos de suerte y azar en las cuales las apuestas de los jugadores están ligadas a los resultados de eventos deportivos, gallísticos, caninos y similares, tales como el marcador, el ganador o las combinaciones o aproximaciones preestablecidas. El jugador que acierte con el resultado del evento se hace acreedor a un porcentaje del monto global de las apuestas o a otro premio preestablecido. Coljuegos explota los juegos de carácter nacional (dos o más departamentos o municipios de diferentes departamentos o un departamento y el Distrito Capital).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t>
  </si>
  <si>
    <t>1.1.02.07.001.09</t>
  </si>
  <si>
    <t>Corresponde a los recursos por concepto de la explotación del monopolio de juegos de azar por juegos novedosos (art. 38, Ley 643 de 2001, modificado por el art. 22 de la Ley 1393 de 2010 y posteriormente por el art. 93 de la Ley 1753 de 2015). Los juegos novedosos son cualquier otra modalidad de juegos de suerte y azar distintos de las loterías tradicionales o de billetes, de las apuestas permanentes y de los demás juegos a que se refiere la presente ley. Se consideran juegos novedosos, entre otros, la lotto preimpresa, la lotería instantánea, el lotto en línea en cualquiera de sus modalidades, apuestas deportivas o en eventos y todos los juegos operados por internet, o por cualquier otra modalidad de tecnologías de la información que no requiera la presencia del apostador.
Coljuegos regula y recibe las transferencias de derechos de explotación de los juegos novedosos.
De acuerdo con el art. 42 de la Ley 643 de 2001, los recursos obtenidos por la explotación de rifas se deben destinar así:
1. 80% para atender la oferta y la demanda en la prestación de los servicios de salud,
2. 7% con destino al Fondo de Investigación en Salud,
3. 5% para la vinculación al régimen subsidiado contributivo para la tercera edad,
4. 4% para la vinculación al régimen subsidiado a los discapacitados, limitados visuales y la salud mental,
5. 4% para vinculación al régimen subsidiado en salud a la población menor de 18 años no beneficiarios en regímenes contributivos.                                                                                                                                            En esta cuenta también deben ingresar los derechos de explotación de los incentivos de premio inmediato establecidos en el decreto legislativo 808 de 2020, a una tarifa del 12% sobre los ingresos brutos.</t>
  </si>
  <si>
    <t>Ley 643 de 2001;
Ley 1393 de 2010;
Ley 1753 de 2015;                                                                         Decreto legislativo 808 de 2020.</t>
  </si>
  <si>
    <t>1.1.02.07.002</t>
  </si>
  <si>
    <t>Participación y derechos de explotación del ejercicio del monopolio de licores destilados y alcoholes potables</t>
  </si>
  <si>
    <t>Corresponde a los ingresos de los departamentos que ejerzan el monopolio sobre la producción e introducción de licores destilados por concepto de la utilización a terceros para la producción y/o introducción de licores destilados, de conformidad con los dispuesto por la Ley 1816 de 2016.
Los recursos obtenidos por los derechos de explotación del ejercicio del monopolio sobre la producción e introducción de licores destilados se deben destinar así:
1. Del total del recaudo de las rentas del monopolio de licores destilados, y del impuesto al consumo de licores, vinos, aperitivos y similares, los departamentos destinarán el 37% a financiar la salud, y 3% a financiar el deporte
2. Para efectos de la destinación preferente ordenada por el artículo 336 de la Constitución, por los menos el 51% del total del recaudo de las rentas del monopolio de licores destilados deberá destinarse a salud y educación.
3. De la totalidad de las rentas derivadas del monopolio del alcohol potable se destinará por los menos el 51% a salud y educación, y el 10% a deporte.
4. El Distrito Capital recibirá el 10,5% del impuesto de licores, vinos, aperitivos y similares, y de la participación de licores destilados que se cause sobre productos consumidos en el Distrito Capital y en el Departamento de Cundinamarca, que equivale a la participación establecida en el Decreto 1987 de 19888. El Distrito Capital destinará el 88% de esos recursos a salud y el 12% a deporte. En el caso del Departamento de Cundinamarca, los porcentajes señalados en el numeral 1 se determinarán una vez descontado el 10,5% al que se refiere este numeral.</t>
  </si>
  <si>
    <t>Ley 1816 de 2016</t>
  </si>
  <si>
    <t>1.1.02.07.002.01</t>
  </si>
  <si>
    <t>Los departamentos que ejerzan el monopolio sobre la producción e introducción de licores destilados percibirán derechos de explotación derivados de la autorización a terceros para la producción y/o introducción de licores destilados. La Ley 1816 de 2016 fija el régimen propio del monopolio rentístico de licores destilados, modificando el impuesto al consumo de licores, vinos, aperitivos y similares.</t>
  </si>
  <si>
    <t>1.1.02.07.002.01.01</t>
  </si>
  <si>
    <t>Derechos de monopolio por la producción de licores destilados</t>
  </si>
  <si>
    <t>Corresponde a los recursos por concepto de la producción de licores destilados en ejercicio del monopolio rentístico. De acuerdo con la Ley 1816 de 2016,  los departamentos ejercen el monopolio de producción de licores destilados a través de la contratación de terceros para la producción y la adquisición de alcohol potable destinado a la fabricación de licores sobre los cuales el departamento posee la titularidad de la propiedad intelectual.</t>
  </si>
  <si>
    <t>1.1.02.07.002.01.02</t>
  </si>
  <si>
    <t>Corresponde a los recursos por concepto de la introducción de licores destilados en ejercicio del monopolio rentístico. Los gobernadores otorgan los permisos temporales para la introducción de licores destilados a personas de derecho público o privado, de acuerdo con las disposiciones de la Ley 1816 de 2016.</t>
  </si>
  <si>
    <t>1.1.02.07.002.01.02.01</t>
  </si>
  <si>
    <t>Corresponde a los recursos recaudados por concepto de la introducción de licores destilados producidos dentro de la economía nacional.</t>
  </si>
  <si>
    <t>Este rubro es una desagregación de los derechos de monopolio por la introducción de licores destilados. Por tal motivo, le aplica el mismo marco legal.</t>
  </si>
  <si>
    <t>1.1.02.07.002.01.02.02</t>
  </si>
  <si>
    <t>Corresponde a los recursos recaudados por la introducción de licores destilados  producidos en el exterior e importados para el consumo nacional.</t>
  </si>
  <si>
    <t>1.1.02.07.002.01.03</t>
  </si>
  <si>
    <t>Los departamentos que ejerzan el monopolio de licores destilados, en lugar del impuesto al consumo establecido en la ley, tendrán derecho a recibir una participación sobre los productos objeto del monopolio que se consuman en su jurisdicción, de acuerdo con la Ley 1816 de 2016.</t>
  </si>
  <si>
    <t>1.1.02.07.002.01.03.01</t>
  </si>
  <si>
    <t>Participación por el consumo de licores destilados producidos</t>
  </si>
  <si>
    <t>Corresponde a los recursos recaudados por el consumo de licores destilados producidos en la jurisdicción, en ejercicio del monopolio rentístico</t>
  </si>
  <si>
    <t>Este rubro es una desagregación de la participación por el consumo de licores destilados. Por tal motivo, le aplica el mismo marco legal.</t>
  </si>
  <si>
    <t>1.1.02.07.002.01.03.02</t>
  </si>
  <si>
    <t>Corresponde a los recursos recaudados por el consumo de licores destilados introducidos en la jurisdicción, en ejercicio del monopolio rentístico</t>
  </si>
  <si>
    <t>1.1.02.07.002.01.03.02.01</t>
  </si>
  <si>
    <t>Corresponde a los recursos por el consumo de licores destilados introducidos que se hayan producido en el territorio nacional</t>
  </si>
  <si>
    <t>1.1.02.07.002.01.03.02.02</t>
  </si>
  <si>
    <t>Corresponde a los recursos por el consumo de licores destilados introducidos que se produzcan en el extranjero y se importen para el consumo nacional.</t>
  </si>
  <si>
    <t>1.1.02.07.002.01.03.02.02.01</t>
  </si>
  <si>
    <t>Participación por el consumo de licores destilados introducidos de producción extranjera recaudado por fondo cuenta de la FND</t>
  </si>
  <si>
    <t>Corresponde a los recursos por el consumo de licores destilados introducidos que se produzcan en el extranjero, recaudados por el fondo cuenta de la Federación Nacional de Departamentos (FND).</t>
  </si>
  <si>
    <t>1.1.02.07.002.01.03.02.02.02</t>
  </si>
  <si>
    <t>Participación por el consumo de licores destilados introducidos de producción extranjera recaudado por el departamento</t>
  </si>
  <si>
    <t>Corresponde a los recursos por el consumo de licores destilados introducidos que se produzcan en el extranjero recaudados directamente por el departamento</t>
  </si>
  <si>
    <t>1.1.02.07.002.02</t>
  </si>
  <si>
    <t xml:space="preserve">Participación sobre el alcohol potable con destino a la fabricación de licores </t>
  </si>
  <si>
    <t>Los departamentos que ejerzan el monopolio sobre alcoholes potables con destino a la fabricación de licores tendrán derecho a percibir una participación sobre el alcohol potable.</t>
  </si>
  <si>
    <t>1.1.02.07.002.02.01</t>
  </si>
  <si>
    <t>Corresponde a los recursos por la utilización de alcohol potable producido en la jurisdicción, en ejercicio del monopolio rentístico</t>
  </si>
  <si>
    <t>Este rubro es una desagregación de la participación sobre el alcohol potable con destino a la fabricación de licores. Por tal motivo, le aplica el mismo marco legal.</t>
  </si>
  <si>
    <t>1.1.02.07.002.02.02</t>
  </si>
  <si>
    <t>Derechos por la explotación de alcohol potable introducido</t>
  </si>
  <si>
    <t>Corresponde a los recursos por la utilización de alcohol potable introducido en la jurisdicción, en ejercicio del monopolio rentístico</t>
  </si>
  <si>
    <t>1.1.02.07.002.02.02.01</t>
  </si>
  <si>
    <t>Derechos por la explotación de alcohol potable introducido de producción nacional</t>
  </si>
  <si>
    <t>Corresponde a los recursos por la utilización de alcohol potable introducido, producido en el territorio nacional</t>
  </si>
  <si>
    <t>1.1.02.07.002.02.02.02</t>
  </si>
  <si>
    <t>Derechos por la explotación de alcohol potable introducido de producción extranjera</t>
  </si>
  <si>
    <t>Corresponde a los recursos por la utilización de alcohol potable introducido, producido en el extranjero e importado para el consumo nacional.</t>
  </si>
  <si>
    <t>1.2</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</si>
  <si>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los cual difícilmente asegura su continuidad durante amplios periodos presupuestales” (Corte Constitucional, Sentencia C-1072 de 2002).</t>
  </si>
  <si>
    <t>1.2.01</t>
  </si>
  <si>
    <t>Disposición de activos</t>
  </si>
  <si>
    <t xml:space="preserve">Recursos que obtiene una entidad del presupuesto general del sector público provenientes del traslado de derecho y dominio parcial o total de activos con destino a la financiación del presupuesto (Ministerio de Hacienda y Crédito Público, 2011, p. 245). </t>
  </si>
  <si>
    <t>1.2.01.01</t>
  </si>
  <si>
    <t>Disposición de activos financieros</t>
  </si>
  <si>
    <t>Son los ingresos recibidos por las unidades del presupuesto general del sector público a cambio de poner activos financieros a disposición de otra unidad. Entiéndase por activos financieros, aquellos activos que tienen un pasivo de contrapartida, es decir, que generan a su propietario un derecho sobre otra unidad institucional (Fondo Monetario Internacional, 2014, pág. 194).
En esta partida se registran los ingresos por: a) la venta de acciones, b) distribución de recursos por disminución de capital de las empresas.
Esta cuenta no incluye la distribución de utilidades y los excedentes financieros con la venta de acciones y participaciones de las empresas.</t>
  </si>
  <si>
    <t>1.2.01.01.001</t>
  </si>
  <si>
    <t>Acciones</t>
  </si>
  <si>
    <t>Corresponde a los ingresos por concepto de la disposición de acciones cuya titularidad corresponde a una entidad del PGSP.
Esta valoración, además de las condiciones y naturaleza del mercado, deberá considerar variables técnicas tales como la rentabilidad de la institución, el valor comercial de los activos y pasivos, y los apoyos de la Nación, que conduzcan a la determinación del valor para cada caso de enajenación (Ley 226 de 1995).</t>
  </si>
  <si>
    <t>Ley 226 de 1995</t>
  </si>
  <si>
    <t>1.2.01.01.002</t>
  </si>
  <si>
    <t>Reducciones de capital</t>
  </si>
  <si>
    <t>Ingresos por concepto de la disminución de los fondos que tiene una entidad del PGSP en una sociedad. Una reducción de capital se puede dar por i) devolución de aportaciones, ii) condonación de dividendos pasivos, iii) restablecimiento del patrimonio de la sociedad disminuido en situación de pérdidas, o iv) constitución o incremento de la reserva legal.
Esta cuenta también registra los recursos del Desahorro del Fondo de ahorro  y Estabilización del Sistema General de Regalías (Nivel Ley).  Art. 114 Ley 2056 de 2020</t>
  </si>
  <si>
    <t>1.2.01.01.003</t>
  </si>
  <si>
    <t>Reembolso de participaciones en fondos de inversión</t>
  </si>
  <si>
    <t>Corresponde al ingreso por concepto de la venta de las participaciones que tienen las entidades del PGSP en fondos de inversión.</t>
  </si>
  <si>
    <t>1.2.01.01.005</t>
  </si>
  <si>
    <t>Bonos y otros títulos emitidos</t>
  </si>
  <si>
    <t>Corresponde al ingreso por la disposición de bonos y otros títulos valores diferentes a acciones destinados a financiar el presupuesto.</t>
  </si>
  <si>
    <t>1.2.01.02</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</si>
  <si>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</si>
  <si>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</si>
  <si>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1.2.01.02.001</t>
  </si>
  <si>
    <t>Disposición de activos fijos</t>
  </si>
  <si>
    <t>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t>
  </si>
  <si>
    <t>1.2.01.02.001.01</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</si>
  <si>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</si>
  <si>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</si>
  <si>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1.2.01.02.001.02</t>
  </si>
  <si>
    <t>Disposición de maquinaria y equipo</t>
  </si>
  <si>
    <t>Ingresos por la concepto de la venta de activos como equipo de transporte, maquinaria relacionada con tecnologías de la información y las comunicaciones y otras maquinarias y equipos no clasificados en otra partida.</t>
  </si>
  <si>
    <t>1.2.01.02.001.03</t>
  </si>
  <si>
    <t>Disposición de otros activos fijos</t>
  </si>
  <si>
    <t xml:space="preserve">Ingresos por la disposición de activos no mencionados en los rubros anteriores, a saber, recursos biológicos cultivados y productos de propiedad intelectual. </t>
  </si>
  <si>
    <t>1.2.01.02.001.03.01</t>
  </si>
  <si>
    <t>Disposición de recursos biológicos cultivados</t>
  </si>
  <si>
    <t>Ingresos por concepto de recursos biológicos  que generan productos de forma repetida, tanto animales como vegetales, cuyo crecimiento natural y regeneración se encuentra bajo el control de la entidad.</t>
  </si>
  <si>
    <t>1.2.01.02.001.03.02</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</si>
  <si>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</si>
  <si>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</si>
  <si>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1.2.01.02.002</t>
  </si>
  <si>
    <t>Disposición de objetos de valor</t>
  </si>
  <si>
    <t>Ingresos por concepto de la disposición de activos producidos de considerable valor que no se usan primordialmente para fines de producción o consumo, sino que se mantienen como depósitos de valor a los largo del tiempo. Se espera que su valor real aumente o, al menos, que no disminuya; y en condiciones normales no se deterioran (Fondo Monetario Internacional, 2014, pág. 207).
En este rubro se incluyen los activos que tienen un valor considerable, y que son mantenidos por la entidad como depósito de valor a los largo del tiempo.</t>
  </si>
  <si>
    <t>1.2.01.02.002.01</t>
  </si>
  <si>
    <t>Disposición de joyas y artículos conexos</t>
  </si>
  <si>
    <t>Ingresos por la disposición de oro no monetario y otras piedras y metales preciosos que no se prevé emplear como materiales y suministros en procesos productivos. También incluye las joyas de considerable valor diseñadas con piedras y metales preciosos.</t>
  </si>
  <si>
    <t>1.2.01.02.002.02</t>
  </si>
  <si>
    <t>Disposición de antigüedades u otros objetos de arte</t>
  </si>
  <si>
    <t>Ingresos por concepto de la disposición de pinturas, esculturas y otros objetos reconocidos como obras de arte o antigüedades mantenidos primordialmente como depósito de valor a través del tiempo</t>
  </si>
  <si>
    <t>1.2.01.02.002.03</t>
  </si>
  <si>
    <t>Disposición de otros objetos valiosos</t>
  </si>
  <si>
    <t>Ingresos por la disposición de colecciones de estampillas, monedas, porcelana china, libros y otros diversos objetos de valor.</t>
  </si>
  <si>
    <t>1.2.01.02.003</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</si>
  <si>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</si>
  <si>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</si>
  <si>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1.2.01.02.003.01</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</si>
  <si>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</si>
  <si>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</si>
  <si>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1.2.01.02.003.02</t>
  </si>
  <si>
    <t>Disposición de recursos biológicos no cultivados</t>
  </si>
  <si>
    <t>Ingresos por la disposición de animales y plantas de producción cuyo crecimiento natural no se encuentra bajo el control de la entidad</t>
  </si>
  <si>
    <t>1.2.02</t>
  </si>
  <si>
    <t>Estos se refieren a los excedentes financieros de las unidades que hacen parte del Presupuesto General del Sector Público, que se distribuyen de acuerdo con las disposiciones de las autoridades respectivas y la normatividad vigente.</t>
  </si>
  <si>
    <t>Corte Constitucional. Sentencia C-1072 DE 2002</t>
  </si>
  <si>
    <t>1.2.02.01</t>
  </si>
  <si>
    <t>Corresponde al monto de recursos que las autoridades respectivas y la normatividad vigente determinen que entrarán a hacer parte del presupuesto de las entidades de gobierno provenientes de los establecimientos públicos del orden territorial y nacional al cierre de la vigencia fiscal..</t>
  </si>
  <si>
    <t>1.2.02.02</t>
  </si>
  <si>
    <t>Empresas industriales y comerciales del Estado no societarias</t>
  </si>
  <si>
    <t>Los excedentes financieros de las empresas industriales y comerciales del estado no societarias corresponden al monto de los recursos que las autoridades respectivas y la normatividad vigente determinen que entrarán a hacer parte del presupuesto de las entidades de gobierno.</t>
  </si>
  <si>
    <t>1.2.02.03</t>
  </si>
  <si>
    <t>Fondos de Desarrollo Local Distrito de Bogotá</t>
  </si>
  <si>
    <t>1.2.03</t>
  </si>
  <si>
    <t>Comprende la distribución de beneficios (utilidades y dividendos) a las unidades del presupuesto general del sector público, incluido los particulares que manejan recursos públicos, en su calidad de propietarias de inversiones de capital, a cambio de poner fondos disposición de alguna sociedad.</t>
  </si>
  <si>
    <t>1.2.03.02</t>
  </si>
  <si>
    <t>Empresas industriales y comerciales del Estado societarias</t>
  </si>
  <si>
    <t xml:space="preserve">Corresponde a los ingresos por concepto de las utilidades y dividendos de las EICE societarias, incluyendo la cuantía que corresponde a las entidades de gobierno por su participación en el capital de la empresa </t>
  </si>
  <si>
    <t>Decreto 111 de 1996, art. 97</t>
  </si>
  <si>
    <t>1.2.03.03</t>
  </si>
  <si>
    <t xml:space="preserve">Corresponde a los ingresos por concepto de las utilidades y dividendos de las EICE societarias, en la cuantía que corresponde a las entidades de gobierno por su participación en el capital de la empresa. </t>
  </si>
  <si>
    <t>Conpes 3884 de 2017</t>
  </si>
  <si>
    <t>1.2.03.04</t>
  </si>
  <si>
    <t>Inversiones patrimoniales no controladas</t>
  </si>
  <si>
    <t xml:space="preserve">Corresponde a los ingresos por concepto de las utilidades y dividendos de las EICE societarias, particulares que administran recursos públicos, incluyendo la cuantía que corresponde a las entidades de gobierno por su participación en el capital de la empresa </t>
  </si>
  <si>
    <t>1.2.03.05</t>
  </si>
  <si>
    <t>Inversiones en entidades controladas - entidades en el exterior</t>
  </si>
  <si>
    <t>Corresponde a los ingresos por concepto de dividendos y utilidades que se reciben de las inversiones realizadas en entidades con sede en el exterior, con la intención de ejercer control o de compartirlo.</t>
  </si>
  <si>
    <t>1.2.03.06</t>
  </si>
  <si>
    <t>Inversiones en entidades controladas - sociedades públicas</t>
  </si>
  <si>
    <t>Corresponde a los ingresos por concepto de dividendos y utilidades que se reciben de las inversiones realizadas en sociedades públicas, con la intención de ejercer control o de compartirlo.</t>
  </si>
  <si>
    <t>1.2.05</t>
  </si>
  <si>
    <t xml:space="preserve">Son los ingresos que se reciben las unidades del PGSP y los particulares que administran recursos de origen público,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 </t>
  </si>
  <si>
    <t>1.2.05.01</t>
  </si>
  <si>
    <t>Títulos participativos</t>
  </si>
  <si>
    <t>Corresponde a los ingresos por concepto de rendimientos financieros sobre títulos participativos. Los títulos participativos otorgan al titular la calidad de copropietario e  incorporan derechos sobre los resultados obtenidos por la entidad emisora.</t>
  </si>
  <si>
    <t>1.2.05.02</t>
  </si>
  <si>
    <t>Son los ingresos por rendimientos financieros de los depósitos que tengan las entidades de gobierno y particulares que administran recursos de origen público, en las entidades vigiladas por la Superintendencia Financiera.</t>
  </si>
  <si>
    <t>1.2.05.03</t>
  </si>
  <si>
    <t>Valores distintos de acciones</t>
  </si>
  <si>
    <t>Corresponde a los ingresos por concepto de rendimientos de los valores distintos a las acciones. Los valores distintos a las acciones se definen como instrumentos financieros negociables, que sirven de evidencia de la obligación de liquidarlos mediante el suministro de efectivo.</t>
  </si>
  <si>
    <t>1.2.05.04</t>
  </si>
  <si>
    <t>Cuenta única nacional</t>
  </si>
  <si>
    <t>Corresponde a los ingresos que abona la DGCPT a los órganos del PGN, una vez al año, de acuerdo a los recursos manejados y a las inversiones realizadas en el lapso de tiempo en que permanecieron los saldos disponibles dentro del Sistema de Cuenta Única Nacional - CUN.</t>
  </si>
  <si>
    <t>1.2.05.05</t>
  </si>
  <si>
    <t>Intereses por préstamos</t>
  </si>
  <si>
    <t>Corresponde a los ingresos por el concepto de intereses de fondos en préstamos que tienen las entidades de gobierno. Los intereses son una forma de renta de inversión cobradas por el acreedor del préstamo.</t>
  </si>
  <si>
    <t>1.2.05.06</t>
  </si>
  <si>
    <t>Rendimientos recursos de terceros</t>
  </si>
  <si>
    <t>Ingresos por concepto de rendimientos financieros derivados de los recursos que se encuentran en poder de otra unidad o en administración del Estado, y cuya condicionalidad es transitoria, hasta definir el dueño de los mismo, siempre que este pactado en la norma.</t>
  </si>
  <si>
    <t>1.2.06</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</si>
  <si>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</si>
  <si>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</si>
  <si>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1.2.06.01</t>
  </si>
  <si>
    <t>Recursos de contratos de empréstitos externos</t>
  </si>
  <si>
    <t xml:space="preserve"> Los contratos de empréstito tienen por objeto proveer a la entidad contratante (órgano del PGN, entidad territorial, órgano autónomo o particular) de recursos con plazo para su pago. Son contratos de empréstito externo los que tienen por objeto proveer a la entidad estatal contratante de recursos en moneda  extranjera con plazo para su pago.</t>
  </si>
  <si>
    <t>Decreto 1068 de 2015, art. 2.2.1.2.1.1</t>
  </si>
  <si>
    <t>1.2.06.01.001</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</si>
  <si>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</si>
  <si>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los necesitan</t>
  </si>
  <si>
    <t>Decreto 1068 de 2015, art. 2.2.1.2.1.2</t>
  </si>
  <si>
    <t>1.2.06.01.002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</si>
  <si>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</si>
  <si>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</si>
  <si>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1.2.06.01.003</t>
  </si>
  <si>
    <t>Gobiernos</t>
  </si>
  <si>
    <t>Comprende  los  recursos  provenientes  de  las  líneas  de  crédito  de  gobierno  a  gobierno,  y  de  los contratos de empréstitos celebrados con otros gobiernos. Entiéndase por línea de crédito de gobierno a gobierno, aquel acuerdo mediante el cual un gobierno extranjero adquiere el compromiso de poner a disposición del gobierno nacional los recursos necesarios para la financiación de determinados proyectos, bienes o servicios</t>
  </si>
  <si>
    <t>Decreto 1068 de 2015, art. 2.2.1.2.1.10</t>
  </si>
  <si>
    <t>1.2.06.01.003.01</t>
  </si>
  <si>
    <t>Bancos centrales y agencias de gobiernos</t>
  </si>
  <si>
    <t xml:space="preserve">Comprende los recursos provenientes de las líneas de crédito que es contratado con un banco central o una agencia de gobierno. Para la ejecución de estos recursos, generalmente debe celebrarse un convenio marco previo entre los dos gobiernos, a partir del cual se desarrollan programas o proyectos. </t>
  </si>
  <si>
    <t>1.2.06.01.003.02</t>
  </si>
  <si>
    <t xml:space="preserve">Comprende los recursos provenientes de las líneas de crédito que contrata un gobierno extranjero con el Gobierno Nacional. Para la ejecución de estos recursos, generalmente debe celebrarse un convenio marco previo entre los dos gobiernos, a partir del cual se desarrollan programas o proyectos. </t>
  </si>
  <si>
    <t>1.2.06.01.004</t>
  </si>
  <si>
    <t>Organismos multilaterales</t>
  </si>
  <si>
    <t>Comprende  los  recursos  provenientes  de  los  contratos  de empréstito  celebrados  con organismos multilaterales. Estas operaciones de crédito se realizan de acuerdo con las líneas de acción definidas para cada país y de conformidad con las políticas generales y sectoriales definidas por cada Banco, así como por las prioridades de cada Gobierno.</t>
  </si>
  <si>
    <t>1.2.06.01.004.01</t>
  </si>
  <si>
    <t>BID</t>
  </si>
  <si>
    <t>Comprende  los  recursos  provenientes  de  los  contratos  de  empréstito  celebrados  con  el  Banco Interamericano de Desarrollo - BID. Los recursos que ofrece el BID a los gobiernos o a las instituciones controladas por los gobiernos, son otorgados como préstamos de garantía soberana y pueden ser utilizados para apoyar  proyectos de  inversión pública  o para apoyar cambios  institucionales y de política sectorial.</t>
  </si>
  <si>
    <t>1.2.06.01.004.02</t>
  </si>
  <si>
    <t>BIRF</t>
  </si>
  <si>
    <t xml:space="preserve">Comprende  los  recursos  provenientes  de  los  contratos  de  empréstito  celebrados  con  el  Banco Internacional de Reconstrucción y Fomento - BIRF. </t>
  </si>
  <si>
    <t>1.2.06.01.004.03</t>
  </si>
  <si>
    <t>CAF</t>
  </si>
  <si>
    <t>Comprende los recursos provenientes de los contratos de empréstito celebrados con el Banco de Desarrollo  de  América Latina  -  CAF.  Con  los  recursos  de  la  CAF  se  pueden  financiar  planes de infraestructura relacionados con la vialidad, el transporte, las  telecomunicaciones, la generación y transmisión de energía, el agua y el saneamiento ambiental; así como también proyectos que propician el desarrollo fronterizo y la integración física entre los países de la región.</t>
  </si>
  <si>
    <t>1.2.06.01.005</t>
  </si>
  <si>
    <t>Otras instituciones financieras</t>
  </si>
  <si>
    <t xml:space="preserve">Corresponde a los ingresos por contratación de créditos con entidades financieras que por su naturaleza no son clasificables en los rubros anteriores. </t>
  </si>
  <si>
    <t>1.2.06.01.005.01</t>
  </si>
  <si>
    <t>FIDA</t>
  </si>
  <si>
    <t>Comprende  los  recursos  provenientes  de  los  contratos  de  empréstito  celebrados  con  el  Fondo Internacional  para  el  Desarrollo  Agrícola  -  FIDA.  Las  operaciones  de  préstamos  del  FIDA  están dirigidas a cofinanciar programas y proyectos orientados a las necesidades de los más pobres y de los segmentos marginados de la población rural, ya sea que estén sin tierra, minifundistas, mujeres, artesanos, pescadores, pastores o indígenas</t>
  </si>
  <si>
    <t>1.2.06.01.005.02</t>
  </si>
  <si>
    <t>FODI</t>
  </si>
  <si>
    <t>Comprende los recursos provenientes de los contratos de empréstito celebrados con el Fondo OPEP para el Desarrollo Internacional - FODI. Los recursos del FODI se destinan en general a la asistencia de proyectos de inversión en materia de transporte, energía, suministro de agua, entre otros; así como al apoyo de programas institucionales y al alivio de la deuda</t>
  </si>
  <si>
    <t>1.2.06.01.005.03</t>
  </si>
  <si>
    <t>Recursos de crédito externo de otras instituciones financieras</t>
  </si>
  <si>
    <t>1.2.06.02</t>
  </si>
  <si>
    <t>Títulos de deuda</t>
  </si>
  <si>
    <t>Son títulos de deuda pública los bonos y demás valores de contenido crediticio y con plazo para su redención, emitidos por las entidades estatales. No se consideran títulos de deuda pública los valores que, en relación con las operaciones del giro ordinario de las actividades propias de su objeto social, emitan los establecimientos de crédito, las compañías de seguros y las demás entidades financieras de carácter estatal. La colocación de los títulos de deuda pública se sujetará a las condiciones financieras de carácter general que señale la Junta Directiva del Banco de la República.</t>
  </si>
  <si>
    <t>Decreto 1068 de 2015, art. 2.2.1.3.1. y ss.</t>
  </si>
  <si>
    <t>1.2.06.02.001</t>
  </si>
  <si>
    <t>Bonos</t>
  </si>
  <si>
    <t>Comprende los recursos provenientes de la emisión de bonos globales que hacen la Nación y las Entidades Territoriales en los mercados de capitales internacionales. Dichos recursos no son atados y, por los tanto, pueden ser destinados a financiar cualquier actividad que estime conveniente la entidad emisora. El plazo mínimo de los bonos es de un año y la tasa de interés es determinada por el emisor en el momento de la colocación de los títulos de acuerdo con las condiciones de mercado.</t>
  </si>
  <si>
    <t>1.2.07</t>
  </si>
  <si>
    <t xml:space="preserve"> Entiéndase por operaciones de crédito público interno todo acto o contrato que tienen por objeto dotar a la entidad (órgano del PGN, entidad territorial, órgano autónomo, empresa o particular) de recursos, bienes o servicios con plazo para su pago. Son contratos de empréstito interno  los que tienen por objeto proveer a la entidad estatal contratante de recursos en moneda nacional con plazo para su pago. Los empréstitos se contratarán en forma directa, sin someterse al procedimiento de licitación o concurso de méritos. Su celebración se sujetará a los dispuesto en los artículos siguientes.</t>
  </si>
  <si>
    <t>1.2.07.01</t>
  </si>
  <si>
    <t>Son contratos de empréstito interno los que tienen por objeto proveer a la entidad estatal de recursos en moneda nacional con plazo para su pago. Dentro de estos recursos se incluyen los créditos de reactivación económica y los créditos de tesorería autorizados por el Decreto Legislativo 678 de 2020 de manera temporal para afrontar la emergencia sanitaria.</t>
  </si>
  <si>
    <t>Decreto Legislativo 678 de 2020</t>
  </si>
  <si>
    <t>1.2.07.01.001</t>
  </si>
  <si>
    <t>Corresponde a los ingresos por adquisición de deuda con aquellos bancos comerciales que ofrecen sus recursos a tasas y condiciones vigentes del mercado. Estos recursos pueden dirigirse a cualquier sector.</t>
  </si>
  <si>
    <t>1.2.07.01.002</t>
  </si>
  <si>
    <t>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</si>
  <si>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</si>
  <si>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1.2.07.01.003</t>
  </si>
  <si>
    <t>Banca de fomento</t>
  </si>
  <si>
    <t>Comprende los recursos provenientes de los créditos adquiridos con entidades de fomento residentes en 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(Contaduría General de la Nación, 2010, pág. 20).</t>
  </si>
  <si>
    <t>1.2.07.01.004</t>
  </si>
  <si>
    <t>Institutos de Desarrollo Departamental y/o Municipal</t>
  </si>
  <si>
    <t>Corresponde a los ingresos por desembolsos realizados durante la vigencia por concepto de los créditos concedidos a la entidad de gobierno por parte de los fondos o institutos de desarrollo.</t>
  </si>
  <si>
    <t>1.2.07.01.006</t>
  </si>
  <si>
    <t xml:space="preserve">Corresponde a los ingresos por contratación de créditos con entidades financieras distintas a las mencionadas. También incluye los montos de dinero transferidos al Tesoro Nacional por concepto de cuentas inactivas, por parte de las entidades financieras. </t>
  </si>
  <si>
    <t>1.2.07.01.007</t>
  </si>
  <si>
    <t>Otras entidades no financieras</t>
  </si>
  <si>
    <t>1.2.07.02</t>
  </si>
  <si>
    <t>Comprende los recursos provenientes de los títulos de deuda pública (bonos y demás valores de contenido crediticio) emitidos por las entidades de gobierno en el mercado local de capitales con plazo para su rendición</t>
  </si>
  <si>
    <t>Decreto 1068 de 2015, art. 2.2.1.3.5</t>
  </si>
  <si>
    <t>1.2.07.02.002</t>
  </si>
  <si>
    <t xml:space="preserve">Comprende  los  recursos provenientes  de  la  colocación  de  bonos  definidos  por  ley,  y  de  títulos diferentes a los TES, que tienen un contenido crediticio con plazo para su redención. </t>
  </si>
  <si>
    <t>1.2.08</t>
  </si>
  <si>
    <t>Comprende los ingresos por transacciones monetarias que realiza un tercero a una unidad ejecutora del Presupuesto General del Sector Público (PGSP) para la adquisición de un activo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</si>
  <si>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1.2.08.01</t>
  </si>
  <si>
    <t>Donaciones</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</si>
  <si>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</si>
  <si>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1.2.08.01.001</t>
  </si>
  <si>
    <t>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</si>
  <si>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</si>
  <si>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1.2.08.01.001.01</t>
  </si>
  <si>
    <t xml:space="preserve">No condicionadas a la adquisición de un activo </t>
  </si>
  <si>
    <t>Corresponden a las transferencias provenientes de gobiernos extranjeros no condicionadas a la adquisición de activos</t>
  </si>
  <si>
    <t>1.2.08.01.001.02</t>
  </si>
  <si>
    <t xml:space="preserve">Condicionadas a la adquisición de un activo </t>
  </si>
  <si>
    <t>Corresponden a las transferencias provenientes de gobiernos extranjeros condicionadas a la adquisición de activos</t>
  </si>
  <si>
    <t>1.2.08.01.002</t>
  </si>
  <si>
    <t>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</si>
  <si>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</si>
  <si>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1.2.08.01.002.01</t>
  </si>
  <si>
    <t>Corresponde a las transferencias provenientes de organizaciones internacionales no condicionadas a la adquisición de activos</t>
  </si>
  <si>
    <t>1.2.08.01.002.02</t>
  </si>
  <si>
    <t>Corresponde a las transferencias provenientes de organizaciones internacionales condicionadas a la adquisición de activos</t>
  </si>
  <si>
    <t>1.2.08.01.003</t>
  </si>
  <si>
    <t>Del sector privado</t>
  </si>
  <si>
    <t>Son las transferencias de recursos por concepto de donaciones que realizan las personas naturales o personas jurídicas del sector privado nacional o extranjero.</t>
  </si>
  <si>
    <t>1.2.08.01.003.01</t>
  </si>
  <si>
    <t>Corresponde a las donaciones provenientes del sector privado no condicionadas a la adquisición de activos</t>
  </si>
  <si>
    <t>1.2.08.01.003.02</t>
  </si>
  <si>
    <t>Corresponde a las donaciones provenientes del sector privado condicionadas a la adquisición de activos</t>
  </si>
  <si>
    <t>1.2.08.02</t>
  </si>
  <si>
    <t>Son las transferencias de recursos recibidas por concepto de las indemnizaciones que se generan en el desarrollo de contratos de seguros no de vida, excepcionalmente cuantiosas, que se reciben luego de un desastre o una catástrofe natural.</t>
  </si>
  <si>
    <t>1.2.08.03</t>
  </si>
  <si>
    <t>Compensaciones de capital</t>
  </si>
  <si>
    <t>Son las transferencias de recursos por pagos de gran cuantía, no recurrentes, para compensar daños extensos o lesiones graves, como las que resultan de desastres naturales no cubiertos por pólizas de seguros.</t>
  </si>
  <si>
    <t>1.2.08.03.001</t>
  </si>
  <si>
    <t>Resarcimiento por procesos de gestión fiscal</t>
  </si>
  <si>
    <t>Corresponde al pago de indemnización pecuniaria que compensa el perjuicio sufrido a una entidad estatal a causa de daños ocasionados al patrimonio público como consecuencia de la conducta dolosa o culposa de quienes realizan la gestión fiscal.</t>
  </si>
  <si>
    <t>1.2.08.03.002</t>
  </si>
  <si>
    <t>Compensación por daños a la propiedad</t>
  </si>
  <si>
    <t>Corresponde al valor recibido por daños causados por terceros a la propiedad de la entidad, que no sean pagos derivados de liquidaciones de seguros.
No Incluye: Indemnizaciones relacionadas con seguros no de vida.</t>
  </si>
  <si>
    <t>1.2.08.04</t>
  </si>
  <si>
    <t>Son las transferencias de capital no clasificadas en ninguna de las categorías anteriores.</t>
  </si>
  <si>
    <t>1.2.08.04.001</t>
  </si>
  <si>
    <t>Es la transferencia de recursos que reciben las entidades territoriales y la entidad competente del control del juego ilegal, por concepto de los premios de juegos de suerte y azar no reclamados. Esta transferencia se realiza en virtud del artículo 12 de la Ley 1393 de 2010, el cual establece que pasado 1  año contado a partir de la fecha del sorteo estos premios tendrán prescripción, y si no se hace efectivo su cobro, dichos recursos deben ser girados a la entidad correspondiente. El 75% de estos recursos deben ser destinados a la unificación de los planes de beneficios del sistema de Seguridad Social en Salud en los Departamentos o Distritos; el  25% restante corresponderá al juego respectivo y será usado en el control del juego ilegal.</t>
  </si>
  <si>
    <t>Ley 1393 de 2010 art 12.</t>
  </si>
  <si>
    <t>1.2.08.04.002</t>
  </si>
  <si>
    <t>Es la transferencia de recursos que reciben las entidades territoriales o el administrador del respectivo juego, por concepto de los premios de juegos de lotería no reclamados.</t>
  </si>
  <si>
    <t>1.2.08.04.003</t>
  </si>
  <si>
    <t>Premios de apuestas permanentes o chance</t>
  </si>
  <si>
    <t>Es la transferencia de recursos que reciben las entidades territoriales o el administrador del respectivo juego, por concepto de los premios de juegos de apuestas permanentes y chance no reclamados.</t>
  </si>
  <si>
    <t>1.2.08.04.004</t>
  </si>
  <si>
    <t>Premios de juegos novedosos</t>
  </si>
  <si>
    <t>Transferencia de recursos que reciben las entidades territoriales y la entidad competente del control del juego ilegal por concepto de los premios de juegos novedosos no reclamados.</t>
  </si>
  <si>
    <t>1.2.08.05</t>
  </si>
  <si>
    <t>Reembolso fondo de contingencias</t>
  </si>
  <si>
    <t>Corresponde a los ingresos por concepto del reembolso de los aportes hechos al fondo de contingencia de las entidades estatales, cuyo objeto es atender las obligaciones contingentes de las Entidades Estatales que determine el Gobierno (Art. 3 de la Ley 448 de 1998)
El reembolso de dichos recursos a las entidades aportantes, solo podrá realizarse cuando se verifique en forma definitiva la no realización de los riesgos previstos (Art. 3 de la Ley 448 de 1998).</t>
  </si>
  <si>
    <t>Art. 3 de la Ley 448 de 1998</t>
  </si>
  <si>
    <t>1.2.08.06</t>
  </si>
  <si>
    <t>Corresponde a las transferencias corrientes provenientes de otras entidades del gobierno general.</t>
  </si>
  <si>
    <t>1.2.08.06.001</t>
  </si>
  <si>
    <t>Fondo de Subsidio de la Sobretasa a la Gasolina</t>
  </si>
  <si>
    <t>Son los ingresos por la transferencia que hace el Fondo de Subsidio de la Sobretasa a la Gasolina, creado mediante la Ley 488 de 1998, a los departamentos de Amazonas, Chocó, Guainía, Guaviare, Norte de Santander, Vaupés, Vichada y Archipiélago de San Andrés, Providencia y Santa Catalina (Ley 488 de 1998, Art 130).</t>
  </si>
  <si>
    <t>Ley 488 de 1998, art 130</t>
  </si>
  <si>
    <t>1.2.08.06.002</t>
  </si>
  <si>
    <t>Son los ingresos por la transferencia de Capital que realiza una entidad del gobierno general a otra, para la adquisición de activos.</t>
  </si>
  <si>
    <t>1.2.08.06.003</t>
  </si>
  <si>
    <t>Condicionadas a la disminución de un pasivo</t>
  </si>
  <si>
    <t>Son los ingresos por la transferencia de Capital que realiza una entidad del gobierno general a otra, para la disminución de pasivos.</t>
  </si>
  <si>
    <t>1.2.09</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</si>
  <si>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</si>
  <si>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</si>
  <si>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1.2.09.05</t>
  </si>
  <si>
    <t>Comprende los ingresos provenientes de las cuotas partes pensionales por cobrar que hayan quedado a cargo o que hayan sido reconocidas a favor de la Caja Nacional de Previsión Social CAJANAL EICE en liquidación (Art. 1 del Decreto 1222 de 2013).  Esta cuenta aplica también a las Instituciones de Educación Superior para el registro de la recuperación de cuotas partes pensionales de sus propios fondos pensionales.</t>
  </si>
  <si>
    <t>1.2.12</t>
  </si>
  <si>
    <t>Corresponde a los recursos que obtiene la entidad territorial como consecuencia de haber cumplido con los requisitos para acceder a los recursos ahorrados en Fondo Nacional de Pensiones de las Entidades Territoriales (FONPET).</t>
  </si>
  <si>
    <t>1.2.12.01</t>
  </si>
  <si>
    <t>Corresponde a los retiros del FONPET que pueden realizar las entidades territoriales para el pago de bonos pensionales o cuotas partes pensionales.</t>
  </si>
  <si>
    <t>Ley 863 de 2003
Decreto 4105 de 2004</t>
  </si>
  <si>
    <t>1.2.12.01.001</t>
  </si>
  <si>
    <t>Para el pago de bonos y cuotas partes de bonos pensionales A y B</t>
  </si>
  <si>
    <t>Corresponde a los retiros del FONPET realizados por la entidad territorial para el pago de bonos pensionales y cuotas partes pensionales tipo A y B</t>
  </si>
  <si>
    <t>1.2.12.03</t>
  </si>
  <si>
    <t>Corresponde a los retiros del FONPET que pueden realizar las entidades territoriales para amortizar o pagar las obligaciones pensionales correspondientes a los docentes</t>
  </si>
  <si>
    <t>1.2.12.03.001</t>
  </si>
  <si>
    <t>Corresponde a los retiros del FONPET realizados por la entidad territorial para el pago de las deudas al Fondo de Prestaciones Sociales del Magisterio por concepto del pasivo pensional corriente</t>
  </si>
  <si>
    <t>1.2.13</t>
  </si>
  <si>
    <t>Corresponde a los montos que las entidades financiadas con recursos públicos reintegran a la DGCPTN o a la tesorería de la entidad territorial, empresa pública, órgano autónomo o particular, como saldos de recursos no ejecutados o valores superiores no previstos. También incluye la devolución de dinero a la entidad originada, entre otros, por la liquidación de contratos y/o convenios interadministrativos o pagos de más por bienes o servicios recibidos por la administración.</t>
  </si>
  <si>
    <t>1.2.13.01</t>
  </si>
  <si>
    <t>Corresponde a los ingresos que las entidades financiadas con recursos públicos reintegran a la Dirección General de Crédito Público y Tesoro Nacional o  a las tesorerías de las unidades del PGSP.</t>
  </si>
  <si>
    <t>Vigencia 2024</t>
  </si>
  <si>
    <t>Saciones Sanitarias</t>
  </si>
  <si>
    <t>AREA DE PRESUPUESTO - INFORME  2025</t>
  </si>
  <si>
    <t>GOBERNACION DEL QUINDIO</t>
  </si>
  <si>
    <t>PRESUPUESTO ASAMBLEA DE ENERO  A DICIEMBRE DE 2024</t>
  </si>
  <si>
    <t>CODIGO DEL CARGO</t>
  </si>
  <si>
    <t>GRADO</t>
  </si>
  <si>
    <t>NOMBRE DEL CARGO</t>
  </si>
  <si>
    <t>NUMERO DE CARGOS</t>
  </si>
  <si>
    <t>HONORARIOS POR SESIÓN (18 SMLVM)</t>
  </si>
  <si>
    <t>TOTAL SESIONES</t>
  </si>
  <si>
    <t>TOTAL HONORARIOS No. DE CARGOS</t>
  </si>
  <si>
    <t xml:space="preserve">HONORARIOS TOTAL AÑO 2023  (9 SESIONES) </t>
  </si>
  <si>
    <t>BON SERVICIOS PRESTADOS</t>
  </si>
  <si>
    <t>PRIMA SERVICIOS</t>
  </si>
  <si>
    <t xml:space="preserve">BON POR DIRECCION </t>
  </si>
  <si>
    <t xml:space="preserve">SUBSIDIO ALIMENT </t>
  </si>
  <si>
    <t>AUXILIO TRANSP</t>
  </si>
  <si>
    <t>VACACIONES</t>
  </si>
  <si>
    <t>INDEMNIZACION VACACIONES</t>
  </si>
  <si>
    <t>PRIMA VACACIONES</t>
  </si>
  <si>
    <t>BON POR RECREACION</t>
  </si>
  <si>
    <t>PRIMA NAVIDAD</t>
  </si>
  <si>
    <t>CESANTIAS</t>
  </si>
  <si>
    <t>INTERESES A LAS CESANTIAS</t>
  </si>
  <si>
    <t>SALUD 8.5%</t>
  </si>
  <si>
    <t>PENSION 12%+ 1,4% FONDO DE SOLIDARIDAD</t>
  </si>
  <si>
    <t>COMFENALCO</t>
  </si>
  <si>
    <t>I.C.B.F</t>
  </si>
  <si>
    <t>SENA</t>
  </si>
  <si>
    <t>ESAP</t>
  </si>
  <si>
    <t>MEN</t>
  </si>
  <si>
    <t>A.R.L</t>
  </si>
  <si>
    <t>07</t>
  </si>
  <si>
    <t>DIPUTADOS</t>
  </si>
  <si>
    <t>PRESUPUESTO SECRETARIO ASAMBLEA DE ENERO  A DICIEMBRE DE 2024</t>
  </si>
  <si>
    <t>SUELDO ACTUAL 2023</t>
  </si>
  <si>
    <t>SUELDO 2024 INCREMENTO 10.88%</t>
  </si>
  <si>
    <t>TOTAL SUELDO No. DE CARGOS</t>
  </si>
  <si>
    <t xml:space="preserve">SUELDO TOTAL AÑO </t>
  </si>
  <si>
    <t>SUBSIDIO ALIMENT</t>
  </si>
  <si>
    <t>PENSION 12%+ 1% FONDO DE SOLIDARIDAD</t>
  </si>
  <si>
    <t>ASESOR DE DESPACHO</t>
  </si>
  <si>
    <t>TOTAL GASTOS OBLIGADOS A DIPUTADOS (INCREMENTO 15%)</t>
  </si>
  <si>
    <t>PORCENTAJE MAXIMO GASTOS DE FUNCIONAMIENTO (25% )</t>
  </si>
  <si>
    <t>MONTO MAXIMO DE LA ASAMBLEA DEPARTAMENTAL</t>
  </si>
  <si>
    <t>NOMBRE DEL GASTO</t>
  </si>
  <si>
    <t xml:space="preserve">REQUERIMIENTO 2024 </t>
  </si>
  <si>
    <t>Gastos</t>
  </si>
  <si>
    <t>01 - 2.1.1.01.01.001.01 - 20</t>
  </si>
  <si>
    <t>Sueldo básico</t>
  </si>
  <si>
    <t>01 - 2.1.1.01.01.001.06 - 20</t>
  </si>
  <si>
    <t>Prima de servicio</t>
  </si>
  <si>
    <t>01 - 2.1.1.01.01.001.07 - 20</t>
  </si>
  <si>
    <t>Bonificación por servicios prestados</t>
  </si>
  <si>
    <t>01 - 2.1.1.01.01.001.08.01 - 20</t>
  </si>
  <si>
    <t>01 - 2.1.1.01.01.001.08.02 - 20</t>
  </si>
  <si>
    <t>Prima de vacaciones</t>
  </si>
  <si>
    <t>01 - 2.1.1.01.01.001.10 - 20</t>
  </si>
  <si>
    <t>Viáticos de los funcionarios en comisión</t>
  </si>
  <si>
    <t>01 - 2.1.1.01.01.001.11 - 20</t>
  </si>
  <si>
    <t>Remuneración diputados</t>
  </si>
  <si>
    <t>01 - 2.1.1.01.02.001 - 20</t>
  </si>
  <si>
    <t>Aportes a la seguridad social en pensiones</t>
  </si>
  <si>
    <t>01 - 2.1.1.01.02.002 - 20</t>
  </si>
  <si>
    <t>Aportes a la seguridad social en salud</t>
  </si>
  <si>
    <t>01 - 2.1.1.01.02.003 - 20</t>
  </si>
  <si>
    <t xml:space="preserve">Aportes de cesantías </t>
  </si>
  <si>
    <t>01 - 2.1.1.01.02.004 - 20</t>
  </si>
  <si>
    <t>Aportes a cajas de compensación familiar</t>
  </si>
  <si>
    <t>01 - 2.1.1.01.02.005 - 20</t>
  </si>
  <si>
    <t>Aportes generales al sistema de riesgos laborales</t>
  </si>
  <si>
    <t>01 - 2.1.1.01.02.006 - 20</t>
  </si>
  <si>
    <t>Aportes al ICBF</t>
  </si>
  <si>
    <t>01 - 2.1.1.01.02.007 - 20</t>
  </si>
  <si>
    <t>Aportes al SENA</t>
  </si>
  <si>
    <t>01 - 2.1.1.01.02.008 - 20</t>
  </si>
  <si>
    <t>Aportes a la ESAP</t>
  </si>
  <si>
    <t>01 - 2.1.1.01.02.009 - 20</t>
  </si>
  <si>
    <t>Aportes a escuelas industriales e institutos técnicos</t>
  </si>
  <si>
    <t>01 - 2.1.1.01.03.001.01 - 20</t>
  </si>
  <si>
    <t>01 - 2.1.1.01.03.001.02 - 20</t>
  </si>
  <si>
    <t>Indemnización por vacaciones</t>
  </si>
  <si>
    <t>01 - 2.1.1.01.03.001.03 - 20</t>
  </si>
  <si>
    <t>Bonificación especial de recreación</t>
  </si>
  <si>
    <t>PRESUPUESTO ASAMBLEA 2024</t>
  </si>
  <si>
    <t>PPTO ACTUAL</t>
  </si>
  <si>
    <t>01 - 2.1.1</t>
  </si>
  <si>
    <t>Gastos de personal</t>
  </si>
  <si>
    <t>01 - 2.1.2.02</t>
  </si>
  <si>
    <t>Adquisiciones diferentes de activos</t>
  </si>
  <si>
    <t>01 - 2.1.3</t>
  </si>
  <si>
    <t>AREA DE PRESUPUESTO - INFORME  2026</t>
  </si>
  <si>
    <t xml:space="preserve"> Funcionamiento Educacion RO </t>
  </si>
  <si>
    <t>Acuerdo de Pago Fonpet 2025</t>
  </si>
  <si>
    <t>Acuerdo de Pago Fonpet 2026</t>
  </si>
  <si>
    <t>Acuerdo de Pago Fonpet 2027</t>
  </si>
  <si>
    <t>Desembolso</t>
  </si>
  <si>
    <t>LIMITE EFECTIVAMENTE CALCULADO PARA EL AÑO 2025</t>
  </si>
  <si>
    <t>LIMITE EFECTIVAMENTE CALCULADO PARA EL AÑO 2026</t>
  </si>
  <si>
    <t>LIMITE EFECTIVAMENTE CALCULADO PARA EL AÑO 2027</t>
  </si>
  <si>
    <t>AREA DE PRESUPUESTO - INFORME  2027</t>
  </si>
  <si>
    <t>Rentas Cedidas Salud para funcionamiento</t>
  </si>
  <si>
    <t xml:space="preserve">TOTAL POR FUENTE </t>
  </si>
  <si>
    <t>SUPERÁVIT CONVENIO INVIAS 1274/22 PUNTOS CRITICOS</t>
  </si>
  <si>
    <t>SUPERÁVIT CONVENIO 1609/20 INVIAS VIAS TERCIARIAS</t>
  </si>
  <si>
    <t>SUPERÁVIT KARABIJUA</t>
  </si>
  <si>
    <t xml:space="preserve">   Inversion con Superavit</t>
  </si>
  <si>
    <t>gastos de funcionamiento educacion</t>
  </si>
  <si>
    <t>Nota: dentro de la inversion no puede ir el gasto publico social del pago a educadores, en el nuevo plan de desarrollo se debe excluir de inversion el pago de personal de educacion. Se firmo un plan de mejora con el ministerio en la vigencia 2021</t>
  </si>
  <si>
    <t>es importante aclarar que según lo estipula el articulo 41 del decreto 111 asi estos gastos hagan parte del funcionameitno siguen siendo gasto publico social, por favor incluir dentro del informe que debe exponer en la asamblea</t>
  </si>
  <si>
    <t>Superavit Funcionamiento</t>
  </si>
  <si>
    <t>Inversion con Reorientacion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</si>
</sst>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00;[Red]\-&quot;$&quot;#,##0.00"/>
    <numFmt numFmtId="165" formatCode="_-&quot;$&quot;* #,##0.00_-;\-&quot;$&quot;* #,##0.00_-;_-&quot;$&quot;* &quot;-&quot;??_-;_-@_-"/>
    <numFmt numFmtId="166" formatCode="_-* #,##0_-;\-* #,##0_-;_-* &quot;-&quot;??_-;_-@_-"/>
    <numFmt numFmtId="167" formatCode="#,##0_ ;[Red]\-#,##0\ "/>
    <numFmt numFmtId="168" formatCode="_ * #,##0_ ;_ * \-#,##0_ ;_ * &quot;-&quot;??_ ;_ @_ "/>
    <numFmt numFmtId="169" formatCode="_(* #,##0.00_);_(* \(#,##0.00\);_(* &quot;-&quot;??_);_(@_)"/>
    <numFmt numFmtId="170" formatCode="_(* #,##0_);_(* \(#,##0\);_(* &quot;-&quot;??_);_(@_)"/>
    <numFmt numFmtId="171" formatCode="_-* #,##0.00_-;\-* #,##0.00_-;_-* &quot;-&quot;_-;_-@_-"/>
    <numFmt numFmtId="172" formatCode="#,##0.00\ _€"/>
    <numFmt numFmtId="173" formatCode="dd\-mm\-yy;@"/>
    <numFmt numFmtId="174" formatCode="_-* #,##0\ _€_-;\-* #,##0\ _€_-;_-* &quot;-&quot;\ _€_-;_-@_-"/>
    <numFmt numFmtId="175" formatCode="0.0%"/>
    <numFmt numFmtId="176" formatCode="0.0000%"/>
    <numFmt numFmtId="177" formatCode="_(&quot;$&quot;\ * #,##0_);_(&quot;$&quot;\ * \(#,##0\);_(&quot;$&quot;\ * &quot;-&quot;??_);_(@_)"/>
    <numFmt numFmtId="178" formatCode="_(* #,##0_);_(* \(#,##0\);_(* &quot;-&quot;_);_(@_)"/>
    <numFmt numFmtId="179" formatCode="_-* #,##0\ _€_-;\-* #,##0\ _€_-;_-* &quot;-&quot;??\ _€_-;_-@_-"/>
    <numFmt numFmtId="180" formatCode="#,##0.00000"/>
    <numFmt numFmtId="181" formatCode="#,##0.000"/>
    <numFmt numFmtId="182" formatCode="#,##0.00;[Red]#,##0.00"/>
    <numFmt numFmtId="183" formatCode="0.00000000%"/>
    <numFmt numFmtId="184" formatCode="_-[$$-240A]\ * #,##0_-;\-[$$-240A]\ * #,##0_-;_-[$$-240A]\ * &quot;-&quot;??_-;_-@_-"/>
    <numFmt numFmtId="185" formatCode="_-&quot;$&quot;\ * #,##0_-;\-&quot;$&quot;\ * #,##0_-;_-&quot;$&quot;\ * &quot;-&quot;??_-;_-@_-"/>
    <numFmt numFmtId="186" formatCode="#,##0;[Red]#,##0"/>
    <numFmt numFmtId="187" formatCode="00"/>
    <numFmt numFmtId="188" formatCode="000"/>
    <numFmt numFmtId="189" formatCode="0_ ;\-0\ "/>
  </numFmts>
  <fonts count="16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0"/>
      <name val="Arial"/>
      <family val="2"/>
    </font>
    <font>
      <sz val="10"/>
      <name val="Arial"/>
      <family val="2"/>
    </font>
    <font>
      <b/>
      <sz val="10"/>
      <color theme="0"/>
      <name val="Arial"/>
      <family val="2"/>
    </font>
    <font>
      <b/>
      <sz val="10"/>
      <name val="Arial"/>
      <family val="2"/>
    </font>
    <font>
      <sz val="10"/>
      <color indexed="8"/>
      <name val="Arial"/>
      <family val="2"/>
    </font>
    <font>
      <sz val="11"/>
      <color indexed="8"/>
      <name val="Calibri"/>
      <family val="2"/>
    </font>
    <font>
      <b/>
      <sz val="10"/>
      <color indexed="8"/>
      <name val="Arial"/>
      <family val="2"/>
    </font>
    <font>
      <sz val="10"/>
      <color indexed="8"/>
      <name val="MS Sans Serif"/>
      <family val="2"/>
    </font>
    <font>
      <sz val="10"/>
      <color theme="1"/>
      <name val="Arial"/>
      <family val="2"/>
    </font>
    <font>
      <u val="singleAccounting"/>
      <sz val="10"/>
      <name val="Arial"/>
      <family val="2"/>
    </font>
    <font>
      <sz val="10"/>
      <color indexed="8"/>
      <name val="MS Sans Serif"/>
    </font>
    <font>
      <sz val="7"/>
      <color indexed="8"/>
      <name val="Times New Roman"/>
      <family val="1"/>
    </font>
    <font>
      <b/>
      <sz val="11"/>
      <color rgb="FF000000"/>
      <name val="Calibri"/>
      <family val="2"/>
    </font>
    <font>
      <sz val="11"/>
      <color rgb="FF000000"/>
      <name val="Calibri"/>
      <family val="2"/>
      <scheme val="minor"/>
    </font>
    <font>
      <b/>
      <sz val="8"/>
      <color theme="1"/>
      <name val="Arial"/>
      <family val="2"/>
    </font>
    <font>
      <sz val="12"/>
      <color theme="1"/>
      <name val="Arial"/>
      <family val="2"/>
    </font>
    <font>
      <b/>
      <sz val="14"/>
      <color theme="1"/>
      <name val="Arial"/>
      <family val="2"/>
    </font>
    <font>
      <b/>
      <sz val="12"/>
      <color theme="1"/>
      <name val="Arial"/>
      <family val="2"/>
    </font>
    <font>
      <b/>
      <sz val="9"/>
      <color theme="1"/>
      <name val="Arial"/>
      <family val="2"/>
    </font>
    <font>
      <sz val="8"/>
      <color theme="1"/>
      <name val="Arial"/>
      <family val="2"/>
    </font>
    <font>
      <b/>
      <sz val="11"/>
      <color theme="1"/>
      <name val="Arial"/>
      <family val="2"/>
    </font>
    <font>
      <sz val="9"/>
      <color theme="1"/>
      <name val="Arial"/>
      <family val="2"/>
    </font>
    <font>
      <b/>
      <sz val="10"/>
      <color theme="1"/>
      <name val="Arial"/>
      <family val="2"/>
    </font>
    <font>
      <b/>
      <sz val="12"/>
      <name val="Arial"/>
      <family val="2"/>
    </font>
    <font>
      <b/>
      <sz val="8"/>
      <name val="Arial"/>
      <family val="2"/>
    </font>
    <font>
      <b/>
      <sz val="9"/>
      <name val="Arial"/>
      <family val="2"/>
    </font>
    <font>
      <b/>
      <sz val="11"/>
      <name val="Arial"/>
      <family val="2"/>
    </font>
    <font>
      <sz val="8"/>
      <name val="Arial"/>
      <family val="2"/>
    </font>
    <font>
      <sz val="11"/>
      <name val="Calibri"/>
      <family val="2"/>
      <scheme val="minor"/>
    </font>
    <font>
      <b/>
      <sz val="15"/>
      <color theme="3"/>
      <name val="Arial"/>
      <family val="2"/>
    </font>
    <font>
      <sz val="11"/>
      <color theme="1"/>
      <name val="Arial"/>
      <family val="2"/>
    </font>
    <font>
      <sz val="12"/>
      <name val="Arial"/>
      <family val="2"/>
    </font>
    <font>
      <sz val="11"/>
      <color theme="0"/>
      <name val="Arial"/>
      <family val="2"/>
    </font>
    <font>
      <b/>
      <sz val="12"/>
      <color theme="0"/>
      <name val="Arial"/>
      <family val="2"/>
    </font>
    <font>
      <b/>
      <sz val="18"/>
      <color theme="3"/>
      <name val="Arial"/>
      <family val="2"/>
    </font>
    <font>
      <sz val="9"/>
      <color rgb="FF4B4949"/>
      <name val="Arial"/>
      <family val="2"/>
    </font>
    <font>
      <sz val="10"/>
      <name val="Century Gothic"/>
      <family val="2"/>
    </font>
    <font>
      <i/>
      <sz val="11"/>
      <color theme="1"/>
      <name val="Arial"/>
      <family val="2"/>
    </font>
    <font>
      <b/>
      <i/>
      <sz val="11"/>
      <color indexed="8"/>
      <name val="Arial"/>
      <family val="2"/>
    </font>
    <font>
      <i/>
      <sz val="11"/>
      <color indexed="8"/>
      <name val="Arial"/>
      <family val="2"/>
    </font>
    <font>
      <sz val="11"/>
      <color rgb="FF000000"/>
      <name val="Calibri"/>
      <family val="2"/>
    </font>
    <font>
      <b/>
      <sz val="12"/>
      <color rgb="FF000000"/>
      <name val="Calibri"/>
      <family val="2"/>
    </font>
    <font>
      <b/>
      <sz val="11"/>
      <color theme="0"/>
      <name val="Calibri"/>
      <family val="2"/>
    </font>
    <font>
      <b/>
      <sz val="11"/>
      <color rgb="FF6AA84F"/>
      <name val="Calibri"/>
      <family val="2"/>
    </font>
    <font>
      <b/>
      <sz val="11"/>
      <name val="Calibri"/>
      <family val="2"/>
    </font>
    <font>
      <b/>
      <sz val="14"/>
      <name val="Calibri"/>
      <family val="2"/>
    </font>
    <font>
      <sz val="9"/>
      <name val="Arial"/>
      <family val="2"/>
    </font>
    <font>
      <b/>
      <sz val="9"/>
      <color indexed="8"/>
      <name val="Arial"/>
      <family val="2"/>
    </font>
    <font>
      <sz val="9"/>
      <color indexed="8"/>
      <name val="Arial"/>
      <family val="2"/>
    </font>
    <font>
      <sz val="9"/>
      <color indexed="10"/>
      <name val="Arial"/>
      <family val="2"/>
    </font>
    <font>
      <b/>
      <sz val="10"/>
      <name val="Segoe UI"/>
      <family val="2"/>
    </font>
    <font>
      <sz val="9"/>
      <name val="Segoe UI"/>
      <family val="2"/>
    </font>
    <font>
      <b/>
      <sz val="14"/>
      <color theme="0"/>
      <name val="Segoe UI"/>
      <family val="2"/>
    </font>
    <font>
      <b/>
      <sz val="9"/>
      <name val="Segoe UI"/>
      <family val="2"/>
    </font>
    <font>
      <b/>
      <sz val="9"/>
      <color indexed="8"/>
      <name val="Segoe UI"/>
      <family val="2"/>
    </font>
    <font>
      <sz val="9"/>
      <color indexed="8"/>
      <name val="Segoe UI"/>
      <family val="2"/>
    </font>
    <font>
      <sz val="11"/>
      <color theme="1"/>
      <name val="Calibri"/>
      <family val="2"/>
    </font>
    <font>
      <sz val="8"/>
      <name val="Segoe UI"/>
      <family val="2"/>
      <charset val="204"/>
    </font>
    <font>
      <b/>
      <sz val="8"/>
      <name val="Segoe UI"/>
      <family val="2"/>
    </font>
    <font>
      <sz val="8"/>
      <name val="Segoe UI"/>
      <family val="2"/>
    </font>
    <font>
      <sz val="10"/>
      <color indexed="8"/>
      <name val="Arial Narrow"/>
      <family val="2"/>
    </font>
    <font>
      <b/>
      <sz val="10"/>
      <name val="Arial Narrow"/>
      <family val="2"/>
    </font>
    <font>
      <b/>
      <sz val="9"/>
      <color indexed="9"/>
      <name val="Arial"/>
      <family val="2"/>
    </font>
    <font>
      <sz val="7"/>
      <color indexed="8"/>
      <name val="Arial"/>
      <family val="2"/>
    </font>
    <font>
      <sz val="10"/>
      <name val="Arial Narrow"/>
      <family val="2"/>
    </font>
    <font>
      <sz val="9"/>
      <name val="Arial Narrow"/>
      <family val="2"/>
    </font>
    <font>
      <i/>
      <sz val="8"/>
      <name val="Arial Narrow"/>
      <family val="2"/>
    </font>
    <font>
      <sz val="7"/>
      <name val="Arial"/>
      <family val="2"/>
    </font>
    <font>
      <b/>
      <sz val="10"/>
      <color rgb="FF000000"/>
      <name val="Arial"/>
      <family val="2"/>
    </font>
    <font>
      <sz val="8"/>
      <name val="Calibri"/>
      <family val="2"/>
      <scheme val="minor"/>
    </font>
    <font>
      <b/>
      <sz val="10"/>
      <color rgb="FFFFFFFF"/>
      <name val="Arial Narrow"/>
      <family val="2"/>
    </font>
    <font>
      <sz val="10"/>
      <color theme="1"/>
      <name val="Arial Narrow"/>
      <family val="2"/>
    </font>
    <font>
      <b/>
      <sz val="10"/>
      <color theme="0"/>
      <name val="Arial Narrow"/>
      <family val="2"/>
    </font>
    <font>
      <sz val="10"/>
      <color rgb="FF002060"/>
      <name val="Arial Narrow"/>
      <family val="2"/>
    </font>
    <font>
      <b/>
      <sz val="10"/>
      <name val="Calibri"/>
      <family val="2"/>
      <scheme val="minor"/>
    </font>
    <font>
      <sz val="10"/>
      <name val="Calibri"/>
      <family val="2"/>
      <scheme val="minor"/>
    </font>
    <font>
      <sz val="10"/>
      <color rgb="FFFF0000"/>
      <name val="Arial"/>
      <family val="2"/>
    </font>
    <font>
      <sz val="10"/>
      <color indexed="10"/>
      <name val="Arial"/>
      <family val="2"/>
    </font>
    <font>
      <sz val="10"/>
      <color theme="1"/>
      <name val="Calibri"/>
      <family val="2"/>
      <scheme val="minor"/>
    </font>
    <font>
      <b/>
      <sz val="10"/>
      <color rgb="FFFF0000"/>
      <name val="Arial"/>
      <family val="2"/>
    </font>
    <font>
      <b/>
      <sz val="11"/>
      <name val="Calibri"/>
      <family val="2"/>
      <scheme val="minor"/>
    </font>
    <font>
      <sz val="10"/>
      <color indexed="8"/>
      <name val="Calibri"/>
      <family val="2"/>
      <scheme val="minor"/>
    </font>
    <font>
      <b/>
      <sz val="11"/>
      <color theme="0"/>
      <name val="Arial Narrow"/>
      <family val="2"/>
    </font>
    <font>
      <b/>
      <sz val="9"/>
      <color indexed="81"/>
      <name val="Tahoma"/>
      <family val="2"/>
    </font>
    <font>
      <sz val="9"/>
      <color indexed="81"/>
      <name val="Tahoma"/>
      <family val="2"/>
    </font>
    <font>
      <u/>
      <sz val="9"/>
      <color indexed="81"/>
      <name val="Tahoma"/>
      <family val="2"/>
    </font>
    <font>
      <b/>
      <u/>
      <sz val="9"/>
      <color indexed="81"/>
      <name val="Tahoma"/>
      <family val="2"/>
    </font>
    <font>
      <sz val="10"/>
      <color theme="0"/>
      <name val="Arial Narrow"/>
      <family val="2"/>
    </font>
    <font>
      <sz val="11"/>
      <color theme="4" tint="-0.499984740745262"/>
      <name val="Arial Narrow"/>
      <family val="2"/>
    </font>
    <font>
      <b/>
      <sz val="11"/>
      <color theme="4" tint="-0.499984740745262"/>
      <name val="Arial Narrow"/>
      <family val="2"/>
    </font>
    <font>
      <b/>
      <sz val="10"/>
      <color theme="4" tint="-0.499984740745262"/>
      <name val="Arial Narrow"/>
      <family val="2"/>
    </font>
    <font>
      <sz val="10"/>
      <color theme="4" tint="-0.499984740745262"/>
      <name val="Arial Narrow"/>
      <family val="2"/>
    </font>
    <font>
      <b/>
      <sz val="8"/>
      <color theme="4" tint="-0.499984740745262"/>
      <name val="Arial Narrow"/>
      <family val="2"/>
    </font>
    <font>
      <sz val="8"/>
      <color theme="4" tint="-0.499984740745262"/>
      <name val="Arial Narrow"/>
      <family val="2"/>
    </font>
    <font>
      <sz val="11"/>
      <color theme="0"/>
      <name val="Arial Narrow"/>
      <family val="2"/>
    </font>
    <font>
      <b/>
      <sz val="11"/>
      <color rgb="FFFFFFFF"/>
      <name val="Arial Narrow"/>
      <family val="2"/>
    </font>
    <font>
      <sz val="11"/>
      <color rgb="FF002060"/>
      <name val="Arial Narrow"/>
      <family val="2"/>
    </font>
    <font>
      <u val="singleAccounting"/>
      <sz val="11"/>
      <color theme="4" tint="-0.499984740745262"/>
      <name val="Arial Narrow"/>
      <family val="2"/>
    </font>
    <font>
      <b/>
      <sz val="11"/>
      <color rgb="FF002060"/>
      <name val="Arial Narrow"/>
      <family val="2"/>
    </font>
    <font>
      <b/>
      <sz val="12"/>
      <color rgb="FF002060"/>
      <name val="Arial Narrow"/>
      <family val="2"/>
    </font>
    <font>
      <sz val="11"/>
      <name val="Arial Narrow"/>
      <family val="2"/>
    </font>
    <font>
      <b/>
      <sz val="11"/>
      <name val="Arial Narrow"/>
      <family val="2"/>
    </font>
    <font>
      <sz val="11"/>
      <color indexed="8"/>
      <name val="Arial Narrow"/>
      <family val="2"/>
    </font>
    <font>
      <b/>
      <sz val="8"/>
      <color theme="0"/>
      <name val="Arial Narrow"/>
      <family val="2"/>
    </font>
    <font>
      <sz val="8"/>
      <color indexed="8"/>
      <name val="Arial Narrow"/>
      <family val="2"/>
    </font>
    <font>
      <sz val="12"/>
      <color theme="0"/>
      <name val="Arial"/>
      <family val="2"/>
    </font>
    <font>
      <b/>
      <i/>
      <sz val="10"/>
      <name val="Arial"/>
      <family val="2"/>
    </font>
    <font>
      <b/>
      <sz val="24"/>
      <color rgb="FFFFFFFF"/>
      <name val="Century Gothic"/>
      <family val="2"/>
    </font>
    <font>
      <sz val="24"/>
      <color rgb="FF000000"/>
      <name val="Century Gothic"/>
      <family val="2"/>
    </font>
    <font>
      <sz val="24"/>
      <color rgb="FFFFFFFF"/>
      <name val="Century Gothic"/>
      <family val="2"/>
    </font>
    <font>
      <b/>
      <sz val="15"/>
      <color theme="0"/>
      <name val="Arial"/>
      <family val="2"/>
    </font>
    <font>
      <b/>
      <sz val="11"/>
      <color theme="0"/>
      <name val="Arial"/>
      <family val="2"/>
    </font>
    <font>
      <b/>
      <sz val="12"/>
      <color theme="5" tint="-0.249977111117893"/>
      <name val="Arial"/>
      <family val="2"/>
    </font>
    <font>
      <b/>
      <sz val="18"/>
      <color theme="7" tint="0.39997558519241921"/>
      <name val="Arial"/>
      <family val="2"/>
    </font>
    <font>
      <sz val="32"/>
      <color rgb="FF000000"/>
      <name val="Century Gothic"/>
      <family val="2"/>
    </font>
    <font>
      <sz val="36"/>
      <color rgb="FF000000"/>
      <name val="Century Gothic"/>
      <family val="2"/>
    </font>
    <font>
      <b/>
      <sz val="10"/>
      <color rgb="FFFFFF00"/>
      <name val="Arial"/>
      <family val="2"/>
    </font>
    <font>
      <b/>
      <sz val="24"/>
      <color theme="7" tint="0.39997558519241921"/>
      <name val="Century Gothic"/>
      <family val="2"/>
    </font>
    <font>
      <b/>
      <sz val="17"/>
      <color rgb="FFFFFFFF"/>
      <name val="Century Gothic"/>
      <family val="2"/>
    </font>
    <font>
      <sz val="22"/>
      <color rgb="FF000000"/>
      <name val="Century Gothic"/>
      <family val="2"/>
    </font>
    <font>
      <sz val="25"/>
      <color rgb="FF000000"/>
      <name val="Century Gothic"/>
      <family val="2"/>
    </font>
    <font>
      <b/>
      <sz val="15"/>
      <color rgb="FFFFFFFF"/>
      <name val="Century Gothic"/>
      <family val="2"/>
    </font>
    <font>
      <b/>
      <sz val="15"/>
      <color rgb="FFFFD966"/>
      <name val="Century Gothic"/>
      <family val="2"/>
    </font>
    <font>
      <sz val="15"/>
      <color rgb="FF000000"/>
      <name val="Century Gothic"/>
      <family val="2"/>
    </font>
    <font>
      <b/>
      <sz val="24"/>
      <color theme="0"/>
      <name val="Century Gothic"/>
      <family val="2"/>
    </font>
    <font>
      <sz val="10"/>
      <color theme="9"/>
      <name val="Arial"/>
      <family val="2"/>
    </font>
    <font>
      <sz val="10"/>
      <color theme="5"/>
      <name val="Arial"/>
      <family val="2"/>
    </font>
    <font>
      <sz val="10"/>
      <color theme="9" tint="-0.249977111117893"/>
      <name val="Arial"/>
      <family val="2"/>
    </font>
    <font>
      <b/>
      <sz val="10"/>
      <color rgb="FFFFFFFF"/>
      <name val="Arial"/>
      <family val="2"/>
    </font>
    <font>
      <sz val="11"/>
      <name val="Arial"/>
      <family val="2"/>
    </font>
    <font>
      <sz val="14"/>
      <name val="Arial"/>
      <family val="2"/>
    </font>
    <font>
      <sz val="18"/>
      <name val="Century Gothic"/>
      <family val="2"/>
    </font>
    <font>
      <b/>
      <sz val="18"/>
      <color rgb="FFFFFFFF"/>
      <name val="Century Gothic"/>
      <family val="2"/>
    </font>
    <font>
      <sz val="18"/>
      <color theme="1"/>
      <name val="Century Gothic"/>
      <family val="2"/>
    </font>
    <font>
      <b/>
      <sz val="18"/>
      <color rgb="FFFFD966"/>
      <name val="Century Gothic"/>
      <family val="2"/>
    </font>
    <font>
      <sz val="18"/>
      <color rgb="FF000000"/>
      <name val="Century Gothic"/>
      <family val="2"/>
    </font>
    <font>
      <b/>
      <sz val="10"/>
      <color rgb="FF000000"/>
      <name val="Arial Narrow"/>
      <family val="2"/>
    </font>
    <font>
      <sz val="10"/>
      <color rgb="FF000000"/>
      <name val="Arial Narrow"/>
      <family val="2"/>
    </font>
    <font>
      <b/>
      <sz val="14"/>
      <color theme="1"/>
      <name val="Arial Narrow"/>
      <family val="2"/>
    </font>
    <font>
      <sz val="11"/>
      <color theme="1"/>
      <name val="Arial Narrow"/>
      <family val="2"/>
    </font>
    <font>
      <b/>
      <sz val="11"/>
      <color theme="1"/>
      <name val="Arial Narrow"/>
      <family val="2"/>
    </font>
    <font>
      <sz val="10"/>
      <color rgb="FFFF0000"/>
      <name val="Arial Narrow"/>
      <family val="2"/>
    </font>
    <font>
      <b/>
      <sz val="10"/>
      <color theme="1"/>
      <name val="Arial Narrow"/>
      <family val="2"/>
    </font>
    <font>
      <sz val="10"/>
      <color rgb="FF92D050"/>
      <name val="Arial Narrow"/>
      <family val="2"/>
    </font>
    <font>
      <sz val="9"/>
      <color theme="1"/>
      <name val="Arial Narrow"/>
      <family val="2"/>
    </font>
    <font>
      <b/>
      <sz val="10"/>
      <color indexed="16"/>
      <name val="Arial Narrow"/>
      <family val="2"/>
    </font>
  </fonts>
  <fills count="9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7" tint="-0.249977111117893"/>
        <bgColor indexed="64"/>
      </patternFill>
    </fill>
    <fill>
      <patternFill patternType="solid">
        <fgColor rgb="FFFFC000"/>
        <bgColor indexed="64"/>
      </patternFill>
    </fill>
    <fill>
      <patternFill patternType="solid">
        <fgColor rgb="FF00B0F0"/>
        <bgColor indexed="64"/>
      </patternFill>
    </fill>
    <fill>
      <patternFill patternType="solid">
        <fgColor theme="5"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00B050"/>
        <bgColor theme="4" tint="0.79998168889431442"/>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4B3A5F"/>
        <bgColor indexed="64"/>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
      <patternFill patternType="solid">
        <fgColor rgb="FFFFFFFF"/>
      </patternFill>
    </fill>
    <fill>
      <patternFill patternType="solid">
        <fgColor theme="6" tint="0.79998168889431442"/>
        <bgColor indexed="64"/>
      </patternFill>
    </fill>
    <fill>
      <patternFill patternType="solid">
        <fgColor indexed="6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0"/>
        <bgColor indexed="64"/>
      </patternFill>
    </fill>
    <fill>
      <patternFill patternType="solid">
        <fgColor rgb="FFFF9933"/>
        <bgColor indexed="64"/>
      </patternFill>
    </fill>
    <fill>
      <patternFill patternType="solid">
        <fgColor theme="9"/>
        <bgColor indexed="64"/>
      </patternFill>
    </fill>
    <fill>
      <patternFill patternType="solid">
        <fgColor theme="6" tint="0.59999389629810485"/>
        <bgColor indexed="64"/>
      </patternFill>
    </fill>
    <fill>
      <patternFill patternType="solid">
        <fgColor rgb="FFC3272F"/>
        <bgColor indexed="64"/>
      </patternFill>
    </fill>
    <fill>
      <patternFill patternType="solid">
        <fgColor theme="6" tint="-0.499984740745262"/>
        <bgColor indexed="64"/>
      </patternFill>
    </fill>
    <fill>
      <patternFill patternType="solid">
        <fgColor rgb="FF00FFFF"/>
        <bgColor indexed="64"/>
      </patternFill>
    </fill>
    <fill>
      <patternFill patternType="solid">
        <fgColor rgb="FF8497B0"/>
        <bgColor indexed="64"/>
      </patternFill>
    </fill>
    <fill>
      <patternFill patternType="solid">
        <fgColor rgb="FFACB9CA"/>
        <bgColor indexed="64"/>
      </patternFill>
    </fill>
    <fill>
      <patternFill patternType="solid">
        <fgColor rgb="FFD6DCE4"/>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rgb="FF833C0C"/>
        <bgColor indexed="64"/>
      </patternFill>
    </fill>
    <fill>
      <patternFill patternType="solid">
        <fgColor rgb="FFC65911"/>
        <bgColor indexed="64"/>
      </patternFill>
    </fill>
    <fill>
      <patternFill patternType="solid">
        <fgColor rgb="FFF8DBA0"/>
        <bgColor indexed="64"/>
      </patternFill>
    </fill>
    <fill>
      <patternFill patternType="solid">
        <fgColor rgb="FF00206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FF"/>
        <bgColor indexed="64"/>
      </patternFill>
    </fill>
    <fill>
      <patternFill patternType="solid">
        <fgColor theme="3"/>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2F4A4"/>
        <bgColor indexed="64"/>
      </patternFill>
    </fill>
  </fills>
  <borders count="17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indexed="64"/>
      </left>
      <right/>
      <top style="thin">
        <color theme="3" tint="0.59999389629810485"/>
      </top>
      <bottom style="thin">
        <color theme="3" tint="0.59999389629810485"/>
      </bottom>
      <diagonal/>
    </border>
    <border>
      <left style="double">
        <color indexed="64"/>
      </left>
      <right/>
      <top style="thin">
        <color theme="3" tint="0.59999389629810485"/>
      </top>
      <bottom style="thin">
        <color theme="3" tint="0.59999389629810485"/>
      </bottom>
      <diagonal/>
    </border>
    <border>
      <left/>
      <right/>
      <top style="thin">
        <color theme="3" tint="0.59999389629810485"/>
      </top>
      <bottom/>
      <diagonal/>
    </border>
    <border>
      <left/>
      <right/>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1"/>
      </left>
      <right style="thin">
        <color theme="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theme="3" tint="0.59999389629810485"/>
      </right>
      <top style="thin">
        <color theme="3" tint="0.59999389629810485"/>
      </top>
      <bottom style="thin">
        <color theme="3" tint="0.59999389629810485"/>
      </bottom>
      <diagonal/>
    </border>
    <border>
      <left/>
      <right/>
      <top style="thin">
        <color indexed="64"/>
      </top>
      <bottom style="double">
        <color indexed="64"/>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indexed="62"/>
      </left>
      <right/>
      <top style="thin">
        <color indexed="62"/>
      </top>
      <bottom style="thin">
        <color indexed="62"/>
      </bottom>
      <diagonal/>
    </border>
    <border>
      <left/>
      <right/>
      <top style="thin">
        <color indexed="62"/>
      </top>
      <bottom style="thin">
        <color indexed="62"/>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right style="thin">
        <color theme="3" tint="0.59999389629810485"/>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top style="thin">
        <color rgb="FF0070C0"/>
      </top>
      <bottom style="thin">
        <color rgb="FF0070C0"/>
      </bottom>
      <diagonal/>
    </border>
    <border>
      <left style="thin">
        <color theme="0"/>
      </left>
      <right style="thin">
        <color theme="0"/>
      </right>
      <top style="thin">
        <color theme="0"/>
      </top>
      <bottom style="thin">
        <color theme="0"/>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top/>
      <bottom style="thin">
        <color theme="5" tint="0.59999389629810485"/>
      </bottom>
      <diagonal/>
    </border>
    <border>
      <left/>
      <right/>
      <top style="thin">
        <color theme="5" tint="0.59999389629810485"/>
      </top>
      <bottom/>
      <diagonal/>
    </border>
    <border>
      <left style="thin">
        <color theme="5" tint="0.59999389629810485"/>
      </left>
      <right style="thin">
        <color theme="5" tint="0.59999389629810485"/>
      </right>
      <top style="thin">
        <color theme="5" tint="0.59999389629810485"/>
      </top>
      <bottom style="thin">
        <color theme="5" tint="0.59999389629810485"/>
      </bottom>
      <diagonal/>
    </border>
    <border>
      <left style="thin">
        <color theme="5" tint="0.59999389629810485"/>
      </left>
      <right/>
      <top style="thin">
        <color theme="5" tint="0.59999389629810485"/>
      </top>
      <bottom style="thin">
        <color theme="5" tint="0.59999389629810485"/>
      </bottom>
      <diagonal/>
    </border>
    <border>
      <left style="thin">
        <color theme="5" tint="0.59999389629810485"/>
      </left>
      <right style="thin">
        <color theme="5" tint="0.59999389629810485"/>
      </right>
      <top/>
      <bottom style="thin">
        <color theme="5" tint="0.59999389629810485"/>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indexed="16"/>
      </left>
      <right/>
      <top style="thin">
        <color indexed="16"/>
      </top>
      <bottom style="thin">
        <color indexed="16"/>
      </bottom>
      <diagonal/>
    </border>
    <border>
      <left/>
      <right/>
      <top style="thin">
        <color theme="6" tint="0.59996337778862885"/>
      </top>
      <bottom/>
      <diagonal/>
    </border>
    <border>
      <left/>
      <right/>
      <top/>
      <bottom style="thin">
        <color theme="6" tint="0.79998168889431442"/>
      </bottom>
      <diagonal/>
    </border>
    <border>
      <left/>
      <right/>
      <top style="thin">
        <color indexed="64"/>
      </top>
      <bottom style="thin">
        <color theme="0"/>
      </bottom>
      <diagonal/>
    </border>
    <border>
      <left style="thin">
        <color theme="5" tint="0.59999389629810485"/>
      </left>
      <right/>
      <top/>
      <bottom style="thin">
        <color theme="0"/>
      </bottom>
      <diagonal/>
    </border>
    <border>
      <left/>
      <right/>
      <top/>
      <bottom style="thin">
        <color theme="0"/>
      </bottom>
      <diagonal/>
    </border>
    <border>
      <left style="thin">
        <color indexed="16"/>
      </left>
      <right/>
      <top style="thin">
        <color indexed="16"/>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6337778862885"/>
      </right>
      <top/>
      <bottom style="thin">
        <color theme="6" tint="0.59996337778862885"/>
      </bottom>
      <diagonal/>
    </border>
    <border>
      <left style="thin">
        <color theme="6" tint="0.59996337778862885"/>
      </left>
      <right style="thin">
        <color theme="6" tint="0.59996337778862885"/>
      </right>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6" tint="0.59996337778862885"/>
      </left>
      <right/>
      <top style="thin">
        <color theme="7" tint="0.39997558519241921"/>
      </top>
      <bottom style="thin">
        <color theme="6" tint="0.59996337778862885"/>
      </bottom>
      <diagonal/>
    </border>
    <border>
      <left/>
      <right style="thin">
        <color theme="7" tint="0.39997558519241921"/>
      </right>
      <top style="thin">
        <color theme="7" tint="0.39997558519241921"/>
      </top>
      <bottom style="thin">
        <color theme="6" tint="0.59996337778862885"/>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right/>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0"/>
      </left>
      <right/>
      <top style="thin">
        <color theme="0"/>
      </top>
      <bottom/>
      <diagonal/>
    </border>
    <border>
      <left/>
      <right style="thin">
        <color theme="0"/>
      </right>
      <top style="thin">
        <color theme="0"/>
      </top>
      <bottom/>
      <diagonal/>
    </border>
    <border>
      <left/>
      <right style="thin">
        <color theme="7" tint="0.39997558519241921"/>
      </right>
      <top style="thin">
        <color theme="7" tint="0.39997558519241921"/>
      </top>
      <bottom/>
      <diagonal/>
    </border>
    <border>
      <left/>
      <right/>
      <top style="thin">
        <color theme="7" tint="0.39997558519241921"/>
      </top>
      <bottom/>
      <diagonal/>
    </border>
    <border>
      <left style="thin">
        <color theme="0"/>
      </left>
      <right/>
      <top style="thin">
        <color theme="0"/>
      </top>
      <bottom style="thin">
        <color rgb="FF0070C0"/>
      </bottom>
      <diagonal/>
    </border>
    <border>
      <left/>
      <right/>
      <top style="thin">
        <color theme="0"/>
      </top>
      <bottom style="thin">
        <color rgb="FF0070C0"/>
      </bottom>
      <diagonal/>
    </border>
    <border>
      <left/>
      <right style="thin">
        <color theme="0"/>
      </right>
      <top style="thin">
        <color theme="0"/>
      </top>
      <bottom style="thin">
        <color rgb="FF0070C0"/>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theme="0"/>
      </left>
      <right/>
      <top style="thin">
        <color rgb="FF0070C0"/>
      </top>
      <bottom style="thin">
        <color rgb="FF0070C0"/>
      </bottom>
      <diagonal/>
    </border>
    <border>
      <left/>
      <right/>
      <top style="thin">
        <color indexed="64"/>
      </top>
      <bottom/>
      <diagonal/>
    </border>
    <border>
      <left style="thin">
        <color theme="0"/>
      </left>
      <right/>
      <top/>
      <bottom style="thin">
        <color theme="0"/>
      </bottom>
      <diagonal/>
    </border>
    <border>
      <left/>
      <right style="thin">
        <color theme="0"/>
      </right>
      <top/>
      <bottom style="thin">
        <color theme="0"/>
      </bottom>
      <diagonal/>
    </border>
    <border>
      <left style="thin">
        <color theme="3" tint="0.59999389629810485"/>
      </left>
      <right style="thin">
        <color theme="3" tint="0.59999389629810485"/>
      </right>
      <top/>
      <bottom/>
      <diagonal/>
    </border>
    <border>
      <left style="thin">
        <color indexed="64"/>
      </left>
      <right style="thin">
        <color theme="7" tint="0.39997558519241921"/>
      </right>
      <top style="thin">
        <color theme="7" tint="0.39997558519241921"/>
      </top>
      <bottom style="thin">
        <color theme="7" tint="0.39997558519241921"/>
      </bottom>
      <diagonal/>
    </border>
    <border>
      <left/>
      <right style="thin">
        <color theme="7" tint="0.39997558519241921"/>
      </right>
      <top/>
      <bottom style="thin">
        <color theme="7" tint="0.39997558519241921"/>
      </bottom>
      <diagonal/>
    </border>
    <border>
      <left style="thin">
        <color theme="7" tint="0.39997558519241921"/>
      </left>
      <right/>
      <top/>
      <bottom/>
      <diagonal/>
    </border>
    <border>
      <left style="thin">
        <color indexed="64"/>
      </left>
      <right style="thin">
        <color theme="7" tint="0.39997558519241921"/>
      </right>
      <top style="thin">
        <color theme="7" tint="0.39997558519241921"/>
      </top>
      <bottom style="thin">
        <color indexed="64"/>
      </bottom>
      <diagonal/>
    </border>
    <border>
      <left/>
      <right/>
      <top style="thin">
        <color theme="7" tint="0.39997558519241921"/>
      </top>
      <bottom style="thin">
        <color indexed="64"/>
      </bottom>
      <diagonal/>
    </border>
    <border>
      <left style="thin">
        <color theme="7" tint="0.39997558519241921"/>
      </left>
      <right style="thin">
        <color theme="7" tint="0.39997558519241921"/>
      </right>
      <top style="thin">
        <color theme="7" tint="0.39997558519241921"/>
      </top>
      <bottom style="thin">
        <color indexed="64"/>
      </bottom>
      <diagonal/>
    </border>
    <border>
      <left style="thin">
        <color theme="7" tint="0.39997558519241921"/>
      </left>
      <right/>
      <top style="thin">
        <color theme="7" tint="0.39997558519241921"/>
      </top>
      <bottom/>
      <diagonal/>
    </border>
    <border>
      <left style="thin">
        <color indexed="64"/>
      </left>
      <right style="thin">
        <color theme="7" tint="0.39997558519241921"/>
      </right>
      <top style="thin">
        <color theme="7" tint="0.39997558519241921"/>
      </top>
      <bottom/>
      <diagonal/>
    </border>
    <border>
      <left style="thin">
        <color indexed="64"/>
      </left>
      <right style="thin">
        <color indexed="64"/>
      </right>
      <top style="thin">
        <color theme="7" tint="0.39997558519241921"/>
      </top>
      <bottom/>
      <diagonal/>
    </border>
    <border>
      <left style="thin">
        <color indexed="64"/>
      </left>
      <right/>
      <top style="thin">
        <color theme="7" tint="0.39997558519241921"/>
      </top>
      <bottom style="thin">
        <color theme="7" tint="0.39997558519241921"/>
      </bottom>
      <diagonal/>
    </border>
    <border>
      <left style="thin">
        <color theme="7" tint="0.39997558519241921"/>
      </left>
      <right/>
      <top style="thin">
        <color theme="7" tint="0.39997558519241921"/>
      </top>
      <bottom style="thin">
        <color indexed="64"/>
      </bottom>
      <diagonal/>
    </border>
    <border>
      <left style="thin">
        <color indexed="64"/>
      </left>
      <right/>
      <top style="thin">
        <color theme="7" tint="0.39997558519241921"/>
      </top>
      <bottom/>
      <diagonal/>
    </border>
    <border>
      <left/>
      <right style="thin">
        <color theme="3" tint="0.59999389629810485"/>
      </right>
      <top style="thin">
        <color theme="7" tint="0.39997558519241921"/>
      </top>
      <bottom style="thin">
        <color theme="7" tint="0.39997558519241921"/>
      </bottom>
      <diagonal/>
    </border>
    <border>
      <left style="thin">
        <color theme="7" tint="0.39997558519241921"/>
      </left>
      <right/>
      <top/>
      <bottom style="thin">
        <color theme="7" tint="0.39997558519241921"/>
      </bottom>
      <diagonal/>
    </border>
    <border>
      <left style="thin">
        <color theme="3" tint="0.59999389629810485"/>
      </left>
      <right style="thin">
        <color theme="3" tint="0.59999389629810485"/>
      </right>
      <top style="thin">
        <color theme="7" tint="0.39997558519241921"/>
      </top>
      <bottom/>
      <diagonal/>
    </border>
    <border>
      <left style="thin">
        <color indexed="64"/>
      </left>
      <right style="thin">
        <color theme="7" tint="0.39997558519241921"/>
      </right>
      <top/>
      <bottom style="thin">
        <color theme="7" tint="0.39997558519241921"/>
      </bottom>
      <diagonal/>
    </border>
    <border>
      <left style="thin">
        <color theme="3" tint="0.59999389629810485"/>
      </left>
      <right style="thin">
        <color theme="7" tint="0.39997558519241921"/>
      </right>
      <top style="thin">
        <color theme="7" tint="0.39997558519241921"/>
      </top>
      <bottom/>
      <diagonal/>
    </border>
    <border>
      <left style="thin">
        <color theme="7" tint="0.39997558519241921"/>
      </left>
      <right style="thin">
        <color theme="3" tint="0.59999389629810485"/>
      </right>
      <top style="thin">
        <color theme="7" tint="0.39997558519241921"/>
      </top>
      <bottom/>
      <diagonal/>
    </border>
    <border>
      <left style="thin">
        <color theme="7" tint="0.39997558519241921"/>
      </left>
      <right style="thin">
        <color theme="7" tint="0.39997558519241921"/>
      </right>
      <top/>
      <bottom style="thin">
        <color theme="7" tint="0.39997558519241921"/>
      </bottom>
      <diagonal/>
    </border>
    <border>
      <left/>
      <right style="thin">
        <color theme="7" tint="0.39997558519241921"/>
      </right>
      <top/>
      <bottom/>
      <diagonal/>
    </border>
    <border>
      <left style="thin">
        <color indexed="64"/>
      </left>
      <right/>
      <top/>
      <bottom style="thin">
        <color theme="7" tint="0.39997558519241921"/>
      </bottom>
      <diagonal/>
    </border>
    <border>
      <left style="double">
        <color indexed="64"/>
      </left>
      <right/>
      <top style="thin">
        <color theme="7" tint="0.39997558519241921"/>
      </top>
      <bottom style="thin">
        <color theme="3" tint="0.59999389629810485"/>
      </bottom>
      <diagonal/>
    </border>
    <border>
      <left/>
      <right/>
      <top style="thin">
        <color theme="7" tint="0.39997558519241921"/>
      </top>
      <bottom style="thin">
        <color theme="3" tint="0.59999389629810485"/>
      </bottom>
      <diagonal/>
    </border>
    <border>
      <left style="thin">
        <color rgb="FF8DB4E2"/>
      </left>
      <right style="thin">
        <color rgb="FF8DB4E2"/>
      </right>
      <top style="thin">
        <color rgb="FF8DB4E2"/>
      </top>
      <bottom style="thin">
        <color rgb="FF8DB4E2"/>
      </bottom>
      <diagonal/>
    </border>
    <border>
      <left style="thin">
        <color rgb="FF8DB4E2"/>
      </left>
      <right style="thin">
        <color rgb="FF8DB4E2"/>
      </right>
      <top style="thin">
        <color rgb="FF8DB4E2"/>
      </top>
      <bottom style="thin">
        <color rgb="FF00B0F0"/>
      </bottom>
      <diagonal/>
    </border>
    <border>
      <left/>
      <right style="medium">
        <color rgb="FF002060"/>
      </right>
      <top/>
      <bottom style="medium">
        <color rgb="FF002060"/>
      </bottom>
      <diagonal/>
    </border>
    <border>
      <left style="medium">
        <color rgb="FF002060"/>
      </left>
      <right style="medium">
        <color rgb="FF002060"/>
      </right>
      <top/>
      <bottom style="medium">
        <color rgb="FF002060"/>
      </bottom>
      <diagonal/>
    </border>
    <border>
      <left/>
      <right style="medium">
        <color rgb="FF002060"/>
      </right>
      <top style="medium">
        <color rgb="FF002060"/>
      </top>
      <bottom style="medium">
        <color rgb="FF002060"/>
      </bottom>
      <diagonal/>
    </border>
    <border>
      <left style="medium">
        <color rgb="FF002060"/>
      </left>
      <right style="medium">
        <color rgb="FF002060"/>
      </right>
      <top style="medium">
        <color rgb="FF002060"/>
      </top>
      <bottom style="medium">
        <color rgb="FF00206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thin">
        <color theme="2"/>
      </right>
      <top/>
      <bottom/>
      <diagonal/>
    </border>
    <border>
      <left style="thin">
        <color theme="2"/>
      </left>
      <right/>
      <top/>
      <bottom/>
      <diagonal/>
    </border>
    <border>
      <left/>
      <right style="thin">
        <color theme="2"/>
      </right>
      <top/>
      <bottom/>
      <diagonal/>
    </border>
    <border>
      <left/>
      <right style="thin">
        <color indexed="64"/>
      </right>
      <top style="thin">
        <color theme="7" tint="0.39997558519241921"/>
      </top>
      <bottom style="thin">
        <color theme="7" tint="0.39997558519241921"/>
      </bottom>
      <diagonal/>
    </border>
    <border>
      <left style="thick">
        <color theme="6" tint="-0.499984740745262"/>
      </left>
      <right/>
      <top/>
      <bottom style="thin">
        <color theme="6" tint="0.59996337778862885"/>
      </bottom>
      <diagonal/>
    </border>
    <border>
      <left style="thin">
        <color theme="6" tint="-0.499984740745262"/>
      </left>
      <right style="thin">
        <color theme="6" tint="-0.499984740745262"/>
      </right>
      <top/>
      <bottom style="thin">
        <color theme="6" tint="0.59996337778862885"/>
      </bottom>
      <diagonal/>
    </border>
    <border>
      <left/>
      <right style="thin">
        <color theme="3" tint="0.59999389629810485"/>
      </right>
      <top/>
      <bottom style="thin">
        <color theme="7" tint="0.39997558519241921"/>
      </bottom>
      <diagonal/>
    </border>
    <border>
      <left style="thin">
        <color indexed="64"/>
      </left>
      <right/>
      <top style="thin">
        <color indexed="64"/>
      </top>
      <bottom/>
      <diagonal/>
    </border>
    <border>
      <left/>
      <right style="thin">
        <color theme="7" tint="0.39997558519241921"/>
      </right>
      <top style="thin">
        <color indexed="64"/>
      </top>
      <bottom/>
      <diagonal/>
    </border>
  </borders>
  <cellStyleXfs count="6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69" fontId="23" fillId="0" borderId="0" applyFont="0" applyFill="0" applyBorder="0" applyAlignment="0" applyProtection="0"/>
    <xf numFmtId="0" fontId="25" fillId="0" borderId="0"/>
    <xf numFmtId="0" fontId="28" fillId="0" borderId="0"/>
    <xf numFmtId="41"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74" fillId="0" borderId="0"/>
    <xf numFmtId="0" fontId="22" fillId="0" borderId="0"/>
    <xf numFmtId="0" fontId="1" fillId="0" borderId="0"/>
    <xf numFmtId="0" fontId="1" fillId="0" borderId="0"/>
    <xf numFmtId="0" fontId="1" fillId="0" borderId="0"/>
    <xf numFmtId="181" fontId="19" fillId="0" borderId="0" applyFont="0" applyFill="0" applyBorder="0" applyAlignment="0" applyProtection="0"/>
  </cellStyleXfs>
  <cellXfs count="1899">
    <xf numFmtId="0" fontId="0" fillId="0" borderId="0" xfId="0"/>
    <xf numFmtId="0" fontId="16" fillId="33" borderId="0" xfId="0" applyFont="1" applyFill="1"/>
    <xf numFmtId="0" fontId="16" fillId="33" borderId="0" xfId="0" applyFont="1" applyFill="1" applyAlignment="1">
      <alignment wrapText="1"/>
    </xf>
    <xf numFmtId="166" fontId="16" fillId="33" borderId="0" xfId="1" applyNumberFormat="1" applyFont="1" applyFill="1" applyAlignment="1">
      <alignment wrapText="1"/>
    </xf>
    <xf numFmtId="0" fontId="0" fillId="33" borderId="0" xfId="0" applyFill="1"/>
    <xf numFmtId="0" fontId="0" fillId="33" borderId="0" xfId="0" applyFill="1" applyAlignment="1">
      <alignment wrapText="1"/>
    </xf>
    <xf numFmtId="166" fontId="0" fillId="33" borderId="0" xfId="1" applyNumberFormat="1" applyFont="1" applyFill="1" applyAlignment="1">
      <alignment wrapText="1"/>
    </xf>
    <xf numFmtId="0" fontId="16" fillId="0" borderId="0" xfId="0" applyFont="1"/>
    <xf numFmtId="0" fontId="16" fillId="0" borderId="0" xfId="0" applyFont="1" applyAlignment="1">
      <alignment wrapText="1"/>
    </xf>
    <xf numFmtId="166" fontId="16" fillId="0" borderId="0" xfId="1" applyNumberFormat="1" applyFont="1" applyFill="1" applyAlignment="1">
      <alignment wrapText="1"/>
    </xf>
    <xf numFmtId="0" fontId="0" fillId="0" borderId="0" xfId="0" applyAlignment="1">
      <alignment wrapText="1"/>
    </xf>
    <xf numFmtId="166" fontId="0" fillId="0" borderId="0" xfId="1" applyNumberFormat="1" applyFont="1" applyFill="1" applyAlignment="1">
      <alignment wrapText="1"/>
    </xf>
    <xf numFmtId="16" fontId="16" fillId="0" borderId="0" xfId="0" applyNumberFormat="1" applyFont="1"/>
    <xf numFmtId="0" fontId="0" fillId="34" borderId="0" xfId="0" applyFill="1"/>
    <xf numFmtId="0" fontId="0" fillId="34" borderId="0" xfId="0" applyFill="1" applyAlignment="1">
      <alignment wrapText="1"/>
    </xf>
    <xf numFmtId="166" fontId="0" fillId="34" borderId="0" xfId="1" applyNumberFormat="1" applyFont="1" applyFill="1" applyAlignment="1">
      <alignment wrapText="1"/>
    </xf>
    <xf numFmtId="0" fontId="16" fillId="35" borderId="0" xfId="0" applyFont="1" applyFill="1"/>
    <xf numFmtId="0" fontId="16" fillId="35" borderId="0" xfId="0" applyFont="1" applyFill="1" applyAlignment="1">
      <alignment wrapText="1"/>
    </xf>
    <xf numFmtId="166" fontId="16" fillId="35" borderId="0" xfId="1" applyNumberFormat="1" applyFont="1" applyFill="1" applyAlignment="1">
      <alignment wrapText="1"/>
    </xf>
    <xf numFmtId="0" fontId="0" fillId="35" borderId="0" xfId="0" applyFill="1"/>
    <xf numFmtId="0" fontId="0" fillId="35" borderId="0" xfId="0" applyFill="1" applyAlignment="1">
      <alignment wrapText="1"/>
    </xf>
    <xf numFmtId="166" fontId="0" fillId="35" borderId="0" xfId="1" applyNumberFormat="1" applyFont="1" applyFill="1" applyAlignment="1">
      <alignment wrapText="1"/>
    </xf>
    <xf numFmtId="0" fontId="0" fillId="36" borderId="0" xfId="0" applyFill="1"/>
    <xf numFmtId="0" fontId="0" fillId="36" borderId="0" xfId="0" applyFill="1" applyAlignment="1">
      <alignment wrapText="1"/>
    </xf>
    <xf numFmtId="166" fontId="0" fillId="36" borderId="0" xfId="1" applyNumberFormat="1" applyFont="1" applyFill="1" applyAlignment="1">
      <alignment wrapText="1"/>
    </xf>
    <xf numFmtId="166" fontId="14" fillId="0" borderId="0" xfId="1" applyNumberFormat="1" applyFont="1" applyFill="1" applyAlignment="1">
      <alignment wrapText="1"/>
    </xf>
    <xf numFmtId="166" fontId="1" fillId="34" borderId="0" xfId="1" applyNumberFormat="1" applyFont="1" applyFill="1" applyAlignment="1">
      <alignment wrapText="1"/>
    </xf>
    <xf numFmtId="166" fontId="14" fillId="35" borderId="0" xfId="1" applyNumberFormat="1" applyFont="1" applyFill="1" applyAlignment="1">
      <alignment wrapText="1"/>
    </xf>
    <xf numFmtId="0" fontId="16" fillId="36" borderId="0" xfId="0" applyFont="1" applyFill="1"/>
    <xf numFmtId="0" fontId="16" fillId="36" borderId="0" xfId="0" applyFont="1" applyFill="1" applyAlignment="1">
      <alignment wrapText="1"/>
    </xf>
    <xf numFmtId="166" fontId="16" fillId="36" borderId="0" xfId="1" applyNumberFormat="1" applyFont="1" applyFill="1" applyAlignment="1">
      <alignment wrapText="1"/>
    </xf>
    <xf numFmtId="166" fontId="0" fillId="0" borderId="0" xfId="1" applyNumberFormat="1" applyFont="1"/>
    <xf numFmtId="166" fontId="0" fillId="0" borderId="0" xfId="1" applyNumberFormat="1" applyFont="1" applyFill="1"/>
    <xf numFmtId="166" fontId="16" fillId="0" borderId="0" xfId="1" applyNumberFormat="1" applyFont="1" applyFill="1" applyAlignment="1">
      <alignment horizontal="center" vertical="center" wrapText="1"/>
    </xf>
    <xf numFmtId="166" fontId="0" fillId="0" borderId="0" xfId="1" applyNumberFormat="1" applyFont="1" applyFill="1" applyAlignment="1">
      <alignment horizontal="center" vertical="center"/>
    </xf>
    <xf numFmtId="0" fontId="0" fillId="37" borderId="0" xfId="0" applyFill="1"/>
    <xf numFmtId="0" fontId="0" fillId="37" borderId="0" xfId="0" applyFill="1" applyAlignment="1">
      <alignment wrapText="1"/>
    </xf>
    <xf numFmtId="166" fontId="0" fillId="37" borderId="0" xfId="1" applyNumberFormat="1" applyFont="1" applyFill="1" applyAlignment="1">
      <alignment wrapText="1"/>
    </xf>
    <xf numFmtId="167" fontId="16" fillId="0" borderId="0" xfId="1" applyNumberFormat="1" applyFont="1" applyFill="1"/>
    <xf numFmtId="167" fontId="16" fillId="0" borderId="0" xfId="1" applyNumberFormat="1" applyFont="1" applyFill="1" applyAlignment="1">
      <alignment horizontal="center" vertical="center"/>
    </xf>
    <xf numFmtId="167" fontId="0" fillId="0" borderId="0" xfId="1" applyNumberFormat="1" applyFont="1" applyFill="1"/>
    <xf numFmtId="3" fontId="18" fillId="0" borderId="0" xfId="0" applyNumberFormat="1" applyFont="1" applyAlignment="1">
      <alignment vertical="center"/>
    </xf>
    <xf numFmtId="3" fontId="19" fillId="0" borderId="0" xfId="0" applyNumberFormat="1" applyFont="1" applyAlignment="1">
      <alignment vertical="center"/>
    </xf>
    <xf numFmtId="3" fontId="20" fillId="0" borderId="0" xfId="0" applyNumberFormat="1" applyFont="1" applyAlignment="1">
      <alignment horizontal="center" vertical="center"/>
    </xf>
    <xf numFmtId="3" fontId="21" fillId="0" borderId="0" xfId="0" applyNumberFormat="1" applyFont="1" applyAlignment="1">
      <alignment horizontal="center" vertical="center"/>
    </xf>
    <xf numFmtId="0" fontId="22" fillId="0" borderId="10" xfId="0" applyFont="1" applyBorder="1" applyAlignment="1">
      <alignment vertical="center" wrapText="1"/>
    </xf>
    <xf numFmtId="3" fontId="19" fillId="0" borderId="10" xfId="44" applyNumberFormat="1" applyFont="1" applyFill="1" applyBorder="1" applyAlignment="1">
      <alignment vertical="center"/>
    </xf>
    <xf numFmtId="3" fontId="19" fillId="0" borderId="10" xfId="0" applyNumberFormat="1" applyFont="1" applyBorder="1" applyAlignment="1">
      <alignment vertical="center"/>
    </xf>
    <xf numFmtId="3" fontId="19" fillId="35" borderId="10" xfId="0" applyNumberFormat="1" applyFont="1" applyFill="1" applyBorder="1" applyAlignment="1">
      <alignment vertical="center"/>
    </xf>
    <xf numFmtId="3" fontId="19" fillId="38" borderId="10" xfId="0" applyNumberFormat="1" applyFont="1" applyFill="1" applyBorder="1" applyAlignment="1">
      <alignment vertical="center"/>
    </xf>
    <xf numFmtId="170" fontId="22" fillId="0" borderId="10" xfId="44" applyNumberFormat="1" applyFont="1" applyFill="1" applyBorder="1" applyAlignment="1" applyProtection="1">
      <alignment vertical="center"/>
    </xf>
    <xf numFmtId="0" fontId="22" fillId="0" borderId="10" xfId="0" applyFont="1" applyBorder="1" applyAlignment="1">
      <alignment vertical="center"/>
    </xf>
    <xf numFmtId="3" fontId="21" fillId="0" borderId="10" xfId="0" applyNumberFormat="1" applyFont="1" applyBorder="1" applyAlignment="1">
      <alignment vertical="center"/>
    </xf>
    <xf numFmtId="3" fontId="20" fillId="0" borderId="0" xfId="0" applyNumberFormat="1" applyFont="1" applyAlignment="1">
      <alignment vertical="center"/>
    </xf>
    <xf numFmtId="3" fontId="21" fillId="0" borderId="0" xfId="0" applyNumberFormat="1" applyFont="1" applyAlignment="1">
      <alignment vertical="center"/>
    </xf>
    <xf numFmtId="3" fontId="19" fillId="38" borderId="10" xfId="44" applyNumberFormat="1" applyFont="1" applyFill="1" applyBorder="1" applyAlignment="1">
      <alignment vertical="center"/>
    </xf>
    <xf numFmtId="168" fontId="21" fillId="0" borderId="10" xfId="44" applyNumberFormat="1" applyFont="1" applyFill="1" applyBorder="1" applyAlignment="1">
      <alignment vertical="center" wrapText="1"/>
    </xf>
    <xf numFmtId="170" fontId="24" fillId="0" borderId="10" xfId="44" applyNumberFormat="1" applyFont="1" applyFill="1" applyBorder="1" applyAlignment="1" applyProtection="1">
      <alignment vertical="center"/>
    </xf>
    <xf numFmtId="168" fontId="19" fillId="0" borderId="10" xfId="44" applyNumberFormat="1" applyFont="1" applyFill="1" applyBorder="1" applyAlignment="1">
      <alignment vertical="center" wrapText="1"/>
    </xf>
    <xf numFmtId="168" fontId="21" fillId="0" borderId="10" xfId="44" applyNumberFormat="1" applyFont="1" applyFill="1" applyBorder="1" applyAlignment="1">
      <alignment horizontal="center" vertical="center" wrapText="1"/>
    </xf>
    <xf numFmtId="3" fontId="21" fillId="0" borderId="10" xfId="44" applyNumberFormat="1" applyFont="1" applyFill="1" applyBorder="1" applyAlignment="1">
      <alignment vertical="center"/>
    </xf>
    <xf numFmtId="0" fontId="24" fillId="0" borderId="10" xfId="0" applyFont="1" applyBorder="1" applyAlignment="1">
      <alignment vertical="center"/>
    </xf>
    <xf numFmtId="3" fontId="24" fillId="0" borderId="10" xfId="45" applyNumberFormat="1" applyFont="1" applyBorder="1" applyAlignment="1">
      <alignment vertical="center"/>
    </xf>
    <xf numFmtId="0" fontId="24" fillId="0" borderId="10" xfId="0" applyFont="1" applyBorder="1" applyAlignment="1">
      <alignment vertical="center" wrapText="1"/>
    </xf>
    <xf numFmtId="170" fontId="21" fillId="0" borderId="10" xfId="0" applyNumberFormat="1" applyFont="1" applyBorder="1" applyAlignment="1">
      <alignment vertical="center"/>
    </xf>
    <xf numFmtId="0" fontId="22" fillId="0" borderId="10" xfId="0" applyFont="1" applyBorder="1" applyAlignment="1">
      <alignment horizontal="justify" vertical="center"/>
    </xf>
    <xf numFmtId="168" fontId="21" fillId="0" borderId="10" xfId="44" applyNumberFormat="1" applyFont="1" applyFill="1" applyBorder="1" applyAlignment="1">
      <alignment vertical="center"/>
    </xf>
    <xf numFmtId="169" fontId="19" fillId="0" borderId="10" xfId="44" applyFont="1" applyFill="1" applyBorder="1" applyAlignment="1">
      <alignment horizontal="center" vertical="center"/>
    </xf>
    <xf numFmtId="168" fontId="19" fillId="0" borderId="10" xfId="44" applyNumberFormat="1" applyFont="1" applyFill="1" applyBorder="1" applyAlignment="1">
      <alignment vertical="center"/>
    </xf>
    <xf numFmtId="1" fontId="18" fillId="0" borderId="0" xfId="0" applyNumberFormat="1" applyFont="1" applyAlignment="1">
      <alignment horizontal="center" vertical="center"/>
    </xf>
    <xf numFmtId="168" fontId="18" fillId="0" borderId="0" xfId="44" applyNumberFormat="1" applyFont="1" applyFill="1" applyBorder="1" applyAlignment="1">
      <alignment vertical="center"/>
    </xf>
    <xf numFmtId="1" fontId="19" fillId="0" borderId="10" xfId="44" applyNumberFormat="1" applyFont="1" applyFill="1" applyBorder="1" applyAlignment="1">
      <alignment horizontal="center" vertical="center"/>
    </xf>
    <xf numFmtId="1" fontId="18" fillId="0" borderId="0" xfId="44" applyNumberFormat="1" applyFont="1" applyFill="1" applyBorder="1" applyAlignment="1">
      <alignment horizontal="center" vertical="center"/>
    </xf>
    <xf numFmtId="1" fontId="19" fillId="0" borderId="0" xfId="44" applyNumberFormat="1" applyFont="1" applyFill="1" applyBorder="1" applyAlignment="1">
      <alignment horizontal="center" vertical="center"/>
    </xf>
    <xf numFmtId="168" fontId="19" fillId="0" borderId="0" xfId="44" applyNumberFormat="1" applyFont="1" applyFill="1" applyBorder="1" applyAlignment="1">
      <alignment vertical="center"/>
    </xf>
    <xf numFmtId="170" fontId="19" fillId="0" borderId="10" xfId="44" applyNumberFormat="1" applyFont="1" applyFill="1" applyBorder="1" applyAlignment="1">
      <alignment horizontal="center" vertical="center"/>
    </xf>
    <xf numFmtId="170" fontId="19" fillId="35" borderId="10" xfId="44" applyNumberFormat="1" applyFont="1" applyFill="1" applyBorder="1" applyAlignment="1">
      <alignment horizontal="center" vertical="center"/>
    </xf>
    <xf numFmtId="168" fontId="19" fillId="0" borderId="0" xfId="44" applyNumberFormat="1" applyFont="1" applyFill="1" applyBorder="1" applyAlignment="1">
      <alignment vertical="center" wrapText="1"/>
    </xf>
    <xf numFmtId="168" fontId="18" fillId="0" borderId="0" xfId="44" applyNumberFormat="1" applyFont="1" applyFill="1" applyBorder="1" applyAlignment="1">
      <alignment vertical="center" wrapText="1"/>
    </xf>
    <xf numFmtId="168" fontId="18" fillId="0" borderId="0" xfId="35" applyNumberFormat="1" applyFont="1" applyFill="1" applyBorder="1" applyAlignment="1">
      <alignment vertical="center"/>
    </xf>
    <xf numFmtId="168" fontId="19" fillId="0" borderId="10" xfId="44" applyNumberFormat="1" applyFont="1" applyFill="1" applyBorder="1" applyAlignment="1">
      <alignment horizontal="left" vertical="center" wrapText="1"/>
    </xf>
    <xf numFmtId="168" fontId="19" fillId="0" borderId="10" xfId="44" applyNumberFormat="1" applyFont="1" applyFill="1" applyBorder="1" applyAlignment="1">
      <alignment horizontal="left" vertical="center"/>
    </xf>
    <xf numFmtId="168" fontId="18" fillId="0" borderId="0" xfId="44" applyNumberFormat="1" applyFont="1" applyFill="1" applyBorder="1" applyAlignment="1">
      <alignment horizontal="left" vertical="center"/>
    </xf>
    <xf numFmtId="1" fontId="19" fillId="0" borderId="0" xfId="0" applyNumberFormat="1" applyFont="1" applyAlignment="1">
      <alignment horizontal="center" vertical="center"/>
    </xf>
    <xf numFmtId="0" fontId="18" fillId="0" borderId="0" xfId="0" applyFont="1" applyAlignment="1">
      <alignment horizontal="left" vertical="center"/>
    </xf>
    <xf numFmtId="1" fontId="27" fillId="0" borderId="0" xfId="44" applyNumberFormat="1" applyFont="1" applyFill="1" applyBorder="1" applyAlignment="1">
      <alignment horizontal="center" vertical="center"/>
    </xf>
    <xf numFmtId="1" fontId="20" fillId="0" borderId="0" xfId="44" applyNumberFormat="1" applyFont="1" applyFill="1" applyAlignment="1">
      <alignment horizontal="center" vertical="center"/>
    </xf>
    <xf numFmtId="1" fontId="21" fillId="0" borderId="0" xfId="44" applyNumberFormat="1" applyFont="1" applyFill="1" applyBorder="1" applyAlignment="1">
      <alignment horizontal="center" vertical="center"/>
    </xf>
    <xf numFmtId="168" fontId="21" fillId="0" borderId="0" xfId="44" applyNumberFormat="1" applyFont="1" applyFill="1" applyBorder="1" applyAlignment="1">
      <alignment vertical="center"/>
    </xf>
    <xf numFmtId="1" fontId="20" fillId="0" borderId="0" xfId="44" applyNumberFormat="1" applyFont="1" applyFill="1" applyBorder="1" applyAlignment="1">
      <alignment horizontal="center" vertical="center"/>
    </xf>
    <xf numFmtId="168" fontId="20" fillId="0" borderId="0" xfId="44" applyNumberFormat="1" applyFont="1" applyFill="1" applyBorder="1" applyAlignment="1">
      <alignment vertical="center"/>
    </xf>
    <xf numFmtId="168" fontId="19" fillId="38" borderId="10" xfId="44" applyNumberFormat="1" applyFont="1" applyFill="1" applyBorder="1" applyAlignment="1">
      <alignment vertical="center"/>
    </xf>
    <xf numFmtId="168" fontId="20" fillId="0" borderId="0" xfId="44" applyNumberFormat="1" applyFont="1" applyFill="1" applyAlignment="1">
      <alignment vertical="center"/>
    </xf>
    <xf numFmtId="170" fontId="21" fillId="0" borderId="10" xfId="44" applyNumberFormat="1" applyFont="1" applyFill="1" applyBorder="1" applyAlignment="1">
      <alignment vertical="center"/>
    </xf>
    <xf numFmtId="168" fontId="18" fillId="0" borderId="0" xfId="44" applyNumberFormat="1" applyFont="1" applyFill="1" applyAlignment="1">
      <alignment vertical="center"/>
    </xf>
    <xf numFmtId="3" fontId="19" fillId="0" borderId="0" xfId="0" applyNumberFormat="1" applyFont="1" applyAlignment="1">
      <alignment vertical="center" wrapText="1"/>
    </xf>
    <xf numFmtId="166" fontId="1" fillId="0" borderId="0" xfId="1" applyNumberFormat="1" applyFont="1" applyFill="1" applyAlignment="1">
      <alignment wrapText="1"/>
    </xf>
    <xf numFmtId="166" fontId="0" fillId="39" borderId="0" xfId="1" applyNumberFormat="1" applyFont="1" applyFill="1" applyAlignment="1">
      <alignment wrapText="1"/>
    </xf>
    <xf numFmtId="166" fontId="16" fillId="39" borderId="0" xfId="1" applyNumberFormat="1" applyFont="1" applyFill="1" applyAlignment="1">
      <alignment wrapText="1"/>
    </xf>
    <xf numFmtId="0" fontId="13" fillId="21" borderId="16" xfId="31" applyNumberFormat="1" applyFont="1" applyBorder="1" applyAlignment="1" applyProtection="1">
      <alignment horizontal="center" vertical="center"/>
    </xf>
    <xf numFmtId="0" fontId="13" fillId="21" borderId="16" xfId="31" applyNumberFormat="1" applyFont="1" applyBorder="1" applyAlignment="1" applyProtection="1">
      <alignment horizontal="center" vertical="center" wrapText="1"/>
    </xf>
    <xf numFmtId="0" fontId="13" fillId="37" borderId="16" xfId="31" applyNumberFormat="1" applyFont="1" applyFill="1" applyBorder="1" applyAlignment="1" applyProtection="1">
      <alignment horizontal="center" vertical="center" wrapText="1"/>
    </xf>
    <xf numFmtId="0" fontId="17" fillId="13" borderId="0" xfId="23" applyNumberFormat="1" applyBorder="1" applyAlignment="1" applyProtection="1">
      <alignment horizontal="center" vertical="center" wrapText="1"/>
    </xf>
    <xf numFmtId="0" fontId="1" fillId="24" borderId="0" xfId="34" applyNumberFormat="1" applyBorder="1" applyAlignment="1" applyProtection="1">
      <alignment horizontal="center" vertical="center" wrapText="1"/>
    </xf>
    <xf numFmtId="0" fontId="1" fillId="16" borderId="0" xfId="26" applyNumberFormat="1" applyBorder="1" applyAlignment="1" applyProtection="1">
      <alignment horizontal="center" vertical="center" wrapText="1"/>
    </xf>
    <xf numFmtId="0" fontId="17" fillId="9" borderId="0" xfId="19" applyNumberFormat="1" applyBorder="1" applyAlignment="1" applyProtection="1">
      <alignment horizontal="center" vertical="center" wrapText="1"/>
    </xf>
    <xf numFmtId="0" fontId="22" fillId="0" borderId="0" xfId="46" applyFont="1" applyAlignment="1">
      <alignment horizontal="center" vertical="center"/>
    </xf>
    <xf numFmtId="0" fontId="22" fillId="0" borderId="16" xfId="46" applyFont="1" applyBorder="1" applyAlignment="1">
      <alignment horizontal="center" vertical="center"/>
    </xf>
    <xf numFmtId="0" fontId="22" fillId="0" borderId="16" xfId="46" applyFont="1" applyBorder="1" applyAlignment="1">
      <alignment horizontal="left" vertical="center" wrapText="1"/>
    </xf>
    <xf numFmtId="171" fontId="22" fillId="0" borderId="16" xfId="47" applyNumberFormat="1" applyFont="1" applyBorder="1" applyAlignment="1">
      <alignment vertical="center"/>
    </xf>
    <xf numFmtId="9" fontId="22" fillId="0" borderId="16" xfId="48" applyFont="1" applyFill="1" applyBorder="1" applyAlignment="1" applyProtection="1">
      <alignment vertical="center"/>
    </xf>
    <xf numFmtId="43" fontId="22" fillId="0" borderId="16" xfId="46" applyNumberFormat="1" applyFont="1" applyBorder="1" applyAlignment="1">
      <alignment vertical="center"/>
    </xf>
    <xf numFmtId="43" fontId="22" fillId="0" borderId="0" xfId="49" applyFont="1" applyFill="1" applyBorder="1" applyAlignment="1" applyProtection="1">
      <alignment vertical="center" wrapText="1"/>
    </xf>
    <xf numFmtId="43" fontId="22" fillId="0" borderId="0" xfId="46" applyNumberFormat="1" applyFont="1" applyAlignment="1">
      <alignment vertical="center"/>
    </xf>
    <xf numFmtId="0" fontId="22" fillId="0" borderId="0" xfId="46" applyFont="1" applyAlignment="1">
      <alignment vertical="center"/>
    </xf>
    <xf numFmtId="43" fontId="22" fillId="35" borderId="16" xfId="46" applyNumberFormat="1" applyFont="1" applyFill="1" applyBorder="1" applyAlignment="1">
      <alignment vertical="center"/>
    </xf>
    <xf numFmtId="43" fontId="22" fillId="37" borderId="16" xfId="46" applyNumberFormat="1" applyFont="1" applyFill="1" applyBorder="1" applyAlignment="1">
      <alignment vertical="center"/>
    </xf>
    <xf numFmtId="171" fontId="22" fillId="0" borderId="0" xfId="46" applyNumberFormat="1" applyFont="1" applyAlignment="1">
      <alignment vertical="center"/>
    </xf>
    <xf numFmtId="43" fontId="22" fillId="40" borderId="16" xfId="46" applyNumberFormat="1" applyFont="1" applyFill="1" applyBorder="1" applyAlignment="1">
      <alignment vertical="center"/>
    </xf>
    <xf numFmtId="43" fontId="22" fillId="36" borderId="16" xfId="46" applyNumberFormat="1" applyFont="1" applyFill="1" applyBorder="1" applyAlignment="1">
      <alignment vertical="center"/>
    </xf>
    <xf numFmtId="43" fontId="22" fillId="41" borderId="16" xfId="46" applyNumberFormat="1" applyFont="1" applyFill="1" applyBorder="1" applyAlignment="1">
      <alignment vertical="center"/>
    </xf>
    <xf numFmtId="43" fontId="22" fillId="42" borderId="16" xfId="46" applyNumberFormat="1" applyFont="1" applyFill="1" applyBorder="1" applyAlignment="1">
      <alignment vertical="center"/>
    </xf>
    <xf numFmtId="0" fontId="22" fillId="0" borderId="0" xfId="46" applyFont="1" applyAlignment="1">
      <alignment horizontal="left" vertical="center" wrapText="1"/>
    </xf>
    <xf numFmtId="0" fontId="22" fillId="0" borderId="0" xfId="46" applyFont="1" applyAlignment="1">
      <alignment vertical="center" wrapText="1"/>
    </xf>
    <xf numFmtId="168" fontId="19" fillId="0" borderId="0" xfId="35" applyNumberFormat="1" applyFont="1" applyFill="1" applyBorder="1" applyAlignment="1">
      <alignment vertical="center"/>
    </xf>
    <xf numFmtId="1" fontId="21" fillId="0" borderId="0" xfId="44" applyNumberFormat="1" applyFont="1" applyFill="1" applyAlignment="1">
      <alignment horizontal="center" vertical="center"/>
    </xf>
    <xf numFmtId="168" fontId="19" fillId="0" borderId="0" xfId="44" applyNumberFormat="1" applyFont="1" applyFill="1" applyBorder="1" applyAlignment="1">
      <alignment horizontal="left" vertical="center"/>
    </xf>
    <xf numFmtId="0" fontId="19" fillId="0" borderId="0" xfId="0" applyFont="1" applyAlignment="1">
      <alignment horizontal="left" vertical="center"/>
    </xf>
    <xf numFmtId="168" fontId="21" fillId="0" borderId="0" xfId="44" applyNumberFormat="1" applyFont="1" applyFill="1" applyAlignment="1">
      <alignment vertical="center"/>
    </xf>
    <xf numFmtId="168" fontId="19" fillId="0" borderId="0" xfId="44" applyNumberFormat="1" applyFont="1" applyFill="1" applyAlignment="1">
      <alignment vertical="center"/>
    </xf>
    <xf numFmtId="9" fontId="19" fillId="0" borderId="0" xfId="43" applyFont="1" applyAlignment="1">
      <alignment vertical="center"/>
    </xf>
    <xf numFmtId="43" fontId="0" fillId="0" borderId="0" xfId="1" applyFont="1"/>
    <xf numFmtId="43" fontId="0" fillId="35" borderId="0" xfId="1" applyFont="1" applyFill="1"/>
    <xf numFmtId="16" fontId="0" fillId="0" borderId="0" xfId="0" applyNumberFormat="1"/>
    <xf numFmtId="166" fontId="30" fillId="0" borderId="0" xfId="1" applyNumberFormat="1" applyFont="1" applyAlignment="1">
      <alignment horizontal="center" vertical="center"/>
    </xf>
    <xf numFmtId="166" fontId="31" fillId="0" borderId="0" xfId="1" applyNumberFormat="1" applyFont="1"/>
    <xf numFmtId="9" fontId="0" fillId="0" borderId="0" xfId="0" applyNumberFormat="1"/>
    <xf numFmtId="166" fontId="16" fillId="0" borderId="0" xfId="1" applyNumberFormat="1" applyFont="1"/>
    <xf numFmtId="166" fontId="32" fillId="0" borderId="17" xfId="1" applyNumberFormat="1" applyFont="1" applyBorder="1"/>
    <xf numFmtId="166" fontId="0" fillId="0" borderId="18" xfId="1" applyNumberFormat="1" applyFont="1" applyBorder="1"/>
    <xf numFmtId="0" fontId="16" fillId="0" borderId="1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0" fillId="0" borderId="22" xfId="0" applyBorder="1"/>
    <xf numFmtId="0" fontId="0" fillId="0" borderId="22" xfId="0" applyBorder="1" applyAlignment="1">
      <alignment wrapText="1"/>
    </xf>
    <xf numFmtId="43" fontId="0" fillId="0" borderId="22" xfId="1" applyFont="1" applyBorder="1"/>
    <xf numFmtId="0" fontId="0" fillId="0" borderId="23" xfId="0" applyBorder="1"/>
    <xf numFmtId="0" fontId="0" fillId="0" borderId="23" xfId="0" applyBorder="1" applyAlignment="1">
      <alignment wrapText="1"/>
    </xf>
    <xf numFmtId="43" fontId="0" fillId="0" borderId="23" xfId="1" applyFont="1" applyBorder="1"/>
    <xf numFmtId="0" fontId="0" fillId="37" borderId="23" xfId="0" applyFill="1" applyBorder="1"/>
    <xf numFmtId="0" fontId="0" fillId="37" borderId="23" xfId="0" applyFill="1" applyBorder="1" applyAlignment="1">
      <alignment wrapText="1"/>
    </xf>
    <xf numFmtId="43" fontId="0" fillId="37" borderId="23" xfId="1" applyFont="1" applyFill="1" applyBorder="1"/>
    <xf numFmtId="0" fontId="0" fillId="42" borderId="23" xfId="0" applyFill="1" applyBorder="1"/>
    <xf numFmtId="0" fontId="0" fillId="42" borderId="23" xfId="0" applyFill="1" applyBorder="1" applyAlignment="1">
      <alignment wrapText="1"/>
    </xf>
    <xf numFmtId="43" fontId="0" fillId="42" borderId="23" xfId="1" applyFont="1" applyFill="1" applyBorder="1"/>
    <xf numFmtId="0" fontId="0" fillId="42" borderId="0" xfId="0" applyFill="1"/>
    <xf numFmtId="0" fontId="0" fillId="35" borderId="23" xfId="0" applyFill="1" applyBorder="1"/>
    <xf numFmtId="0" fontId="0" fillId="35" borderId="23" xfId="0" applyFill="1" applyBorder="1" applyAlignment="1">
      <alignment wrapText="1"/>
    </xf>
    <xf numFmtId="43" fontId="0" fillId="35" borderId="23" xfId="1" applyFont="1" applyFill="1" applyBorder="1"/>
    <xf numFmtId="0" fontId="0" fillId="43" borderId="23" xfId="0" applyFill="1" applyBorder="1"/>
    <xf numFmtId="0" fontId="0" fillId="43" borderId="23" xfId="0" applyFill="1" applyBorder="1" applyAlignment="1">
      <alignment wrapText="1"/>
    </xf>
    <xf numFmtId="43" fontId="0" fillId="43" borderId="23" xfId="1" applyFont="1" applyFill="1" applyBorder="1"/>
    <xf numFmtId="0" fontId="0" fillId="43" borderId="0" xfId="0" applyFill="1"/>
    <xf numFmtId="43" fontId="16" fillId="0" borderId="24" xfId="1" applyFont="1" applyFill="1" applyBorder="1"/>
    <xf numFmtId="43" fontId="0" fillId="0" borderId="0" xfId="1" applyFont="1" applyFill="1"/>
    <xf numFmtId="43" fontId="0" fillId="43" borderId="0" xfId="1" applyFont="1" applyFill="1"/>
    <xf numFmtId="9" fontId="16" fillId="0" borderId="0" xfId="43" applyFont="1" applyAlignment="1">
      <alignment horizontal="center"/>
    </xf>
    <xf numFmtId="0" fontId="0" fillId="37" borderId="0" xfId="0" applyFill="1" applyAlignment="1">
      <alignment horizontal="center" wrapText="1"/>
    </xf>
    <xf numFmtId="3" fontId="19" fillId="0" borderId="0" xfId="0" applyNumberFormat="1" applyFont="1" applyAlignment="1">
      <alignment horizontal="center" vertical="center"/>
    </xf>
    <xf numFmtId="49" fontId="13" fillId="44" borderId="25" xfId="0" applyNumberFormat="1" applyFont="1" applyFill="1" applyBorder="1" applyAlignment="1">
      <alignment horizontal="center" vertical="center"/>
    </xf>
    <xf numFmtId="49" fontId="13" fillId="44" borderId="26" xfId="0" applyNumberFormat="1" applyFont="1" applyFill="1" applyBorder="1" applyAlignment="1">
      <alignment horizontal="center" vertical="center"/>
    </xf>
    <xf numFmtId="49" fontId="13" fillId="44" borderId="26" xfId="0" applyNumberFormat="1" applyFont="1" applyFill="1" applyBorder="1" applyAlignment="1">
      <alignment horizontal="center" vertical="center" wrapText="1"/>
    </xf>
    <xf numFmtId="166" fontId="13" fillId="44" borderId="26" xfId="1" applyNumberFormat="1" applyFont="1" applyFill="1" applyBorder="1" applyAlignment="1">
      <alignment horizontal="center" vertical="center"/>
    </xf>
    <xf numFmtId="10" fontId="13" fillId="44" borderId="26" xfId="43" applyNumberFormat="1" applyFont="1" applyFill="1" applyBorder="1" applyAlignment="1">
      <alignment horizontal="center" vertical="center"/>
    </xf>
    <xf numFmtId="0" fontId="0" fillId="0" borderId="0" xfId="0" applyAlignment="1">
      <alignment horizontal="center" vertical="center"/>
    </xf>
    <xf numFmtId="0" fontId="0" fillId="45" borderId="25" xfId="0" applyFill="1" applyBorder="1" applyAlignment="1">
      <alignment horizontal="center" vertical="center"/>
    </xf>
    <xf numFmtId="0" fontId="0" fillId="45" borderId="25" xfId="0" applyFill="1" applyBorder="1" applyAlignment="1">
      <alignment horizontal="left" vertical="center"/>
    </xf>
    <xf numFmtId="0" fontId="0" fillId="45" borderId="25" xfId="0" applyFill="1" applyBorder="1" applyAlignment="1">
      <alignment horizontal="left" vertical="center" wrapText="1"/>
    </xf>
    <xf numFmtId="166" fontId="0" fillId="45" borderId="25" xfId="1" applyNumberFormat="1" applyFont="1" applyFill="1" applyBorder="1" applyAlignment="1">
      <alignment horizontal="right" vertical="center"/>
    </xf>
    <xf numFmtId="10" fontId="0" fillId="45" borderId="25" xfId="43" applyNumberFormat="1" applyFont="1" applyFill="1" applyBorder="1" applyAlignment="1">
      <alignment horizontal="right" vertical="center"/>
    </xf>
    <xf numFmtId="0" fontId="0" fillId="0" borderId="0" xfId="0" applyAlignment="1">
      <alignment vertical="center"/>
    </xf>
    <xf numFmtId="0" fontId="0" fillId="0" borderId="25" xfId="0" applyBorder="1" applyAlignment="1">
      <alignment horizontal="center" vertical="center"/>
    </xf>
    <xf numFmtId="0" fontId="0" fillId="0" borderId="25" xfId="0" applyBorder="1" applyAlignment="1">
      <alignment horizontal="left" vertical="center"/>
    </xf>
    <xf numFmtId="166" fontId="0" fillId="0" borderId="25" xfId="1" applyNumberFormat="1" applyFont="1" applyBorder="1" applyAlignment="1">
      <alignment horizontal="center" vertical="center"/>
    </xf>
    <xf numFmtId="10" fontId="0" fillId="0" borderId="25" xfId="43" applyNumberFormat="1" applyFont="1" applyBorder="1" applyAlignment="1">
      <alignment horizontal="right" vertical="center"/>
    </xf>
    <xf numFmtId="166" fontId="0" fillId="45" borderId="25" xfId="1" applyNumberFormat="1" applyFont="1" applyFill="1" applyBorder="1" applyAlignment="1">
      <alignment horizontal="center" vertical="center"/>
    </xf>
    <xf numFmtId="0" fontId="0" fillId="0" borderId="25" xfId="0" applyBorder="1" applyAlignment="1">
      <alignment horizontal="left" vertical="center" wrapText="1"/>
    </xf>
    <xf numFmtId="166" fontId="0" fillId="0" borderId="25" xfId="1" applyNumberFormat="1" applyFont="1" applyBorder="1" applyAlignment="1">
      <alignment horizontal="right" vertical="center"/>
    </xf>
    <xf numFmtId="166" fontId="17" fillId="46" borderId="25" xfId="1" applyNumberFormat="1" applyFont="1" applyFill="1" applyBorder="1" applyAlignment="1">
      <alignment horizontal="center" vertical="center"/>
    </xf>
    <xf numFmtId="10" fontId="17" fillId="46" borderId="25" xfId="43" applyNumberFormat="1" applyFont="1" applyFill="1" applyBorder="1" applyAlignment="1">
      <alignment horizontal="right" vertical="center"/>
    </xf>
    <xf numFmtId="10" fontId="17" fillId="46" borderId="25" xfId="43" applyNumberFormat="1" applyFont="1" applyFill="1" applyBorder="1" applyAlignment="1">
      <alignment horizontal="center" vertical="center"/>
    </xf>
    <xf numFmtId="0" fontId="0" fillId="45" borderId="0" xfId="0" applyFill="1" applyAlignment="1">
      <alignment horizontal="center" vertical="center"/>
    </xf>
    <xf numFmtId="0" fontId="0" fillId="45" borderId="0" xfId="0" applyFill="1" applyAlignment="1">
      <alignment horizontal="left" vertical="center"/>
    </xf>
    <xf numFmtId="0" fontId="0" fillId="45" borderId="0" xfId="0" applyFill="1" applyAlignment="1">
      <alignment horizontal="left" vertical="center" wrapText="1"/>
    </xf>
    <xf numFmtId="166" fontId="0" fillId="45" borderId="0" xfId="1" applyNumberFormat="1" applyFont="1" applyFill="1" applyBorder="1" applyAlignment="1">
      <alignment horizontal="right" vertical="center"/>
    </xf>
    <xf numFmtId="10" fontId="0" fillId="45" borderId="0" xfId="43" applyNumberFormat="1" applyFont="1" applyFill="1" applyBorder="1" applyAlignment="1">
      <alignment horizontal="right" vertical="center"/>
    </xf>
    <xf numFmtId="0" fontId="0" fillId="0" borderId="0" xfId="0" applyAlignment="1">
      <alignment horizontal="left" vertical="center"/>
    </xf>
    <xf numFmtId="166" fontId="0" fillId="0" borderId="0" xfId="1" applyNumberFormat="1" applyFont="1" applyAlignment="1">
      <alignment horizontal="center" vertical="center"/>
    </xf>
    <xf numFmtId="10" fontId="0" fillId="0" borderId="0" xfId="43" applyNumberFormat="1" applyFont="1" applyAlignment="1">
      <alignment horizontal="right" vertical="center"/>
    </xf>
    <xf numFmtId="166" fontId="0" fillId="45" borderId="0" xfId="1" applyNumberFormat="1" applyFont="1" applyFill="1" applyBorder="1" applyAlignment="1">
      <alignment horizontal="center" vertical="center"/>
    </xf>
    <xf numFmtId="0" fontId="0" fillId="0" borderId="0" xfId="0" applyAlignment="1">
      <alignment horizontal="left" vertical="center" wrapText="1"/>
    </xf>
    <xf numFmtId="166" fontId="0" fillId="0" borderId="0" xfId="1" applyNumberFormat="1" applyFont="1" applyAlignment="1">
      <alignment horizontal="right" vertical="center"/>
    </xf>
    <xf numFmtId="166" fontId="0" fillId="0" borderId="0" xfId="0" applyNumberFormat="1"/>
    <xf numFmtId="3" fontId="21" fillId="0" borderId="0" xfId="0" applyNumberFormat="1" applyFont="1" applyAlignment="1">
      <alignment horizontal="center" vertical="center" wrapText="1"/>
    </xf>
    <xf numFmtId="0" fontId="33" fillId="0" borderId="0" xfId="0" applyFont="1" applyAlignment="1">
      <alignment vertical="center"/>
    </xf>
    <xf numFmtId="0" fontId="35" fillId="0" borderId="0" xfId="0" applyFont="1" applyAlignment="1">
      <alignment horizontal="center" vertical="center"/>
    </xf>
    <xf numFmtId="4" fontId="36" fillId="0" borderId="0" xfId="0" applyNumberFormat="1" applyFont="1" applyAlignment="1">
      <alignment horizontal="center" vertical="center"/>
    </xf>
    <xf numFmtId="4" fontId="32" fillId="0" borderId="0" xfId="0" applyNumberFormat="1" applyFont="1" applyAlignment="1">
      <alignment horizontal="center" vertical="center"/>
    </xf>
    <xf numFmtId="0" fontId="36" fillId="0" borderId="0" xfId="0" applyFont="1" applyAlignment="1">
      <alignment horizontal="center" vertical="center"/>
    </xf>
    <xf numFmtId="4" fontId="37" fillId="0" borderId="0" xfId="0" applyNumberFormat="1" applyFont="1" applyAlignment="1">
      <alignment horizontal="center" vertical="center"/>
    </xf>
    <xf numFmtId="4" fontId="38" fillId="0" borderId="0" xfId="0" applyNumberFormat="1" applyFont="1" applyAlignment="1">
      <alignment horizontal="center" vertical="center"/>
    </xf>
    <xf numFmtId="4" fontId="39" fillId="0" borderId="0" xfId="0" applyNumberFormat="1" applyFont="1" applyAlignment="1">
      <alignment horizontal="center" vertical="center"/>
    </xf>
    <xf numFmtId="4" fontId="40" fillId="0" borderId="0" xfId="0" applyNumberFormat="1" applyFont="1" applyAlignment="1">
      <alignment horizontal="center" vertical="center"/>
    </xf>
    <xf numFmtId="172" fontId="35" fillId="0" borderId="0" xfId="0" applyNumberFormat="1" applyFont="1" applyAlignment="1">
      <alignment horizontal="center" vertical="center"/>
    </xf>
    <xf numFmtId="4" fontId="37" fillId="0" borderId="29" xfId="0" applyNumberFormat="1" applyFont="1" applyBorder="1" applyAlignment="1">
      <alignment vertical="center"/>
    </xf>
    <xf numFmtId="0" fontId="40" fillId="0" borderId="0" xfId="0" applyFont="1" applyAlignment="1">
      <alignment vertical="center"/>
    </xf>
    <xf numFmtId="4" fontId="21" fillId="0" borderId="47" xfId="0" applyNumberFormat="1" applyFont="1" applyBorder="1" applyAlignment="1">
      <alignment horizontal="center" vertical="center"/>
    </xf>
    <xf numFmtId="4" fontId="21" fillId="47" borderId="47" xfId="0" applyNumberFormat="1" applyFont="1" applyFill="1" applyBorder="1" applyAlignment="1">
      <alignment horizontal="center" vertical="center"/>
    </xf>
    <xf numFmtId="4" fontId="21" fillId="0" borderId="48" xfId="0" applyNumberFormat="1" applyFont="1" applyBorder="1" applyAlignment="1">
      <alignment horizontal="center" vertical="center"/>
    </xf>
    <xf numFmtId="4" fontId="21" fillId="47" borderId="46" xfId="0" applyNumberFormat="1" applyFont="1" applyFill="1" applyBorder="1" applyAlignment="1">
      <alignment horizontal="center" vertical="center"/>
    </xf>
    <xf numFmtId="172" fontId="21" fillId="0" borderId="47" xfId="0" applyNumberFormat="1" applyFont="1" applyBorder="1" applyAlignment="1">
      <alignment horizontal="center" vertical="center"/>
    </xf>
    <xf numFmtId="0" fontId="37" fillId="0" borderId="0" xfId="0" applyFont="1" applyAlignment="1">
      <alignment vertical="center"/>
    </xf>
    <xf numFmtId="1" fontId="45" fillId="0" borderId="51" xfId="0" applyNumberFormat="1" applyFont="1" applyBorder="1" applyAlignment="1">
      <alignment horizontal="center" vertical="center"/>
    </xf>
    <xf numFmtId="4" fontId="45" fillId="0" borderId="52" xfId="0" applyNumberFormat="1" applyFont="1" applyBorder="1" applyAlignment="1">
      <alignment horizontal="center" vertical="center"/>
    </xf>
    <xf numFmtId="173" fontId="45" fillId="0" borderId="52" xfId="0" applyNumberFormat="1" applyFont="1" applyBorder="1" applyAlignment="1">
      <alignment horizontal="center" vertical="center"/>
    </xf>
    <xf numFmtId="3" fontId="45" fillId="0" borderId="52" xfId="0" applyNumberFormat="1" applyFont="1" applyBorder="1" applyAlignment="1">
      <alignment horizontal="center" vertical="center"/>
    </xf>
    <xf numFmtId="0" fontId="37" fillId="0" borderId="52" xfId="0" applyFont="1" applyBorder="1" applyAlignment="1">
      <alignment horizontal="center" vertical="center"/>
    </xf>
    <xf numFmtId="0" fontId="35" fillId="0" borderId="52" xfId="0" applyFont="1" applyBorder="1" applyAlignment="1">
      <alignment horizontal="center" vertical="center" textRotation="90"/>
    </xf>
    <xf numFmtId="1" fontId="43" fillId="0" borderId="52" xfId="0" applyNumberFormat="1" applyFont="1" applyBorder="1" applyAlignment="1">
      <alignment horizontal="center" vertical="center"/>
    </xf>
    <xf numFmtId="4" fontId="45" fillId="0" borderId="52" xfId="0" applyNumberFormat="1" applyFont="1" applyBorder="1" applyAlignment="1">
      <alignment horizontal="right" vertical="center"/>
    </xf>
    <xf numFmtId="172" fontId="45" fillId="47" borderId="52" xfId="0" applyNumberFormat="1" applyFont="1" applyFill="1" applyBorder="1" applyAlignment="1">
      <alignment vertical="center"/>
    </xf>
    <xf numFmtId="0" fontId="45" fillId="47" borderId="52" xfId="0" applyFont="1" applyFill="1" applyBorder="1" applyAlignment="1">
      <alignment vertical="center"/>
    </xf>
    <xf numFmtId="0" fontId="43" fillId="0" borderId="52" xfId="0" applyFont="1" applyBorder="1" applyAlignment="1">
      <alignment vertical="center"/>
    </xf>
    <xf numFmtId="0" fontId="45" fillId="0" borderId="52" xfId="0" applyFont="1" applyBorder="1" applyAlignment="1">
      <alignment vertical="center"/>
    </xf>
    <xf numFmtId="3" fontId="43" fillId="47" borderId="52" xfId="0" applyNumberFormat="1" applyFont="1" applyFill="1" applyBorder="1" applyAlignment="1">
      <alignment horizontal="center" vertical="center"/>
    </xf>
    <xf numFmtId="4" fontId="45" fillId="47" borderId="52" xfId="0" applyNumberFormat="1" applyFont="1" applyFill="1" applyBorder="1" applyAlignment="1">
      <alignment vertical="center"/>
    </xf>
    <xf numFmtId="0" fontId="42" fillId="0" borderId="52" xfId="0" applyFont="1" applyBorder="1" applyAlignment="1">
      <alignment vertical="center"/>
    </xf>
    <xf numFmtId="4" fontId="45" fillId="0" borderId="52" xfId="0" applyNumberFormat="1" applyFont="1" applyBorder="1" applyAlignment="1">
      <alignment vertical="center"/>
    </xf>
    <xf numFmtId="0" fontId="42" fillId="0" borderId="52" xfId="0" applyFont="1" applyBorder="1" applyAlignment="1">
      <alignment horizontal="center" vertical="center"/>
    </xf>
    <xf numFmtId="0" fontId="42" fillId="47" borderId="52" xfId="0" applyFont="1" applyFill="1" applyBorder="1" applyAlignment="1">
      <alignment vertical="center"/>
    </xf>
    <xf numFmtId="0" fontId="42" fillId="47" borderId="52" xfId="0" applyFont="1" applyFill="1" applyBorder="1" applyAlignment="1">
      <alignment horizontal="center" vertical="center"/>
    </xf>
    <xf numFmtId="172" fontId="45" fillId="0" borderId="52" xfId="0" applyNumberFormat="1" applyFont="1" applyBorder="1" applyAlignment="1">
      <alignment vertical="center"/>
    </xf>
    <xf numFmtId="4" fontId="45" fillId="47" borderId="53" xfId="0" applyNumberFormat="1" applyFont="1" applyFill="1" applyBorder="1" applyAlignment="1">
      <alignment vertical="center"/>
    </xf>
    <xf numFmtId="1" fontId="45" fillId="0" borderId="0" xfId="0" applyNumberFormat="1" applyFont="1" applyAlignment="1">
      <alignment horizontal="center" vertical="center"/>
    </xf>
    <xf numFmtId="4" fontId="45" fillId="0" borderId="0" xfId="0" applyNumberFormat="1" applyFont="1" applyAlignment="1">
      <alignment horizontal="center" vertical="center"/>
    </xf>
    <xf numFmtId="4" fontId="45" fillId="0" borderId="0" xfId="0" applyNumberFormat="1" applyFont="1" applyAlignment="1">
      <alignment vertical="center"/>
    </xf>
    <xf numFmtId="0" fontId="43" fillId="0" borderId="0" xfId="0" applyFont="1" applyAlignment="1">
      <alignment vertical="center"/>
    </xf>
    <xf numFmtId="0" fontId="45" fillId="0" borderId="0" xfId="0" applyFont="1" applyAlignment="1">
      <alignment vertical="center"/>
    </xf>
    <xf numFmtId="4" fontId="45" fillId="0" borderId="0" xfId="0" applyNumberFormat="1" applyFont="1" applyAlignment="1">
      <alignment horizontal="right" vertical="center"/>
    </xf>
    <xf numFmtId="1" fontId="43" fillId="0" borderId="0" xfId="0" applyNumberFormat="1" applyFont="1" applyAlignment="1">
      <alignment horizontal="center" vertical="center"/>
    </xf>
    <xf numFmtId="0" fontId="42" fillId="0" borderId="0" xfId="0" applyFont="1" applyAlignment="1">
      <alignment vertical="center"/>
    </xf>
    <xf numFmtId="1" fontId="45" fillId="0" borderId="0" xfId="0" applyNumberFormat="1" applyFont="1" applyAlignment="1">
      <alignment vertical="center"/>
    </xf>
    <xf numFmtId="3" fontId="43" fillId="0" borderId="0" xfId="0" applyNumberFormat="1" applyFont="1" applyAlignment="1">
      <alignment vertical="center"/>
    </xf>
    <xf numFmtId="0" fontId="42" fillId="0" borderId="0" xfId="0" applyFont="1" applyAlignment="1">
      <alignment horizontal="center" vertical="center"/>
    </xf>
    <xf numFmtId="3" fontId="45" fillId="0" borderId="0" xfId="0" applyNumberFormat="1" applyFont="1" applyAlignment="1">
      <alignment vertical="center"/>
    </xf>
    <xf numFmtId="172" fontId="37" fillId="0" borderId="54" xfId="0" applyNumberFormat="1" applyFont="1" applyBorder="1" applyAlignment="1">
      <alignment horizontal="right" vertical="center"/>
    </xf>
    <xf numFmtId="172" fontId="42" fillId="0" borderId="0" xfId="0" applyNumberFormat="1" applyFont="1" applyAlignment="1">
      <alignment vertical="center"/>
    </xf>
    <xf numFmtId="4" fontId="42" fillId="0" borderId="0" xfId="0" applyNumberFormat="1" applyFont="1" applyAlignment="1">
      <alignment vertical="center"/>
    </xf>
    <xf numFmtId="1" fontId="45" fillId="0" borderId="55" xfId="0" applyNumberFormat="1" applyFont="1" applyBorder="1" applyAlignment="1">
      <alignment horizontal="center" vertical="center"/>
    </xf>
    <xf numFmtId="4" fontId="45" fillId="0" borderId="56" xfId="0" applyNumberFormat="1" applyFont="1" applyBorder="1" applyAlignment="1">
      <alignment horizontal="center" vertical="center"/>
    </xf>
    <xf numFmtId="173" fontId="45" fillId="0" borderId="56" xfId="0" applyNumberFormat="1" applyFont="1" applyBorder="1" applyAlignment="1">
      <alignment horizontal="center" vertical="center"/>
    </xf>
    <xf numFmtId="3" fontId="45" fillId="0" borderId="56" xfId="0" applyNumberFormat="1" applyFont="1" applyBorder="1" applyAlignment="1">
      <alignment horizontal="center" vertical="center"/>
    </xf>
    <xf numFmtId="0" fontId="37" fillId="0" borderId="56" xfId="0" applyFont="1" applyBorder="1" applyAlignment="1">
      <alignment horizontal="center" vertical="center"/>
    </xf>
    <xf numFmtId="0" fontId="32" fillId="0" borderId="56" xfId="0" applyFont="1" applyBorder="1" applyAlignment="1">
      <alignment horizontal="center" vertical="center"/>
    </xf>
    <xf numFmtId="1" fontId="43" fillId="0" borderId="56" xfId="0" applyNumberFormat="1" applyFont="1" applyBorder="1" applyAlignment="1">
      <alignment horizontal="center" vertical="center"/>
    </xf>
    <xf numFmtId="4" fontId="45" fillId="0" borderId="56" xfId="0" applyNumberFormat="1" applyFont="1" applyBorder="1" applyAlignment="1">
      <alignment horizontal="right" vertical="center"/>
    </xf>
    <xf numFmtId="4" fontId="45" fillId="47" borderId="56" xfId="0" applyNumberFormat="1" applyFont="1" applyFill="1" applyBorder="1" applyAlignment="1">
      <alignment horizontal="right" vertical="center"/>
    </xf>
    <xf numFmtId="3" fontId="43" fillId="0" borderId="56" xfId="0" applyNumberFormat="1" applyFont="1" applyBorder="1" applyAlignment="1">
      <alignment horizontal="center" vertical="center"/>
    </xf>
    <xf numFmtId="0" fontId="45" fillId="0" borderId="56" xfId="0" applyFont="1" applyBorder="1" applyAlignment="1">
      <alignment vertical="center"/>
    </xf>
    <xf numFmtId="4" fontId="45" fillId="0" borderId="56" xfId="0" applyNumberFormat="1" applyFont="1" applyBorder="1" applyAlignment="1">
      <alignment vertical="center"/>
    </xf>
    <xf numFmtId="3" fontId="43" fillId="47" borderId="56" xfId="0" applyNumberFormat="1" applyFont="1" applyFill="1" applyBorder="1" applyAlignment="1">
      <alignment horizontal="center" vertical="center"/>
    </xf>
    <xf numFmtId="0" fontId="45" fillId="47" borderId="56" xfId="0" applyFont="1" applyFill="1" applyBorder="1" applyAlignment="1">
      <alignment vertical="center"/>
    </xf>
    <xf numFmtId="3" fontId="45" fillId="47" borderId="56" xfId="0" applyNumberFormat="1" applyFont="1" applyFill="1" applyBorder="1" applyAlignment="1">
      <alignment vertical="center"/>
    </xf>
    <xf numFmtId="1" fontId="42" fillId="0" borderId="56" xfId="0" applyNumberFormat="1" applyFont="1" applyBorder="1" applyAlignment="1">
      <alignment horizontal="center" vertical="center"/>
    </xf>
    <xf numFmtId="4" fontId="45" fillId="47" borderId="56" xfId="0" applyNumberFormat="1" applyFont="1" applyFill="1" applyBorder="1" applyAlignment="1">
      <alignment horizontal="center" vertical="center"/>
    </xf>
    <xf numFmtId="4" fontId="45" fillId="47" borderId="56" xfId="0" applyNumberFormat="1" applyFont="1" applyFill="1" applyBorder="1" applyAlignment="1">
      <alignment vertical="center"/>
    </xf>
    <xf numFmtId="1" fontId="42" fillId="47" borderId="56" xfId="0" applyNumberFormat="1" applyFont="1" applyFill="1" applyBorder="1" applyAlignment="1">
      <alignment horizontal="center" vertical="center"/>
    </xf>
    <xf numFmtId="1" fontId="45" fillId="0" borderId="56" xfId="0" applyNumberFormat="1" applyFont="1" applyBorder="1" applyAlignment="1">
      <alignment horizontal="center" vertical="center"/>
    </xf>
    <xf numFmtId="4" fontId="19" fillId="47" borderId="56" xfId="0" applyNumberFormat="1" applyFont="1" applyFill="1" applyBorder="1" applyAlignment="1">
      <alignment horizontal="right" vertical="center"/>
    </xf>
    <xf numFmtId="4" fontId="45" fillId="47" borderId="57" xfId="0" applyNumberFormat="1" applyFont="1" applyFill="1" applyBorder="1" applyAlignment="1">
      <alignment vertical="center"/>
    </xf>
    <xf numFmtId="1" fontId="45" fillId="0" borderId="48" xfId="0" applyNumberFormat="1" applyFont="1" applyBorder="1" applyAlignment="1">
      <alignment horizontal="center" vertical="center"/>
    </xf>
    <xf numFmtId="4" fontId="45" fillId="0" borderId="47" xfId="0" applyNumberFormat="1" applyFont="1" applyBorder="1" applyAlignment="1">
      <alignment horizontal="center" vertical="center"/>
    </xf>
    <xf numFmtId="173" fontId="45" fillId="0" borderId="47" xfId="0" applyNumberFormat="1" applyFont="1" applyBorder="1" applyAlignment="1">
      <alignment horizontal="center" vertical="center"/>
    </xf>
    <xf numFmtId="3" fontId="45" fillId="0" borderId="47" xfId="0" applyNumberFormat="1" applyFont="1" applyBorder="1" applyAlignment="1">
      <alignment horizontal="center" vertical="center"/>
    </xf>
    <xf numFmtId="0" fontId="37" fillId="0" borderId="47" xfId="0" applyFont="1" applyBorder="1" applyAlignment="1">
      <alignment horizontal="center" vertical="center"/>
    </xf>
    <xf numFmtId="0" fontId="32" fillId="0" borderId="47" xfId="0" applyFont="1" applyBorder="1" applyAlignment="1">
      <alignment vertical="center" textRotation="90"/>
    </xf>
    <xf numFmtId="1" fontId="43" fillId="0" borderId="47" xfId="0" applyNumberFormat="1" applyFont="1" applyBorder="1" applyAlignment="1">
      <alignment horizontal="center" vertical="center"/>
    </xf>
    <xf numFmtId="4" fontId="45" fillId="0" borderId="47" xfId="0" applyNumberFormat="1" applyFont="1" applyBorder="1" applyAlignment="1">
      <alignment horizontal="right" vertical="center"/>
    </xf>
    <xf numFmtId="4" fontId="45" fillId="47" borderId="47" xfId="0" applyNumberFormat="1" applyFont="1" applyFill="1" applyBorder="1" applyAlignment="1">
      <alignment horizontal="right" vertical="center"/>
    </xf>
    <xf numFmtId="3" fontId="43" fillId="0" borderId="47" xfId="0" applyNumberFormat="1" applyFont="1" applyBorder="1" applyAlignment="1">
      <alignment horizontal="center" vertical="center"/>
    </xf>
    <xf numFmtId="0" fontId="45" fillId="0" borderId="47" xfId="0" applyFont="1" applyBorder="1" applyAlignment="1">
      <alignment vertical="center"/>
    </xf>
    <xf numFmtId="4" fontId="45" fillId="0" borderId="47" xfId="0" applyNumberFormat="1" applyFont="1" applyBorder="1" applyAlignment="1">
      <alignment vertical="center"/>
    </xf>
    <xf numFmtId="3" fontId="43" fillId="47" borderId="47" xfId="0" applyNumberFormat="1" applyFont="1" applyFill="1" applyBorder="1" applyAlignment="1">
      <alignment horizontal="center" vertical="center"/>
    </xf>
    <xf numFmtId="0" fontId="45" fillId="47" borderId="47" xfId="0" applyFont="1" applyFill="1" applyBorder="1" applyAlignment="1">
      <alignment vertical="center"/>
    </xf>
    <xf numFmtId="3" fontId="45" fillId="47" borderId="47" xfId="0" applyNumberFormat="1" applyFont="1" applyFill="1" applyBorder="1" applyAlignment="1">
      <alignment vertical="center"/>
    </xf>
    <xf numFmtId="1" fontId="42" fillId="0" borderId="47" xfId="0" applyNumberFormat="1" applyFont="1" applyBorder="1" applyAlignment="1">
      <alignment horizontal="center" vertical="center"/>
    </xf>
    <xf numFmtId="4" fontId="45" fillId="47" borderId="47" xfId="0" applyNumberFormat="1" applyFont="1" applyFill="1" applyBorder="1" applyAlignment="1">
      <alignment horizontal="center" vertical="center"/>
    </xf>
    <xf numFmtId="0" fontId="37" fillId="47" borderId="47" xfId="0" applyFont="1" applyFill="1" applyBorder="1" applyAlignment="1">
      <alignment vertical="center"/>
    </xf>
    <xf numFmtId="3" fontId="42" fillId="47" borderId="47" xfId="0" applyNumberFormat="1" applyFont="1" applyFill="1" applyBorder="1" applyAlignment="1">
      <alignment horizontal="center" vertical="center"/>
    </xf>
    <xf numFmtId="0" fontId="37" fillId="0" borderId="47" xfId="0" applyFont="1" applyBorder="1" applyAlignment="1">
      <alignment vertical="center"/>
    </xf>
    <xf numFmtId="4" fontId="37" fillId="0" borderId="47" xfId="0" applyNumberFormat="1" applyFont="1" applyBorder="1" applyAlignment="1">
      <alignment vertical="center"/>
    </xf>
    <xf numFmtId="1" fontId="42" fillId="47" borderId="47" xfId="0" applyNumberFormat="1" applyFont="1" applyFill="1" applyBorder="1" applyAlignment="1">
      <alignment horizontal="center" vertical="center"/>
    </xf>
    <xf numFmtId="4" fontId="19" fillId="47" borderId="47" xfId="0" applyNumberFormat="1" applyFont="1" applyFill="1" applyBorder="1" applyAlignment="1">
      <alignment horizontal="right" vertical="center"/>
    </xf>
    <xf numFmtId="3" fontId="42" fillId="0" borderId="47" xfId="0" applyNumberFormat="1" applyFont="1" applyBorder="1" applyAlignment="1">
      <alignment horizontal="center" vertical="center"/>
    </xf>
    <xf numFmtId="4" fontId="45" fillId="47" borderId="47" xfId="0" applyNumberFormat="1" applyFont="1" applyFill="1" applyBorder="1" applyAlignment="1">
      <alignment vertical="center"/>
    </xf>
    <xf numFmtId="4" fontId="45" fillId="47" borderId="58" xfId="0" applyNumberFormat="1" applyFont="1" applyFill="1" applyBorder="1" applyAlignment="1">
      <alignment vertical="center"/>
    </xf>
    <xf numFmtId="172" fontId="37" fillId="0" borderId="0" xfId="0" applyNumberFormat="1" applyFont="1" applyAlignment="1">
      <alignment vertical="center"/>
    </xf>
    <xf numFmtId="172" fontId="45" fillId="0" borderId="0" xfId="0" applyNumberFormat="1" applyFont="1" applyAlignment="1">
      <alignment vertical="center"/>
    </xf>
    <xf numFmtId="172" fontId="42" fillId="0" borderId="59" xfId="0" applyNumberFormat="1" applyFont="1" applyBorder="1" applyAlignment="1">
      <alignment vertical="center"/>
    </xf>
    <xf numFmtId="49" fontId="43" fillId="47" borderId="56" xfId="0" applyNumberFormat="1" applyFont="1" applyFill="1" applyBorder="1" applyAlignment="1">
      <alignment horizontal="center" vertical="center"/>
    </xf>
    <xf numFmtId="4" fontId="45" fillId="34" borderId="56" xfId="0" applyNumberFormat="1" applyFont="1" applyFill="1" applyBorder="1" applyAlignment="1">
      <alignment vertical="center"/>
    </xf>
    <xf numFmtId="4" fontId="45" fillId="37" borderId="56" xfId="0" applyNumberFormat="1" applyFont="1" applyFill="1" applyBorder="1" applyAlignment="1">
      <alignment vertical="center"/>
    </xf>
    <xf numFmtId="0" fontId="42" fillId="0" borderId="56" xfId="0" applyFont="1" applyBorder="1" applyAlignment="1">
      <alignment horizontal="center" vertical="center"/>
    </xf>
    <xf numFmtId="0" fontId="45" fillId="47" borderId="56" xfId="0" applyFont="1" applyFill="1" applyBorder="1" applyAlignment="1">
      <alignment horizontal="center" vertical="center"/>
    </xf>
    <xf numFmtId="49" fontId="43" fillId="0" borderId="56" xfId="0" applyNumberFormat="1" applyFont="1" applyBorder="1" applyAlignment="1">
      <alignment horizontal="center" vertical="center"/>
    </xf>
    <xf numFmtId="172" fontId="45" fillId="0" borderId="56" xfId="0" applyNumberFormat="1" applyFont="1" applyBorder="1" applyAlignment="1">
      <alignment vertical="center"/>
    </xf>
    <xf numFmtId="4" fontId="37" fillId="40" borderId="0" xfId="0" applyNumberFormat="1" applyFont="1" applyFill="1" applyAlignment="1">
      <alignment vertical="center"/>
    </xf>
    <xf numFmtId="0" fontId="37" fillId="40" borderId="0" xfId="0" applyFont="1" applyFill="1" applyAlignment="1">
      <alignment vertical="center"/>
    </xf>
    <xf numFmtId="1" fontId="45" fillId="0" borderId="60" xfId="0" applyNumberFormat="1" applyFont="1" applyBorder="1" applyAlignment="1">
      <alignment horizontal="center" vertical="center"/>
    </xf>
    <xf numFmtId="4" fontId="45" fillId="0" borderId="23" xfId="0" applyNumberFormat="1" applyFont="1" applyBorder="1" applyAlignment="1">
      <alignment horizontal="center" vertical="center"/>
    </xf>
    <xf numFmtId="173" fontId="45" fillId="0" borderId="23" xfId="0" applyNumberFormat="1" applyFont="1" applyBorder="1" applyAlignment="1">
      <alignment horizontal="center" vertical="center"/>
    </xf>
    <xf numFmtId="3" fontId="45" fillId="0" borderId="23" xfId="0" applyNumberFormat="1" applyFont="1" applyBorder="1" applyAlignment="1">
      <alignment horizontal="center" vertical="center"/>
    </xf>
    <xf numFmtId="1" fontId="43" fillId="0" borderId="23" xfId="0" applyNumberFormat="1" applyFont="1" applyBorder="1" applyAlignment="1">
      <alignment horizontal="center" vertical="center"/>
    </xf>
    <xf numFmtId="4" fontId="45" fillId="34" borderId="23" xfId="0" applyNumberFormat="1" applyFont="1" applyFill="1" applyBorder="1" applyAlignment="1">
      <alignment horizontal="right" vertical="center"/>
    </xf>
    <xf numFmtId="4" fontId="45" fillId="37" borderId="23" xfId="0" applyNumberFormat="1" applyFont="1" applyFill="1" applyBorder="1" applyAlignment="1">
      <alignment horizontal="right" vertical="center"/>
    </xf>
    <xf numFmtId="1" fontId="43" fillId="47" borderId="23" xfId="0" applyNumberFormat="1" applyFont="1" applyFill="1" applyBorder="1" applyAlignment="1">
      <alignment horizontal="center" vertical="center"/>
    </xf>
    <xf numFmtId="4" fontId="45" fillId="47" borderId="23" xfId="0" applyNumberFormat="1" applyFont="1" applyFill="1" applyBorder="1" applyAlignment="1">
      <alignment horizontal="right" vertical="center"/>
    </xf>
    <xf numFmtId="3" fontId="43" fillId="0" borderId="23" xfId="0" applyNumberFormat="1" applyFont="1" applyBorder="1" applyAlignment="1">
      <alignment horizontal="center" vertical="center"/>
    </xf>
    <xf numFmtId="4" fontId="45" fillId="0" borderId="23" xfId="0" applyNumberFormat="1" applyFont="1" applyBorder="1" applyAlignment="1">
      <alignment vertical="center"/>
    </xf>
    <xf numFmtId="49" fontId="43" fillId="47" borderId="23" xfId="0" applyNumberFormat="1" applyFont="1" applyFill="1" applyBorder="1" applyAlignment="1">
      <alignment horizontal="center" vertical="center"/>
    </xf>
    <xf numFmtId="4" fontId="45" fillId="34" borderId="23" xfId="0" applyNumberFormat="1" applyFont="1" applyFill="1" applyBorder="1" applyAlignment="1">
      <alignment vertical="center"/>
    </xf>
    <xf numFmtId="4" fontId="45" fillId="37" borderId="23" xfId="0" applyNumberFormat="1" applyFont="1" applyFill="1" applyBorder="1" applyAlignment="1">
      <alignment vertical="center"/>
    </xf>
    <xf numFmtId="0" fontId="42" fillId="0" borderId="23" xfId="0" applyFont="1" applyBorder="1" applyAlignment="1">
      <alignment horizontal="center" vertical="center"/>
    </xf>
    <xf numFmtId="4" fontId="45" fillId="0" borderId="23" xfId="0" applyNumberFormat="1" applyFont="1" applyBorder="1" applyAlignment="1">
      <alignment horizontal="right" vertical="center"/>
    </xf>
    <xf numFmtId="0" fontId="45" fillId="47" borderId="23" xfId="0" applyFont="1" applyFill="1" applyBorder="1" applyAlignment="1">
      <alignment horizontal="center" vertical="center"/>
    </xf>
    <xf numFmtId="4" fontId="45" fillId="47" borderId="23" xfId="0" applyNumberFormat="1" applyFont="1" applyFill="1" applyBorder="1" applyAlignment="1">
      <alignment vertical="center"/>
    </xf>
    <xf numFmtId="49" fontId="43" fillId="0" borderId="23" xfId="0" applyNumberFormat="1" applyFont="1" applyBorder="1" applyAlignment="1">
      <alignment horizontal="center" vertical="center"/>
    </xf>
    <xf numFmtId="1" fontId="42" fillId="47" borderId="23" xfId="0" applyNumberFormat="1" applyFont="1" applyFill="1" applyBorder="1" applyAlignment="1">
      <alignment horizontal="center" vertical="center"/>
    </xf>
    <xf numFmtId="1" fontId="45" fillId="0" borderId="23" xfId="0" applyNumberFormat="1" applyFont="1" applyBorder="1" applyAlignment="1">
      <alignment horizontal="center" vertical="center"/>
    </xf>
    <xf numFmtId="1" fontId="42" fillId="0" borderId="23" xfId="0" applyNumberFormat="1" applyFont="1" applyBorder="1" applyAlignment="1">
      <alignment horizontal="center" vertical="center"/>
    </xf>
    <xf numFmtId="172" fontId="45" fillId="0" borderId="23" xfId="0" applyNumberFormat="1" applyFont="1" applyBorder="1" applyAlignment="1">
      <alignment vertical="center"/>
    </xf>
    <xf numFmtId="4" fontId="45" fillId="47" borderId="61" xfId="0" applyNumberFormat="1" applyFont="1" applyFill="1" applyBorder="1" applyAlignment="1">
      <alignment vertical="center"/>
    </xf>
    <xf numFmtId="0" fontId="42" fillId="47" borderId="23" xfId="0" applyFont="1" applyFill="1" applyBorder="1" applyAlignment="1">
      <alignment horizontal="center" vertical="center"/>
    </xf>
    <xf numFmtId="0" fontId="45" fillId="0" borderId="23" xfId="0" applyFont="1" applyBorder="1" applyAlignment="1">
      <alignment horizontal="center" vertical="center"/>
    </xf>
    <xf numFmtId="172" fontId="45" fillId="34" borderId="23" xfId="0" applyNumberFormat="1" applyFont="1" applyFill="1" applyBorder="1" applyAlignment="1">
      <alignment vertical="center"/>
    </xf>
    <xf numFmtId="0" fontId="37" fillId="35" borderId="0" xfId="0" applyFont="1" applyFill="1" applyAlignment="1">
      <alignment vertical="center"/>
    </xf>
    <xf numFmtId="0" fontId="45" fillId="0" borderId="47" xfId="0" applyFont="1" applyBorder="1" applyAlignment="1">
      <alignment horizontal="center" vertical="center"/>
    </xf>
    <xf numFmtId="49" fontId="43" fillId="0" borderId="47" xfId="0" applyNumberFormat="1" applyFont="1" applyBorder="1" applyAlignment="1">
      <alignment horizontal="center" vertical="center"/>
    </xf>
    <xf numFmtId="1" fontId="45" fillId="0" borderId="47" xfId="0" applyNumberFormat="1" applyFont="1" applyBorder="1" applyAlignment="1">
      <alignment horizontal="center" vertical="center"/>
    </xf>
    <xf numFmtId="4" fontId="45" fillId="0" borderId="58" xfId="0" applyNumberFormat="1" applyFont="1" applyBorder="1" applyAlignment="1">
      <alignment vertical="center"/>
    </xf>
    <xf numFmtId="172" fontId="45" fillId="0" borderId="62" xfId="0" applyNumberFormat="1" applyFont="1" applyBorder="1" applyAlignment="1">
      <alignment vertical="center"/>
    </xf>
    <xf numFmtId="172" fontId="45" fillId="0" borderId="29" xfId="0" applyNumberFormat="1" applyFont="1" applyBorder="1" applyAlignment="1">
      <alignment vertical="center"/>
    </xf>
    <xf numFmtId="172" fontId="42" fillId="0" borderId="29" xfId="0" applyNumberFormat="1" applyFont="1" applyBorder="1" applyAlignment="1">
      <alignment vertical="center"/>
    </xf>
    <xf numFmtId="4" fontId="45" fillId="0" borderId="18" xfId="0" applyNumberFormat="1" applyFont="1" applyBorder="1" applyAlignment="1">
      <alignment horizontal="right" vertical="center"/>
    </xf>
    <xf numFmtId="4" fontId="42" fillId="0" borderId="18" xfId="0" applyNumberFormat="1" applyFont="1" applyBorder="1" applyAlignment="1">
      <alignment horizontal="right" vertical="center"/>
    </xf>
    <xf numFmtId="4" fontId="42" fillId="47" borderId="18" xfId="0" applyNumberFormat="1" applyFont="1" applyFill="1" applyBorder="1" applyAlignment="1">
      <alignment horizontal="right" vertical="center"/>
    </xf>
    <xf numFmtId="0" fontId="32" fillId="0" borderId="0" xfId="0" applyFont="1" applyAlignment="1">
      <alignment vertical="center"/>
    </xf>
    <xf numFmtId="3" fontId="43" fillId="0" borderId="0" xfId="0" applyNumberFormat="1" applyFont="1" applyAlignment="1">
      <alignment horizontal="center" vertical="center"/>
    </xf>
    <xf numFmtId="4" fontId="43" fillId="0" borderId="0" xfId="0" applyNumberFormat="1" applyFont="1" applyAlignment="1">
      <alignment horizontal="center" vertical="center"/>
    </xf>
    <xf numFmtId="0" fontId="45" fillId="0" borderId="0" xfId="0" applyFont="1" applyAlignment="1">
      <alignment horizontal="center" vertical="center"/>
    </xf>
    <xf numFmtId="1" fontId="42" fillId="0" borderId="0" xfId="0" applyNumberFormat="1" applyFont="1" applyAlignment="1">
      <alignment horizontal="center" vertical="center"/>
    </xf>
    <xf numFmtId="3" fontId="45" fillId="0" borderId="0" xfId="0" applyNumberFormat="1" applyFont="1" applyAlignment="1">
      <alignment horizontal="center" vertical="center"/>
    </xf>
    <xf numFmtId="0" fontId="37" fillId="0" borderId="23" xfId="0" applyFont="1" applyBorder="1" applyAlignment="1">
      <alignment vertical="center"/>
    </xf>
    <xf numFmtId="0" fontId="37" fillId="0" borderId="0" xfId="0" applyFont="1" applyAlignment="1">
      <alignment horizontal="center" vertical="center"/>
    </xf>
    <xf numFmtId="0" fontId="36" fillId="0" borderId="0" xfId="0" applyFont="1" applyAlignment="1">
      <alignment vertical="center"/>
    </xf>
    <xf numFmtId="3" fontId="42" fillId="0" borderId="0" xfId="0" applyNumberFormat="1" applyFont="1" applyAlignment="1">
      <alignment horizontal="center" vertical="center"/>
    </xf>
    <xf numFmtId="0" fontId="32" fillId="0" borderId="0" xfId="0" applyFont="1" applyAlignment="1">
      <alignment horizontal="center" vertical="center"/>
    </xf>
    <xf numFmtId="166" fontId="46" fillId="0" borderId="0" xfId="1" applyNumberFormat="1" applyFont="1" applyFill="1" applyAlignment="1">
      <alignment wrapText="1"/>
    </xf>
    <xf numFmtId="170" fontId="21" fillId="0" borderId="10" xfId="44" applyNumberFormat="1" applyFont="1" applyFill="1" applyBorder="1" applyAlignment="1" applyProtection="1">
      <alignment vertical="center"/>
    </xf>
    <xf numFmtId="3" fontId="19" fillId="0" borderId="63" xfId="44" applyNumberFormat="1" applyFont="1" applyFill="1" applyBorder="1" applyAlignment="1">
      <alignment vertical="center"/>
    </xf>
    <xf numFmtId="170" fontId="19" fillId="0" borderId="63" xfId="44" applyNumberFormat="1" applyFont="1" applyFill="1" applyBorder="1" applyAlignment="1" applyProtection="1">
      <alignment vertical="center"/>
    </xf>
    <xf numFmtId="170" fontId="21" fillId="0" borderId="63" xfId="44" applyNumberFormat="1" applyFont="1" applyFill="1" applyBorder="1" applyAlignment="1" applyProtection="1">
      <alignment vertical="center"/>
    </xf>
    <xf numFmtId="3" fontId="21" fillId="0" borderId="63" xfId="44" applyNumberFormat="1" applyFont="1" applyFill="1" applyBorder="1" applyAlignment="1">
      <alignment vertical="center"/>
    </xf>
    <xf numFmtId="168" fontId="21" fillId="0" borderId="63" xfId="44" applyNumberFormat="1" applyFont="1" applyFill="1" applyBorder="1" applyAlignment="1">
      <alignment vertical="center"/>
    </xf>
    <xf numFmtId="170" fontId="19" fillId="0" borderId="63" xfId="44" applyNumberFormat="1" applyFont="1" applyFill="1" applyBorder="1" applyAlignment="1">
      <alignment horizontal="center" vertical="center"/>
    </xf>
    <xf numFmtId="168" fontId="19" fillId="0" borderId="63" xfId="44" applyNumberFormat="1" applyFont="1" applyFill="1" applyBorder="1" applyAlignment="1">
      <alignment horizontal="left" vertical="center"/>
    </xf>
    <xf numFmtId="168" fontId="19" fillId="0" borderId="63" xfId="44" applyNumberFormat="1" applyFont="1" applyFill="1" applyBorder="1" applyAlignment="1">
      <alignment vertical="center"/>
    </xf>
    <xf numFmtId="170" fontId="19" fillId="0" borderId="63" xfId="44" applyNumberFormat="1" applyFont="1" applyFill="1" applyBorder="1" applyAlignment="1">
      <alignment vertical="center"/>
    </xf>
    <xf numFmtId="0" fontId="19" fillId="0" borderId="0" xfId="0" applyFont="1" applyAlignment="1">
      <alignment vertical="center" wrapText="1"/>
    </xf>
    <xf numFmtId="0" fontId="19" fillId="0" borderId="0" xfId="0" applyFont="1" applyAlignment="1">
      <alignment vertical="center"/>
    </xf>
    <xf numFmtId="168" fontId="21" fillId="0" borderId="0" xfId="44" applyNumberFormat="1" applyFont="1" applyFill="1" applyBorder="1" applyAlignment="1">
      <alignment vertical="center" wrapText="1"/>
    </xf>
    <xf numFmtId="168" fontId="21" fillId="0" borderId="0" xfId="44" applyNumberFormat="1" applyFont="1" applyFill="1" applyBorder="1" applyAlignment="1">
      <alignment horizontal="center" vertical="center" wrapText="1"/>
    </xf>
    <xf numFmtId="0" fontId="21" fillId="0" borderId="0" xfId="0" applyFont="1" applyAlignment="1">
      <alignment vertical="center"/>
    </xf>
    <xf numFmtId="0" fontId="21" fillId="0" borderId="0" xfId="0" applyFont="1" applyAlignment="1">
      <alignment vertical="center" wrapText="1"/>
    </xf>
    <xf numFmtId="0" fontId="19" fillId="0" borderId="0" xfId="0" applyFont="1" applyAlignment="1">
      <alignment horizontal="justify" vertical="center"/>
    </xf>
    <xf numFmtId="168" fontId="19" fillId="0" borderId="0" xfId="44" applyNumberFormat="1" applyFont="1" applyFill="1" applyBorder="1" applyAlignment="1">
      <alignment horizontal="left" vertical="center" wrapText="1"/>
    </xf>
    <xf numFmtId="3" fontId="19" fillId="0" borderId="63" xfId="45" applyNumberFormat="1" applyFont="1" applyBorder="1" applyAlignment="1">
      <alignment vertical="center"/>
    </xf>
    <xf numFmtId="170" fontId="19" fillId="0" borderId="63" xfId="0" applyNumberFormat="1" applyFont="1" applyBorder="1" applyAlignment="1">
      <alignment vertical="center"/>
    </xf>
    <xf numFmtId="3" fontId="19" fillId="0" borderId="63" xfId="0" applyNumberFormat="1" applyFont="1" applyBorder="1" applyAlignment="1">
      <alignment vertical="center"/>
    </xf>
    <xf numFmtId="169" fontId="48" fillId="0" borderId="0" xfId="44" applyFont="1"/>
    <xf numFmtId="0" fontId="48" fillId="0" borderId="0" xfId="0" applyFont="1"/>
    <xf numFmtId="170" fontId="49" fillId="0" borderId="10" xfId="44" applyNumberFormat="1" applyFont="1" applyFill="1" applyBorder="1" applyAlignment="1">
      <alignment vertical="center"/>
    </xf>
    <xf numFmtId="170" fontId="50" fillId="12" borderId="10" xfId="22" applyNumberFormat="1" applyFont="1" applyBorder="1" applyAlignment="1">
      <alignment vertical="center"/>
    </xf>
    <xf numFmtId="170" fontId="50" fillId="12" borderId="10" xfId="22" applyNumberFormat="1" applyFont="1" applyBorder="1"/>
    <xf numFmtId="170" fontId="48" fillId="0" borderId="0" xfId="0" applyNumberFormat="1" applyFont="1"/>
    <xf numFmtId="170" fontId="49" fillId="0" borderId="10" xfId="44" applyNumberFormat="1" applyFont="1" applyFill="1" applyBorder="1"/>
    <xf numFmtId="169" fontId="48" fillId="0" borderId="0" xfId="0" applyNumberFormat="1" applyFont="1"/>
    <xf numFmtId="43" fontId="48" fillId="0" borderId="0" xfId="0" applyNumberFormat="1" applyFont="1"/>
    <xf numFmtId="170" fontId="48" fillId="36" borderId="0" xfId="0" applyNumberFormat="1" applyFont="1" applyFill="1"/>
    <xf numFmtId="170" fontId="50" fillId="9" borderId="10" xfId="19" applyNumberFormat="1" applyFont="1" applyBorder="1" applyAlignment="1">
      <alignment vertical="center"/>
    </xf>
    <xf numFmtId="170" fontId="41" fillId="0" borderId="10" xfId="44" applyNumberFormat="1" applyFont="1" applyFill="1" applyBorder="1"/>
    <xf numFmtId="10" fontId="48" fillId="0" borderId="0" xfId="44" applyNumberFormat="1" applyFont="1"/>
    <xf numFmtId="10" fontId="48" fillId="0" borderId="0" xfId="0" applyNumberFormat="1" applyFont="1"/>
    <xf numFmtId="170" fontId="51" fillId="29" borderId="10" xfId="39" applyNumberFormat="1" applyFont="1" applyBorder="1" applyAlignment="1">
      <alignment vertical="center" wrapText="1"/>
    </xf>
    <xf numFmtId="168" fontId="49" fillId="0" borderId="0" xfId="44" applyNumberFormat="1" applyFont="1"/>
    <xf numFmtId="168" fontId="52" fillId="0" borderId="0" xfId="2" applyNumberFormat="1" applyFont="1"/>
    <xf numFmtId="176" fontId="52" fillId="0" borderId="0" xfId="43" applyNumberFormat="1" applyFont="1"/>
    <xf numFmtId="3" fontId="19" fillId="48" borderId="10" xfId="0" applyNumberFormat="1" applyFont="1" applyFill="1" applyBorder="1" applyAlignment="1">
      <alignment vertical="center"/>
    </xf>
    <xf numFmtId="43" fontId="21" fillId="0" borderId="0" xfId="1" applyFont="1" applyFill="1" applyBorder="1" applyAlignment="1">
      <alignment horizontal="center" vertical="center"/>
    </xf>
    <xf numFmtId="43" fontId="48" fillId="0" borderId="0" xfId="1" applyFont="1"/>
    <xf numFmtId="43" fontId="19" fillId="0" borderId="0" xfId="1" applyFont="1" applyFill="1" applyBorder="1" applyAlignment="1">
      <alignment horizontal="center" vertical="center"/>
    </xf>
    <xf numFmtId="170" fontId="47" fillId="49" borderId="10" xfId="3" applyNumberFormat="1" applyFont="1" applyFill="1" applyBorder="1" applyAlignment="1">
      <alignment vertical="center" wrapText="1"/>
    </xf>
    <xf numFmtId="43" fontId="27" fillId="0" borderId="0" xfId="1" applyFont="1" applyFill="1" applyBorder="1" applyAlignment="1">
      <alignment horizontal="center" vertical="center"/>
    </xf>
    <xf numFmtId="166" fontId="46" fillId="50" borderId="0" xfId="1" applyNumberFormat="1" applyFont="1" applyFill="1" applyAlignment="1">
      <alignment wrapText="1"/>
    </xf>
    <xf numFmtId="3" fontId="19" fillId="50" borderId="63" xfId="44" applyNumberFormat="1" applyFont="1" applyFill="1" applyBorder="1" applyAlignment="1">
      <alignment vertical="center"/>
    </xf>
    <xf numFmtId="170" fontId="19" fillId="50" borderId="63" xfId="44" applyNumberFormat="1" applyFont="1" applyFill="1" applyBorder="1" applyAlignment="1" applyProtection="1">
      <alignment vertical="center"/>
    </xf>
    <xf numFmtId="3" fontId="19" fillId="48" borderId="63" xfId="44" applyNumberFormat="1" applyFont="1" applyFill="1" applyBorder="1" applyAlignment="1">
      <alignment vertical="center"/>
    </xf>
    <xf numFmtId="166" fontId="46" fillId="48" borderId="0" xfId="1" applyNumberFormat="1" applyFont="1" applyFill="1" applyAlignment="1">
      <alignment wrapText="1"/>
    </xf>
    <xf numFmtId="170" fontId="19" fillId="48" borderId="63" xfId="44" applyNumberFormat="1" applyFont="1" applyFill="1" applyBorder="1" applyAlignment="1" applyProtection="1">
      <alignment vertical="center"/>
    </xf>
    <xf numFmtId="3" fontId="19" fillId="48" borderId="63" xfId="0" applyNumberFormat="1" applyFont="1" applyFill="1" applyBorder="1" applyAlignment="1">
      <alignment vertical="center"/>
    </xf>
    <xf numFmtId="168" fontId="19" fillId="48" borderId="63" xfId="44" applyNumberFormat="1" applyFont="1" applyFill="1" applyBorder="1" applyAlignment="1">
      <alignment vertical="center"/>
    </xf>
    <xf numFmtId="43" fontId="19" fillId="0" borderId="0" xfId="1" applyFont="1" applyFill="1" applyBorder="1" applyAlignment="1">
      <alignment vertical="center"/>
    </xf>
    <xf numFmtId="166" fontId="19" fillId="0" borderId="0" xfId="1" applyNumberFormat="1" applyFont="1" applyFill="1" applyBorder="1" applyAlignment="1">
      <alignment horizontal="center" vertical="center"/>
    </xf>
    <xf numFmtId="9" fontId="19" fillId="0" borderId="0" xfId="43" applyFont="1" applyAlignment="1">
      <alignment horizontal="center" vertical="center"/>
    </xf>
    <xf numFmtId="168" fontId="19" fillId="25" borderId="10" xfId="35" applyNumberFormat="1" applyFont="1" applyBorder="1" applyAlignment="1">
      <alignment vertical="center"/>
    </xf>
    <xf numFmtId="168" fontId="54" fillId="25" borderId="10" xfId="35" applyNumberFormat="1" applyFont="1" applyBorder="1" applyAlignment="1">
      <alignment vertical="center"/>
    </xf>
    <xf numFmtId="168" fontId="54" fillId="0" borderId="0" xfId="44" applyNumberFormat="1" applyFont="1" applyFill="1" applyBorder="1" applyAlignment="1">
      <alignment horizontal="left" vertical="center" wrapText="1"/>
    </xf>
    <xf numFmtId="168" fontId="54" fillId="0" borderId="63" xfId="44" applyNumberFormat="1" applyFont="1" applyFill="1" applyBorder="1" applyAlignment="1">
      <alignment horizontal="left" vertical="center"/>
    </xf>
    <xf numFmtId="9" fontId="54" fillId="0" borderId="63" xfId="43" applyFont="1" applyFill="1" applyBorder="1" applyAlignment="1">
      <alignment horizontal="center" vertical="center"/>
    </xf>
    <xf numFmtId="4" fontId="42" fillId="0" borderId="34" xfId="0" applyNumberFormat="1" applyFont="1" applyBorder="1" applyAlignment="1">
      <alignment horizontal="center" vertical="center"/>
    </xf>
    <xf numFmtId="4" fontId="42" fillId="0" borderId="44" xfId="0" applyNumberFormat="1" applyFont="1" applyBorder="1" applyAlignment="1">
      <alignment horizontal="center" vertical="center"/>
    </xf>
    <xf numFmtId="0" fontId="37" fillId="0" borderId="23" xfId="0" applyFont="1" applyBorder="1" applyAlignment="1">
      <alignment horizontal="center" vertical="center"/>
    </xf>
    <xf numFmtId="169" fontId="19" fillId="0" borderId="63" xfId="44" applyFont="1" applyFill="1" applyBorder="1" applyAlignment="1">
      <alignment vertical="center"/>
    </xf>
    <xf numFmtId="166" fontId="19" fillId="0" borderId="0" xfId="1" applyNumberFormat="1" applyFont="1" applyAlignment="1">
      <alignment horizontal="center" vertical="center"/>
    </xf>
    <xf numFmtId="4" fontId="21" fillId="0" borderId="46" xfId="0" applyNumberFormat="1" applyFont="1" applyBorder="1" applyAlignment="1">
      <alignment horizontal="center" vertical="center"/>
    </xf>
    <xf numFmtId="174" fontId="37" fillId="0" borderId="52" xfId="0" applyNumberFormat="1" applyFont="1" applyBorder="1" applyAlignment="1">
      <alignment vertical="center"/>
    </xf>
    <xf numFmtId="49" fontId="43" fillId="0" borderId="47" xfId="0" applyNumberFormat="1" applyFont="1" applyBorder="1" applyAlignment="1">
      <alignment vertical="center"/>
    </xf>
    <xf numFmtId="1" fontId="21" fillId="0" borderId="23" xfId="0" applyNumberFormat="1" applyFont="1" applyBorder="1" applyAlignment="1">
      <alignment horizontal="center" vertical="center"/>
    </xf>
    <xf numFmtId="4" fontId="45" fillId="0" borderId="61" xfId="0" applyNumberFormat="1" applyFont="1" applyBorder="1" applyAlignment="1">
      <alignment vertical="center"/>
    </xf>
    <xf numFmtId="0" fontId="38" fillId="0" borderId="0" xfId="0" applyFont="1"/>
    <xf numFmtId="0" fontId="38" fillId="0" borderId="0" xfId="0" applyFont="1" applyAlignment="1">
      <alignment horizontal="center"/>
    </xf>
    <xf numFmtId="44" fontId="48" fillId="0" borderId="0" xfId="50" applyFont="1"/>
    <xf numFmtId="0" fontId="48" fillId="0" borderId="0" xfId="0" applyFont="1" applyAlignment="1">
      <alignment wrapText="1"/>
    </xf>
    <xf numFmtId="0" fontId="48" fillId="0" borderId="0" xfId="0" applyFont="1" applyAlignment="1">
      <alignment horizontal="left" wrapText="1"/>
    </xf>
    <xf numFmtId="0" fontId="38" fillId="0" borderId="0" xfId="0" applyFont="1" applyAlignment="1">
      <alignment horizontal="left" wrapText="1"/>
    </xf>
    <xf numFmtId="165" fontId="48" fillId="0" borderId="0" xfId="0" applyNumberFormat="1" applyFont="1"/>
    <xf numFmtId="10" fontId="38" fillId="0" borderId="0" xfId="0" applyNumberFormat="1" applyFont="1" applyAlignment="1">
      <alignment horizontal="center"/>
    </xf>
    <xf numFmtId="9" fontId="38" fillId="0" borderId="0" xfId="0" applyNumberFormat="1" applyFont="1" applyAlignment="1">
      <alignment horizontal="center"/>
    </xf>
    <xf numFmtId="175" fontId="48" fillId="0" borderId="0" xfId="43" applyNumberFormat="1" applyFont="1" applyAlignment="1">
      <alignment horizontal="center"/>
    </xf>
    <xf numFmtId="9" fontId="48" fillId="0" borderId="0" xfId="43" applyFont="1" applyAlignment="1">
      <alignment horizontal="center"/>
    </xf>
    <xf numFmtId="0" fontId="38" fillId="0" borderId="53" xfId="0" applyFont="1" applyBorder="1" applyAlignment="1">
      <alignment horizontal="center"/>
    </xf>
    <xf numFmtId="177" fontId="48" fillId="0" borderId="57" xfId="50" applyNumberFormat="1" applyFont="1" applyBorder="1" applyAlignment="1">
      <alignment vertical="center" wrapText="1"/>
    </xf>
    <xf numFmtId="177" fontId="48" fillId="0" borderId="61" xfId="50" applyNumberFormat="1" applyFont="1" applyBorder="1" applyAlignment="1"/>
    <xf numFmtId="177" fontId="48" fillId="0" borderId="61" xfId="50" applyNumberFormat="1" applyFont="1" applyFill="1" applyBorder="1" applyAlignment="1"/>
    <xf numFmtId="169" fontId="48" fillId="0" borderId="0" xfId="43" applyNumberFormat="1" applyFont="1"/>
    <xf numFmtId="177" fontId="48" fillId="0" borderId="61" xfId="50" applyNumberFormat="1" applyFont="1" applyBorder="1"/>
    <xf numFmtId="177" fontId="48" fillId="0" borderId="68" xfId="50" applyNumberFormat="1" applyFont="1" applyBorder="1"/>
    <xf numFmtId="177" fontId="38" fillId="0" borderId="50" xfId="50" applyNumberFormat="1" applyFont="1" applyBorder="1"/>
    <xf numFmtId="0" fontId="55" fillId="0" borderId="0" xfId="0" applyFont="1" applyAlignment="1">
      <alignment horizontal="justify" wrapText="1"/>
    </xf>
    <xf numFmtId="169" fontId="38" fillId="0" borderId="64" xfId="0" applyNumberFormat="1" applyFont="1" applyBorder="1"/>
    <xf numFmtId="9" fontId="48" fillId="0" borderId="0" xfId="43" applyFont="1"/>
    <xf numFmtId="0" fontId="58" fillId="0" borderId="0" xfId="46" applyFont="1"/>
    <xf numFmtId="0" fontId="30" fillId="0" borderId="0" xfId="46" applyFont="1"/>
    <xf numFmtId="166" fontId="30" fillId="0" borderId="0" xfId="1" applyNumberFormat="1" applyFont="1"/>
    <xf numFmtId="166" fontId="58" fillId="0" borderId="0" xfId="1" applyNumberFormat="1" applyFont="1" applyAlignment="1"/>
    <xf numFmtId="0" fontId="60" fillId="51" borderId="0" xfId="46" applyFont="1" applyFill="1"/>
    <xf numFmtId="164" fontId="60" fillId="51" borderId="0" xfId="46" applyNumberFormat="1" applyFont="1" applyFill="1"/>
    <xf numFmtId="4" fontId="60" fillId="51" borderId="0" xfId="46" applyNumberFormat="1" applyFont="1" applyFill="1"/>
    <xf numFmtId="166" fontId="60" fillId="51" borderId="0" xfId="1" applyNumberFormat="1" applyFont="1" applyFill="1" applyAlignment="1"/>
    <xf numFmtId="8" fontId="60" fillId="51" borderId="0" xfId="46" applyNumberFormat="1" applyFont="1" applyFill="1"/>
    <xf numFmtId="10" fontId="58" fillId="0" borderId="0" xfId="43" applyNumberFormat="1" applyFont="1" applyAlignment="1"/>
    <xf numFmtId="164" fontId="58" fillId="0" borderId="0" xfId="46" applyNumberFormat="1" applyFont="1"/>
    <xf numFmtId="4" fontId="58" fillId="0" borderId="0" xfId="46" applyNumberFormat="1" applyFont="1"/>
    <xf numFmtId="8" fontId="58" fillId="0" borderId="0" xfId="46" applyNumberFormat="1" applyFont="1"/>
    <xf numFmtId="0" fontId="61" fillId="0" borderId="0" xfId="46" applyFont="1"/>
    <xf numFmtId="0" fontId="58" fillId="0" borderId="0" xfId="46" applyFont="1" applyAlignment="1">
      <alignment horizontal="right"/>
    </xf>
    <xf numFmtId="3" fontId="61" fillId="0" borderId="0" xfId="46" applyNumberFormat="1" applyFont="1"/>
    <xf numFmtId="10" fontId="61" fillId="0" borderId="0" xfId="46" applyNumberFormat="1" applyFont="1"/>
    <xf numFmtId="10" fontId="58" fillId="0" borderId="0" xfId="46" applyNumberFormat="1" applyFont="1"/>
    <xf numFmtId="0" fontId="62" fillId="0" borderId="23" xfId="46" applyFont="1" applyBorder="1"/>
    <xf numFmtId="4" fontId="62" fillId="0" borderId="23" xfId="46" applyNumberFormat="1" applyFont="1" applyBorder="1"/>
    <xf numFmtId="166" fontId="62" fillId="0" borderId="23" xfId="1" applyNumberFormat="1" applyFont="1" applyFill="1" applyBorder="1" applyAlignment="1"/>
    <xf numFmtId="8" fontId="62" fillId="0" borderId="23" xfId="46" applyNumberFormat="1" applyFont="1" applyBorder="1"/>
    <xf numFmtId="0" fontId="63" fillId="0" borderId="0" xfId="46" applyFont="1" applyAlignment="1">
      <alignment horizontal="center" vertical="center"/>
    </xf>
    <xf numFmtId="4" fontId="37" fillId="0" borderId="0" xfId="0" applyNumberFormat="1" applyFont="1" applyAlignment="1">
      <alignment vertical="center"/>
    </xf>
    <xf numFmtId="1" fontId="43" fillId="0" borderId="69" xfId="0" applyNumberFormat="1" applyFont="1" applyBorder="1" applyAlignment="1">
      <alignment vertical="center"/>
    </xf>
    <xf numFmtId="3" fontId="64" fillId="0" borderId="0" xfId="0" applyNumberFormat="1" applyFont="1" applyAlignment="1">
      <alignment vertical="center"/>
    </xf>
    <xf numFmtId="3" fontId="5" fillId="52" borderId="10" xfId="5" applyNumberFormat="1" applyFill="1" applyBorder="1" applyAlignment="1" applyProtection="1">
      <alignment horizontal="center" vertical="center" wrapText="1"/>
    </xf>
    <xf numFmtId="3" fontId="5" fillId="52" borderId="10" xfId="5" applyNumberFormat="1" applyFill="1" applyBorder="1" applyAlignment="1">
      <alignment horizontal="center" vertical="center" wrapText="1"/>
    </xf>
    <xf numFmtId="0" fontId="1" fillId="26" borderId="10" xfId="36" applyBorder="1" applyAlignment="1">
      <alignment vertical="center" wrapText="1"/>
    </xf>
    <xf numFmtId="170" fontId="1" fillId="26" borderId="10" xfId="36" applyNumberFormat="1" applyBorder="1" applyAlignment="1" applyProtection="1">
      <alignment vertical="center"/>
    </xf>
    <xf numFmtId="0" fontId="1" fillId="27" borderId="10" xfId="37" applyBorder="1" applyAlignment="1">
      <alignment vertical="center"/>
    </xf>
    <xf numFmtId="170" fontId="1" fillId="27" borderId="10" xfId="37" applyNumberFormat="1" applyBorder="1" applyAlignment="1">
      <alignment vertical="center"/>
    </xf>
    <xf numFmtId="0" fontId="1" fillId="28" borderId="10" xfId="38" applyBorder="1" applyAlignment="1">
      <alignment vertical="center" wrapText="1"/>
    </xf>
    <xf numFmtId="170" fontId="1" fillId="28" borderId="10" xfId="38" applyNumberFormat="1" applyBorder="1" applyAlignment="1" applyProtection="1">
      <alignment vertical="center"/>
    </xf>
    <xf numFmtId="0" fontId="65" fillId="0" borderId="10" xfId="0" applyFont="1" applyBorder="1" applyAlignment="1">
      <alignment vertical="center" wrapText="1"/>
    </xf>
    <xf numFmtId="170" fontId="43" fillId="0" borderId="10" xfId="44" applyNumberFormat="1" applyFont="1" applyFill="1" applyBorder="1" applyAlignment="1">
      <alignment vertical="center"/>
    </xf>
    <xf numFmtId="0" fontId="65" fillId="0" borderId="10" xfId="0" applyFont="1" applyBorder="1" applyAlignment="1">
      <alignment vertical="center"/>
    </xf>
    <xf numFmtId="3" fontId="65" fillId="0" borderId="10" xfId="44" applyNumberFormat="1" applyFont="1" applyFill="1" applyBorder="1" applyAlignment="1" applyProtection="1">
      <alignment vertical="center"/>
    </xf>
    <xf numFmtId="0" fontId="66" fillId="0" borderId="10" xfId="0" applyFont="1" applyBorder="1" applyAlignment="1">
      <alignment vertical="center" wrapText="1"/>
    </xf>
    <xf numFmtId="41" fontId="64" fillId="0" borderId="10" xfId="52" applyFont="1" applyFill="1" applyBorder="1" applyAlignment="1">
      <alignment vertical="center"/>
    </xf>
    <xf numFmtId="3" fontId="64" fillId="0" borderId="10" xfId="53" applyNumberFormat="1" applyFont="1" applyFill="1" applyBorder="1" applyAlignment="1">
      <alignment vertical="center"/>
    </xf>
    <xf numFmtId="3" fontId="64" fillId="0" borderId="10" xfId="54" applyNumberFormat="1" applyFont="1" applyFill="1" applyBorder="1" applyAlignment="1">
      <alignment vertical="center"/>
    </xf>
    <xf numFmtId="3" fontId="64" fillId="0" borderId="10" xfId="0" applyNumberFormat="1" applyFont="1" applyBorder="1" applyAlignment="1">
      <alignment vertical="center"/>
    </xf>
    <xf numFmtId="3" fontId="64" fillId="0" borderId="10" xfId="55" applyNumberFormat="1" applyFont="1" applyFill="1" applyBorder="1" applyAlignment="1">
      <alignment vertical="center"/>
    </xf>
    <xf numFmtId="3" fontId="43" fillId="0" borderId="10" xfId="0" applyNumberFormat="1" applyFont="1" applyBorder="1" applyAlignment="1">
      <alignment vertical="center"/>
    </xf>
    <xf numFmtId="170" fontId="66" fillId="0" borderId="10" xfId="44" applyNumberFormat="1" applyFont="1" applyFill="1" applyBorder="1" applyAlignment="1">
      <alignment vertical="center" wrapText="1"/>
    </xf>
    <xf numFmtId="41" fontId="65" fillId="0" borderId="10" xfId="51" applyFont="1" applyFill="1" applyBorder="1" applyAlignment="1" applyProtection="1">
      <alignment vertical="center"/>
    </xf>
    <xf numFmtId="41" fontId="64" fillId="0" borderId="10" xfId="51" applyFont="1" applyFill="1" applyBorder="1" applyAlignment="1">
      <alignment vertical="center"/>
    </xf>
    <xf numFmtId="3" fontId="64" fillId="0" borderId="10" xfId="44" applyNumberFormat="1" applyFont="1" applyFill="1" applyBorder="1" applyAlignment="1">
      <alignment vertical="center"/>
    </xf>
    <xf numFmtId="3" fontId="64" fillId="0" borderId="10" xfId="56" applyNumberFormat="1" applyFont="1" applyFill="1" applyBorder="1" applyAlignment="1">
      <alignment vertical="center"/>
    </xf>
    <xf numFmtId="41" fontId="43" fillId="0" borderId="10" xfId="51" applyFont="1" applyFill="1" applyBorder="1" applyAlignment="1">
      <alignment vertical="center"/>
    </xf>
    <xf numFmtId="41" fontId="64" fillId="0" borderId="10" xfId="51" applyFont="1" applyFill="1" applyBorder="1" applyAlignment="1" applyProtection="1">
      <alignment vertical="center"/>
    </xf>
    <xf numFmtId="170" fontId="43" fillId="0" borderId="10" xfId="0" applyNumberFormat="1" applyFont="1" applyBorder="1" applyAlignment="1">
      <alignment vertical="center"/>
    </xf>
    <xf numFmtId="41" fontId="43" fillId="0" borderId="10" xfId="52" applyFont="1" applyFill="1" applyBorder="1" applyAlignment="1">
      <alignment vertical="center"/>
    </xf>
    <xf numFmtId="3" fontId="64" fillId="0" borderId="10" xfId="57" applyNumberFormat="1" applyFont="1" applyFill="1" applyBorder="1" applyAlignment="1">
      <alignment vertical="center"/>
    </xf>
    <xf numFmtId="3" fontId="43" fillId="0" borderId="10" xfId="44" applyNumberFormat="1" applyFont="1" applyFill="1" applyBorder="1" applyAlignment="1">
      <alignment vertical="center"/>
    </xf>
    <xf numFmtId="3" fontId="43" fillId="0" borderId="10" xfId="56" applyNumberFormat="1" applyFont="1" applyFill="1" applyBorder="1" applyAlignment="1">
      <alignment vertical="center"/>
    </xf>
    <xf numFmtId="3" fontId="67" fillId="0" borderId="10" xfId="0" applyNumberFormat="1" applyFont="1" applyBorder="1" applyAlignment="1">
      <alignment vertical="center"/>
    </xf>
    <xf numFmtId="3" fontId="67" fillId="0" borderId="0" xfId="0" applyNumberFormat="1" applyFont="1" applyAlignment="1">
      <alignment vertical="center"/>
    </xf>
    <xf numFmtId="3" fontId="1" fillId="27" borderId="10" xfId="37" applyNumberFormat="1" applyBorder="1" applyAlignment="1">
      <alignment vertical="center"/>
    </xf>
    <xf numFmtId="178" fontId="65" fillId="0" borderId="10" xfId="0" applyNumberFormat="1" applyFont="1" applyBorder="1" applyAlignment="1">
      <alignment vertical="center" wrapText="1"/>
    </xf>
    <xf numFmtId="0" fontId="66" fillId="0" borderId="10" xfId="0" applyFont="1" applyBorder="1" applyAlignment="1">
      <alignment horizontal="justify" vertical="center"/>
    </xf>
    <xf numFmtId="3" fontId="43" fillId="0" borderId="10" xfId="44" applyNumberFormat="1" applyFont="1" applyFill="1" applyBorder="1" applyAlignment="1" applyProtection="1">
      <alignment horizontal="right" vertical="center"/>
    </xf>
    <xf numFmtId="170" fontId="43" fillId="0" borderId="10" xfId="44" applyNumberFormat="1" applyFont="1" applyFill="1" applyBorder="1" applyAlignment="1" applyProtection="1">
      <alignment vertical="center"/>
    </xf>
    <xf numFmtId="3" fontId="64" fillId="0" borderId="0" xfId="0" applyNumberFormat="1" applyFont="1" applyAlignment="1">
      <alignment vertical="center" wrapText="1"/>
    </xf>
    <xf numFmtId="41" fontId="64" fillId="0" borderId="0" xfId="51" applyFont="1" applyFill="1" applyAlignment="1">
      <alignment vertical="center"/>
    </xf>
    <xf numFmtId="170" fontId="64" fillId="0" borderId="0" xfId="44" applyNumberFormat="1" applyFont="1" applyFill="1" applyAlignment="1">
      <alignment vertical="center"/>
    </xf>
    <xf numFmtId="3" fontId="17" fillId="9" borderId="10" xfId="19" applyNumberFormat="1" applyBorder="1" applyAlignment="1" applyProtection="1">
      <alignment horizontal="center" vertical="center" wrapText="1"/>
    </xf>
    <xf numFmtId="3" fontId="17" fillId="9" borderId="10" xfId="19" applyNumberFormat="1" applyBorder="1" applyAlignment="1">
      <alignment horizontal="center" vertical="center" wrapText="1"/>
    </xf>
    <xf numFmtId="170" fontId="65" fillId="0" borderId="10" xfId="44" applyNumberFormat="1" applyFont="1" applyFill="1" applyBorder="1" applyAlignment="1" applyProtection="1">
      <alignment vertical="center"/>
    </xf>
    <xf numFmtId="9" fontId="65" fillId="0" borderId="10" xfId="43" applyFont="1" applyFill="1" applyBorder="1" applyAlignment="1" applyProtection="1">
      <alignment vertical="center"/>
    </xf>
    <xf numFmtId="170" fontId="66" fillId="0" borderId="10" xfId="44" applyNumberFormat="1" applyFont="1" applyFill="1" applyBorder="1" applyAlignment="1" applyProtection="1">
      <alignment vertical="center"/>
    </xf>
    <xf numFmtId="170" fontId="65" fillId="35" borderId="10" xfId="44" applyNumberFormat="1" applyFont="1" applyFill="1" applyBorder="1" applyAlignment="1" applyProtection="1">
      <alignment vertical="center"/>
    </xf>
    <xf numFmtId="3" fontId="64" fillId="35" borderId="10" xfId="44" applyNumberFormat="1" applyFont="1" applyFill="1" applyBorder="1" applyAlignment="1">
      <alignment vertical="center"/>
    </xf>
    <xf numFmtId="3" fontId="43" fillId="35" borderId="10" xfId="44" applyNumberFormat="1" applyFont="1" applyFill="1" applyBorder="1" applyAlignment="1">
      <alignment vertical="center"/>
    </xf>
    <xf numFmtId="3" fontId="65" fillId="0" borderId="10" xfId="45" applyNumberFormat="1" applyFont="1" applyBorder="1" applyAlignment="1">
      <alignment vertical="center"/>
    </xf>
    <xf numFmtId="3" fontId="64" fillId="37" borderId="10" xfId="44" applyNumberFormat="1" applyFont="1" applyFill="1" applyBorder="1" applyAlignment="1">
      <alignment vertical="center"/>
    </xf>
    <xf numFmtId="0" fontId="69" fillId="0" borderId="0" xfId="0" applyFont="1"/>
    <xf numFmtId="0" fontId="69" fillId="0" borderId="28" xfId="0" applyFont="1" applyBorder="1" applyAlignment="1">
      <alignment horizontal="center"/>
    </xf>
    <xf numFmtId="0" fontId="69" fillId="0" borderId="0" xfId="0" applyFont="1" applyAlignment="1">
      <alignment horizontal="center"/>
    </xf>
    <xf numFmtId="0" fontId="71" fillId="0" borderId="70" xfId="0" applyFont="1" applyBorder="1" applyAlignment="1">
      <alignment horizontal="center" vertical="center" wrapText="1"/>
    </xf>
    <xf numFmtId="0" fontId="71" fillId="0" borderId="71" xfId="0" applyFont="1" applyBorder="1" applyAlignment="1">
      <alignment horizontal="center" vertical="center" wrapText="1"/>
    </xf>
    <xf numFmtId="1" fontId="73" fillId="56" borderId="54" xfId="0" applyNumberFormat="1" applyFont="1" applyFill="1" applyBorder="1" applyAlignment="1">
      <alignment horizontal="center" wrapText="1"/>
    </xf>
    <xf numFmtId="4" fontId="39" fillId="6" borderId="28" xfId="58" applyNumberFormat="1" applyFont="1" applyFill="1" applyBorder="1" applyAlignment="1">
      <alignment horizontal="center" vertical="top" wrapText="1"/>
    </xf>
    <xf numFmtId="4" fontId="39" fillId="6" borderId="0" xfId="58" applyNumberFormat="1" applyFont="1" applyFill="1" applyAlignment="1">
      <alignment horizontal="center" vertical="top" wrapText="1"/>
    </xf>
    <xf numFmtId="4" fontId="39" fillId="6" borderId="72" xfId="58" applyNumberFormat="1" applyFont="1" applyFill="1" applyBorder="1" applyAlignment="1">
      <alignment horizontal="center" vertical="top" wrapText="1"/>
    </xf>
    <xf numFmtId="1" fontId="73" fillId="0" borderId="54" xfId="0" applyNumberFormat="1" applyFont="1" applyBorder="1" applyAlignment="1">
      <alignment horizontal="center" wrapText="1"/>
    </xf>
    <xf numFmtId="4" fontId="39" fillId="57" borderId="28" xfId="58" applyNumberFormat="1" applyFont="1" applyFill="1" applyBorder="1" applyAlignment="1">
      <alignment horizontal="center" vertical="top" wrapText="1"/>
    </xf>
    <xf numFmtId="4" fontId="39" fillId="57" borderId="0" xfId="58" applyNumberFormat="1" applyFont="1" applyFill="1" applyAlignment="1">
      <alignment horizontal="center" vertical="top" wrapText="1"/>
    </xf>
    <xf numFmtId="4" fontId="39" fillId="57" borderId="72" xfId="58" applyNumberFormat="1" applyFont="1" applyFill="1" applyBorder="1" applyAlignment="1">
      <alignment horizontal="center" vertical="top" wrapText="1"/>
    </xf>
    <xf numFmtId="1" fontId="72" fillId="0" borderId="22" xfId="0" applyNumberFormat="1" applyFont="1" applyBorder="1" applyAlignment="1">
      <alignment horizontal="center" wrapText="1"/>
    </xf>
    <xf numFmtId="4" fontId="36" fillId="57" borderId="73" xfId="58" applyNumberFormat="1" applyFont="1" applyFill="1" applyBorder="1" applyAlignment="1">
      <alignment horizontal="center" vertical="top" wrapText="1"/>
    </xf>
    <xf numFmtId="4" fontId="36" fillId="57" borderId="74" xfId="58" applyNumberFormat="1" applyFont="1" applyFill="1" applyBorder="1" applyAlignment="1">
      <alignment horizontal="center" vertical="top" wrapText="1"/>
    </xf>
    <xf numFmtId="4" fontId="36" fillId="57" borderId="75" xfId="58" applyNumberFormat="1" applyFont="1" applyFill="1" applyBorder="1" applyAlignment="1">
      <alignment horizontal="center" vertical="top" wrapText="1"/>
    </xf>
    <xf numFmtId="1" fontId="73" fillId="0" borderId="0" xfId="0" applyNumberFormat="1" applyFont="1" applyAlignment="1">
      <alignment horizontal="center" wrapText="1"/>
    </xf>
    <xf numFmtId="2" fontId="73" fillId="0" borderId="0" xfId="0" applyNumberFormat="1" applyFont="1" applyAlignment="1">
      <alignment horizontal="center" wrapText="1"/>
    </xf>
    <xf numFmtId="0" fontId="77" fillId="0" borderId="0" xfId="0" applyFont="1" applyAlignment="1">
      <alignment vertical="center"/>
    </xf>
    <xf numFmtId="0" fontId="75" fillId="0" borderId="0" xfId="0" applyFont="1" applyAlignment="1">
      <alignment vertical="center"/>
    </xf>
    <xf numFmtId="4" fontId="78" fillId="0" borderId="76" xfId="59" applyNumberFormat="1" applyFont="1" applyBorder="1" applyAlignment="1">
      <alignment horizontal="left" wrapText="1"/>
    </xf>
    <xf numFmtId="0" fontId="78" fillId="0" borderId="76" xfId="59" applyFont="1" applyBorder="1" applyAlignment="1">
      <alignment horizontal="left" wrapText="1"/>
    </xf>
    <xf numFmtId="4" fontId="79" fillId="0" borderId="76" xfId="0" applyNumberFormat="1" applyFont="1" applyBorder="1" applyAlignment="1">
      <alignment horizontal="left" wrapText="1"/>
    </xf>
    <xf numFmtId="0" fontId="79" fillId="0" borderId="76" xfId="0" applyFont="1" applyBorder="1" applyAlignment="1">
      <alignment horizontal="left" wrapText="1"/>
    </xf>
    <xf numFmtId="0" fontId="1" fillId="27" borderId="10" xfId="37" applyBorder="1" applyAlignment="1">
      <alignment vertical="center" wrapText="1"/>
    </xf>
    <xf numFmtId="0" fontId="66" fillId="0" borderId="0" xfId="0" applyFont="1" applyAlignment="1">
      <alignment vertical="center" wrapText="1"/>
    </xf>
    <xf numFmtId="0" fontId="81" fillId="0" borderId="0" xfId="0" applyFont="1"/>
    <xf numFmtId="22" fontId="81" fillId="0" borderId="0" xfId="0" applyNumberFormat="1" applyFont="1" applyAlignment="1">
      <alignment horizontal="left"/>
    </xf>
    <xf numFmtId="0" fontId="80" fillId="59" borderId="23" xfId="0" applyFont="1" applyFill="1" applyBorder="1" applyAlignment="1">
      <alignment horizontal="centerContinuous" vertical="center" wrapText="1"/>
    </xf>
    <xf numFmtId="0" fontId="0" fillId="0" borderId="23" xfId="0" applyBorder="1" applyAlignment="1">
      <alignment vertical="center" wrapText="1"/>
    </xf>
    <xf numFmtId="0" fontId="81" fillId="0" borderId="0" xfId="0" applyFont="1" applyAlignment="1">
      <alignment horizontal="right"/>
    </xf>
    <xf numFmtId="49" fontId="64" fillId="0" borderId="0" xfId="0" applyNumberFormat="1" applyFont="1"/>
    <xf numFmtId="0" fontId="45" fillId="0" borderId="0" xfId="0" applyFont="1"/>
    <xf numFmtId="0" fontId="80" fillId="59" borderId="23" xfId="0" applyFont="1" applyFill="1" applyBorder="1" applyAlignment="1">
      <alignment horizontal="left" vertical="center" wrapText="1"/>
    </xf>
    <xf numFmtId="3" fontId="80" fillId="59" borderId="23" xfId="50" applyNumberFormat="1" applyFont="1" applyFill="1" applyBorder="1" applyAlignment="1">
      <alignment horizontal="right" vertical="center" wrapText="1"/>
    </xf>
    <xf numFmtId="4" fontId="64" fillId="0" borderId="0" xfId="0" applyNumberFormat="1" applyFont="1"/>
    <xf numFmtId="0" fontId="82" fillId="0" borderId="23" xfId="0" applyFont="1" applyBorder="1" applyAlignment="1">
      <alignment vertical="center" wrapText="1"/>
    </xf>
    <xf numFmtId="3" fontId="83" fillId="0" borderId="79" xfId="1" applyNumberFormat="1" applyFont="1" applyBorder="1"/>
    <xf numFmtId="0" fontId="84" fillId="0" borderId="23" xfId="0" applyFont="1" applyBorder="1" applyAlignment="1">
      <alignment horizontal="left" vertical="center" wrapText="1" indent="1"/>
    </xf>
    <xf numFmtId="3" fontId="84" fillId="0" borderId="79" xfId="1" applyNumberFormat="1" applyFont="1" applyBorder="1"/>
    <xf numFmtId="0" fontId="80" fillId="59" borderId="23" xfId="0" applyFont="1" applyFill="1" applyBorder="1" applyAlignment="1">
      <alignment horizontal="center" vertical="center" wrapText="1"/>
    </xf>
    <xf numFmtId="14" fontId="64" fillId="0" borderId="0" xfId="0" applyNumberFormat="1" applyFont="1" applyAlignment="1">
      <alignment horizontal="center"/>
    </xf>
    <xf numFmtId="49" fontId="64" fillId="0" borderId="0" xfId="0" applyNumberFormat="1" applyFont="1" applyAlignment="1">
      <alignment horizontal="center"/>
    </xf>
    <xf numFmtId="0" fontId="26" fillId="0" borderId="0" xfId="0" applyFont="1"/>
    <xf numFmtId="3" fontId="26" fillId="0" borderId="0" xfId="0" applyNumberFormat="1" applyFont="1"/>
    <xf numFmtId="0" fontId="19" fillId="0" borderId="0" xfId="0" applyFont="1"/>
    <xf numFmtId="3" fontId="19" fillId="0" borderId="0" xfId="0" applyNumberFormat="1" applyFont="1"/>
    <xf numFmtId="0" fontId="19" fillId="58" borderId="0" xfId="0" applyFont="1" applyFill="1"/>
    <xf numFmtId="0" fontId="26" fillId="0" borderId="0" xfId="0" applyFont="1" applyAlignment="1">
      <alignment wrapText="1"/>
    </xf>
    <xf numFmtId="3" fontId="26" fillId="0" borderId="0" xfId="0" applyNumberFormat="1" applyFont="1" applyAlignment="1">
      <alignment wrapText="1"/>
    </xf>
    <xf numFmtId="0" fontId="38" fillId="0" borderId="0" xfId="0" applyFont="1" applyAlignment="1">
      <alignment wrapText="1"/>
    </xf>
    <xf numFmtId="0" fontId="40" fillId="0" borderId="0" xfId="0" applyFont="1" applyAlignment="1">
      <alignment wrapText="1"/>
    </xf>
    <xf numFmtId="0" fontId="38" fillId="0" borderId="51" xfId="0" applyFont="1" applyBorder="1" applyAlignment="1">
      <alignment horizontal="center" wrapText="1"/>
    </xf>
    <xf numFmtId="0" fontId="38" fillId="0" borderId="55" xfId="0" applyFont="1" applyBorder="1" applyAlignment="1">
      <alignment horizontal="left" vertical="center" wrapText="1"/>
    </xf>
    <xf numFmtId="0" fontId="38" fillId="0" borderId="60" xfId="0" applyFont="1" applyBorder="1" applyAlignment="1">
      <alignment horizontal="left" vertical="center" wrapText="1"/>
    </xf>
    <xf numFmtId="0" fontId="38" fillId="0" borderId="67" xfId="0" applyFont="1" applyBorder="1" applyAlignment="1">
      <alignment horizontal="left" vertical="center" wrapText="1"/>
    </xf>
    <xf numFmtId="0" fontId="38" fillId="0" borderId="43" xfId="0" applyFont="1" applyBorder="1" applyAlignment="1">
      <alignment horizontal="left" vertical="center" wrapText="1"/>
    </xf>
    <xf numFmtId="3" fontId="19" fillId="0" borderId="10" xfId="0" applyNumberFormat="1" applyFont="1" applyBorder="1" applyAlignment="1">
      <alignment vertical="center" wrapText="1"/>
    </xf>
    <xf numFmtId="3" fontId="21" fillId="0" borderId="0" xfId="0" applyNumberFormat="1" applyFont="1" applyAlignment="1">
      <alignment vertical="center" wrapText="1"/>
    </xf>
    <xf numFmtId="177" fontId="48" fillId="0" borderId="0" xfId="0" applyNumberFormat="1" applyFont="1"/>
    <xf numFmtId="10" fontId="52" fillId="0" borderId="0" xfId="43" applyNumberFormat="1" applyFont="1"/>
    <xf numFmtId="3" fontId="19" fillId="0" borderId="0" xfId="0" applyNumberFormat="1" applyFont="1" applyAlignment="1">
      <alignment horizontal="left" vertical="center" wrapText="1"/>
    </xf>
    <xf numFmtId="3" fontId="19" fillId="0" borderId="82" xfId="0" applyNumberFormat="1" applyFont="1" applyBorder="1" applyAlignment="1">
      <alignment vertical="center" wrapText="1"/>
    </xf>
    <xf numFmtId="3" fontId="21" fillId="0" borderId="82" xfId="0" applyNumberFormat="1" applyFont="1" applyBorder="1" applyAlignment="1">
      <alignment horizontal="center" vertical="center" wrapText="1"/>
    </xf>
    <xf numFmtId="3" fontId="19" fillId="0" borderId="82" xfId="0" applyNumberFormat="1" applyFont="1" applyBorder="1" applyAlignment="1">
      <alignment vertical="center"/>
    </xf>
    <xf numFmtId="3" fontId="21" fillId="0" borderId="82" xfId="0" applyNumberFormat="1" applyFont="1" applyBorder="1" applyAlignment="1">
      <alignment vertical="center"/>
    </xf>
    <xf numFmtId="170" fontId="19" fillId="0" borderId="82" xfId="1" applyNumberFormat="1" applyFont="1" applyFill="1" applyBorder="1" applyAlignment="1">
      <alignment vertical="center"/>
    </xf>
    <xf numFmtId="0" fontId="19" fillId="0" borderId="82" xfId="0" applyFont="1" applyBorder="1" applyAlignment="1">
      <alignment horizontal="center" vertical="center" wrapText="1"/>
    </xf>
    <xf numFmtId="0" fontId="19" fillId="0" borderId="82" xfId="0" applyFont="1" applyBorder="1" applyAlignment="1">
      <alignment horizontal="justify" vertical="center"/>
    </xf>
    <xf numFmtId="43" fontId="86" fillId="63" borderId="82" xfId="1" applyFont="1" applyFill="1" applyBorder="1" applyAlignment="1">
      <alignment horizontal="right" vertical="center"/>
    </xf>
    <xf numFmtId="3" fontId="19" fillId="61" borderId="82" xfId="0" applyNumberFormat="1" applyFont="1" applyFill="1" applyBorder="1"/>
    <xf numFmtId="3" fontId="19" fillId="60" borderId="82" xfId="0" applyNumberFormat="1" applyFont="1" applyFill="1" applyBorder="1"/>
    <xf numFmtId="3" fontId="19" fillId="38" borderId="82" xfId="0" applyNumberFormat="1" applyFont="1" applyFill="1" applyBorder="1"/>
    <xf numFmtId="3" fontId="19" fillId="58" borderId="82" xfId="0" applyNumberFormat="1" applyFont="1" applyFill="1" applyBorder="1"/>
    <xf numFmtId="170" fontId="86" fillId="63" borderId="82" xfId="1" applyNumberFormat="1" applyFont="1" applyFill="1" applyBorder="1" applyAlignment="1">
      <alignment horizontal="right" vertical="center"/>
    </xf>
    <xf numFmtId="0" fontId="21" fillId="0" borderId="82" xfId="0" applyFont="1" applyBorder="1" applyAlignment="1">
      <alignment horizontal="center" vertical="center"/>
    </xf>
    <xf numFmtId="0" fontId="19" fillId="0" borderId="0" xfId="0" applyFont="1" applyAlignment="1">
      <alignment horizontal="center" vertical="center"/>
    </xf>
    <xf numFmtId="170" fontId="21" fillId="0" borderId="63" xfId="44" applyNumberFormat="1" applyFont="1" applyFill="1" applyBorder="1" applyAlignment="1">
      <alignment vertical="center"/>
    </xf>
    <xf numFmtId="170" fontId="48" fillId="0" borderId="0" xfId="44" applyNumberFormat="1" applyFont="1"/>
    <xf numFmtId="0" fontId="90" fillId="65" borderId="86" xfId="3" applyFont="1" applyFill="1" applyBorder="1" applyAlignment="1">
      <alignment horizontal="center" vertical="center" wrapText="1"/>
    </xf>
    <xf numFmtId="0" fontId="88" fillId="66" borderId="86" xfId="0" applyFont="1" applyFill="1" applyBorder="1" applyAlignment="1">
      <alignment horizontal="center" vertical="center" wrapText="1"/>
    </xf>
    <xf numFmtId="43" fontId="90" fillId="65" borderId="86" xfId="1" applyFont="1" applyFill="1" applyBorder="1" applyAlignment="1">
      <alignment horizontal="center" vertical="center" wrapText="1"/>
    </xf>
    <xf numFmtId="0" fontId="91" fillId="22" borderId="86" xfId="32" applyFont="1" applyBorder="1" applyAlignment="1">
      <alignment vertical="center" wrapText="1"/>
    </xf>
    <xf numFmtId="166" fontId="91" fillId="22" borderId="86" xfId="1" applyNumberFormat="1" applyFont="1" applyFill="1" applyBorder="1" applyAlignment="1">
      <alignment horizontal="right" vertical="center" wrapText="1"/>
    </xf>
    <xf numFmtId="166" fontId="91" fillId="22" borderId="86" xfId="1" applyNumberFormat="1" applyFont="1" applyFill="1" applyBorder="1" applyAlignment="1">
      <alignment vertical="center" wrapText="1"/>
    </xf>
    <xf numFmtId="3" fontId="91" fillId="22" borderId="86" xfId="32" applyNumberFormat="1" applyFont="1" applyBorder="1" applyAlignment="1">
      <alignment vertical="center" wrapText="1"/>
    </xf>
    <xf numFmtId="0" fontId="89" fillId="0" borderId="0" xfId="0" applyFont="1" applyAlignment="1">
      <alignment vertical="center"/>
    </xf>
    <xf numFmtId="43" fontId="89" fillId="0" borderId="0" xfId="1" applyFont="1" applyAlignment="1">
      <alignment vertical="center"/>
    </xf>
    <xf numFmtId="3" fontId="88" fillId="66" borderId="86" xfId="0" applyNumberFormat="1" applyFont="1" applyFill="1" applyBorder="1" applyAlignment="1">
      <alignment horizontal="right" vertical="center" wrapText="1"/>
    </xf>
    <xf numFmtId="166" fontId="88" fillId="66" borderId="86" xfId="0" applyNumberFormat="1" applyFont="1" applyFill="1" applyBorder="1" applyAlignment="1">
      <alignment horizontal="right" vertical="center" wrapText="1"/>
    </xf>
    <xf numFmtId="166" fontId="91" fillId="22" borderId="86" xfId="32" applyNumberFormat="1" applyFont="1" applyBorder="1" applyAlignment="1">
      <alignment vertical="center" wrapText="1"/>
    </xf>
    <xf numFmtId="0" fontId="19" fillId="0" borderId="0" xfId="0" applyFont="1" applyAlignment="1">
      <alignment horizontal="left" vertical="center" wrapText="1"/>
    </xf>
    <xf numFmtId="170" fontId="19" fillId="0" borderId="0" xfId="0" applyNumberFormat="1" applyFont="1" applyAlignment="1">
      <alignment vertical="center" wrapText="1"/>
    </xf>
    <xf numFmtId="3" fontId="21" fillId="0" borderId="82" xfId="0" applyNumberFormat="1" applyFont="1" applyBorder="1" applyAlignment="1">
      <alignment vertical="center" wrapText="1"/>
    </xf>
    <xf numFmtId="179" fontId="20" fillId="9" borderId="87" xfId="19" applyNumberFormat="1" applyFont="1" applyBorder="1" applyAlignment="1">
      <alignment horizontal="center" vertical="center" wrapText="1"/>
    </xf>
    <xf numFmtId="0" fontId="22" fillId="0" borderId="87" xfId="0" applyFont="1" applyBorder="1" applyAlignment="1">
      <alignment vertical="center" wrapText="1"/>
    </xf>
    <xf numFmtId="169" fontId="22" fillId="0" borderId="87" xfId="44" applyFont="1" applyFill="1" applyBorder="1" applyAlignment="1">
      <alignment vertical="center" wrapText="1"/>
    </xf>
    <xf numFmtId="170" fontId="21" fillId="0" borderId="87" xfId="44" applyNumberFormat="1" applyFont="1" applyFill="1" applyBorder="1" applyAlignment="1">
      <alignment horizontal="left" vertical="center" wrapText="1"/>
    </xf>
    <xf numFmtId="170" fontId="22" fillId="0" borderId="87" xfId="44" applyNumberFormat="1" applyFont="1" applyFill="1" applyBorder="1" applyAlignment="1">
      <alignment vertical="center" wrapText="1"/>
    </xf>
    <xf numFmtId="3" fontId="22" fillId="0" borderId="87" xfId="0" applyNumberFormat="1" applyFont="1" applyBorder="1" applyAlignment="1">
      <alignment vertical="center" wrapText="1"/>
    </xf>
    <xf numFmtId="43" fontId="24" fillId="0" borderId="87" xfId="1" applyFont="1" applyBorder="1" applyAlignment="1">
      <alignment vertical="center" wrapText="1"/>
    </xf>
    <xf numFmtId="166" fontId="24" fillId="0" borderId="87" xfId="1" applyNumberFormat="1" applyFont="1" applyBorder="1" applyAlignment="1">
      <alignment vertical="center" wrapText="1"/>
    </xf>
    <xf numFmtId="170" fontId="24" fillId="0" borderId="87" xfId="44" applyNumberFormat="1" applyFont="1" applyFill="1" applyBorder="1" applyAlignment="1">
      <alignment vertical="center" wrapText="1"/>
    </xf>
    <xf numFmtId="4" fontId="19" fillId="0" borderId="0" xfId="0" applyNumberFormat="1" applyFont="1" applyAlignment="1">
      <alignment vertical="center"/>
    </xf>
    <xf numFmtId="43" fontId="91" fillId="22" borderId="86" xfId="1" applyFont="1" applyFill="1" applyBorder="1" applyAlignment="1">
      <alignment horizontal="right" vertical="center" wrapText="1"/>
    </xf>
    <xf numFmtId="43" fontId="88" fillId="66" borderId="86" xfId="0" applyNumberFormat="1" applyFont="1" applyFill="1" applyBorder="1" applyAlignment="1">
      <alignment horizontal="right" vertical="center" wrapText="1"/>
    </xf>
    <xf numFmtId="166" fontId="88" fillId="66" borderId="86" xfId="0" applyNumberFormat="1" applyFont="1" applyFill="1" applyBorder="1" applyAlignment="1">
      <alignment horizontal="center" vertical="center" wrapText="1"/>
    </xf>
    <xf numFmtId="166" fontId="88" fillId="66" borderId="86" xfId="1" applyNumberFormat="1" applyFont="1" applyFill="1" applyBorder="1" applyAlignment="1">
      <alignment horizontal="center" vertical="center" wrapText="1"/>
    </xf>
    <xf numFmtId="43" fontId="19" fillId="0" borderId="0" xfId="1" applyFont="1" applyAlignment="1">
      <alignment vertical="center"/>
    </xf>
    <xf numFmtId="166" fontId="89" fillId="0" borderId="0" xfId="0" applyNumberFormat="1" applyFont="1" applyAlignment="1">
      <alignment vertical="center"/>
    </xf>
    <xf numFmtId="1" fontId="21" fillId="0" borderId="69" xfId="0" applyNumberFormat="1" applyFont="1" applyBorder="1" applyAlignment="1">
      <alignment horizontal="left" vertical="center"/>
    </xf>
    <xf numFmtId="3" fontId="94" fillId="0" borderId="0" xfId="0" applyNumberFormat="1" applyFont="1" applyAlignment="1">
      <alignment vertical="center"/>
    </xf>
    <xf numFmtId="3" fontId="95" fillId="0" borderId="0" xfId="0" applyNumberFormat="1" applyFont="1" applyAlignment="1">
      <alignment vertical="center"/>
    </xf>
    <xf numFmtId="0" fontId="96" fillId="0" borderId="0" xfId="0" applyFont="1"/>
    <xf numFmtId="3" fontId="97" fillId="0" borderId="0" xfId="0" applyNumberFormat="1" applyFont="1" applyAlignment="1">
      <alignment vertical="center"/>
    </xf>
    <xf numFmtId="4" fontId="97" fillId="0" borderId="0" xfId="0" applyNumberFormat="1" applyFont="1" applyAlignment="1">
      <alignment vertical="center"/>
    </xf>
    <xf numFmtId="3" fontId="44" fillId="0" borderId="0" xfId="0" applyNumberFormat="1" applyFont="1" applyAlignment="1">
      <alignment vertical="center"/>
    </xf>
    <xf numFmtId="43" fontId="32" fillId="0" borderId="0" xfId="1" applyFont="1" applyAlignment="1">
      <alignment vertical="center"/>
    </xf>
    <xf numFmtId="180" fontId="37" fillId="0" borderId="0" xfId="0" applyNumberFormat="1" applyFont="1" applyAlignment="1">
      <alignment vertical="center"/>
    </xf>
    <xf numFmtId="181" fontId="37" fillId="0" borderId="0" xfId="0" applyNumberFormat="1" applyFont="1" applyAlignment="1">
      <alignment vertical="center"/>
    </xf>
    <xf numFmtId="43" fontId="37" fillId="0" borderId="0" xfId="1" applyFont="1" applyAlignment="1">
      <alignment vertical="center"/>
    </xf>
    <xf numFmtId="0" fontId="100" fillId="68" borderId="90" xfId="0" applyFont="1" applyFill="1" applyBorder="1" applyAlignment="1">
      <alignment horizontal="center" vertical="center" wrapText="1"/>
    </xf>
    <xf numFmtId="0" fontId="100" fillId="68" borderId="91" xfId="0" applyFont="1" applyFill="1" applyBorder="1" applyAlignment="1">
      <alignment horizontal="center" vertical="center" wrapText="1"/>
    </xf>
    <xf numFmtId="0" fontId="100" fillId="65" borderId="86" xfId="3" applyFont="1" applyFill="1" applyBorder="1" applyAlignment="1">
      <alignment horizontal="left" vertical="center" wrapText="1"/>
    </xf>
    <xf numFmtId="0" fontId="100" fillId="65" borderId="86" xfId="3" applyFont="1" applyFill="1" applyBorder="1" applyAlignment="1">
      <alignment horizontal="center" vertical="center" wrapText="1"/>
    </xf>
    <xf numFmtId="166" fontId="100" fillId="65" borderId="86" xfId="1" applyNumberFormat="1" applyFont="1" applyFill="1" applyBorder="1" applyAlignment="1">
      <alignment horizontal="center" vertical="center" wrapText="1"/>
    </xf>
    <xf numFmtId="166" fontId="100" fillId="65" borderId="86" xfId="1" applyNumberFormat="1" applyFont="1" applyFill="1" applyBorder="1" applyAlignment="1">
      <alignment horizontal="left" vertical="center" wrapText="1" indent="1"/>
    </xf>
    <xf numFmtId="0" fontId="106" fillId="0" borderId="0" xfId="0" applyFont="1" applyProtection="1">
      <protection locked="0"/>
    </xf>
    <xf numFmtId="0" fontId="108" fillId="67" borderId="0" xfId="60" applyFont="1" applyFill="1" applyAlignment="1">
      <alignment horizontal="centerContinuous" vertical="center"/>
    </xf>
    <xf numFmtId="0" fontId="108" fillId="67" borderId="71" xfId="60" applyFont="1" applyFill="1" applyBorder="1" applyAlignment="1">
      <alignment horizontal="centerContinuous" vertical="center"/>
    </xf>
    <xf numFmtId="0" fontId="108" fillId="67" borderId="23" xfId="60" applyFont="1" applyFill="1" applyBorder="1" applyAlignment="1">
      <alignment horizontal="centerContinuous" vertical="center"/>
    </xf>
    <xf numFmtId="0" fontId="108" fillId="67" borderId="23" xfId="60" applyFont="1" applyFill="1" applyBorder="1" applyAlignment="1" applyProtection="1">
      <alignment horizontal="centerContinuous" vertical="center"/>
      <protection locked="0"/>
    </xf>
    <xf numFmtId="175" fontId="108" fillId="67" borderId="0" xfId="60" applyNumberFormat="1" applyFont="1" applyFill="1" applyAlignment="1">
      <alignment horizontal="center"/>
    </xf>
    <xf numFmtId="175" fontId="108" fillId="67" borderId="23" xfId="60" applyNumberFormat="1" applyFont="1" applyFill="1" applyBorder="1" applyAlignment="1">
      <alignment horizontal="center"/>
    </xf>
    <xf numFmtId="175" fontId="108" fillId="67" borderId="23" xfId="60" applyNumberFormat="1" applyFont="1" applyFill="1" applyBorder="1" applyAlignment="1" applyProtection="1">
      <alignment horizontal="center"/>
      <protection locked="0"/>
    </xf>
    <xf numFmtId="0" fontId="109" fillId="0" borderId="94" xfId="0" applyFont="1" applyBorder="1" applyAlignment="1" applyProtection="1">
      <alignment horizontal="left" vertical="center"/>
      <protection locked="0"/>
    </xf>
    <xf numFmtId="0" fontId="107" fillId="24" borderId="76" xfId="34" applyFont="1" applyBorder="1" applyAlignment="1">
      <alignment horizontal="left" wrapText="1"/>
    </xf>
    <xf numFmtId="166" fontId="109" fillId="22" borderId="86" xfId="1" applyNumberFormat="1" applyFont="1" applyFill="1" applyBorder="1" applyAlignment="1">
      <alignment horizontal="left" vertical="center" wrapText="1"/>
    </xf>
    <xf numFmtId="166" fontId="108" fillId="22" borderId="86" xfId="1" applyNumberFormat="1" applyFont="1" applyFill="1" applyBorder="1" applyAlignment="1">
      <alignment horizontal="left" vertical="center" wrapText="1"/>
    </xf>
    <xf numFmtId="0" fontId="106" fillId="0" borderId="0" xfId="0" applyFont="1" applyAlignment="1" applyProtection="1">
      <alignment wrapText="1"/>
      <protection locked="0"/>
    </xf>
    <xf numFmtId="166" fontId="107" fillId="24" borderId="76" xfId="1" applyNumberFormat="1" applyFont="1" applyFill="1" applyBorder="1" applyAlignment="1">
      <alignment horizontal="left" wrapText="1"/>
    </xf>
    <xf numFmtId="0" fontId="109" fillId="0" borderId="100" xfId="0" applyFont="1" applyBorder="1" applyAlignment="1" applyProtection="1">
      <alignment horizontal="left" vertical="center"/>
      <protection locked="0"/>
    </xf>
    <xf numFmtId="166" fontId="108" fillId="22" borderId="101" xfId="1" applyNumberFormat="1" applyFont="1" applyFill="1" applyBorder="1" applyAlignment="1">
      <alignment horizontal="left" vertical="center" wrapText="1"/>
    </xf>
    <xf numFmtId="166" fontId="108" fillId="34" borderId="101" xfId="1" applyNumberFormat="1" applyFont="1" applyFill="1" applyBorder="1" applyAlignment="1">
      <alignment horizontal="left" vertical="center" wrapText="1"/>
    </xf>
    <xf numFmtId="166" fontId="108" fillId="22" borderId="102" xfId="1" applyNumberFormat="1" applyFont="1" applyFill="1" applyBorder="1" applyAlignment="1">
      <alignment horizontal="left" vertical="center" wrapText="1"/>
    </xf>
    <xf numFmtId="166" fontId="106" fillId="0" borderId="0" xfId="1" applyNumberFormat="1" applyFont="1" applyBorder="1" applyAlignment="1" applyProtection="1">
      <alignment wrapText="1"/>
      <protection locked="0"/>
    </xf>
    <xf numFmtId="0" fontId="107" fillId="24" borderId="103" xfId="34" applyFont="1" applyBorder="1" applyAlignment="1">
      <alignment horizontal="left" wrapText="1"/>
    </xf>
    <xf numFmtId="166" fontId="107" fillId="24" borderId="103" xfId="1" applyNumberFormat="1" applyFont="1" applyFill="1" applyBorder="1" applyAlignment="1">
      <alignment horizontal="left" wrapText="1"/>
    </xf>
    <xf numFmtId="0" fontId="107" fillId="24" borderId="104" xfId="34" applyFont="1" applyBorder="1" applyAlignment="1">
      <alignment horizontal="left" wrapText="1"/>
    </xf>
    <xf numFmtId="166" fontId="107" fillId="24" borderId="104" xfId="1" applyNumberFormat="1" applyFont="1" applyFill="1" applyBorder="1" applyAlignment="1">
      <alignment horizontal="left" wrapText="1"/>
    </xf>
    <xf numFmtId="0" fontId="107" fillId="24" borderId="105" xfId="34" applyFont="1" applyBorder="1" applyAlignment="1">
      <alignment horizontal="left" wrapText="1"/>
    </xf>
    <xf numFmtId="166" fontId="107" fillId="24" borderId="105" xfId="1" applyNumberFormat="1" applyFont="1" applyFill="1" applyBorder="1" applyAlignment="1">
      <alignment horizontal="left" wrapText="1"/>
    </xf>
    <xf numFmtId="166" fontId="108" fillId="22" borderId="86" xfId="1" applyNumberFormat="1" applyFont="1" applyFill="1" applyBorder="1" applyAlignment="1">
      <alignment horizontal="center" vertical="center" wrapText="1"/>
    </xf>
    <xf numFmtId="0" fontId="106" fillId="0" borderId="0" xfId="60" applyFont="1"/>
    <xf numFmtId="0" fontId="107" fillId="0" borderId="0" xfId="60" applyFont="1" applyAlignment="1">
      <alignment horizontal="right" vertical="center"/>
    </xf>
    <xf numFmtId="0" fontId="106" fillId="0" borderId="0" xfId="60" applyFont="1" applyProtection="1">
      <protection locked="0"/>
    </xf>
    <xf numFmtId="0" fontId="107" fillId="0" borderId="0" xfId="60" applyFont="1" applyAlignment="1">
      <alignment horizontal="right"/>
    </xf>
    <xf numFmtId="0" fontId="107" fillId="0" borderId="0" xfId="61" applyFont="1" applyAlignment="1">
      <alignment horizontal="right" vertical="center"/>
    </xf>
    <xf numFmtId="0" fontId="109" fillId="0" borderId="90" xfId="59" applyFont="1" applyBorder="1" applyAlignment="1">
      <alignment horizontal="left"/>
    </xf>
    <xf numFmtId="0" fontId="109" fillId="0" borderId="91" xfId="59" applyFont="1" applyBorder="1" applyAlignment="1">
      <alignment horizontal="left"/>
    </xf>
    <xf numFmtId="0" fontId="109" fillId="22" borderId="86" xfId="32" applyFont="1" applyBorder="1" applyAlignment="1">
      <alignment vertical="center" wrapText="1"/>
    </xf>
    <xf numFmtId="166" fontId="109" fillId="22" borderId="86" xfId="1" applyNumberFormat="1" applyFont="1" applyFill="1" applyBorder="1" applyAlignment="1">
      <alignment horizontal="left" vertical="center" wrapText="1" indent="1"/>
    </xf>
    <xf numFmtId="0" fontId="107" fillId="0" borderId="0" xfId="60" applyFont="1" applyProtection="1">
      <protection locked="0"/>
    </xf>
    <xf numFmtId="0" fontId="107" fillId="24" borderId="76" xfId="34" applyFont="1" applyBorder="1" applyAlignment="1">
      <alignment horizontal="left"/>
    </xf>
    <xf numFmtId="166" fontId="107" fillId="24" borderId="76" xfId="1" applyNumberFormat="1" applyFont="1" applyFill="1" applyBorder="1" applyAlignment="1">
      <alignment horizontal="left" indent="1"/>
    </xf>
    <xf numFmtId="0" fontId="108" fillId="22" borderId="86" xfId="32" applyFont="1" applyBorder="1" applyAlignment="1">
      <alignment vertical="center" wrapText="1"/>
    </xf>
    <xf numFmtId="166" fontId="108" fillId="22" borderId="86" xfId="1" applyNumberFormat="1" applyFont="1" applyFill="1" applyBorder="1" applyAlignment="1">
      <alignment horizontal="left" vertical="center" wrapText="1" indent="1"/>
    </xf>
    <xf numFmtId="0" fontId="108" fillId="64" borderId="92" xfId="0" applyFont="1" applyFill="1" applyBorder="1" applyAlignment="1">
      <alignment horizontal="left"/>
    </xf>
    <xf numFmtId="166" fontId="108" fillId="64" borderId="92" xfId="1" applyNumberFormat="1" applyFont="1" applyFill="1" applyBorder="1" applyAlignment="1">
      <alignment horizontal="left" indent="1"/>
    </xf>
    <xf numFmtId="0" fontId="106" fillId="0" borderId="0" xfId="0" applyFont="1"/>
    <xf numFmtId="166" fontId="106" fillId="0" borderId="0" xfId="1" applyNumberFormat="1" applyFont="1" applyAlignment="1">
      <alignment horizontal="left" indent="1"/>
    </xf>
    <xf numFmtId="0" fontId="109" fillId="0" borderId="0" xfId="60" applyFont="1" applyProtection="1">
      <protection locked="0"/>
    </xf>
    <xf numFmtId="0" fontId="109" fillId="0" borderId="0" xfId="60" applyFont="1" applyAlignment="1" applyProtection="1">
      <alignment horizontal="right"/>
      <protection locked="0"/>
    </xf>
    <xf numFmtId="0" fontId="107" fillId="0" borderId="0" xfId="0" applyFont="1" applyAlignment="1">
      <alignment horizontal="center" vertical="center"/>
    </xf>
    <xf numFmtId="0" fontId="106" fillId="0" borderId="0" xfId="0" applyFont="1" applyAlignment="1">
      <alignment vertical="center"/>
    </xf>
    <xf numFmtId="0" fontId="106" fillId="0" borderId="0" xfId="0" applyFont="1" applyAlignment="1" applyProtection="1">
      <alignment vertical="center"/>
      <protection locked="0"/>
    </xf>
    <xf numFmtId="0" fontId="109" fillId="0" borderId="0" xfId="58" applyFont="1" applyAlignment="1">
      <alignment vertical="center"/>
    </xf>
    <xf numFmtId="9" fontId="107" fillId="24" borderId="76" xfId="43" applyFont="1" applyFill="1" applyBorder="1" applyAlignment="1">
      <alignment horizontal="right" vertical="center"/>
    </xf>
    <xf numFmtId="0" fontId="110" fillId="69" borderId="93" xfId="0" applyFont="1" applyFill="1" applyBorder="1" applyAlignment="1">
      <alignment horizontal="center" vertical="center" wrapText="1"/>
    </xf>
    <xf numFmtId="0" fontId="110" fillId="69" borderId="93" xfId="0" applyFont="1" applyFill="1" applyBorder="1" applyAlignment="1" applyProtection="1">
      <alignment horizontal="center" vertical="center" wrapText="1"/>
      <protection locked="0"/>
    </xf>
    <xf numFmtId="0" fontId="111" fillId="0" borderId="0" xfId="0" applyFont="1" applyAlignment="1" applyProtection="1">
      <alignment vertical="center"/>
      <protection locked="0"/>
    </xf>
    <xf numFmtId="0" fontId="109" fillId="0" borderId="93" xfId="58" applyFont="1" applyBorder="1" applyAlignment="1">
      <alignment vertical="center"/>
    </xf>
    <xf numFmtId="0" fontId="109" fillId="0" borderId="93" xfId="58" applyFont="1" applyBorder="1" applyAlignment="1" applyProtection="1">
      <alignment vertical="center"/>
      <protection locked="0"/>
    </xf>
    <xf numFmtId="0" fontId="107" fillId="0" borderId="0" xfId="0" applyFont="1" applyAlignment="1" applyProtection="1">
      <alignment vertical="center"/>
      <protection locked="0"/>
    </xf>
    <xf numFmtId="0" fontId="112" fillId="0" borderId="0" xfId="0" applyFont="1" applyAlignment="1" applyProtection="1">
      <alignment vertical="center"/>
      <protection locked="0"/>
    </xf>
    <xf numFmtId="0" fontId="112" fillId="0" borderId="0" xfId="60" applyFont="1" applyProtection="1">
      <protection locked="0"/>
    </xf>
    <xf numFmtId="0" fontId="112" fillId="0" borderId="90" xfId="59" applyFont="1" applyBorder="1" applyAlignment="1">
      <alignment horizontal="left"/>
    </xf>
    <xf numFmtId="0" fontId="112" fillId="0" borderId="91" xfId="59" applyFont="1" applyBorder="1" applyAlignment="1">
      <alignment horizontal="left"/>
    </xf>
    <xf numFmtId="0" fontId="100" fillId="0" borderId="90" xfId="59" applyFont="1" applyBorder="1" applyAlignment="1">
      <alignment horizontal="left"/>
    </xf>
    <xf numFmtId="0" fontId="100" fillId="0" borderId="91" xfId="59" applyFont="1" applyBorder="1" applyAlignment="1">
      <alignment horizontal="left"/>
    </xf>
    <xf numFmtId="0" fontId="100" fillId="0" borderId="0" xfId="60" applyFont="1" applyProtection="1">
      <protection locked="0"/>
    </xf>
    <xf numFmtId="0" fontId="105" fillId="0" borderId="90" xfId="59" applyFont="1" applyBorder="1" applyAlignment="1">
      <alignment horizontal="left"/>
    </xf>
    <xf numFmtId="0" fontId="105" fillId="0" borderId="91" xfId="59" applyFont="1" applyBorder="1" applyAlignment="1">
      <alignment horizontal="left"/>
    </xf>
    <xf numFmtId="0" fontId="100" fillId="66" borderId="86" xfId="0" applyFont="1" applyFill="1" applyBorder="1" applyAlignment="1">
      <alignment horizontal="center" vertical="center" wrapText="1"/>
    </xf>
    <xf numFmtId="166" fontId="100" fillId="66" borderId="86" xfId="1" applyNumberFormat="1" applyFont="1" applyFill="1" applyBorder="1" applyAlignment="1">
      <alignment horizontal="left" vertical="center" wrapText="1" indent="1"/>
    </xf>
    <xf numFmtId="166" fontId="100" fillId="66" borderId="86" xfId="1" applyNumberFormat="1" applyFont="1" applyFill="1" applyBorder="1" applyAlignment="1">
      <alignment horizontal="center" vertical="center" wrapText="1"/>
    </xf>
    <xf numFmtId="0" fontId="112" fillId="0" borderId="0" xfId="0" applyFont="1" applyProtection="1">
      <protection locked="0"/>
    </xf>
    <xf numFmtId="0" fontId="100" fillId="65" borderId="102" xfId="3" applyFont="1" applyFill="1" applyBorder="1" applyAlignment="1">
      <alignment horizontal="center" vertical="center" wrapText="1"/>
    </xf>
    <xf numFmtId="166" fontId="100" fillId="65" borderId="102" xfId="1" applyNumberFormat="1" applyFont="1" applyFill="1" applyBorder="1" applyAlignment="1">
      <alignment horizontal="center" vertical="center" wrapText="1"/>
    </xf>
    <xf numFmtId="1" fontId="43" fillId="0" borderId="0" xfId="0" applyNumberFormat="1" applyFont="1" applyAlignment="1">
      <alignment vertical="center"/>
    </xf>
    <xf numFmtId="9" fontId="1" fillId="26" borderId="10" xfId="43" applyFill="1" applyBorder="1" applyAlignment="1" applyProtection="1">
      <alignment vertical="center"/>
    </xf>
    <xf numFmtId="10" fontId="1" fillId="26" borderId="10" xfId="43" applyNumberFormat="1" applyFill="1" applyBorder="1" applyAlignment="1" applyProtection="1">
      <alignment vertical="center"/>
    </xf>
    <xf numFmtId="166" fontId="21" fillId="0" borderId="69" xfId="1" applyNumberFormat="1" applyFont="1" applyBorder="1" applyAlignment="1">
      <alignment vertical="center"/>
    </xf>
    <xf numFmtId="166" fontId="19" fillId="0" borderId="0" xfId="1" applyNumberFormat="1" applyFont="1" applyFill="1" applyAlignment="1">
      <alignment vertical="center"/>
    </xf>
    <xf numFmtId="9" fontId="21" fillId="0" borderId="69" xfId="43" applyFont="1" applyBorder="1" applyAlignment="1">
      <alignment vertical="center"/>
    </xf>
    <xf numFmtId="9" fontId="19" fillId="0" borderId="0" xfId="43" applyFont="1" applyFill="1" applyAlignment="1">
      <alignment vertical="center"/>
    </xf>
    <xf numFmtId="0" fontId="90" fillId="65" borderId="101" xfId="3" applyFont="1" applyFill="1" applyBorder="1" applyAlignment="1">
      <alignment horizontal="center" vertical="center" wrapText="1"/>
    </xf>
    <xf numFmtId="0" fontId="93" fillId="26" borderId="106" xfId="36" applyFont="1" applyBorder="1" applyAlignment="1">
      <alignment horizontal="left" vertical="center" wrapText="1"/>
    </xf>
    <xf numFmtId="0" fontId="93" fillId="27" borderId="106" xfId="37" applyFont="1" applyBorder="1" applyAlignment="1">
      <alignment horizontal="left" vertical="center"/>
    </xf>
    <xf numFmtId="0" fontId="93" fillId="28" borderId="106" xfId="38" applyFont="1" applyBorder="1" applyAlignment="1">
      <alignment horizontal="left" vertical="center" wrapText="1"/>
    </xf>
    <xf numFmtId="0" fontId="92" fillId="0" borderId="106" xfId="0" applyFont="1" applyBorder="1" applyAlignment="1">
      <alignment horizontal="left" vertical="center" wrapText="1"/>
    </xf>
    <xf numFmtId="0" fontId="92" fillId="0" borderId="106" xfId="0" applyFont="1" applyBorder="1" applyAlignment="1">
      <alignment horizontal="left" vertical="center"/>
    </xf>
    <xf numFmtId="0" fontId="93" fillId="0" borderId="106" xfId="0" applyFont="1" applyBorder="1" applyAlignment="1">
      <alignment horizontal="left" vertical="center" wrapText="1"/>
    </xf>
    <xf numFmtId="166" fontId="90" fillId="65" borderId="101" xfId="1" applyNumberFormat="1" applyFont="1" applyFill="1" applyBorder="1" applyAlignment="1">
      <alignment horizontal="center" vertical="center" wrapText="1"/>
    </xf>
    <xf numFmtId="9" fontId="90" fillId="65" borderId="101" xfId="43" applyFont="1" applyFill="1" applyBorder="1" applyAlignment="1">
      <alignment horizontal="center" vertical="center" wrapText="1"/>
    </xf>
    <xf numFmtId="166" fontId="93" fillId="26" borderId="106" xfId="1" applyNumberFormat="1" applyFont="1" applyFill="1" applyBorder="1" applyAlignment="1" applyProtection="1">
      <alignment horizontal="center" vertical="center"/>
    </xf>
    <xf numFmtId="9" fontId="93" fillId="26" borderId="106" xfId="43" applyFont="1" applyFill="1" applyBorder="1" applyAlignment="1" applyProtection="1">
      <alignment horizontal="center" vertical="center"/>
    </xf>
    <xf numFmtId="166" fontId="93" fillId="27" borderId="106" xfId="1" applyNumberFormat="1" applyFont="1" applyFill="1" applyBorder="1" applyAlignment="1">
      <alignment horizontal="center" vertical="center"/>
    </xf>
    <xf numFmtId="9" fontId="93" fillId="27" borderId="106" xfId="43" applyFont="1" applyFill="1" applyBorder="1" applyAlignment="1">
      <alignment horizontal="center" vertical="center"/>
    </xf>
    <xf numFmtId="166" fontId="93" fillId="28" borderId="106" xfId="1" applyNumberFormat="1" applyFont="1" applyFill="1" applyBorder="1" applyAlignment="1" applyProtection="1">
      <alignment horizontal="center" vertical="center"/>
    </xf>
    <xf numFmtId="9" fontId="93" fillId="28" borderId="106" xfId="43" applyFont="1" applyFill="1" applyBorder="1" applyAlignment="1" applyProtection="1">
      <alignment horizontal="center" vertical="center"/>
    </xf>
    <xf numFmtId="166" fontId="92" fillId="0" borderId="106" xfId="1" applyNumberFormat="1" applyFont="1" applyFill="1" applyBorder="1" applyAlignment="1">
      <alignment horizontal="center" vertical="center"/>
    </xf>
    <xf numFmtId="9" fontId="92" fillId="0" borderId="106" xfId="43" applyFont="1" applyFill="1" applyBorder="1" applyAlignment="1">
      <alignment horizontal="center" vertical="center"/>
    </xf>
    <xf numFmtId="166" fontId="92" fillId="0" borderId="106" xfId="1" applyNumberFormat="1" applyFont="1" applyFill="1" applyBorder="1" applyAlignment="1" applyProtection="1">
      <alignment horizontal="center" vertical="center"/>
    </xf>
    <xf numFmtId="9" fontId="92" fillId="0" borderId="106" xfId="43" applyFont="1" applyFill="1" applyBorder="1" applyAlignment="1" applyProtection="1">
      <alignment horizontal="center" vertical="center"/>
    </xf>
    <xf numFmtId="166" fontId="93" fillId="0" borderId="106" xfId="1" applyNumberFormat="1" applyFont="1" applyFill="1" applyBorder="1" applyAlignment="1">
      <alignment horizontal="center" vertical="center"/>
    </xf>
    <xf numFmtId="9" fontId="93" fillId="0" borderId="106" xfId="43" applyFont="1" applyFill="1" applyBorder="1" applyAlignment="1">
      <alignment horizontal="center" vertical="center"/>
    </xf>
    <xf numFmtId="166" fontId="92" fillId="0" borderId="106" xfId="1" applyNumberFormat="1" applyFont="1" applyBorder="1" applyAlignment="1">
      <alignment horizontal="center" vertical="center"/>
    </xf>
    <xf numFmtId="9" fontId="92" fillId="0" borderId="106" xfId="43" applyFont="1" applyBorder="1" applyAlignment="1">
      <alignment horizontal="center" vertical="center"/>
    </xf>
    <xf numFmtId="166" fontId="93" fillId="0" borderId="106" xfId="1" applyNumberFormat="1" applyFont="1" applyFill="1" applyBorder="1" applyAlignment="1">
      <alignment horizontal="center" vertical="center" wrapText="1"/>
    </xf>
    <xf numFmtId="9" fontId="93" fillId="0" borderId="106" xfId="43" applyFont="1" applyFill="1" applyBorder="1" applyAlignment="1">
      <alignment horizontal="center" vertical="center" wrapText="1"/>
    </xf>
    <xf numFmtId="166" fontId="93" fillId="0" borderId="106" xfId="1" applyNumberFormat="1" applyFont="1" applyFill="1" applyBorder="1" applyAlignment="1" applyProtection="1">
      <alignment horizontal="center" vertical="center"/>
    </xf>
    <xf numFmtId="9" fontId="93" fillId="0" borderId="106" xfId="43" applyFont="1" applyFill="1" applyBorder="1" applyAlignment="1" applyProtection="1">
      <alignment horizontal="center" vertical="center"/>
    </xf>
    <xf numFmtId="166" fontId="93" fillId="0" borderId="106" xfId="1" applyNumberFormat="1" applyFont="1" applyBorder="1" applyAlignment="1">
      <alignment horizontal="center" vertical="center"/>
    </xf>
    <xf numFmtId="9" fontId="93" fillId="0" borderId="106" xfId="43" applyFont="1" applyBorder="1" applyAlignment="1">
      <alignment horizontal="center" vertical="center"/>
    </xf>
    <xf numFmtId="166" fontId="92" fillId="0" borderId="106" xfId="1" applyNumberFormat="1" applyFont="1" applyBorder="1" applyAlignment="1">
      <alignment horizontal="center" vertical="center" wrapText="1"/>
    </xf>
    <xf numFmtId="9" fontId="92" fillId="0" borderId="106" xfId="43" applyFont="1" applyBorder="1" applyAlignment="1">
      <alignment horizontal="center" vertical="center" wrapText="1"/>
    </xf>
    <xf numFmtId="0" fontId="93" fillId="0" borderId="106" xfId="0" applyFont="1" applyBorder="1" applyAlignment="1">
      <alignment horizontal="left" vertical="center"/>
    </xf>
    <xf numFmtId="3" fontId="92" fillId="0" borderId="106" xfId="0" applyNumberFormat="1" applyFont="1" applyBorder="1" applyAlignment="1">
      <alignment horizontal="left" vertical="center"/>
    </xf>
    <xf numFmtId="170" fontId="92" fillId="0" borderId="106" xfId="44" applyNumberFormat="1" applyFont="1" applyFill="1" applyBorder="1" applyAlignment="1" applyProtection="1">
      <alignment horizontal="left" vertical="center"/>
    </xf>
    <xf numFmtId="0" fontId="98" fillId="0" borderId="106" xfId="0" applyFont="1" applyBorder="1" applyAlignment="1">
      <alignment horizontal="left" vertical="center" wrapText="1"/>
    </xf>
    <xf numFmtId="166" fontId="98" fillId="0" borderId="106" xfId="1" applyNumberFormat="1" applyFont="1" applyFill="1" applyBorder="1" applyAlignment="1">
      <alignment horizontal="center" vertical="center"/>
    </xf>
    <xf numFmtId="9" fontId="98" fillId="0" borderId="106" xfId="43" applyFont="1" applyFill="1" applyBorder="1" applyAlignment="1">
      <alignment horizontal="center" vertical="center"/>
    </xf>
    <xf numFmtId="0" fontId="99" fillId="0" borderId="106" xfId="0" applyFont="1" applyBorder="1" applyAlignment="1">
      <alignment horizontal="left" vertical="center" wrapText="1"/>
    </xf>
    <xf numFmtId="3" fontId="98" fillId="0" borderId="106" xfId="0" applyNumberFormat="1" applyFont="1" applyBorder="1" applyAlignment="1">
      <alignment horizontal="left" vertical="center" wrapText="1"/>
    </xf>
    <xf numFmtId="0" fontId="107" fillId="0" borderId="89" xfId="61" applyFont="1" applyBorder="1" applyAlignment="1">
      <alignment horizontal="center" vertical="center"/>
    </xf>
    <xf numFmtId="0" fontId="107" fillId="0" borderId="0" xfId="60" applyFont="1" applyAlignment="1">
      <alignment horizontal="center"/>
    </xf>
    <xf numFmtId="0" fontId="100" fillId="65" borderId="101" xfId="3" applyFont="1" applyFill="1" applyBorder="1" applyAlignment="1">
      <alignment horizontal="center" vertical="center" wrapText="1"/>
    </xf>
    <xf numFmtId="3" fontId="106" fillId="0" borderId="106" xfId="0" applyNumberFormat="1" applyFont="1" applyBorder="1" applyAlignment="1">
      <alignment vertical="center"/>
    </xf>
    <xf numFmtId="0" fontId="106" fillId="0" borderId="106" xfId="0" applyFont="1" applyBorder="1" applyAlignment="1">
      <alignment vertical="center" wrapText="1"/>
    </xf>
    <xf numFmtId="166" fontId="106" fillId="50" borderId="106" xfId="1" applyNumberFormat="1" applyFont="1" applyFill="1" applyBorder="1" applyAlignment="1">
      <alignment wrapText="1"/>
    </xf>
    <xf numFmtId="3" fontId="106" fillId="50" borderId="106" xfId="44" applyNumberFormat="1" applyFont="1" applyFill="1" applyBorder="1" applyAlignment="1">
      <alignment vertical="center"/>
    </xf>
    <xf numFmtId="3" fontId="106" fillId="48" borderId="106" xfId="0" applyNumberFormat="1" applyFont="1" applyFill="1" applyBorder="1" applyAlignment="1">
      <alignment vertical="center"/>
    </xf>
    <xf numFmtId="170" fontId="106" fillId="50" borderId="106" xfId="44" applyNumberFormat="1" applyFont="1" applyFill="1" applyBorder="1" applyAlignment="1" applyProtection="1">
      <alignment vertical="center"/>
    </xf>
    <xf numFmtId="0" fontId="106" fillId="0" borderId="106" xfId="0" applyFont="1" applyBorder="1" applyAlignment="1">
      <alignment vertical="center"/>
    </xf>
    <xf numFmtId="3" fontId="107" fillId="0" borderId="106" xfId="0" applyNumberFormat="1" applyFont="1" applyBorder="1" applyAlignment="1">
      <alignment vertical="center"/>
    </xf>
    <xf numFmtId="3" fontId="106" fillId="48" borderId="106" xfId="44" applyNumberFormat="1" applyFont="1" applyFill="1" applyBorder="1" applyAlignment="1">
      <alignment vertical="center"/>
    </xf>
    <xf numFmtId="166" fontId="106" fillId="48" borderId="106" xfId="1" applyNumberFormat="1" applyFont="1" applyFill="1" applyBorder="1" applyAlignment="1">
      <alignment wrapText="1"/>
    </xf>
    <xf numFmtId="3" fontId="106" fillId="0" borderId="106" xfId="44" applyNumberFormat="1" applyFont="1" applyFill="1" applyBorder="1" applyAlignment="1">
      <alignment vertical="center"/>
    </xf>
    <xf numFmtId="170" fontId="106" fillId="48" borderId="106" xfId="44" applyNumberFormat="1" applyFont="1" applyFill="1" applyBorder="1" applyAlignment="1" applyProtection="1">
      <alignment vertical="center"/>
    </xf>
    <xf numFmtId="166" fontId="107" fillId="24" borderId="111" xfId="1" applyNumberFormat="1" applyFont="1" applyFill="1" applyBorder="1" applyAlignment="1"/>
    <xf numFmtId="3" fontId="106" fillId="0" borderId="0" xfId="0" applyNumberFormat="1" applyFont="1" applyAlignment="1">
      <alignment vertical="center"/>
    </xf>
    <xf numFmtId="170" fontId="107" fillId="0" borderId="106" xfId="44" applyNumberFormat="1" applyFont="1" applyFill="1" applyBorder="1" applyAlignment="1" applyProtection="1">
      <alignment vertical="center"/>
    </xf>
    <xf numFmtId="3" fontId="106" fillId="0" borderId="106" xfId="0" applyNumberFormat="1" applyFont="1" applyBorder="1" applyAlignment="1">
      <alignment vertical="center" wrapText="1"/>
    </xf>
    <xf numFmtId="3" fontId="107" fillId="0" borderId="0" xfId="0" applyNumberFormat="1" applyFont="1" applyAlignment="1">
      <alignment vertical="center"/>
    </xf>
    <xf numFmtId="168" fontId="107" fillId="0" borderId="106" xfId="44" applyNumberFormat="1" applyFont="1" applyFill="1" applyBorder="1" applyAlignment="1">
      <alignment vertical="center" wrapText="1"/>
    </xf>
    <xf numFmtId="168" fontId="107" fillId="0" borderId="106" xfId="44" applyNumberFormat="1" applyFont="1" applyFill="1" applyBorder="1" applyAlignment="1">
      <alignment vertical="center"/>
    </xf>
    <xf numFmtId="166" fontId="113" fillId="66" borderId="86" xfId="1" applyNumberFormat="1" applyFont="1" applyFill="1" applyBorder="1" applyAlignment="1">
      <alignment horizontal="center" vertical="center" wrapText="1"/>
    </xf>
    <xf numFmtId="1" fontId="106" fillId="0" borderId="0" xfId="44" applyNumberFormat="1" applyFont="1" applyFill="1" applyBorder="1" applyAlignment="1">
      <alignment horizontal="center" vertical="center"/>
    </xf>
    <xf numFmtId="168" fontId="106" fillId="0" borderId="0" xfId="44" applyNumberFormat="1" applyFont="1" applyFill="1" applyBorder="1" applyAlignment="1">
      <alignment vertical="center"/>
    </xf>
    <xf numFmtId="170" fontId="106" fillId="0" borderId="106" xfId="44" applyNumberFormat="1" applyFont="1" applyFill="1" applyBorder="1" applyAlignment="1">
      <alignment horizontal="center" vertical="center"/>
    </xf>
    <xf numFmtId="0" fontId="106" fillId="0" borderId="116" xfId="0" applyFont="1" applyBorder="1" applyAlignment="1">
      <alignment vertical="center" wrapText="1"/>
    </xf>
    <xf numFmtId="170" fontId="106" fillId="0" borderId="116" xfId="44" applyNumberFormat="1" applyFont="1" applyFill="1" applyBorder="1" applyAlignment="1">
      <alignment horizontal="center" vertical="center"/>
    </xf>
    <xf numFmtId="168" fontId="106" fillId="0" borderId="0" xfId="44" applyNumberFormat="1" applyFont="1" applyFill="1" applyBorder="1" applyAlignment="1">
      <alignment vertical="center" wrapText="1"/>
    </xf>
    <xf numFmtId="168" fontId="106" fillId="0" borderId="0" xfId="35" applyNumberFormat="1" applyFont="1" applyFill="1" applyBorder="1" applyAlignment="1">
      <alignment vertical="center"/>
    </xf>
    <xf numFmtId="0" fontId="114" fillId="22" borderId="86" xfId="32" applyFont="1" applyBorder="1" applyAlignment="1">
      <alignment vertical="center" wrapText="1"/>
    </xf>
    <xf numFmtId="43" fontId="114" fillId="22" borderId="86" xfId="1" applyFont="1" applyFill="1" applyBorder="1" applyAlignment="1">
      <alignment vertical="center" wrapText="1"/>
    </xf>
    <xf numFmtId="9" fontId="114" fillId="22" borderId="86" xfId="43" applyFont="1" applyFill="1" applyBorder="1" applyAlignment="1">
      <alignment vertical="center" wrapText="1"/>
    </xf>
    <xf numFmtId="0" fontId="114" fillId="22" borderId="101" xfId="32" applyFont="1" applyBorder="1" applyAlignment="1">
      <alignment vertical="center" wrapText="1"/>
    </xf>
    <xf numFmtId="43" fontId="114" fillId="22" borderId="101" xfId="1" applyFont="1" applyFill="1" applyBorder="1" applyAlignment="1">
      <alignment vertical="center" wrapText="1"/>
    </xf>
    <xf numFmtId="9" fontId="114" fillId="22" borderId="101" xfId="43" applyFont="1" applyFill="1" applyBorder="1" applyAlignment="1">
      <alignment vertical="center" wrapText="1"/>
    </xf>
    <xf numFmtId="43" fontId="106" fillId="0" borderId="0" xfId="1" applyFont="1" applyFill="1" applyBorder="1" applyAlignment="1">
      <alignment horizontal="center" vertical="center"/>
    </xf>
    <xf numFmtId="166" fontId="114" fillId="22" borderId="86" xfId="1" applyNumberFormat="1" applyFont="1" applyFill="1" applyBorder="1" applyAlignment="1">
      <alignment vertical="center" wrapText="1"/>
    </xf>
    <xf numFmtId="1" fontId="115" fillId="0" borderId="0" xfId="44" applyNumberFormat="1" applyFont="1" applyFill="1" applyBorder="1" applyAlignment="1">
      <alignment horizontal="center" vertical="center"/>
    </xf>
    <xf numFmtId="0" fontId="113" fillId="66" borderId="86" xfId="0" applyFont="1" applyFill="1" applyBorder="1" applyAlignment="1">
      <alignment horizontal="center" vertical="center" wrapText="1"/>
    </xf>
    <xf numFmtId="43" fontId="106" fillId="0" borderId="0" xfId="1" applyFont="1" applyFill="1" applyBorder="1" applyAlignment="1">
      <alignment vertical="center"/>
    </xf>
    <xf numFmtId="0" fontId="107" fillId="24" borderId="76" xfId="34" applyFont="1" applyBorder="1" applyAlignment="1">
      <alignment horizontal="center"/>
    </xf>
    <xf numFmtId="1" fontId="107" fillId="0" borderId="0" xfId="44" applyNumberFormat="1" applyFont="1" applyFill="1" applyBorder="1" applyAlignment="1">
      <alignment horizontal="center" vertical="center"/>
    </xf>
    <xf numFmtId="168" fontId="107" fillId="0" borderId="0" xfId="44" applyNumberFormat="1" applyFont="1" applyFill="1" applyBorder="1" applyAlignment="1">
      <alignment vertical="center"/>
    </xf>
    <xf numFmtId="166" fontId="106" fillId="0" borderId="0" xfId="1" applyNumberFormat="1" applyFont="1" applyFill="1" applyBorder="1" applyAlignment="1">
      <alignment horizontal="center" vertical="center"/>
    </xf>
    <xf numFmtId="43" fontId="115" fillId="0" borderId="0" xfId="1" applyFont="1" applyFill="1" applyBorder="1" applyAlignment="1">
      <alignment horizontal="center" vertical="center"/>
    </xf>
    <xf numFmtId="43" fontId="107" fillId="0" borderId="0" xfId="1" applyFont="1" applyFill="1" applyBorder="1" applyAlignment="1">
      <alignment horizontal="center" vertical="center"/>
    </xf>
    <xf numFmtId="3" fontId="106" fillId="0" borderId="0" xfId="0" applyNumberFormat="1" applyFont="1" applyAlignment="1">
      <alignment vertical="center" wrapText="1"/>
    </xf>
    <xf numFmtId="0" fontId="114" fillId="0" borderId="86" xfId="32" applyFont="1" applyFill="1" applyBorder="1" applyAlignment="1">
      <alignment vertical="center" wrapText="1"/>
    </xf>
    <xf numFmtId="166" fontId="114" fillId="0" borderId="86" xfId="1" applyNumberFormat="1" applyFont="1" applyFill="1" applyBorder="1" applyAlignment="1">
      <alignment vertical="center" wrapText="1"/>
    </xf>
    <xf numFmtId="0" fontId="107" fillId="24" borderId="110" xfId="34" applyFont="1" applyBorder="1" applyAlignment="1"/>
    <xf numFmtId="0" fontId="107" fillId="24" borderId="111" xfId="34" applyFont="1" applyBorder="1" applyAlignment="1"/>
    <xf numFmtId="0" fontId="106" fillId="0" borderId="119" xfId="0" applyFont="1" applyBorder="1" applyAlignment="1">
      <alignment vertical="center" wrapText="1"/>
    </xf>
    <xf numFmtId="3" fontId="106" fillId="48" borderId="119" xfId="44" applyNumberFormat="1" applyFont="1" applyFill="1" applyBorder="1" applyAlignment="1">
      <alignment vertical="center"/>
    </xf>
    <xf numFmtId="3" fontId="106" fillId="0" borderId="119" xfId="0" applyNumberFormat="1" applyFont="1" applyBorder="1" applyAlignment="1">
      <alignment vertical="center"/>
    </xf>
    <xf numFmtId="0" fontId="107" fillId="0" borderId="120" xfId="34" applyFont="1" applyFill="1" applyBorder="1" applyAlignment="1"/>
    <xf numFmtId="166" fontId="107" fillId="0" borderId="120" xfId="1" applyNumberFormat="1" applyFont="1" applyFill="1" applyBorder="1" applyAlignment="1"/>
    <xf numFmtId="166" fontId="107" fillId="0" borderId="119" xfId="1" applyNumberFormat="1" applyFont="1" applyFill="1" applyBorder="1" applyAlignment="1"/>
    <xf numFmtId="166" fontId="113" fillId="66" borderId="86" xfId="1" applyNumberFormat="1" applyFont="1" applyFill="1" applyBorder="1" applyAlignment="1">
      <alignment horizontal="left" vertical="center" wrapText="1"/>
    </xf>
    <xf numFmtId="0" fontId="117" fillId="21" borderId="110" xfId="31" applyFont="1" applyBorder="1" applyAlignment="1"/>
    <xf numFmtId="166" fontId="117" fillId="21" borderId="111" xfId="31" applyNumberFormat="1" applyFont="1" applyBorder="1" applyAlignment="1"/>
    <xf numFmtId="166" fontId="114" fillId="22" borderId="101" xfId="1" applyNumberFormat="1" applyFont="1" applyFill="1" applyBorder="1" applyAlignment="1">
      <alignment vertical="center" wrapText="1"/>
    </xf>
    <xf numFmtId="3" fontId="118" fillId="0" borderId="0" xfId="0" applyNumberFormat="1" applyFont="1" applyAlignment="1">
      <alignment vertical="center"/>
    </xf>
    <xf numFmtId="3" fontId="118" fillId="0" borderId="0" xfId="0" applyNumberFormat="1" applyFont="1" applyAlignment="1">
      <alignment vertical="center" wrapText="1"/>
    </xf>
    <xf numFmtId="0" fontId="114" fillId="22" borderId="86" xfId="32" applyFont="1" applyBorder="1" applyAlignment="1">
      <alignment horizontal="center" vertical="center" wrapText="1"/>
    </xf>
    <xf numFmtId="3" fontId="119" fillId="0" borderId="0" xfId="0" applyNumberFormat="1" applyFont="1" applyAlignment="1">
      <alignment horizontal="center" vertical="center" wrapText="1"/>
    </xf>
    <xf numFmtId="3" fontId="119" fillId="0" borderId="0" xfId="0" applyNumberFormat="1" applyFont="1" applyAlignment="1">
      <alignment vertical="center"/>
    </xf>
    <xf numFmtId="0" fontId="100" fillId="65" borderId="122" xfId="3" applyFont="1" applyFill="1" applyBorder="1" applyAlignment="1">
      <alignment horizontal="center" vertical="center" wrapText="1"/>
    </xf>
    <xf numFmtId="0" fontId="114" fillId="22" borderId="86" xfId="32" applyFont="1" applyBorder="1" applyAlignment="1">
      <alignment horizontal="left" vertical="center" wrapText="1"/>
    </xf>
    <xf numFmtId="166" fontId="114" fillId="22" borderId="86" xfId="1" applyNumberFormat="1" applyFont="1" applyFill="1" applyBorder="1" applyAlignment="1">
      <alignment horizontal="center" vertical="center" wrapText="1"/>
    </xf>
    <xf numFmtId="166" fontId="114" fillId="22" borderId="86" xfId="1" applyNumberFormat="1" applyFont="1" applyFill="1" applyBorder="1" applyAlignment="1">
      <alignment horizontal="left" vertical="center" wrapText="1"/>
    </xf>
    <xf numFmtId="3" fontId="119" fillId="0" borderId="0" xfId="0" applyNumberFormat="1" applyFont="1" applyAlignment="1">
      <alignment horizontal="center" vertical="center"/>
    </xf>
    <xf numFmtId="0" fontId="118" fillId="0" borderId="0" xfId="0" applyFont="1" applyAlignment="1">
      <alignment vertical="center" wrapText="1"/>
    </xf>
    <xf numFmtId="0" fontId="118" fillId="0" borderId="0" xfId="0" applyFont="1" applyAlignment="1">
      <alignment horizontal="left" vertical="center" wrapText="1"/>
    </xf>
    <xf numFmtId="170" fontId="119" fillId="0" borderId="87" xfId="44" applyNumberFormat="1" applyFont="1" applyFill="1" applyBorder="1" applyAlignment="1">
      <alignment horizontal="left" vertical="center" wrapText="1"/>
    </xf>
    <xf numFmtId="166" fontId="119" fillId="0" borderId="87" xfId="1" applyNumberFormat="1" applyFont="1" applyFill="1" applyBorder="1" applyAlignment="1">
      <alignment horizontal="left" vertical="center" wrapText="1"/>
    </xf>
    <xf numFmtId="166" fontId="107" fillId="24" borderId="76" xfId="1" applyNumberFormat="1" applyFont="1" applyFill="1" applyBorder="1" applyAlignment="1">
      <alignment horizontal="center"/>
    </xf>
    <xf numFmtId="166" fontId="100" fillId="65" borderId="122" xfId="1" applyNumberFormat="1" applyFont="1" applyFill="1" applyBorder="1" applyAlignment="1">
      <alignment horizontal="center" vertical="center" wrapText="1"/>
    </xf>
    <xf numFmtId="166" fontId="119" fillId="0" borderId="0" xfId="1" applyNumberFormat="1" applyFont="1" applyAlignment="1">
      <alignment vertical="center"/>
    </xf>
    <xf numFmtId="166" fontId="118" fillId="0" borderId="0" xfId="1" applyNumberFormat="1" applyFont="1" applyAlignment="1">
      <alignment vertical="center" wrapText="1"/>
    </xf>
    <xf numFmtId="166" fontId="118" fillId="0" borderId="0" xfId="1" applyNumberFormat="1" applyFont="1" applyAlignment="1">
      <alignment vertical="center"/>
    </xf>
    <xf numFmtId="166" fontId="119" fillId="0" borderId="0" xfId="0" applyNumberFormat="1" applyFont="1" applyAlignment="1">
      <alignment vertical="center"/>
    </xf>
    <xf numFmtId="0" fontId="114" fillId="30" borderId="0" xfId="40" applyFont="1" applyBorder="1" applyAlignment="1">
      <alignment horizontal="center" vertical="center" wrapText="1"/>
    </xf>
    <xf numFmtId="0" fontId="114" fillId="30" borderId="0" xfId="40" applyFont="1" applyBorder="1" applyAlignment="1">
      <alignment vertical="center" wrapText="1"/>
    </xf>
    <xf numFmtId="166" fontId="114" fillId="30" borderId="0" xfId="40" applyNumberFormat="1" applyFont="1" applyBorder="1" applyAlignment="1">
      <alignment vertical="center" wrapText="1"/>
    </xf>
    <xf numFmtId="0" fontId="120" fillId="0" borderId="0" xfId="0" applyFont="1" applyProtection="1">
      <protection locked="0"/>
    </xf>
    <xf numFmtId="0" fontId="82" fillId="0" borderId="94" xfId="0" applyFont="1" applyBorder="1" applyAlignment="1" applyProtection="1">
      <alignment horizontal="left" vertical="center"/>
      <protection locked="0"/>
    </xf>
    <xf numFmtId="43" fontId="107" fillId="24" borderId="76" xfId="1" applyFont="1" applyFill="1" applyBorder="1" applyAlignment="1">
      <alignment horizontal="left" wrapText="1"/>
    </xf>
    <xf numFmtId="166" fontId="106" fillId="0" borderId="0" xfId="1" applyNumberFormat="1" applyFont="1" applyAlignment="1" applyProtection="1">
      <alignment wrapText="1"/>
      <protection locked="0"/>
    </xf>
    <xf numFmtId="166" fontId="120" fillId="0" borderId="0" xfId="1" applyNumberFormat="1" applyFont="1" applyProtection="1">
      <protection locked="0"/>
    </xf>
    <xf numFmtId="0" fontId="121" fillId="69" borderId="93" xfId="0" applyFont="1" applyFill="1" applyBorder="1" applyAlignment="1">
      <alignment horizontal="center" vertical="center" wrapText="1"/>
    </xf>
    <xf numFmtId="0" fontId="121" fillId="69" borderId="93" xfId="0" applyFont="1" applyFill="1" applyBorder="1" applyAlignment="1" applyProtection="1">
      <alignment horizontal="center" vertical="center" wrapText="1"/>
      <protection locked="0"/>
    </xf>
    <xf numFmtId="0" fontId="122" fillId="0" borderId="0" xfId="0" applyFont="1" applyProtection="1">
      <protection locked="0"/>
    </xf>
    <xf numFmtId="166" fontId="109" fillId="22" borderId="102" xfId="1" applyNumberFormat="1" applyFont="1" applyFill="1" applyBorder="1" applyAlignment="1">
      <alignment horizontal="left" vertical="center" wrapText="1"/>
    </xf>
    <xf numFmtId="166" fontId="113" fillId="66" borderId="107" xfId="1" applyNumberFormat="1" applyFont="1" applyFill="1" applyBorder="1" applyAlignment="1">
      <alignment horizontal="center" vertical="center" wrapText="1"/>
    </xf>
    <xf numFmtId="0" fontId="109" fillId="0" borderId="0" xfId="60" applyFont="1" applyAlignment="1" applyProtection="1">
      <alignment wrapText="1"/>
      <protection locked="0"/>
    </xf>
    <xf numFmtId="166" fontId="106" fillId="0" borderId="0" xfId="60" applyNumberFormat="1" applyFont="1" applyProtection="1">
      <protection locked="0"/>
    </xf>
    <xf numFmtId="182" fontId="21" fillId="0" borderId="69" xfId="43" applyNumberFormat="1" applyFont="1" applyBorder="1" applyAlignment="1">
      <alignment horizontal="right" vertical="center"/>
    </xf>
    <xf numFmtId="182" fontId="90" fillId="65" borderId="101" xfId="43" applyNumberFormat="1" applyFont="1" applyFill="1" applyBorder="1" applyAlignment="1">
      <alignment horizontal="right" vertical="center" wrapText="1"/>
    </xf>
    <xf numFmtId="166" fontId="93" fillId="26" borderId="106" xfId="1" applyNumberFormat="1" applyFont="1" applyFill="1" applyBorder="1" applyAlignment="1" applyProtection="1">
      <alignment horizontal="right" vertical="center"/>
    </xf>
    <xf numFmtId="166" fontId="93" fillId="27" borderId="106" xfId="1" applyNumberFormat="1" applyFont="1" applyFill="1" applyBorder="1" applyAlignment="1">
      <alignment horizontal="right" vertical="center"/>
    </xf>
    <xf numFmtId="166" fontId="93" fillId="28" borderId="106" xfId="1" applyNumberFormat="1" applyFont="1" applyFill="1" applyBorder="1" applyAlignment="1" applyProtection="1">
      <alignment horizontal="right" vertical="center"/>
    </xf>
    <xf numFmtId="166" fontId="92" fillId="0" borderId="106" xfId="1" applyNumberFormat="1" applyFont="1" applyFill="1" applyBorder="1" applyAlignment="1">
      <alignment horizontal="right" vertical="center"/>
    </xf>
    <xf numFmtId="166" fontId="92" fillId="0" borderId="106" xfId="1" applyNumberFormat="1" applyFont="1" applyFill="1" applyBorder="1" applyAlignment="1" applyProtection="1">
      <alignment horizontal="right" vertical="center"/>
    </xf>
    <xf numFmtId="182" fontId="93" fillId="0" borderId="106" xfId="43" applyNumberFormat="1" applyFont="1" applyFill="1" applyBorder="1" applyAlignment="1">
      <alignment horizontal="right" vertical="center"/>
    </xf>
    <xf numFmtId="166" fontId="92" fillId="0" borderId="106" xfId="1" applyNumberFormat="1" applyFont="1" applyBorder="1" applyAlignment="1">
      <alignment horizontal="right" vertical="center"/>
    </xf>
    <xf numFmtId="182" fontId="93" fillId="0" borderId="106" xfId="43" applyNumberFormat="1" applyFont="1" applyFill="1" applyBorder="1" applyAlignment="1">
      <alignment horizontal="right" vertical="center" wrapText="1"/>
    </xf>
    <xf numFmtId="182" fontId="93" fillId="0" borderId="106" xfId="43" applyNumberFormat="1" applyFont="1" applyFill="1" applyBorder="1" applyAlignment="1" applyProtection="1">
      <alignment horizontal="right" vertical="center"/>
    </xf>
    <xf numFmtId="182" fontId="92" fillId="0" borderId="106" xfId="43" applyNumberFormat="1" applyFont="1" applyFill="1" applyBorder="1" applyAlignment="1">
      <alignment horizontal="right" vertical="center"/>
    </xf>
    <xf numFmtId="182" fontId="93" fillId="0" borderId="106" xfId="43" applyNumberFormat="1" applyFont="1" applyBorder="1" applyAlignment="1">
      <alignment horizontal="right" vertical="center"/>
    </xf>
    <xf numFmtId="3" fontId="21" fillId="0" borderId="0" xfId="0" applyNumberFormat="1" applyFont="1" applyAlignment="1">
      <alignment horizontal="right" vertical="center"/>
    </xf>
    <xf numFmtId="182" fontId="92" fillId="0" borderId="106" xfId="43" applyNumberFormat="1" applyFont="1" applyBorder="1" applyAlignment="1">
      <alignment horizontal="right" vertical="center" wrapText="1"/>
    </xf>
    <xf numFmtId="182" fontId="92" fillId="0" borderId="106" xfId="43" applyNumberFormat="1" applyFont="1" applyBorder="1" applyAlignment="1">
      <alignment horizontal="right" vertical="center"/>
    </xf>
    <xf numFmtId="166" fontId="93" fillId="0" borderId="106" xfId="1" applyNumberFormat="1" applyFont="1" applyFill="1" applyBorder="1" applyAlignment="1">
      <alignment horizontal="right" vertical="center"/>
    </xf>
    <xf numFmtId="182" fontId="98" fillId="0" borderId="106" xfId="43" applyNumberFormat="1" applyFont="1" applyFill="1" applyBorder="1" applyAlignment="1">
      <alignment horizontal="right" vertical="center"/>
    </xf>
    <xf numFmtId="182" fontId="19" fillId="0" borderId="0" xfId="43" applyNumberFormat="1" applyFont="1" applyFill="1" applyAlignment="1">
      <alignment horizontal="right" vertical="center"/>
    </xf>
    <xf numFmtId="43" fontId="22" fillId="0" borderId="16" xfId="1" applyFont="1" applyBorder="1" applyAlignment="1">
      <alignment horizontal="left" vertical="center" wrapText="1"/>
    </xf>
    <xf numFmtId="43" fontId="22" fillId="0" borderId="0" xfId="1" applyFont="1" applyAlignment="1">
      <alignment horizontal="left" vertical="center" wrapText="1"/>
    </xf>
    <xf numFmtId="0" fontId="22" fillId="0" borderId="0" xfId="46" applyFont="1" applyAlignment="1">
      <alignment horizontal="right" vertical="center" wrapText="1"/>
    </xf>
    <xf numFmtId="43" fontId="22" fillId="0" borderId="16" xfId="1" applyFont="1" applyFill="1" applyBorder="1" applyAlignment="1">
      <alignment horizontal="left" vertical="center" wrapText="1"/>
    </xf>
    <xf numFmtId="43" fontId="22" fillId="0" borderId="0" xfId="1" applyFont="1" applyBorder="1" applyAlignment="1">
      <alignment horizontal="left" vertical="center" wrapText="1"/>
    </xf>
    <xf numFmtId="43" fontId="48" fillId="34" borderId="0" xfId="1" applyFont="1" applyFill="1"/>
    <xf numFmtId="43" fontId="48" fillId="0" borderId="0" xfId="0" applyNumberFormat="1" applyFont="1" applyAlignment="1">
      <alignment wrapText="1"/>
    </xf>
    <xf numFmtId="44" fontId="48" fillId="0" borderId="0" xfId="0" applyNumberFormat="1" applyFont="1"/>
    <xf numFmtId="3" fontId="19" fillId="70" borderId="63" xfId="44" applyNumberFormat="1" applyFont="1" applyFill="1" applyBorder="1" applyAlignment="1">
      <alignment vertical="center"/>
    </xf>
    <xf numFmtId="170" fontId="19" fillId="70" borderId="82" xfId="1" applyNumberFormat="1" applyFont="1" applyFill="1" applyBorder="1" applyAlignment="1">
      <alignment vertical="center"/>
    </xf>
    <xf numFmtId="166" fontId="26" fillId="0" borderId="0" xfId="0" applyNumberFormat="1" applyFont="1"/>
    <xf numFmtId="3" fontId="26" fillId="0" borderId="10" xfId="0" applyNumberFormat="1" applyFont="1" applyBorder="1" applyAlignment="1">
      <alignment vertical="center"/>
    </xf>
    <xf numFmtId="3" fontId="19" fillId="70" borderId="82" xfId="0" applyNumberFormat="1" applyFont="1" applyFill="1" applyBorder="1" applyAlignment="1">
      <alignment vertical="center"/>
    </xf>
    <xf numFmtId="3" fontId="21" fillId="43" borderId="82" xfId="0" applyNumberFormat="1" applyFont="1" applyFill="1" applyBorder="1" applyAlignment="1">
      <alignment vertical="center"/>
    </xf>
    <xf numFmtId="170" fontId="19" fillId="0" borderId="81" xfId="44" applyNumberFormat="1" applyFont="1" applyFill="1" applyBorder="1" applyAlignment="1" applyProtection="1">
      <alignment vertical="center"/>
    </xf>
    <xf numFmtId="3" fontId="19" fillId="34" borderId="82" xfId="0" applyNumberFormat="1" applyFont="1" applyFill="1" applyBorder="1" applyAlignment="1">
      <alignment vertical="center"/>
    </xf>
    <xf numFmtId="43" fontId="19" fillId="0" borderId="0" xfId="1" applyFont="1"/>
    <xf numFmtId="43" fontId="26" fillId="0" borderId="0" xfId="1" applyFont="1"/>
    <xf numFmtId="43" fontId="21" fillId="0" borderId="0" xfId="1" applyFont="1" applyAlignment="1">
      <alignment vertical="center"/>
    </xf>
    <xf numFmtId="3" fontId="124" fillId="0" borderId="0" xfId="0" applyNumberFormat="1" applyFont="1" applyAlignment="1">
      <alignment vertical="center"/>
    </xf>
    <xf numFmtId="0" fontId="19" fillId="0" borderId="106" xfId="0" applyFont="1" applyBorder="1" applyAlignment="1">
      <alignment vertical="center" wrapText="1"/>
    </xf>
    <xf numFmtId="3" fontId="19" fillId="0" borderId="132" xfId="0" applyNumberFormat="1" applyFont="1" applyBorder="1" applyAlignment="1">
      <alignment vertical="center"/>
    </xf>
    <xf numFmtId="0" fontId="19" fillId="0" borderId="133" xfId="0" applyFont="1" applyBorder="1" applyAlignment="1">
      <alignment vertical="center" wrapText="1"/>
    </xf>
    <xf numFmtId="3" fontId="19" fillId="0" borderId="106" xfId="0" applyNumberFormat="1" applyFont="1" applyBorder="1" applyAlignment="1">
      <alignment vertical="center"/>
    </xf>
    <xf numFmtId="3" fontId="19" fillId="0" borderId="120" xfId="0" applyNumberFormat="1" applyFont="1" applyBorder="1" applyAlignment="1">
      <alignment vertical="center"/>
    </xf>
    <xf numFmtId="166" fontId="46" fillId="0" borderId="112" xfId="1" applyNumberFormat="1" applyFont="1" applyFill="1" applyBorder="1" applyAlignment="1">
      <alignment wrapText="1"/>
    </xf>
    <xf numFmtId="3" fontId="19" fillId="0" borderId="114" xfId="0" applyNumberFormat="1" applyFont="1" applyBorder="1" applyAlignment="1">
      <alignment vertical="center"/>
    </xf>
    <xf numFmtId="166" fontId="46" fillId="0" borderId="106" xfId="1" applyNumberFormat="1" applyFont="1" applyFill="1" applyBorder="1" applyAlignment="1">
      <alignment wrapText="1"/>
    </xf>
    <xf numFmtId="3" fontId="19" fillId="0" borderId="116" xfId="0" applyNumberFormat="1" applyFont="1" applyBorder="1" applyAlignment="1">
      <alignment vertical="center"/>
    </xf>
    <xf numFmtId="3" fontId="19" fillId="0" borderId="139" xfId="0" applyNumberFormat="1" applyFont="1" applyBorder="1" applyAlignment="1">
      <alignment vertical="center"/>
    </xf>
    <xf numFmtId="168" fontId="21" fillId="0" borderId="113" xfId="44" applyNumberFormat="1" applyFont="1" applyFill="1" applyBorder="1" applyAlignment="1">
      <alignment horizontal="center" vertical="center" wrapText="1"/>
    </xf>
    <xf numFmtId="170" fontId="19" fillId="0" borderId="144" xfId="44" applyNumberFormat="1" applyFont="1" applyFill="1" applyBorder="1" applyAlignment="1" applyProtection="1">
      <alignment vertical="center"/>
    </xf>
    <xf numFmtId="3" fontId="19" fillId="0" borderId="147" xfId="0" applyNumberFormat="1" applyFont="1" applyBorder="1" applyAlignment="1">
      <alignment vertical="center"/>
    </xf>
    <xf numFmtId="3" fontId="19" fillId="0" borderId="113" xfId="0" applyNumberFormat="1" applyFont="1" applyBorder="1" applyAlignment="1">
      <alignment vertical="center"/>
    </xf>
    <xf numFmtId="3" fontId="19" fillId="0" borderId="150" xfId="0" applyNumberFormat="1" applyFont="1" applyBorder="1" applyAlignment="1">
      <alignment vertical="center"/>
    </xf>
    <xf numFmtId="3" fontId="19" fillId="0" borderId="28" xfId="0" applyNumberFormat="1" applyFont="1" applyBorder="1" applyAlignment="1">
      <alignment vertical="center"/>
    </xf>
    <xf numFmtId="0" fontId="19" fillId="0" borderId="116" xfId="0" applyFont="1" applyBorder="1" applyAlignment="1">
      <alignment vertical="center" wrapText="1"/>
    </xf>
    <xf numFmtId="166" fontId="46" fillId="0" borderId="116" xfId="1" applyNumberFormat="1" applyFont="1" applyFill="1" applyBorder="1" applyAlignment="1">
      <alignment wrapText="1"/>
    </xf>
    <xf numFmtId="185" fontId="20" fillId="43" borderId="0" xfId="50" applyNumberFormat="1" applyFont="1" applyFill="1" applyBorder="1" applyAlignment="1" applyProtection="1">
      <alignment horizontal="center" vertical="center" wrapText="1"/>
    </xf>
    <xf numFmtId="0" fontId="19" fillId="0" borderId="150" xfId="0" applyFont="1" applyBorder="1" applyAlignment="1">
      <alignment vertical="center" wrapText="1"/>
    </xf>
    <xf numFmtId="3" fontId="19" fillId="0" borderId="151" xfId="0" applyNumberFormat="1" applyFont="1" applyBorder="1" applyAlignment="1">
      <alignment vertical="center"/>
    </xf>
    <xf numFmtId="168" fontId="19" fillId="0" borderId="112" xfId="44" applyNumberFormat="1" applyFont="1" applyFill="1" applyBorder="1" applyAlignment="1">
      <alignment vertical="center" wrapText="1"/>
    </xf>
    <xf numFmtId="168" fontId="19" fillId="0" borderId="106" xfId="44" applyNumberFormat="1" applyFont="1" applyFill="1" applyBorder="1" applyAlignment="1">
      <alignment vertical="center"/>
    </xf>
    <xf numFmtId="168" fontId="19" fillId="0" borderId="116" xfId="44" applyNumberFormat="1" applyFont="1" applyFill="1" applyBorder="1" applyAlignment="1">
      <alignment vertical="center"/>
    </xf>
    <xf numFmtId="3" fontId="0" fillId="0" borderId="0" xfId="0" applyNumberFormat="1"/>
    <xf numFmtId="0" fontId="125" fillId="74" borderId="155" xfId="0" applyFont="1" applyFill="1" applyBorder="1" applyAlignment="1">
      <alignment horizontal="center" vertical="center" wrapText="1" readingOrder="1"/>
    </xf>
    <xf numFmtId="0" fontId="126" fillId="49" borderId="155" xfId="0" applyFont="1" applyFill="1" applyBorder="1" applyAlignment="1">
      <alignment horizontal="left" vertical="center" wrapText="1" readingOrder="1"/>
    </xf>
    <xf numFmtId="3" fontId="126" fillId="49" borderId="155" xfId="0" applyNumberFormat="1" applyFont="1" applyFill="1" applyBorder="1" applyAlignment="1">
      <alignment horizontal="right" vertical="center" wrapText="1" readingOrder="1"/>
    </xf>
    <xf numFmtId="0" fontId="126" fillId="48" borderId="155" xfId="0" applyFont="1" applyFill="1" applyBorder="1" applyAlignment="1">
      <alignment horizontal="left" vertical="center" wrapText="1" readingOrder="1"/>
    </xf>
    <xf numFmtId="3" fontId="126" fillId="48" borderId="155" xfId="0" applyNumberFormat="1" applyFont="1" applyFill="1" applyBorder="1" applyAlignment="1">
      <alignment horizontal="right" vertical="center" wrapText="1" readingOrder="1"/>
    </xf>
    <xf numFmtId="0" fontId="127" fillId="71" borderId="155" xfId="0" applyFont="1" applyFill="1" applyBorder="1" applyAlignment="1">
      <alignment horizontal="left" vertical="center" wrapText="1" readingOrder="1"/>
    </xf>
    <xf numFmtId="3" fontId="127" fillId="71" borderId="155" xfId="0" applyNumberFormat="1" applyFont="1" applyFill="1" applyBorder="1" applyAlignment="1">
      <alignment horizontal="left" vertical="center" wrapText="1" readingOrder="1"/>
    </xf>
    <xf numFmtId="9" fontId="127" fillId="71" borderId="155" xfId="0" applyNumberFormat="1" applyFont="1" applyFill="1" applyBorder="1" applyAlignment="1">
      <alignment horizontal="center" vertical="center" wrapText="1" readingOrder="1"/>
    </xf>
    <xf numFmtId="10" fontId="126" fillId="49" borderId="155" xfId="43" applyNumberFormat="1" applyFont="1" applyFill="1" applyBorder="1" applyAlignment="1">
      <alignment horizontal="right" vertical="center" wrapText="1" readingOrder="1"/>
    </xf>
    <xf numFmtId="10" fontId="126" fillId="48" borderId="155" xfId="43" applyNumberFormat="1" applyFont="1" applyFill="1" applyBorder="1" applyAlignment="1">
      <alignment horizontal="right" vertical="center" wrapText="1" readingOrder="1"/>
    </xf>
    <xf numFmtId="10" fontId="19" fillId="0" borderId="106" xfId="43" applyNumberFormat="1" applyFont="1" applyFill="1" applyBorder="1" applyAlignment="1">
      <alignment vertical="center" wrapText="1"/>
    </xf>
    <xf numFmtId="10" fontId="19" fillId="0" borderId="116" xfId="43" applyNumberFormat="1" applyFont="1" applyFill="1" applyBorder="1" applyAlignment="1">
      <alignment vertical="center" wrapText="1"/>
    </xf>
    <xf numFmtId="170" fontId="128" fillId="43" borderId="10" xfId="3" applyNumberFormat="1" applyFont="1" applyFill="1" applyBorder="1" applyAlignment="1">
      <alignment vertical="center" wrapText="1"/>
    </xf>
    <xf numFmtId="170" fontId="129" fillId="43" borderId="10" xfId="19" applyNumberFormat="1" applyFont="1" applyFill="1" applyBorder="1" applyAlignment="1">
      <alignment vertical="center"/>
    </xf>
    <xf numFmtId="170" fontId="129" fillId="43" borderId="10" xfId="19" applyNumberFormat="1" applyFont="1" applyFill="1" applyBorder="1" applyAlignment="1">
      <alignment vertical="center" wrapText="1"/>
    </xf>
    <xf numFmtId="170" fontId="130" fillId="49" borderId="10" xfId="39" applyNumberFormat="1" applyFont="1" applyFill="1" applyBorder="1" applyAlignment="1">
      <alignment vertical="center" wrapText="1"/>
    </xf>
    <xf numFmtId="168" fontId="131" fillId="43" borderId="0" xfId="2" applyNumberFormat="1" applyFont="1" applyFill="1"/>
    <xf numFmtId="10" fontId="131" fillId="43" borderId="0" xfId="43" applyNumberFormat="1" applyFont="1" applyFill="1"/>
    <xf numFmtId="0" fontId="132" fillId="0" borderId="16" xfId="0" applyFont="1" applyBorder="1" applyAlignment="1">
      <alignment horizontal="center" vertical="center" wrapText="1" readingOrder="1"/>
    </xf>
    <xf numFmtId="166" fontId="133" fillId="0" borderId="16" xfId="1" applyNumberFormat="1" applyFont="1" applyBorder="1" applyAlignment="1">
      <alignment horizontal="center" vertical="center" wrapText="1" readingOrder="1"/>
    </xf>
    <xf numFmtId="10" fontId="0" fillId="0" borderId="0" xfId="43" applyNumberFormat="1" applyFont="1"/>
    <xf numFmtId="43" fontId="21" fillId="0" borderId="82" xfId="1" applyFont="1" applyBorder="1" applyAlignment="1">
      <alignment horizontal="center" vertical="center"/>
    </xf>
    <xf numFmtId="43" fontId="86" fillId="63" borderId="82" xfId="1" applyFont="1" applyFill="1" applyBorder="1" applyAlignment="1">
      <alignment horizontal="center" vertical="center"/>
    </xf>
    <xf numFmtId="166" fontId="46" fillId="49" borderId="112" xfId="1" applyNumberFormat="1" applyFont="1" applyFill="1" applyBorder="1" applyAlignment="1">
      <alignment wrapText="1"/>
    </xf>
    <xf numFmtId="166" fontId="46" fillId="49" borderId="116" xfId="1" applyNumberFormat="1" applyFont="1" applyFill="1" applyBorder="1" applyAlignment="1">
      <alignment vertical="center" wrapText="1"/>
    </xf>
    <xf numFmtId="166" fontId="46" fillId="49" borderId="116" xfId="1" applyNumberFormat="1" applyFont="1" applyFill="1" applyBorder="1" applyAlignment="1">
      <alignment wrapText="1"/>
    </xf>
    <xf numFmtId="166" fontId="46" fillId="63" borderId="23" xfId="1" applyNumberFormat="1" applyFont="1" applyFill="1" applyBorder="1" applyAlignment="1">
      <alignment wrapText="1"/>
    </xf>
    <xf numFmtId="166" fontId="46" fillId="49" borderId="23" xfId="1" applyNumberFormat="1" applyFont="1" applyFill="1" applyBorder="1" applyAlignment="1">
      <alignment wrapText="1"/>
    </xf>
    <xf numFmtId="0" fontId="126" fillId="0" borderId="155" xfId="0" applyFont="1" applyBorder="1" applyAlignment="1">
      <alignment horizontal="left" vertical="center" wrapText="1" readingOrder="1"/>
    </xf>
    <xf numFmtId="3" fontId="126" fillId="0" borderId="155" xfId="0" applyNumberFormat="1" applyFont="1" applyBorder="1" applyAlignment="1">
      <alignment horizontal="right" vertical="center" wrapText="1" readingOrder="1"/>
    </xf>
    <xf numFmtId="0" fontId="125" fillId="43" borderId="155" xfId="0" applyFont="1" applyFill="1" applyBorder="1" applyAlignment="1">
      <alignment horizontal="center" vertical="center" wrapText="1" readingOrder="1"/>
    </xf>
    <xf numFmtId="0" fontId="135" fillId="43" borderId="155" xfId="0" applyFont="1" applyFill="1" applyBorder="1" applyAlignment="1">
      <alignment horizontal="left" vertical="center" wrapText="1" readingOrder="1"/>
    </xf>
    <xf numFmtId="3" fontId="135" fillId="43" borderId="155" xfId="0" applyNumberFormat="1" applyFont="1" applyFill="1" applyBorder="1" applyAlignment="1">
      <alignment horizontal="right" vertical="center" wrapText="1" readingOrder="1"/>
    </xf>
    <xf numFmtId="0" fontId="136" fillId="76" borderId="156" xfId="0" applyFont="1" applyFill="1" applyBorder="1" applyAlignment="1">
      <alignment horizontal="center" vertical="center" wrapText="1" readingOrder="1"/>
    </xf>
    <xf numFmtId="0" fontId="137" fillId="0" borderId="16" xfId="0" applyFont="1" applyBorder="1" applyAlignment="1">
      <alignment horizontal="center" vertical="center" wrapText="1" readingOrder="1"/>
    </xf>
    <xf numFmtId="3" fontId="138" fillId="0" borderId="16" xfId="0" applyNumberFormat="1" applyFont="1" applyBorder="1" applyAlignment="1">
      <alignment horizontal="center" vertical="center" wrapText="1" readingOrder="1"/>
    </xf>
    <xf numFmtId="0" fontId="139" fillId="77" borderId="155" xfId="0" applyFont="1" applyFill="1" applyBorder="1" applyAlignment="1">
      <alignment horizontal="center" vertical="center" wrapText="1" readingOrder="1"/>
    </xf>
    <xf numFmtId="0" fontId="140" fillId="77" borderId="155" xfId="0" applyFont="1" applyFill="1" applyBorder="1" applyAlignment="1">
      <alignment horizontal="left" vertical="center" wrapText="1" readingOrder="1"/>
    </xf>
    <xf numFmtId="3" fontId="140" fillId="77" borderId="155" xfId="0" applyNumberFormat="1" applyFont="1" applyFill="1" applyBorder="1" applyAlignment="1">
      <alignment horizontal="right" vertical="center" wrapText="1" readingOrder="1"/>
    </xf>
    <xf numFmtId="0" fontId="141" fillId="0" borderId="155" xfId="0" applyFont="1" applyBorder="1" applyAlignment="1">
      <alignment horizontal="left" vertical="center" wrapText="1" readingOrder="1"/>
    </xf>
    <xf numFmtId="3" fontId="141" fillId="0" borderId="155" xfId="0" applyNumberFormat="1" applyFont="1" applyBorder="1" applyAlignment="1">
      <alignment horizontal="right" vertical="center" wrapText="1" readingOrder="1"/>
    </xf>
    <xf numFmtId="0" fontId="139" fillId="77" borderId="155" xfId="0" applyFont="1" applyFill="1" applyBorder="1" applyAlignment="1">
      <alignment horizontal="left" vertical="center" wrapText="1" readingOrder="1"/>
    </xf>
    <xf numFmtId="3" fontId="139" fillId="77" borderId="155" xfId="0" applyNumberFormat="1" applyFont="1" applyFill="1" applyBorder="1" applyAlignment="1">
      <alignment horizontal="right" vertical="center" wrapText="1" readingOrder="1"/>
    </xf>
    <xf numFmtId="0" fontId="142" fillId="43" borderId="155" xfId="0" applyFont="1" applyFill="1" applyBorder="1" applyAlignment="1">
      <alignment horizontal="center" vertical="center" wrapText="1" readingOrder="1"/>
    </xf>
    <xf numFmtId="3" fontId="142" fillId="43" borderId="155" xfId="0" applyNumberFormat="1" applyFont="1" applyFill="1" applyBorder="1" applyAlignment="1">
      <alignment horizontal="center" vertical="center" wrapText="1" readingOrder="1"/>
    </xf>
    <xf numFmtId="3" fontId="125" fillId="43" borderId="155" xfId="0" applyNumberFormat="1" applyFont="1" applyFill="1" applyBorder="1" applyAlignment="1">
      <alignment horizontal="center" vertical="center" wrapText="1" readingOrder="1"/>
    </xf>
    <xf numFmtId="185" fontId="20" fillId="43" borderId="28" xfId="50" applyNumberFormat="1" applyFont="1" applyFill="1" applyBorder="1" applyAlignment="1" applyProtection="1">
      <alignment horizontal="center" vertical="center" wrapText="1"/>
    </xf>
    <xf numFmtId="10" fontId="140" fillId="77" borderId="155" xfId="0" applyNumberFormat="1" applyFont="1" applyFill="1" applyBorder="1" applyAlignment="1">
      <alignment horizontal="center" vertical="center" wrapText="1" readingOrder="1"/>
    </xf>
    <xf numFmtId="0" fontId="141" fillId="0" borderId="155" xfId="0" applyFont="1" applyBorder="1" applyAlignment="1">
      <alignment horizontal="center" vertical="center" wrapText="1" readingOrder="1"/>
    </xf>
    <xf numFmtId="10" fontId="140" fillId="77" borderId="155" xfId="43" applyNumberFormat="1" applyFont="1" applyFill="1" applyBorder="1" applyAlignment="1">
      <alignment horizontal="center" vertical="center" wrapText="1" readingOrder="1"/>
    </xf>
    <xf numFmtId="10" fontId="140" fillId="0" borderId="155" xfId="0" applyNumberFormat="1" applyFont="1" applyBorder="1" applyAlignment="1">
      <alignment horizontal="center" vertical="center" wrapText="1" readingOrder="1"/>
    </xf>
    <xf numFmtId="9" fontId="139" fillId="77" borderId="155" xfId="0" applyNumberFormat="1" applyFont="1" applyFill="1" applyBorder="1" applyAlignment="1">
      <alignment horizontal="center" vertical="center" wrapText="1" readingOrder="1"/>
    </xf>
    <xf numFmtId="3" fontId="19" fillId="35" borderId="82" xfId="0" applyNumberFormat="1" applyFont="1" applyFill="1" applyBorder="1" applyAlignment="1">
      <alignment vertical="center"/>
    </xf>
    <xf numFmtId="3" fontId="19" fillId="35" borderId="82" xfId="0" applyNumberFormat="1" applyFont="1" applyFill="1" applyBorder="1" applyAlignment="1">
      <alignment vertical="center" wrapText="1"/>
    </xf>
    <xf numFmtId="3" fontId="21" fillId="35" borderId="0" xfId="0" applyNumberFormat="1" applyFont="1" applyFill="1" applyAlignment="1">
      <alignment vertical="center"/>
    </xf>
    <xf numFmtId="3" fontId="19" fillId="35" borderId="0" xfId="0" applyNumberFormat="1" applyFont="1" applyFill="1" applyAlignment="1">
      <alignment vertical="center"/>
    </xf>
    <xf numFmtId="0" fontId="19" fillId="35" borderId="106" xfId="0" applyFont="1" applyFill="1" applyBorder="1" applyAlignment="1">
      <alignment vertical="center" wrapText="1"/>
    </xf>
    <xf numFmtId="166" fontId="46" fillId="35" borderId="112" xfId="1" applyNumberFormat="1" applyFont="1" applyFill="1" applyBorder="1" applyAlignment="1">
      <alignment wrapText="1"/>
    </xf>
    <xf numFmtId="0" fontId="19" fillId="35" borderId="116" xfId="0" applyFont="1" applyFill="1" applyBorder="1" applyAlignment="1">
      <alignment vertical="center" wrapText="1"/>
    </xf>
    <xf numFmtId="166" fontId="46" fillId="35" borderId="116" xfId="1" applyNumberFormat="1" applyFont="1" applyFill="1" applyBorder="1" applyAlignment="1">
      <alignment wrapText="1"/>
    </xf>
    <xf numFmtId="3" fontId="19" fillId="61" borderId="132" xfId="0" applyNumberFormat="1" applyFont="1" applyFill="1" applyBorder="1" applyAlignment="1">
      <alignment vertical="center"/>
    </xf>
    <xf numFmtId="168" fontId="21" fillId="43" borderId="137" xfId="35" applyNumberFormat="1" applyFont="1" applyFill="1" applyBorder="1" applyAlignment="1">
      <alignment horizontal="center" vertical="center" wrapText="1"/>
    </xf>
    <xf numFmtId="184" fontId="21" fillId="43" borderId="112" xfId="44" applyNumberFormat="1" applyFont="1" applyFill="1" applyBorder="1" applyAlignment="1" applyProtection="1">
      <alignment vertical="center"/>
    </xf>
    <xf numFmtId="185" fontId="21" fillId="43" borderId="112" xfId="50" applyNumberFormat="1" applyFont="1" applyFill="1" applyBorder="1" applyAlignment="1" applyProtection="1">
      <alignment vertical="center"/>
    </xf>
    <xf numFmtId="185" fontId="21" fillId="43" borderId="0" xfId="50" applyNumberFormat="1" applyFont="1" applyFill="1" applyBorder="1" applyAlignment="1" applyProtection="1">
      <alignment horizontal="center" vertical="center" wrapText="1"/>
    </xf>
    <xf numFmtId="185" fontId="21" fillId="43" borderId="116" xfId="50" applyNumberFormat="1" applyFont="1" applyFill="1" applyBorder="1" applyAlignment="1">
      <alignment horizontal="center" vertical="center" wrapText="1"/>
    </xf>
    <xf numFmtId="185" fontId="21" fillId="43" borderId="106" xfId="50" applyNumberFormat="1" applyFont="1" applyFill="1" applyBorder="1" applyAlignment="1">
      <alignment horizontal="center" vertical="center" wrapText="1"/>
    </xf>
    <xf numFmtId="0" fontId="144" fillId="0" borderId="82" xfId="0" applyFont="1" applyBorder="1" applyAlignment="1">
      <alignment horizontal="justify" vertical="center"/>
    </xf>
    <xf numFmtId="0" fontId="145" fillId="0" borderId="82" xfId="0" applyFont="1" applyBorder="1" applyAlignment="1">
      <alignment horizontal="center" vertical="center" wrapText="1"/>
    </xf>
    <xf numFmtId="0" fontId="145" fillId="0" borderId="82" xfId="0" applyFont="1" applyBorder="1" applyAlignment="1">
      <alignment horizontal="justify" vertical="center"/>
    </xf>
    <xf numFmtId="43" fontId="145" fillId="0" borderId="82" xfId="1" applyFont="1" applyBorder="1" applyAlignment="1">
      <alignment horizontal="justify" vertical="center"/>
    </xf>
    <xf numFmtId="170" fontId="145" fillId="70" borderId="82" xfId="1" applyNumberFormat="1" applyFont="1" applyFill="1" applyBorder="1" applyAlignment="1">
      <alignment vertical="center"/>
    </xf>
    <xf numFmtId="170" fontId="145" fillId="0" borderId="82" xfId="1" applyNumberFormat="1" applyFont="1" applyFill="1" applyBorder="1" applyAlignment="1">
      <alignment vertical="center"/>
    </xf>
    <xf numFmtId="0" fontId="145" fillId="0" borderId="0" xfId="0" applyFont="1"/>
    <xf numFmtId="3" fontId="145" fillId="62" borderId="82" xfId="0" applyNumberFormat="1" applyFont="1" applyFill="1" applyBorder="1"/>
    <xf numFmtId="3" fontId="145" fillId="61" borderId="82" xfId="0" applyNumberFormat="1" applyFont="1" applyFill="1" applyBorder="1"/>
    <xf numFmtId="3" fontId="145" fillId="60" borderId="82" xfId="0" applyNumberFormat="1" applyFont="1" applyFill="1" applyBorder="1"/>
    <xf numFmtId="3" fontId="145" fillId="38" borderId="82" xfId="0" applyNumberFormat="1" applyFont="1" applyFill="1" applyBorder="1"/>
    <xf numFmtId="3" fontId="145" fillId="0" borderId="0" xfId="0" applyNumberFormat="1" applyFont="1"/>
    <xf numFmtId="43" fontId="145" fillId="0" borderId="0" xfId="1" applyFont="1"/>
    <xf numFmtId="0" fontId="143" fillId="0" borderId="82" xfId="0" applyFont="1" applyBorder="1" applyAlignment="1">
      <alignment horizontal="justify" vertical="center"/>
    </xf>
    <xf numFmtId="43" fontId="143" fillId="0" borderId="82" xfId="1" applyFont="1" applyBorder="1" applyAlignment="1">
      <alignment horizontal="justify" vertical="center"/>
    </xf>
    <xf numFmtId="170" fontId="143" fillId="70" borderId="82" xfId="1" applyNumberFormat="1" applyFont="1" applyFill="1" applyBorder="1" applyAlignment="1">
      <alignment vertical="center"/>
    </xf>
    <xf numFmtId="170" fontId="143" fillId="0" borderId="82" xfId="1" applyNumberFormat="1" applyFont="1" applyFill="1" applyBorder="1" applyAlignment="1">
      <alignment vertical="center"/>
    </xf>
    <xf numFmtId="0" fontId="143" fillId="0" borderId="0" xfId="0" applyFont="1"/>
    <xf numFmtId="3" fontId="143" fillId="62" borderId="82" xfId="0" applyNumberFormat="1" applyFont="1" applyFill="1" applyBorder="1"/>
    <xf numFmtId="3" fontId="143" fillId="60" borderId="82" xfId="0" applyNumberFormat="1" applyFont="1" applyFill="1" applyBorder="1"/>
    <xf numFmtId="3" fontId="143" fillId="0" borderId="0" xfId="0" applyNumberFormat="1" applyFont="1"/>
    <xf numFmtId="43" fontId="143" fillId="0" borderId="0" xfId="1" applyFont="1"/>
    <xf numFmtId="0" fontId="144" fillId="0" borderId="82" xfId="0" applyFont="1" applyBorder="1" applyAlignment="1">
      <alignment horizontal="center" vertical="center" wrapText="1"/>
    </xf>
    <xf numFmtId="43" fontId="144" fillId="0" borderId="82" xfId="1" applyFont="1" applyBorder="1" applyAlignment="1">
      <alignment horizontal="justify" vertical="center"/>
    </xf>
    <xf numFmtId="170" fontId="144" fillId="70" borderId="82" xfId="1" applyNumberFormat="1" applyFont="1" applyFill="1" applyBorder="1" applyAlignment="1">
      <alignment vertical="center"/>
    </xf>
    <xf numFmtId="170" fontId="144" fillId="0" borderId="82" xfId="1" applyNumberFormat="1" applyFont="1" applyFill="1" applyBorder="1" applyAlignment="1">
      <alignment vertical="center"/>
    </xf>
    <xf numFmtId="0" fontId="144" fillId="0" borderId="0" xfId="0" applyFont="1"/>
    <xf numFmtId="3" fontId="144" fillId="62" borderId="82" xfId="0" applyNumberFormat="1" applyFont="1" applyFill="1" applyBorder="1"/>
    <xf numFmtId="3" fontId="144" fillId="61" borderId="82" xfId="0" applyNumberFormat="1" applyFont="1" applyFill="1" applyBorder="1"/>
    <xf numFmtId="3" fontId="144" fillId="60" borderId="82" xfId="0" applyNumberFormat="1" applyFont="1" applyFill="1" applyBorder="1"/>
    <xf numFmtId="3" fontId="144" fillId="38" borderId="82" xfId="0" applyNumberFormat="1" applyFont="1" applyFill="1" applyBorder="1"/>
    <xf numFmtId="3" fontId="144" fillId="0" borderId="0" xfId="0" applyNumberFormat="1" applyFont="1"/>
    <xf numFmtId="43" fontId="144" fillId="0" borderId="0" xfId="1" applyFont="1"/>
    <xf numFmtId="0" fontId="19" fillId="0" borderId="151" xfId="0" applyFont="1" applyBorder="1" applyAlignment="1">
      <alignment vertical="center" wrapText="1"/>
    </xf>
    <xf numFmtId="41" fontId="144" fillId="0" borderId="0" xfId="51" applyFont="1"/>
    <xf numFmtId="3" fontId="94" fillId="60" borderId="82" xfId="0" applyNumberFormat="1" applyFont="1" applyFill="1" applyBorder="1"/>
    <xf numFmtId="3" fontId="94" fillId="61" borderId="82" xfId="0" applyNumberFormat="1" applyFont="1" applyFill="1" applyBorder="1"/>
    <xf numFmtId="3" fontId="94" fillId="38" borderId="82" xfId="0" applyNumberFormat="1" applyFont="1" applyFill="1" applyBorder="1"/>
    <xf numFmtId="0" fontId="94" fillId="0" borderId="82" xfId="0" applyFont="1" applyBorder="1" applyAlignment="1">
      <alignment horizontal="center" vertical="center" wrapText="1"/>
    </xf>
    <xf numFmtId="170" fontId="94" fillId="70" borderId="82" xfId="1" applyNumberFormat="1" applyFont="1" applyFill="1" applyBorder="1" applyAlignment="1">
      <alignment vertical="center"/>
    </xf>
    <xf numFmtId="166" fontId="46" fillId="63" borderId="138" xfId="1" applyNumberFormat="1" applyFont="1" applyFill="1" applyBorder="1" applyAlignment="1">
      <alignment wrapText="1"/>
    </xf>
    <xf numFmtId="166" fontId="46" fillId="63" borderId="116" xfId="1" applyNumberFormat="1" applyFont="1" applyFill="1" applyBorder="1" applyAlignment="1">
      <alignment wrapText="1"/>
    </xf>
    <xf numFmtId="166" fontId="46" fillId="63" borderId="112" xfId="1" applyNumberFormat="1" applyFont="1" applyFill="1" applyBorder="1" applyAlignment="1">
      <alignment wrapText="1"/>
    </xf>
    <xf numFmtId="6" fontId="0" fillId="0" borderId="0" xfId="0" applyNumberFormat="1"/>
    <xf numFmtId="6" fontId="146" fillId="77" borderId="157" xfId="0" applyNumberFormat="1" applyFont="1" applyFill="1" applyBorder="1" applyAlignment="1">
      <alignment vertical="center" wrapText="1"/>
    </xf>
    <xf numFmtId="0" fontId="146" fillId="77" borderId="158" xfId="0" applyFont="1" applyFill="1" applyBorder="1" applyAlignment="1">
      <alignment horizontal="center" vertical="center" wrapText="1"/>
    </xf>
    <xf numFmtId="6" fontId="89" fillId="0" borderId="157" xfId="0" applyNumberFormat="1" applyFont="1" applyBorder="1" applyAlignment="1">
      <alignment vertical="center" wrapText="1"/>
    </xf>
    <xf numFmtId="0" fontId="89" fillId="0" borderId="157" xfId="0" applyFont="1" applyBorder="1" applyAlignment="1">
      <alignment vertical="center" wrapText="1"/>
    </xf>
    <xf numFmtId="0" fontId="89" fillId="0" borderId="158" xfId="0" applyFont="1" applyBorder="1" applyAlignment="1">
      <alignment vertical="center" wrapText="1"/>
    </xf>
    <xf numFmtId="0" fontId="146" fillId="77" borderId="159" xfId="0" applyFont="1" applyFill="1" applyBorder="1" applyAlignment="1">
      <alignment horizontal="center" vertical="center" wrapText="1"/>
    </xf>
    <xf numFmtId="0" fontId="146" fillId="77" borderId="160" xfId="0" applyFont="1" applyFill="1" applyBorder="1" applyAlignment="1">
      <alignment horizontal="center" vertical="center" wrapText="1"/>
    </xf>
    <xf numFmtId="0" fontId="0" fillId="0" borderId="0" xfId="0" applyAlignment="1">
      <alignment horizontal="right"/>
    </xf>
    <xf numFmtId="6" fontId="146" fillId="77" borderId="157" xfId="0" applyNumberFormat="1" applyFont="1" applyFill="1" applyBorder="1" applyAlignment="1">
      <alignment horizontal="right" vertical="center" wrapText="1"/>
    </xf>
    <xf numFmtId="6" fontId="26" fillId="0" borderId="157" xfId="0" applyNumberFormat="1" applyFont="1" applyBorder="1" applyAlignment="1">
      <alignment vertical="center" wrapText="1"/>
    </xf>
    <xf numFmtId="0" fontId="26" fillId="0" borderId="158" xfId="0" applyFont="1" applyBorder="1" applyAlignment="1">
      <alignment vertical="center" wrapText="1"/>
    </xf>
    <xf numFmtId="0" fontId="14" fillId="0" borderId="0" xfId="0" applyFont="1" applyAlignment="1">
      <alignment horizontal="center"/>
    </xf>
    <xf numFmtId="6" fontId="0" fillId="0" borderId="157" xfId="0" applyNumberFormat="1" applyBorder="1" applyAlignment="1">
      <alignment vertical="center" wrapText="1"/>
    </xf>
    <xf numFmtId="166" fontId="86" fillId="63" borderId="82" xfId="1" applyNumberFormat="1" applyFont="1" applyFill="1" applyBorder="1" applyAlignment="1">
      <alignment horizontal="right" vertical="center"/>
    </xf>
    <xf numFmtId="43" fontId="46" fillId="49" borderId="23" xfId="1" applyFont="1" applyFill="1" applyBorder="1" applyAlignment="1">
      <alignment wrapText="1"/>
    </xf>
    <xf numFmtId="43" fontId="46" fillId="63" borderId="23" xfId="1" applyFont="1" applyFill="1" applyBorder="1" applyAlignment="1">
      <alignment wrapText="1"/>
    </xf>
    <xf numFmtId="3" fontId="144" fillId="35" borderId="82" xfId="0" applyNumberFormat="1" applyFont="1" applyFill="1" applyBorder="1"/>
    <xf numFmtId="3" fontId="19" fillId="35" borderId="82" xfId="0" applyNumberFormat="1" applyFont="1" applyFill="1" applyBorder="1"/>
    <xf numFmtId="3" fontId="94" fillId="35" borderId="82" xfId="0" applyNumberFormat="1" applyFont="1" applyFill="1" applyBorder="1"/>
    <xf numFmtId="43" fontId="93" fillId="0" borderId="106" xfId="43" applyNumberFormat="1" applyFont="1" applyFill="1" applyBorder="1" applyAlignment="1">
      <alignment horizontal="center" vertical="center"/>
    </xf>
    <xf numFmtId="166" fontId="92" fillId="27" borderId="106" xfId="1" applyNumberFormat="1" applyFont="1" applyFill="1" applyBorder="1" applyAlignment="1">
      <alignment horizontal="center" vertical="center"/>
    </xf>
    <xf numFmtId="0" fontId="92" fillId="27" borderId="106" xfId="37" applyFont="1" applyBorder="1" applyAlignment="1">
      <alignment horizontal="left" vertical="center"/>
    </xf>
    <xf numFmtId="9" fontId="92" fillId="27" borderId="106" xfId="43" applyFont="1" applyFill="1" applyBorder="1" applyAlignment="1">
      <alignment horizontal="center" vertical="center"/>
    </xf>
    <xf numFmtId="0" fontId="92" fillId="0" borderId="106" xfId="37" applyFont="1" applyFill="1" applyBorder="1" applyAlignment="1">
      <alignment horizontal="left" vertical="center"/>
    </xf>
    <xf numFmtId="186" fontId="21" fillId="0" borderId="69" xfId="43" applyNumberFormat="1" applyFont="1" applyBorder="1" applyAlignment="1">
      <alignment horizontal="right" vertical="center"/>
    </xf>
    <xf numFmtId="186" fontId="90" fillId="65" borderId="101" xfId="43" applyNumberFormat="1" applyFont="1" applyFill="1" applyBorder="1" applyAlignment="1">
      <alignment horizontal="right" vertical="center" wrapText="1"/>
    </xf>
    <xf numFmtId="186" fontId="93" fillId="26" borderId="106" xfId="1" applyNumberFormat="1" applyFont="1" applyFill="1" applyBorder="1" applyAlignment="1" applyProtection="1">
      <alignment horizontal="right" vertical="center"/>
    </xf>
    <xf numFmtId="186" fontId="93" fillId="27" borderId="106" xfId="1" applyNumberFormat="1" applyFont="1" applyFill="1" applyBorder="1" applyAlignment="1">
      <alignment horizontal="right" vertical="center"/>
    </xf>
    <xf numFmtId="186" fontId="93" fillId="28" borderId="106" xfId="1" applyNumberFormat="1" applyFont="1" applyFill="1" applyBorder="1" applyAlignment="1" applyProtection="1">
      <alignment horizontal="right" vertical="center"/>
    </xf>
    <xf numFmtId="186" fontId="92" fillId="0" borderId="106" xfId="1" applyNumberFormat="1" applyFont="1" applyFill="1" applyBorder="1" applyAlignment="1">
      <alignment horizontal="right" vertical="center"/>
    </xf>
    <xf numFmtId="186" fontId="92" fillId="0" borderId="106" xfId="1" applyNumberFormat="1" applyFont="1" applyFill="1" applyBorder="1" applyAlignment="1" applyProtection="1">
      <alignment horizontal="right" vertical="center"/>
    </xf>
    <xf numFmtId="186" fontId="93" fillId="0" borderId="106" xfId="43" applyNumberFormat="1" applyFont="1" applyFill="1" applyBorder="1" applyAlignment="1">
      <alignment horizontal="right" vertical="center"/>
    </xf>
    <xf numFmtId="186" fontId="92" fillId="0" borderId="106" xfId="1" applyNumberFormat="1" applyFont="1" applyBorder="1" applyAlignment="1">
      <alignment horizontal="right" vertical="center"/>
    </xf>
    <xf numFmtId="186" fontId="93" fillId="0" borderId="106" xfId="43" applyNumberFormat="1" applyFont="1" applyFill="1" applyBorder="1" applyAlignment="1">
      <alignment horizontal="right" vertical="center" wrapText="1"/>
    </xf>
    <xf numFmtId="186" fontId="93" fillId="0" borderId="106" xfId="43" applyNumberFormat="1" applyFont="1" applyFill="1" applyBorder="1" applyAlignment="1" applyProtection="1">
      <alignment horizontal="right" vertical="center"/>
    </xf>
    <xf numFmtId="186" fontId="19" fillId="0" borderId="0" xfId="43" applyNumberFormat="1" applyFont="1" applyFill="1" applyAlignment="1">
      <alignment horizontal="right" vertical="center"/>
    </xf>
    <xf numFmtId="186" fontId="92" fillId="0" borderId="106" xfId="43" applyNumberFormat="1" applyFont="1" applyFill="1" applyBorder="1" applyAlignment="1">
      <alignment horizontal="right" vertical="center"/>
    </xf>
    <xf numFmtId="186" fontId="93" fillId="0" borderId="106" xfId="43" applyNumberFormat="1" applyFont="1" applyBorder="1" applyAlignment="1">
      <alignment horizontal="right" vertical="center"/>
    </xf>
    <xf numFmtId="186" fontId="21" fillId="0" borderId="0" xfId="0" applyNumberFormat="1" applyFont="1" applyAlignment="1">
      <alignment horizontal="right" vertical="center"/>
    </xf>
    <xf numFmtId="186" fontId="92" fillId="0" borderId="106" xfId="43" applyNumberFormat="1" applyFont="1" applyBorder="1" applyAlignment="1">
      <alignment horizontal="right" vertical="center" wrapText="1"/>
    </xf>
    <xf numFmtId="186" fontId="92" fillId="0" borderId="106" xfId="43" applyNumberFormat="1" applyFont="1" applyBorder="1" applyAlignment="1">
      <alignment horizontal="right" vertical="center"/>
    </xf>
    <xf numFmtId="186" fontId="93" fillId="0" borderId="106" xfId="1" applyNumberFormat="1" applyFont="1" applyFill="1" applyBorder="1" applyAlignment="1">
      <alignment horizontal="right" vertical="center"/>
    </xf>
    <xf numFmtId="186" fontId="98" fillId="0" borderId="106" xfId="43" applyNumberFormat="1" applyFont="1" applyFill="1" applyBorder="1" applyAlignment="1">
      <alignment horizontal="right" vertical="center"/>
    </xf>
    <xf numFmtId="166" fontId="21" fillId="0" borderId="69" xfId="1" applyNumberFormat="1" applyFont="1" applyBorder="1" applyAlignment="1">
      <alignment horizontal="right" vertical="center"/>
    </xf>
    <xf numFmtId="9" fontId="21" fillId="0" borderId="69" xfId="43" applyFont="1" applyBorder="1" applyAlignment="1">
      <alignment horizontal="right" vertical="center"/>
    </xf>
    <xf numFmtId="186" fontId="21" fillId="0" borderId="69" xfId="1" applyNumberFormat="1" applyFont="1" applyBorder="1" applyAlignment="1">
      <alignment horizontal="right" vertical="center"/>
    </xf>
    <xf numFmtId="166" fontId="90" fillId="65" borderId="101" xfId="1" applyNumberFormat="1" applyFont="1" applyFill="1" applyBorder="1" applyAlignment="1">
      <alignment horizontal="right" vertical="center" wrapText="1"/>
    </xf>
    <xf numFmtId="9" fontId="90" fillId="65" borderId="101" xfId="43" applyFont="1" applyFill="1" applyBorder="1" applyAlignment="1">
      <alignment horizontal="right" vertical="center" wrapText="1"/>
    </xf>
    <xf numFmtId="186" fontId="90" fillId="65" borderId="101" xfId="1" applyNumberFormat="1" applyFont="1" applyFill="1" applyBorder="1" applyAlignment="1">
      <alignment horizontal="right" vertical="center" wrapText="1"/>
    </xf>
    <xf numFmtId="9" fontId="93" fillId="26" borderId="106" xfId="43" applyFont="1" applyFill="1" applyBorder="1" applyAlignment="1" applyProtection="1">
      <alignment horizontal="right" vertical="center"/>
    </xf>
    <xf numFmtId="9" fontId="93" fillId="27" borderId="106" xfId="43" applyFont="1" applyFill="1" applyBorder="1" applyAlignment="1">
      <alignment horizontal="right" vertical="center"/>
    </xf>
    <xf numFmtId="9" fontId="93" fillId="28" borderId="106" xfId="43" applyFont="1" applyFill="1" applyBorder="1" applyAlignment="1" applyProtection="1">
      <alignment horizontal="right" vertical="center"/>
    </xf>
    <xf numFmtId="9" fontId="92" fillId="0" borderId="106" xfId="43" applyFont="1" applyFill="1" applyBorder="1" applyAlignment="1">
      <alignment horizontal="right" vertical="center"/>
    </xf>
    <xf numFmtId="9" fontId="92" fillId="0" borderId="106" xfId="43" applyFont="1" applyFill="1" applyBorder="1" applyAlignment="1" applyProtection="1">
      <alignment horizontal="right" vertical="center"/>
    </xf>
    <xf numFmtId="9" fontId="93" fillId="0" borderId="106" xfId="43" applyFont="1" applyFill="1" applyBorder="1" applyAlignment="1">
      <alignment horizontal="right" vertical="center"/>
    </xf>
    <xf numFmtId="9" fontId="92" fillId="0" borderId="106" xfId="43" applyFont="1" applyBorder="1" applyAlignment="1">
      <alignment horizontal="right" vertical="center"/>
    </xf>
    <xf numFmtId="166" fontId="93" fillId="0" borderId="106" xfId="1" applyNumberFormat="1" applyFont="1" applyFill="1" applyBorder="1" applyAlignment="1">
      <alignment horizontal="right" vertical="center" wrapText="1"/>
    </xf>
    <xf numFmtId="9" fontId="93" fillId="0" borderId="106" xfId="43" applyFont="1" applyFill="1" applyBorder="1" applyAlignment="1">
      <alignment horizontal="right" vertical="center" wrapText="1"/>
    </xf>
    <xf numFmtId="186" fontId="93" fillId="0" borderId="106" xfId="1" applyNumberFormat="1" applyFont="1" applyFill="1" applyBorder="1" applyAlignment="1">
      <alignment horizontal="right" vertical="center" wrapText="1"/>
    </xf>
    <xf numFmtId="166" fontId="93" fillId="0" borderId="106" xfId="1" applyNumberFormat="1" applyFont="1" applyFill="1" applyBorder="1" applyAlignment="1" applyProtection="1">
      <alignment horizontal="right" vertical="center"/>
    </xf>
    <xf numFmtId="9" fontId="93" fillId="0" borderId="106" xfId="43" applyFont="1" applyFill="1" applyBorder="1" applyAlignment="1" applyProtection="1">
      <alignment horizontal="right" vertical="center"/>
    </xf>
    <xf numFmtId="186" fontId="93" fillId="0" borderId="106" xfId="1" applyNumberFormat="1" applyFont="1" applyFill="1" applyBorder="1" applyAlignment="1" applyProtection="1">
      <alignment horizontal="right" vertical="center"/>
    </xf>
    <xf numFmtId="166" fontId="93" fillId="0" borderId="106" xfId="1" applyNumberFormat="1" applyFont="1" applyBorder="1" applyAlignment="1">
      <alignment horizontal="right" vertical="center"/>
    </xf>
    <xf numFmtId="9" fontId="93" fillId="0" borderId="106" xfId="43" applyFont="1" applyBorder="1" applyAlignment="1">
      <alignment horizontal="right" vertical="center"/>
    </xf>
    <xf numFmtId="186" fontId="93" fillId="0" borderId="106" xfId="1" applyNumberFormat="1" applyFont="1" applyBorder="1" applyAlignment="1">
      <alignment horizontal="right" vertical="center"/>
    </xf>
    <xf numFmtId="166" fontId="92" fillId="27" borderId="106" xfId="1" applyNumberFormat="1" applyFont="1" applyFill="1" applyBorder="1" applyAlignment="1">
      <alignment horizontal="right" vertical="center"/>
    </xf>
    <xf numFmtId="9" fontId="92" fillId="27" borderId="106" xfId="43" applyFont="1" applyFill="1" applyBorder="1" applyAlignment="1">
      <alignment horizontal="right" vertical="center"/>
    </xf>
    <xf numFmtId="186" fontId="92" fillId="27" borderId="106" xfId="1" applyNumberFormat="1" applyFont="1" applyFill="1" applyBorder="1" applyAlignment="1">
      <alignment horizontal="right" vertical="center"/>
    </xf>
    <xf numFmtId="166" fontId="92" fillId="0" borderId="106" xfId="1" applyNumberFormat="1" applyFont="1" applyBorder="1" applyAlignment="1">
      <alignment horizontal="right" vertical="center" wrapText="1"/>
    </xf>
    <xf numFmtId="9" fontId="92" fillId="0" borderId="106" xfId="43" applyFont="1" applyBorder="1" applyAlignment="1">
      <alignment horizontal="right" vertical="center" wrapText="1"/>
    </xf>
    <xf numFmtId="186" fontId="92" fillId="0" borderId="106" xfId="1" applyNumberFormat="1" applyFont="1" applyBorder="1" applyAlignment="1">
      <alignment horizontal="right" vertical="center" wrapText="1"/>
    </xf>
    <xf numFmtId="186" fontId="92" fillId="0" borderId="106" xfId="43" applyNumberFormat="1" applyFont="1" applyFill="1" applyBorder="1" applyAlignment="1" applyProtection="1">
      <alignment horizontal="right" vertical="center"/>
    </xf>
    <xf numFmtId="166" fontId="98" fillId="0" borderId="106" xfId="1" applyNumberFormat="1" applyFont="1" applyFill="1" applyBorder="1" applyAlignment="1">
      <alignment horizontal="right" vertical="center"/>
    </xf>
    <xf numFmtId="9" fontId="98" fillId="0" borderId="106" xfId="43" applyFont="1" applyFill="1" applyBorder="1" applyAlignment="1">
      <alignment horizontal="right" vertical="center"/>
    </xf>
    <xf numFmtId="186" fontId="98" fillId="0" borderId="106" xfId="1" applyNumberFormat="1" applyFont="1" applyFill="1" applyBorder="1" applyAlignment="1">
      <alignment horizontal="right" vertical="center"/>
    </xf>
    <xf numFmtId="166" fontId="19" fillId="0" borderId="0" xfId="1" applyNumberFormat="1" applyFont="1" applyFill="1" applyAlignment="1">
      <alignment horizontal="right" vertical="center"/>
    </xf>
    <xf numFmtId="9" fontId="19" fillId="0" borderId="0" xfId="43" applyFont="1" applyFill="1" applyAlignment="1">
      <alignment horizontal="right" vertical="center"/>
    </xf>
    <xf numFmtId="186" fontId="19" fillId="0" borderId="0" xfId="1" applyNumberFormat="1" applyFont="1" applyFill="1" applyAlignment="1">
      <alignment horizontal="right" vertical="center"/>
    </xf>
    <xf numFmtId="0" fontId="90" fillId="37" borderId="101" xfId="3" applyFont="1" applyFill="1" applyBorder="1" applyAlignment="1">
      <alignment horizontal="center" vertical="center" wrapText="1"/>
    </xf>
    <xf numFmtId="0" fontId="93" fillId="37" borderId="106" xfId="36" applyFont="1" applyFill="1" applyBorder="1" applyAlignment="1">
      <alignment horizontal="left" vertical="center" wrapText="1"/>
    </xf>
    <xf numFmtId="0" fontId="93" fillId="37" borderId="106" xfId="37" applyFont="1" applyFill="1" applyBorder="1" applyAlignment="1">
      <alignment horizontal="left" vertical="center"/>
    </xf>
    <xf numFmtId="0" fontId="93" fillId="37" borderId="106" xfId="38" applyFont="1" applyFill="1" applyBorder="1" applyAlignment="1">
      <alignment horizontal="left" vertical="center" wrapText="1"/>
    </xf>
    <xf numFmtId="0" fontId="92" fillId="37" borderId="106" xfId="0" applyFont="1" applyFill="1" applyBorder="1" applyAlignment="1">
      <alignment horizontal="left" vertical="center" wrapText="1"/>
    </xf>
    <xf numFmtId="0" fontId="92" fillId="37" borderId="106" xfId="0" applyFont="1" applyFill="1" applyBorder="1" applyAlignment="1">
      <alignment horizontal="left" vertical="center"/>
    </xf>
    <xf numFmtId="0" fontId="93" fillId="37" borderId="106" xfId="0" applyFont="1" applyFill="1" applyBorder="1" applyAlignment="1">
      <alignment horizontal="left" vertical="center" wrapText="1"/>
    </xf>
    <xf numFmtId="0" fontId="92" fillId="37" borderId="106" xfId="37" applyFont="1" applyFill="1" applyBorder="1" applyAlignment="1">
      <alignment horizontal="left" vertical="center"/>
    </xf>
    <xf numFmtId="0" fontId="93" fillId="37" borderId="106" xfId="0" applyFont="1" applyFill="1" applyBorder="1" applyAlignment="1">
      <alignment horizontal="left" vertical="center"/>
    </xf>
    <xf numFmtId="186" fontId="93" fillId="37" borderId="106" xfId="43" applyNumberFormat="1" applyFont="1" applyFill="1" applyBorder="1" applyAlignment="1">
      <alignment horizontal="right" vertical="center"/>
    </xf>
    <xf numFmtId="43" fontId="46" fillId="37" borderId="112" xfId="1" applyFont="1" applyFill="1" applyBorder="1" applyAlignment="1">
      <alignment wrapText="1"/>
    </xf>
    <xf numFmtId="3" fontId="19" fillId="0" borderId="134" xfId="0" applyNumberFormat="1" applyFont="1" applyBorder="1" applyAlignment="1">
      <alignment vertical="center"/>
    </xf>
    <xf numFmtId="168" fontId="21" fillId="43" borderId="135" xfId="35" applyNumberFormat="1" applyFont="1" applyFill="1" applyBorder="1" applyAlignment="1">
      <alignment horizontal="center" vertical="center" wrapText="1"/>
    </xf>
    <xf numFmtId="168" fontId="21" fillId="43" borderId="136" xfId="35" applyNumberFormat="1" applyFont="1" applyFill="1" applyBorder="1" applyAlignment="1">
      <alignment horizontal="center" vertical="center" wrapText="1"/>
    </xf>
    <xf numFmtId="168" fontId="21" fillId="43" borderId="142" xfId="35" applyNumberFormat="1" applyFont="1" applyFill="1" applyBorder="1" applyAlignment="1">
      <alignment horizontal="center" vertical="center" wrapText="1"/>
    </xf>
    <xf numFmtId="10" fontId="19" fillId="0" borderId="0" xfId="43" applyNumberFormat="1" applyFont="1" applyAlignment="1">
      <alignment vertical="center"/>
    </xf>
    <xf numFmtId="184" fontId="21" fillId="43" borderId="106" xfId="44" applyNumberFormat="1" applyFont="1" applyFill="1" applyBorder="1" applyAlignment="1" applyProtection="1">
      <alignment vertical="center"/>
    </xf>
    <xf numFmtId="3" fontId="19" fillId="0" borderId="146" xfId="0" applyNumberFormat="1" applyFont="1" applyBorder="1" applyAlignment="1">
      <alignment vertical="center"/>
    </xf>
    <xf numFmtId="3" fontId="19" fillId="0" borderId="148" xfId="0" applyNumberFormat="1" applyFont="1" applyBorder="1" applyAlignment="1">
      <alignment vertical="center"/>
    </xf>
    <xf numFmtId="170" fontId="21" fillId="0" borderId="149" xfId="44" applyNumberFormat="1" applyFont="1" applyFill="1" applyBorder="1" applyAlignment="1" applyProtection="1">
      <alignment vertical="center"/>
    </xf>
    <xf numFmtId="185" fontId="21" fillId="43" borderId="106" xfId="50" applyNumberFormat="1" applyFont="1" applyFill="1" applyBorder="1" applyAlignment="1" applyProtection="1">
      <alignment vertical="center"/>
    </xf>
    <xf numFmtId="3" fontId="19" fillId="0" borderId="131" xfId="0" applyNumberFormat="1" applyFont="1" applyBorder="1" applyAlignment="1">
      <alignment vertical="center"/>
    </xf>
    <xf numFmtId="185" fontId="21" fillId="43" borderId="112" xfId="50" applyNumberFormat="1" applyFont="1" applyFill="1" applyBorder="1" applyAlignment="1" applyProtection="1">
      <alignment vertical="center" wrapText="1"/>
    </xf>
    <xf numFmtId="3" fontId="21" fillId="0" borderId="63" xfId="0" applyNumberFormat="1" applyFont="1" applyBorder="1" applyAlignment="1">
      <alignment vertical="center"/>
    </xf>
    <xf numFmtId="166" fontId="46" fillId="0" borderId="138" xfId="1" applyNumberFormat="1" applyFont="1" applyFill="1" applyBorder="1" applyAlignment="1">
      <alignment wrapText="1"/>
    </xf>
    <xf numFmtId="185" fontId="21" fillId="43" borderId="28" xfId="50" applyNumberFormat="1" applyFont="1" applyFill="1" applyBorder="1" applyAlignment="1" applyProtection="1">
      <alignment horizontal="center" vertical="center" wrapText="1"/>
    </xf>
    <xf numFmtId="168" fontId="19" fillId="0" borderId="0" xfId="43" applyNumberFormat="1" applyFont="1" applyFill="1" applyBorder="1" applyAlignment="1">
      <alignment vertical="center"/>
    </xf>
    <xf numFmtId="10" fontId="19" fillId="0" borderId="0" xfId="43" applyNumberFormat="1" applyFont="1" applyFill="1" applyBorder="1" applyAlignment="1">
      <alignment vertical="center"/>
    </xf>
    <xf numFmtId="43" fontId="19" fillId="0" borderId="138" xfId="1" applyFont="1" applyFill="1" applyBorder="1" applyAlignment="1">
      <alignment horizontal="center" vertical="center"/>
    </xf>
    <xf numFmtId="9" fontId="19" fillId="0" borderId="0" xfId="43" applyFont="1" applyFill="1" applyBorder="1" applyAlignment="1">
      <alignment horizontal="center" vertical="center"/>
    </xf>
    <xf numFmtId="1" fontId="19" fillId="0" borderId="0" xfId="44" applyNumberFormat="1" applyFont="1" applyFill="1" applyBorder="1" applyAlignment="1">
      <alignment horizontal="center" vertical="center" wrapText="1"/>
    </xf>
    <xf numFmtId="43" fontId="19" fillId="0" borderId="0" xfId="1" applyFont="1" applyFill="1" applyBorder="1" applyAlignment="1">
      <alignment horizontal="center" vertical="center" wrapText="1"/>
    </xf>
    <xf numFmtId="0" fontId="21" fillId="43" borderId="116" xfId="0" applyFont="1" applyFill="1" applyBorder="1" applyAlignment="1">
      <alignment horizontal="center" vertical="center" wrapText="1"/>
    </xf>
    <xf numFmtId="1" fontId="19" fillId="0" borderId="134" xfId="44" applyNumberFormat="1" applyFont="1" applyFill="1" applyBorder="1" applyAlignment="1">
      <alignment horizontal="center" vertical="center"/>
    </xf>
    <xf numFmtId="166" fontId="19" fillId="0" borderId="134" xfId="43" applyNumberFormat="1" applyFont="1" applyFill="1" applyBorder="1" applyAlignment="1">
      <alignment horizontal="center" vertical="center"/>
    </xf>
    <xf numFmtId="43" fontId="19" fillId="0" borderId="134" xfId="1" applyFont="1" applyFill="1" applyBorder="1" applyAlignment="1">
      <alignment horizontal="center" vertical="center"/>
    </xf>
    <xf numFmtId="43" fontId="19" fillId="0" borderId="145" xfId="1" applyFont="1" applyFill="1" applyBorder="1" applyAlignment="1">
      <alignment horizontal="center" vertical="center"/>
    </xf>
    <xf numFmtId="0" fontId="21" fillId="43" borderId="106" xfId="0" applyFont="1" applyFill="1" applyBorder="1" applyAlignment="1">
      <alignment horizontal="center" vertical="center" wrapText="1"/>
    </xf>
    <xf numFmtId="183" fontId="21" fillId="0" borderId="0" xfId="43" applyNumberFormat="1" applyFont="1" applyFill="1" applyBorder="1" applyAlignment="1">
      <alignment horizontal="center" vertical="center"/>
    </xf>
    <xf numFmtId="43" fontId="46" fillId="37" borderId="106" xfId="1" applyFont="1" applyFill="1" applyBorder="1" applyAlignment="1">
      <alignment wrapText="1"/>
    </xf>
    <xf numFmtId="166" fontId="46" fillId="37" borderId="112" xfId="1" applyNumberFormat="1" applyFont="1" applyFill="1" applyBorder="1" applyAlignment="1">
      <alignment wrapText="1"/>
    </xf>
    <xf numFmtId="3" fontId="19" fillId="37" borderId="106" xfId="0" applyNumberFormat="1" applyFont="1" applyFill="1" applyBorder="1" applyAlignment="1">
      <alignment vertical="center"/>
    </xf>
    <xf numFmtId="43" fontId="46" fillId="37" borderId="138" xfId="1" applyFont="1" applyFill="1" applyBorder="1" applyAlignment="1">
      <alignment wrapText="1"/>
    </xf>
    <xf numFmtId="43" fontId="46" fillId="37" borderId="145" xfId="1" applyFont="1" applyFill="1" applyBorder="1" applyAlignment="1">
      <alignment wrapText="1"/>
    </xf>
    <xf numFmtId="0" fontId="0" fillId="0" borderId="0" xfId="0" applyAlignment="1">
      <alignment vertical="center" wrapText="1"/>
    </xf>
    <xf numFmtId="43" fontId="0" fillId="0" borderId="0" xfId="1" applyFont="1" applyAlignment="1">
      <alignment vertical="center"/>
    </xf>
    <xf numFmtId="186" fontId="90" fillId="65" borderId="101" xfId="43" applyNumberFormat="1" applyFont="1" applyFill="1" applyBorder="1" applyAlignment="1">
      <alignment horizontal="center" vertical="center" wrapText="1"/>
    </xf>
    <xf numFmtId="43" fontId="0" fillId="35" borderId="0" xfId="1" applyFont="1" applyFill="1" applyAlignment="1">
      <alignment vertical="center"/>
    </xf>
    <xf numFmtId="43" fontId="0" fillId="49" borderId="0" xfId="1" applyFont="1" applyFill="1" applyAlignment="1">
      <alignment vertical="center"/>
    </xf>
    <xf numFmtId="43" fontId="0" fillId="49" borderId="0" xfId="1" applyFont="1" applyFill="1"/>
    <xf numFmtId="0" fontId="125" fillId="41" borderId="155" xfId="0" applyFont="1" applyFill="1" applyBorder="1" applyAlignment="1">
      <alignment horizontal="center" vertical="center" wrapText="1" readingOrder="1"/>
    </xf>
    <xf numFmtId="0" fontId="125" fillId="43" borderId="155" xfId="0" applyFont="1" applyFill="1" applyBorder="1" applyAlignment="1">
      <alignment horizontal="left" vertical="center" wrapText="1" readingOrder="1"/>
    </xf>
    <xf numFmtId="3" fontId="125" fillId="43" borderId="155" xfId="0" applyNumberFormat="1" applyFont="1" applyFill="1" applyBorder="1" applyAlignment="1">
      <alignment horizontal="right" vertical="center" wrapText="1" readingOrder="1"/>
    </xf>
    <xf numFmtId="9" fontId="125" fillId="43" borderId="155" xfId="43" applyFont="1" applyFill="1" applyBorder="1" applyAlignment="1">
      <alignment horizontal="right" vertical="center" wrapText="1" readingOrder="1"/>
    </xf>
    <xf numFmtId="0" fontId="126" fillId="72" borderId="155" xfId="0" applyFont="1" applyFill="1" applyBorder="1" applyAlignment="1">
      <alignment horizontal="left" vertical="center" wrapText="1" readingOrder="1"/>
    </xf>
    <xf numFmtId="3" fontId="126" fillId="72" borderId="155" xfId="0" applyNumberFormat="1" applyFont="1" applyFill="1" applyBorder="1" applyAlignment="1">
      <alignment horizontal="left" vertical="center" wrapText="1" readingOrder="1"/>
    </xf>
    <xf numFmtId="9" fontId="126" fillId="72" borderId="155" xfId="0" applyNumberFormat="1" applyFont="1" applyFill="1" applyBorder="1" applyAlignment="1">
      <alignment horizontal="center" vertical="center" wrapText="1" readingOrder="1"/>
    </xf>
    <xf numFmtId="0" fontId="126" fillId="73" borderId="155" xfId="0" applyFont="1" applyFill="1" applyBorder="1" applyAlignment="1">
      <alignment horizontal="left" vertical="center" wrapText="1" readingOrder="1"/>
    </xf>
    <xf numFmtId="0" fontId="126" fillId="73" borderId="155" xfId="0" applyFont="1" applyFill="1" applyBorder="1" applyAlignment="1">
      <alignment horizontal="center" vertical="center" wrapText="1" readingOrder="1"/>
    </xf>
    <xf numFmtId="3" fontId="126" fillId="73" borderId="155" xfId="0" applyNumberFormat="1" applyFont="1" applyFill="1" applyBorder="1" applyAlignment="1">
      <alignment horizontal="left" vertical="center" wrapText="1" readingOrder="1"/>
    </xf>
    <xf numFmtId="166" fontId="19" fillId="0" borderId="0" xfId="1" applyNumberFormat="1" applyFont="1" applyAlignment="1">
      <alignment vertical="center"/>
    </xf>
    <xf numFmtId="166" fontId="105" fillId="65" borderId="101" xfId="1" applyNumberFormat="1" applyFont="1" applyFill="1" applyBorder="1" applyAlignment="1">
      <alignment horizontal="center" vertical="center" wrapText="1"/>
    </xf>
    <xf numFmtId="166" fontId="95" fillId="0" borderId="0" xfId="1" applyNumberFormat="1" applyFont="1" applyAlignment="1">
      <alignment vertical="center"/>
    </xf>
    <xf numFmtId="166" fontId="96" fillId="0" borderId="0" xfId="1" applyNumberFormat="1" applyFont="1"/>
    <xf numFmtId="166" fontId="94" fillId="0" borderId="0" xfId="1" applyNumberFormat="1" applyFont="1" applyAlignment="1">
      <alignment vertical="center"/>
    </xf>
    <xf numFmtId="166" fontId="147" fillId="0" borderId="0" xfId="1" applyNumberFormat="1" applyFont="1" applyAlignment="1">
      <alignment vertical="center"/>
    </xf>
    <xf numFmtId="166" fontId="19" fillId="35" borderId="0" xfId="1" applyNumberFormat="1" applyFont="1" applyFill="1" applyAlignment="1">
      <alignment vertical="center"/>
    </xf>
    <xf numFmtId="166" fontId="46" fillId="37" borderId="106" xfId="1" applyNumberFormat="1" applyFont="1" applyFill="1" applyBorder="1" applyAlignment="1">
      <alignment wrapText="1"/>
    </xf>
    <xf numFmtId="0" fontId="21" fillId="0" borderId="0" xfId="0" applyFont="1"/>
    <xf numFmtId="0" fontId="17" fillId="0" borderId="0" xfId="0" applyFont="1"/>
    <xf numFmtId="43" fontId="17" fillId="0" borderId="0" xfId="1" applyFont="1"/>
    <xf numFmtId="168" fontId="45" fillId="0" borderId="0" xfId="1" applyNumberFormat="1" applyFont="1"/>
    <xf numFmtId="49" fontId="42" fillId="0" borderId="23" xfId="1" applyNumberFormat="1" applyFont="1" applyBorder="1" applyAlignment="1">
      <alignment horizontal="center" wrapText="1"/>
    </xf>
    <xf numFmtId="168" fontId="42" fillId="42" borderId="18" xfId="1" applyNumberFormat="1" applyFont="1" applyFill="1" applyBorder="1"/>
    <xf numFmtId="168" fontId="45" fillId="0" borderId="71" xfId="1" applyNumberFormat="1" applyFont="1" applyBorder="1"/>
    <xf numFmtId="168" fontId="45" fillId="0" borderId="23" xfId="1" applyNumberFormat="1" applyFont="1" applyBorder="1"/>
    <xf numFmtId="168" fontId="42" fillId="0" borderId="0" xfId="1" applyNumberFormat="1" applyFont="1"/>
    <xf numFmtId="168" fontId="0" fillId="0" borderId="0" xfId="0" applyNumberFormat="1"/>
    <xf numFmtId="168" fontId="17" fillId="0" borderId="0" xfId="0" applyNumberFormat="1" applyFont="1"/>
    <xf numFmtId="41" fontId="17" fillId="0" borderId="0" xfId="51" applyFont="1"/>
    <xf numFmtId="168" fontId="45" fillId="0" borderId="0" xfId="0" applyNumberFormat="1" applyFont="1"/>
    <xf numFmtId="168" fontId="0" fillId="64" borderId="0" xfId="0" applyNumberFormat="1" applyFill="1"/>
    <xf numFmtId="41" fontId="17" fillId="64" borderId="0" xfId="51" applyFont="1" applyFill="1"/>
    <xf numFmtId="0" fontId="17" fillId="64" borderId="0" xfId="0" applyFont="1" applyFill="1"/>
    <xf numFmtId="0" fontId="0" fillId="64" borderId="0" xfId="0" applyFill="1"/>
    <xf numFmtId="168" fontId="42" fillId="0" borderId="0" xfId="1" applyNumberFormat="1" applyFont="1" applyAlignment="1">
      <alignment horizontal="center"/>
    </xf>
    <xf numFmtId="168" fontId="17" fillId="64" borderId="0" xfId="0" applyNumberFormat="1" applyFont="1" applyFill="1"/>
    <xf numFmtId="168" fontId="42" fillId="0" borderId="161" xfId="1" applyNumberFormat="1" applyFont="1" applyBorder="1" applyAlignment="1">
      <alignment horizontal="center"/>
    </xf>
    <xf numFmtId="0" fontId="42" fillId="0" borderId="71" xfId="0" applyFont="1" applyBorder="1" applyAlignment="1">
      <alignment horizontal="center"/>
    </xf>
    <xf numFmtId="9" fontId="42" fillId="0" borderId="23" xfId="0" applyNumberFormat="1" applyFont="1" applyBorder="1" applyAlignment="1">
      <alignment horizontal="center"/>
    </xf>
    <xf numFmtId="168" fontId="45" fillId="0" borderId="23" xfId="0" applyNumberFormat="1" applyFont="1" applyBorder="1"/>
    <xf numFmtId="168" fontId="16" fillId="64" borderId="0" xfId="0" applyNumberFormat="1" applyFont="1" applyFill="1"/>
    <xf numFmtId="9" fontId="42" fillId="0" borderId="23" xfId="0" applyNumberFormat="1" applyFont="1" applyBorder="1"/>
    <xf numFmtId="0" fontId="46" fillId="0" borderId="0" xfId="0" applyFont="1"/>
    <xf numFmtId="168" fontId="42" fillId="0" borderId="162" xfId="1" applyNumberFormat="1" applyFont="1" applyBorder="1" applyAlignment="1">
      <alignment horizontal="center"/>
    </xf>
    <xf numFmtId="0" fontId="42" fillId="0" borderId="23" xfId="0" applyFont="1" applyBorder="1" applyAlignment="1">
      <alignment horizontal="center"/>
    </xf>
    <xf numFmtId="168" fontId="42" fillId="42" borderId="19" xfId="1" applyNumberFormat="1" applyFont="1" applyFill="1" applyBorder="1"/>
    <xf numFmtId="0" fontId="42" fillId="0" borderId="0" xfId="0" applyFont="1"/>
    <xf numFmtId="0" fontId="148" fillId="0" borderId="0" xfId="0" applyFont="1"/>
    <xf numFmtId="168" fontId="19" fillId="0" borderId="0" xfId="1" applyNumberFormat="1" applyFont="1"/>
    <xf numFmtId="168" fontId="42" fillId="64" borderId="0" xfId="1" applyNumberFormat="1" applyFont="1" applyFill="1" applyBorder="1"/>
    <xf numFmtId="168" fontId="19" fillId="0" borderId="0" xfId="1" applyNumberFormat="1" applyFont="1" applyBorder="1"/>
    <xf numFmtId="168" fontId="46" fillId="0" borderId="0" xfId="0" applyNumberFormat="1" applyFont="1"/>
    <xf numFmtId="9" fontId="42" fillId="0" borderId="0" xfId="0" applyNumberFormat="1" applyFont="1" applyAlignment="1">
      <alignment horizontal="center"/>
    </xf>
    <xf numFmtId="168" fontId="45" fillId="64" borderId="23" xfId="1" applyNumberFormat="1" applyFont="1" applyFill="1" applyBorder="1"/>
    <xf numFmtId="168" fontId="19" fillId="0" borderId="0" xfId="0" applyNumberFormat="1" applyFont="1"/>
    <xf numFmtId="170" fontId="19" fillId="0" borderId="0" xfId="1" applyNumberFormat="1" applyFont="1"/>
    <xf numFmtId="9" fontId="0" fillId="0" borderId="0" xfId="43" applyFont="1"/>
    <xf numFmtId="166" fontId="26" fillId="0" borderId="0" xfId="1" applyNumberFormat="1" applyFont="1"/>
    <xf numFmtId="166" fontId="21" fillId="0" borderId="82" xfId="1" applyNumberFormat="1" applyFont="1" applyBorder="1" applyAlignment="1">
      <alignment horizontal="center" vertical="center"/>
    </xf>
    <xf numFmtId="166" fontId="144" fillId="0" borderId="82" xfId="1" applyNumberFormat="1" applyFont="1" applyBorder="1" applyAlignment="1">
      <alignment horizontal="justify" vertical="center"/>
    </xf>
    <xf numFmtId="166" fontId="145" fillId="0" borderId="82" xfId="1" applyNumberFormat="1" applyFont="1" applyBorder="1" applyAlignment="1">
      <alignment horizontal="justify" vertical="center"/>
    </xf>
    <xf numFmtId="166" fontId="143" fillId="0" borderId="82" xfId="1" applyNumberFormat="1" applyFont="1" applyBorder="1" applyAlignment="1">
      <alignment horizontal="justify" vertical="center"/>
    </xf>
    <xf numFmtId="166" fontId="144" fillId="0" borderId="0" xfId="51" applyNumberFormat="1" applyFont="1"/>
    <xf numFmtId="166" fontId="86" fillId="63" borderId="82" xfId="1" applyNumberFormat="1" applyFont="1" applyFill="1" applyBorder="1" applyAlignment="1">
      <alignment horizontal="center" vertical="center"/>
    </xf>
    <xf numFmtId="166" fontId="46" fillId="37" borderId="145" xfId="1" applyNumberFormat="1" applyFont="1" applyFill="1" applyBorder="1" applyAlignment="1">
      <alignment wrapText="1"/>
    </xf>
    <xf numFmtId="3" fontId="19" fillId="35" borderId="106" xfId="0" applyNumberFormat="1" applyFont="1" applyFill="1" applyBorder="1" applyAlignment="1">
      <alignment vertical="center"/>
    </xf>
    <xf numFmtId="43" fontId="20" fillId="0" borderId="0" xfId="1" applyFont="1" applyFill="1" applyBorder="1" applyAlignment="1">
      <alignment horizontal="center" vertical="center"/>
    </xf>
    <xf numFmtId="166" fontId="46" fillId="0" borderId="0" xfId="1" applyNumberFormat="1" applyFont="1" applyFill="1" applyBorder="1" applyAlignment="1">
      <alignment wrapText="1"/>
    </xf>
    <xf numFmtId="166" fontId="46" fillId="37" borderId="112" xfId="1" applyNumberFormat="1" applyFont="1" applyFill="1" applyBorder="1" applyAlignment="1">
      <alignment vertical="center" wrapText="1"/>
    </xf>
    <xf numFmtId="43" fontId="46" fillId="63" borderId="23" xfId="1" applyFont="1" applyFill="1" applyBorder="1" applyAlignment="1">
      <alignment vertical="center" wrapText="1"/>
    </xf>
    <xf numFmtId="43" fontId="46" fillId="49" borderId="23" xfId="1" applyFont="1" applyFill="1" applyBorder="1" applyAlignment="1">
      <alignment vertical="center" wrapText="1"/>
    </xf>
    <xf numFmtId="166" fontId="46" fillId="0" borderId="112" xfId="1" applyNumberFormat="1" applyFont="1" applyFill="1" applyBorder="1" applyAlignment="1">
      <alignment vertical="center" wrapText="1"/>
    </xf>
    <xf numFmtId="166" fontId="46" fillId="0" borderId="116" xfId="1" applyNumberFormat="1" applyFont="1" applyFill="1" applyBorder="1" applyAlignment="1">
      <alignment vertical="center" wrapText="1"/>
    </xf>
    <xf numFmtId="166" fontId="46" fillId="49" borderId="112" xfId="1" applyNumberFormat="1" applyFont="1" applyFill="1" applyBorder="1" applyAlignment="1">
      <alignment vertical="center" wrapText="1"/>
    </xf>
    <xf numFmtId="166" fontId="46" fillId="0" borderId="106" xfId="1" applyNumberFormat="1" applyFont="1" applyFill="1" applyBorder="1" applyAlignment="1">
      <alignment vertical="center" wrapText="1"/>
    </xf>
    <xf numFmtId="166" fontId="46" fillId="63" borderId="116" xfId="1" applyNumberFormat="1" applyFont="1" applyFill="1" applyBorder="1" applyAlignment="1">
      <alignment vertical="center" wrapText="1"/>
    </xf>
    <xf numFmtId="166" fontId="46" fillId="35" borderId="116" xfId="1" applyNumberFormat="1" applyFont="1" applyFill="1" applyBorder="1" applyAlignment="1">
      <alignment vertical="center" wrapText="1"/>
    </xf>
    <xf numFmtId="166" fontId="46" fillId="63" borderId="112" xfId="1" applyNumberFormat="1" applyFont="1" applyFill="1" applyBorder="1" applyAlignment="1">
      <alignment vertical="center" wrapText="1"/>
    </xf>
    <xf numFmtId="3" fontId="20" fillId="0" borderId="63" xfId="0" applyNumberFormat="1" applyFont="1" applyBorder="1" applyAlignment="1">
      <alignment vertical="center"/>
    </xf>
    <xf numFmtId="3" fontId="20" fillId="0" borderId="10" xfId="0" applyNumberFormat="1" applyFont="1" applyBorder="1" applyAlignment="1">
      <alignment vertical="center"/>
    </xf>
    <xf numFmtId="169" fontId="50" fillId="12" borderId="10" xfId="22" applyNumberFormat="1" applyFont="1" applyBorder="1"/>
    <xf numFmtId="169" fontId="129" fillId="43" borderId="10" xfId="19" applyNumberFormat="1" applyFont="1" applyFill="1" applyBorder="1" applyAlignment="1">
      <alignment vertical="center"/>
    </xf>
    <xf numFmtId="169" fontId="130" fillId="49" borderId="10" xfId="39" applyNumberFormat="1" applyFont="1" applyFill="1" applyBorder="1" applyAlignment="1">
      <alignment vertical="center" wrapText="1"/>
    </xf>
    <xf numFmtId="169" fontId="131" fillId="43" borderId="0" xfId="43" applyNumberFormat="1" applyFont="1" applyFill="1"/>
    <xf numFmtId="166" fontId="46" fillId="78" borderId="138" xfId="1" applyNumberFormat="1" applyFont="1" applyFill="1" applyBorder="1" applyAlignment="1">
      <alignment vertical="center" wrapText="1"/>
    </xf>
    <xf numFmtId="166" fontId="46" fillId="78" borderId="116" xfId="1" applyNumberFormat="1" applyFont="1" applyFill="1" applyBorder="1" applyAlignment="1">
      <alignment vertical="center" wrapText="1"/>
    </xf>
    <xf numFmtId="166" fontId="46" fillId="78" borderId="112" xfId="1" applyNumberFormat="1" applyFont="1" applyFill="1" applyBorder="1" applyAlignment="1">
      <alignment vertical="center" wrapText="1"/>
    </xf>
    <xf numFmtId="3" fontId="18" fillId="0" borderId="0" xfId="0" applyNumberFormat="1" applyFont="1" applyAlignment="1">
      <alignment vertical="center" wrapText="1"/>
    </xf>
    <xf numFmtId="9" fontId="131" fillId="43" borderId="0" xfId="43" applyFont="1" applyFill="1"/>
    <xf numFmtId="0" fontId="150" fillId="79" borderId="155" xfId="0" applyFont="1" applyFill="1" applyBorder="1" applyAlignment="1">
      <alignment horizontal="center" vertical="center" wrapText="1" readingOrder="1"/>
    </xf>
    <xf numFmtId="166" fontId="150" fillId="79" borderId="155" xfId="1" applyNumberFormat="1" applyFont="1" applyFill="1" applyBorder="1" applyAlignment="1">
      <alignment horizontal="center" vertical="center" wrapText="1" readingOrder="1"/>
    </xf>
    <xf numFmtId="0" fontId="150" fillId="79" borderId="155" xfId="0" applyFont="1" applyFill="1" applyBorder="1" applyAlignment="1">
      <alignment vertical="center" wrapText="1" readingOrder="1"/>
    </xf>
    <xf numFmtId="0" fontId="152" fillId="79" borderId="155" xfId="0" applyFont="1" applyFill="1" applyBorder="1" applyAlignment="1">
      <alignment vertical="center" wrapText="1" readingOrder="1"/>
    </xf>
    <xf numFmtId="166" fontId="152" fillId="79" borderId="155" xfId="1" applyNumberFormat="1" applyFont="1" applyFill="1" applyBorder="1" applyAlignment="1">
      <alignment vertical="center" wrapText="1" readingOrder="1"/>
    </xf>
    <xf numFmtId="9" fontId="152" fillId="79" borderId="155" xfId="43" applyFont="1" applyFill="1" applyBorder="1" applyAlignment="1">
      <alignment vertical="center" wrapText="1" readingOrder="1"/>
    </xf>
    <xf numFmtId="0" fontId="153" fillId="0" borderId="155" xfId="0" applyFont="1" applyBorder="1" applyAlignment="1">
      <alignment vertical="center" wrapText="1" readingOrder="1"/>
    </xf>
    <xf numFmtId="166" fontId="149" fillId="0" borderId="155" xfId="1" applyNumberFormat="1" applyFont="1" applyBorder="1" applyAlignment="1">
      <alignment vertical="center" wrapText="1"/>
    </xf>
    <xf numFmtId="9" fontId="149" fillId="0" borderId="155" xfId="43" applyFont="1" applyBorder="1" applyAlignment="1">
      <alignment vertical="center" wrapText="1"/>
    </xf>
    <xf numFmtId="166" fontId="150" fillId="79" borderId="155" xfId="0" applyNumberFormat="1" applyFont="1" applyFill="1" applyBorder="1" applyAlignment="1">
      <alignment vertical="center" wrapText="1" readingOrder="1"/>
    </xf>
    <xf numFmtId="0" fontId="151" fillId="0" borderId="0" xfId="0" applyFont="1" applyAlignment="1">
      <alignment vertical="center"/>
    </xf>
    <xf numFmtId="166" fontId="151" fillId="0" borderId="0" xfId="1" applyNumberFormat="1" applyFont="1" applyAlignment="1">
      <alignment vertical="center"/>
    </xf>
    <xf numFmtId="166" fontId="153" fillId="0" borderId="155" xfId="1" applyNumberFormat="1" applyFont="1" applyBorder="1" applyAlignment="1">
      <alignment vertical="center" wrapText="1" readingOrder="1"/>
    </xf>
    <xf numFmtId="0" fontId="151" fillId="0" borderId="0" xfId="0" applyFont="1" applyAlignment="1">
      <alignment vertical="center" wrapText="1"/>
    </xf>
    <xf numFmtId="9" fontId="153" fillId="0" borderId="155" xfId="43" applyFont="1" applyBorder="1" applyAlignment="1">
      <alignment vertical="center" wrapText="1" readingOrder="1"/>
    </xf>
    <xf numFmtId="9" fontId="150" fillId="79" borderId="155" xfId="43" applyFont="1" applyFill="1" applyBorder="1" applyAlignment="1">
      <alignment vertical="center" wrapText="1" readingOrder="1"/>
    </xf>
    <xf numFmtId="43" fontId="19" fillId="0" borderId="0" xfId="1" applyFont="1" applyAlignment="1">
      <alignment vertical="center" wrapText="1"/>
    </xf>
    <xf numFmtId="43" fontId="20" fillId="0" borderId="10" xfId="1" applyFont="1" applyBorder="1" applyAlignment="1">
      <alignment vertical="center"/>
    </xf>
    <xf numFmtId="43" fontId="20" fillId="0" borderId="0" xfId="1" applyFont="1" applyAlignment="1">
      <alignment vertical="center"/>
    </xf>
    <xf numFmtId="43" fontId="18" fillId="0" borderId="0" xfId="1" applyFont="1" applyAlignment="1">
      <alignment vertical="center"/>
    </xf>
    <xf numFmtId="3" fontId="19" fillId="63" borderId="0" xfId="0" applyNumberFormat="1" applyFont="1" applyFill="1" applyAlignment="1">
      <alignment vertical="center"/>
    </xf>
    <xf numFmtId="3" fontId="21" fillId="63" borderId="0" xfId="0" applyNumberFormat="1" applyFont="1" applyFill="1" applyAlignment="1">
      <alignment vertical="center"/>
    </xf>
    <xf numFmtId="43" fontId="18" fillId="0" borderId="0" xfId="1" applyFont="1" applyAlignment="1">
      <alignment vertical="center" wrapText="1"/>
    </xf>
    <xf numFmtId="3" fontId="18" fillId="35" borderId="0" xfId="0" applyNumberFormat="1" applyFont="1" applyFill="1" applyAlignment="1">
      <alignment vertical="center"/>
    </xf>
    <xf numFmtId="10" fontId="18" fillId="0" borderId="0" xfId="43" applyNumberFormat="1" applyFont="1" applyAlignment="1">
      <alignment vertical="center"/>
    </xf>
    <xf numFmtId="0" fontId="88" fillId="80" borderId="0" xfId="0" applyFont="1" applyFill="1" applyAlignment="1">
      <alignment horizontal="left" vertical="center"/>
    </xf>
    <xf numFmtId="0" fontId="88" fillId="81" borderId="0" xfId="0" applyFont="1" applyFill="1" applyAlignment="1">
      <alignment vertical="center"/>
    </xf>
    <xf numFmtId="0" fontId="154" fillId="82" borderId="0" xfId="0" applyFont="1" applyFill="1" applyAlignment="1">
      <alignment vertical="center"/>
    </xf>
    <xf numFmtId="0" fontId="154" fillId="83" borderId="0" xfId="0" applyFont="1" applyFill="1" applyAlignment="1">
      <alignment vertical="center"/>
    </xf>
    <xf numFmtId="0" fontId="154" fillId="50" borderId="0" xfId="0" applyFont="1" applyFill="1" applyAlignment="1">
      <alignment vertical="center"/>
    </xf>
    <xf numFmtId="0" fontId="82" fillId="84" borderId="0" xfId="0" applyFont="1" applyFill="1" applyAlignment="1">
      <alignment vertical="center"/>
    </xf>
    <xf numFmtId="0" fontId="155" fillId="50" borderId="0" xfId="0" applyFont="1" applyFill="1" applyAlignment="1">
      <alignment vertical="center"/>
    </xf>
    <xf numFmtId="0" fontId="82" fillId="50" borderId="0" xfId="0" applyFont="1" applyFill="1" applyAlignment="1">
      <alignment vertical="center"/>
    </xf>
    <xf numFmtId="0" fontId="79" fillId="50" borderId="0" xfId="0" applyFont="1" applyFill="1" applyAlignment="1">
      <alignment vertical="center"/>
    </xf>
    <xf numFmtId="0" fontId="154" fillId="64" borderId="0" xfId="0" applyFont="1" applyFill="1" applyAlignment="1">
      <alignment vertical="center"/>
    </xf>
    <xf numFmtId="0" fontId="155" fillId="84" borderId="0" xfId="0" applyFont="1" applyFill="1" applyAlignment="1">
      <alignment vertical="center"/>
    </xf>
    <xf numFmtId="0" fontId="155" fillId="64" borderId="0" xfId="0" applyFont="1" applyFill="1" applyAlignment="1">
      <alignment vertical="center"/>
    </xf>
    <xf numFmtId="0" fontId="79" fillId="64" borderId="0" xfId="0" applyFont="1" applyFill="1" applyAlignment="1">
      <alignment vertical="center"/>
    </xf>
    <xf numFmtId="0" fontId="89" fillId="64" borderId="0" xfId="0" applyFont="1" applyFill="1" applyAlignment="1">
      <alignment vertical="center"/>
    </xf>
    <xf numFmtId="0" fontId="79" fillId="82" borderId="0" xfId="0" applyFont="1" applyFill="1" applyAlignment="1">
      <alignment vertical="center"/>
    </xf>
    <xf numFmtId="0" fontId="79" fillId="83" borderId="0" xfId="0" applyFont="1" applyFill="1" applyAlignment="1">
      <alignment vertical="center"/>
    </xf>
    <xf numFmtId="0" fontId="82" fillId="0" borderId="0" xfId="0" applyFont="1" applyAlignment="1">
      <alignment vertical="center"/>
    </xf>
    <xf numFmtId="0" fontId="82" fillId="64" borderId="0" xfId="0" applyFont="1" applyFill="1" applyAlignment="1">
      <alignment vertical="center"/>
    </xf>
    <xf numFmtId="0" fontId="82" fillId="62" borderId="0" xfId="0" applyFont="1" applyFill="1" applyAlignment="1">
      <alignment vertical="center"/>
    </xf>
    <xf numFmtId="0" fontId="89" fillId="62" borderId="0" xfId="0" applyFont="1" applyFill="1" applyAlignment="1">
      <alignment vertical="center"/>
    </xf>
    <xf numFmtId="0" fontId="79" fillId="62" borderId="0" xfId="0" applyFont="1" applyFill="1" applyAlignment="1">
      <alignment vertical="center"/>
    </xf>
    <xf numFmtId="0" fontId="82" fillId="64" borderId="0" xfId="0" applyFont="1" applyFill="1" applyAlignment="1">
      <alignment horizontal="left" vertical="center"/>
    </xf>
    <xf numFmtId="0" fontId="155" fillId="0" borderId="0" xfId="0" applyFont="1" applyAlignment="1">
      <alignment vertical="center"/>
    </xf>
    <xf numFmtId="0" fontId="155" fillId="83" borderId="0" xfId="0" applyFont="1" applyFill="1" applyAlignment="1">
      <alignment vertical="center"/>
    </xf>
    <xf numFmtId="0" fontId="89" fillId="83" borderId="0" xfId="0" applyFont="1" applyFill="1" applyAlignment="1">
      <alignment vertical="center"/>
    </xf>
    <xf numFmtId="0" fontId="89" fillId="0" borderId="0" xfId="0" applyFont="1" applyAlignment="1">
      <alignment horizontal="center" vertical="center"/>
    </xf>
    <xf numFmtId="49" fontId="156" fillId="0" borderId="0" xfId="0" applyNumberFormat="1" applyFont="1" applyAlignment="1">
      <alignment vertical="center" wrapText="1"/>
    </xf>
    <xf numFmtId="0" fontId="89" fillId="47" borderId="0" xfId="0" applyFont="1" applyFill="1" applyAlignment="1">
      <alignment vertical="center"/>
    </xf>
    <xf numFmtId="0" fontId="157" fillId="0" borderId="0" xfId="0" applyFont="1"/>
    <xf numFmtId="0" fontId="88" fillId="80" borderId="0" xfId="0" applyFont="1" applyFill="1" applyAlignment="1">
      <alignment horizontal="center" vertical="center"/>
    </xf>
    <xf numFmtId="0" fontId="88" fillId="80" borderId="0" xfId="0" applyFont="1" applyFill="1" applyAlignment="1">
      <alignment vertical="center"/>
    </xf>
    <xf numFmtId="0" fontId="88" fillId="80" borderId="0" xfId="0" applyFont="1" applyFill="1" applyAlignment="1">
      <alignment vertical="center" wrapText="1"/>
    </xf>
    <xf numFmtId="187" fontId="90" fillId="80" borderId="0" xfId="46" applyNumberFormat="1" applyFont="1" applyFill="1" applyAlignment="1">
      <alignment horizontal="left" vertical="center" wrapText="1"/>
    </xf>
    <xf numFmtId="0" fontId="88" fillId="47" borderId="0" xfId="0" applyFont="1" applyFill="1" applyAlignment="1">
      <alignment horizontal="center" vertical="center" wrapText="1"/>
    </xf>
    <xf numFmtId="0" fontId="158" fillId="0" borderId="0" xfId="0" applyFont="1" applyAlignment="1">
      <alignment vertical="center"/>
    </xf>
    <xf numFmtId="0" fontId="88" fillId="81" borderId="0" xfId="0" applyFont="1" applyFill="1" applyAlignment="1">
      <alignment horizontal="center" vertical="center"/>
    </xf>
    <xf numFmtId="0" fontId="88" fillId="81" borderId="0" xfId="0" applyFont="1" applyFill="1" applyAlignment="1">
      <alignment horizontal="center" vertical="center" wrapText="1"/>
    </xf>
    <xf numFmtId="0" fontId="88" fillId="81" borderId="0" xfId="0" applyFont="1" applyFill="1" applyAlignment="1">
      <alignment vertical="center" wrapText="1"/>
    </xf>
    <xf numFmtId="0" fontId="90" fillId="81" borderId="0" xfId="46" applyFont="1" applyFill="1" applyAlignment="1">
      <alignment horizontal="left" vertical="center" wrapText="1"/>
    </xf>
    <xf numFmtId="0" fontId="88" fillId="47" borderId="0" xfId="0" applyFont="1" applyFill="1" applyAlignment="1">
      <alignment horizontal="center" vertical="center"/>
    </xf>
    <xf numFmtId="0" fontId="157" fillId="0" borderId="0" xfId="0" applyFont="1" applyAlignment="1">
      <alignment vertical="center"/>
    </xf>
    <xf numFmtId="0" fontId="154" fillId="82" borderId="0" xfId="0" applyFont="1" applyFill="1" applyAlignment="1">
      <alignment horizontal="center" vertical="center"/>
    </xf>
    <xf numFmtId="0" fontId="154" fillId="82" borderId="0" xfId="0" applyFont="1" applyFill="1" applyAlignment="1">
      <alignment horizontal="left" vertical="center"/>
    </xf>
    <xf numFmtId="0" fontId="79" fillId="82" borderId="0" xfId="0" applyFont="1" applyFill="1" applyAlignment="1">
      <alignment vertical="center" readingOrder="1"/>
    </xf>
    <xf numFmtId="0" fontId="79" fillId="82" borderId="0" xfId="0" applyFont="1" applyFill="1" applyAlignment="1">
      <alignment horizontal="left" vertical="center" readingOrder="1"/>
    </xf>
    <xf numFmtId="0" fontId="79" fillId="82" borderId="0" xfId="0" applyFont="1" applyFill="1" applyAlignment="1">
      <alignment vertical="center" wrapText="1" readingOrder="1"/>
    </xf>
    <xf numFmtId="0" fontId="79" fillId="82" borderId="0" xfId="62" applyFont="1" applyFill="1" applyAlignment="1">
      <alignment horizontal="left" vertical="center" wrapText="1" readingOrder="1"/>
    </xf>
    <xf numFmtId="0" fontId="79" fillId="47" borderId="0" xfId="0" applyFont="1" applyFill="1" applyAlignment="1">
      <alignment horizontal="center" vertical="center" readingOrder="1"/>
    </xf>
    <xf numFmtId="0" fontId="154" fillId="83" borderId="0" xfId="0" applyFont="1" applyFill="1" applyAlignment="1">
      <alignment horizontal="center" vertical="center"/>
    </xf>
    <xf numFmtId="0" fontId="79" fillId="83" borderId="0" xfId="0" applyFont="1" applyFill="1" applyAlignment="1">
      <alignment vertical="center" readingOrder="1"/>
    </xf>
    <xf numFmtId="0" fontId="79" fillId="83" borderId="0" xfId="0" applyFont="1" applyFill="1" applyAlignment="1">
      <alignment horizontal="left" vertical="center" readingOrder="1"/>
    </xf>
    <xf numFmtId="0" fontId="79" fillId="83" borderId="0" xfId="0" applyFont="1" applyFill="1" applyAlignment="1">
      <alignment vertical="center" wrapText="1" readingOrder="1"/>
    </xf>
    <xf numFmtId="0" fontId="79" fillId="83" borderId="0" xfId="62" applyFont="1" applyFill="1" applyAlignment="1">
      <alignment horizontal="left" vertical="center" wrapText="1" readingOrder="1"/>
    </xf>
    <xf numFmtId="0" fontId="154" fillId="50" borderId="0" xfId="0" applyFont="1" applyFill="1" applyAlignment="1">
      <alignment horizontal="center" vertical="center"/>
    </xf>
    <xf numFmtId="0" fontId="154" fillId="50" borderId="0" xfId="0" applyFont="1" applyFill="1" applyAlignment="1">
      <alignment horizontal="left" vertical="center" wrapText="1"/>
    </xf>
    <xf numFmtId="0" fontId="79" fillId="47" borderId="0" xfId="0" applyFont="1" applyFill="1" applyAlignment="1">
      <alignment horizontal="center" vertical="center"/>
    </xf>
    <xf numFmtId="0" fontId="155" fillId="84" borderId="0" xfId="0" applyFont="1" applyFill="1" applyAlignment="1">
      <alignment horizontal="center" vertical="center"/>
    </xf>
    <xf numFmtId="0" fontId="79" fillId="84" borderId="0" xfId="0" applyFont="1" applyFill="1" applyAlignment="1">
      <alignment horizontal="center" vertical="center"/>
    </xf>
    <xf numFmtId="0" fontId="79" fillId="84" borderId="0" xfId="0" applyFont="1" applyFill="1" applyAlignment="1">
      <alignment vertical="center"/>
    </xf>
    <xf numFmtId="0" fontId="82" fillId="84" borderId="0" xfId="0" applyFont="1" applyFill="1" applyAlignment="1">
      <alignment horizontal="left" vertical="center"/>
    </xf>
    <xf numFmtId="0" fontId="82" fillId="84" borderId="0" xfId="0" applyFont="1" applyFill="1" applyAlignment="1">
      <alignment vertical="center" wrapText="1" readingOrder="1"/>
    </xf>
    <xf numFmtId="0" fontId="82" fillId="64" borderId="0" xfId="62" applyFont="1" applyFill="1" applyAlignment="1">
      <alignment horizontal="left" vertical="center" wrapText="1" readingOrder="1"/>
    </xf>
    <xf numFmtId="0" fontId="82" fillId="47" borderId="0" xfId="0" applyFont="1" applyFill="1" applyAlignment="1">
      <alignment horizontal="center" vertical="center"/>
    </xf>
    <xf numFmtId="0" fontId="155" fillId="50" borderId="0" xfId="0" applyFont="1" applyFill="1" applyAlignment="1">
      <alignment horizontal="center" vertical="center"/>
    </xf>
    <xf numFmtId="0" fontId="155" fillId="50" borderId="0" xfId="0" applyFont="1" applyFill="1" applyAlignment="1">
      <alignment horizontal="left" vertical="center"/>
    </xf>
    <xf numFmtId="0" fontId="82" fillId="50" borderId="0" xfId="0" applyFont="1" applyFill="1" applyAlignment="1">
      <alignment vertical="center" wrapText="1" readingOrder="1"/>
    </xf>
    <xf numFmtId="0" fontId="82" fillId="50" borderId="0" xfId="62" applyFont="1" applyFill="1" applyAlignment="1">
      <alignment horizontal="left" vertical="center" wrapText="1" readingOrder="1"/>
    </xf>
    <xf numFmtId="0" fontId="155" fillId="47" borderId="0" xfId="0" applyFont="1" applyFill="1" applyAlignment="1">
      <alignment horizontal="center" vertical="center"/>
    </xf>
    <xf numFmtId="0" fontId="155" fillId="84" borderId="0" xfId="0" applyFont="1" applyFill="1" applyAlignment="1">
      <alignment horizontal="left" vertical="center"/>
    </xf>
    <xf numFmtId="0" fontId="82" fillId="84" borderId="0" xfId="0" applyFont="1" applyFill="1" applyAlignment="1">
      <alignment vertical="center" wrapText="1"/>
    </xf>
    <xf numFmtId="0" fontId="154" fillId="50" borderId="0" xfId="0" applyFont="1" applyFill="1" applyAlignment="1">
      <alignment horizontal="left" vertical="center"/>
    </xf>
    <xf numFmtId="0" fontId="79" fillId="50" borderId="0" xfId="0" applyFont="1" applyFill="1" applyAlignment="1">
      <alignment vertical="center" wrapText="1"/>
    </xf>
    <xf numFmtId="0" fontId="79" fillId="50" borderId="0" xfId="0" applyFont="1" applyFill="1" applyAlignment="1">
      <alignment horizontal="left" vertical="center" wrapText="1"/>
    </xf>
    <xf numFmtId="0" fontId="82" fillId="84" borderId="0" xfId="0" applyFont="1" applyFill="1" applyAlignment="1">
      <alignment horizontal="center" vertical="center"/>
    </xf>
    <xf numFmtId="0" fontId="82" fillId="64" borderId="0" xfId="0" applyFont="1" applyFill="1" applyAlignment="1">
      <alignment horizontal="left" vertical="center" wrapText="1"/>
    </xf>
    <xf numFmtId="0" fontId="82" fillId="50" borderId="0" xfId="0" applyFont="1" applyFill="1" applyAlignment="1">
      <alignment horizontal="center" vertical="center"/>
    </xf>
    <xf numFmtId="0" fontId="82" fillId="50" borderId="0" xfId="0" applyFont="1" applyFill="1" applyAlignment="1">
      <alignment horizontal="left" vertical="center"/>
    </xf>
    <xf numFmtId="0" fontId="82" fillId="50" borderId="0" xfId="0" applyFont="1" applyFill="1" applyAlignment="1">
      <alignment vertical="center" wrapText="1"/>
    </xf>
    <xf numFmtId="0" fontId="82" fillId="50" borderId="0" xfId="0" applyFont="1" applyFill="1" applyAlignment="1">
      <alignment horizontal="left" vertical="center" wrapText="1"/>
    </xf>
    <xf numFmtId="0" fontId="79" fillId="50" borderId="0" xfId="0" applyFont="1" applyFill="1" applyAlignment="1">
      <alignment horizontal="center" vertical="center"/>
    </xf>
    <xf numFmtId="0" fontId="79" fillId="50" borderId="0" xfId="0" applyFont="1" applyFill="1" applyAlignment="1">
      <alignment horizontal="left" vertical="center"/>
    </xf>
    <xf numFmtId="0" fontId="154" fillId="64" borderId="0" xfId="0" applyFont="1" applyFill="1" applyAlignment="1">
      <alignment horizontal="center" vertical="center"/>
    </xf>
    <xf numFmtId="0" fontId="154" fillId="64" borderId="0" xfId="0" applyFont="1" applyFill="1" applyAlignment="1">
      <alignment horizontal="left" vertical="center"/>
    </xf>
    <xf numFmtId="0" fontId="79" fillId="64" borderId="0" xfId="0" applyFont="1" applyFill="1" applyAlignment="1">
      <alignment vertical="center" wrapText="1"/>
    </xf>
    <xf numFmtId="0" fontId="79" fillId="64" borderId="0" xfId="0" applyFont="1" applyFill="1" applyAlignment="1">
      <alignment horizontal="left" vertical="center" wrapText="1"/>
    </xf>
    <xf numFmtId="0" fontId="154" fillId="47" borderId="0" xfId="0" applyFont="1" applyFill="1" applyAlignment="1">
      <alignment horizontal="center" vertical="center"/>
    </xf>
    <xf numFmtId="0" fontId="154" fillId="64" borderId="0" xfId="0" applyFont="1" applyFill="1" applyAlignment="1">
      <alignment vertical="center" wrapText="1"/>
    </xf>
    <xf numFmtId="0" fontId="155" fillId="64" borderId="0" xfId="0" applyFont="1" applyFill="1" applyAlignment="1">
      <alignment horizontal="center" vertical="center"/>
    </xf>
    <xf numFmtId="0" fontId="155" fillId="64" borderId="0" xfId="0" applyFont="1" applyFill="1" applyAlignment="1">
      <alignment horizontal="left" vertical="center"/>
    </xf>
    <xf numFmtId="0" fontId="155" fillId="64" borderId="0" xfId="0" applyFont="1" applyFill="1" applyAlignment="1">
      <alignment vertical="center" wrapText="1"/>
    </xf>
    <xf numFmtId="0" fontId="79" fillId="64" borderId="0" xfId="0" applyFont="1" applyFill="1" applyAlignment="1">
      <alignment horizontal="center" vertical="center"/>
    </xf>
    <xf numFmtId="0" fontId="79" fillId="64" borderId="0" xfId="0" applyFont="1" applyFill="1" applyAlignment="1">
      <alignment horizontal="left" vertical="center"/>
    </xf>
    <xf numFmtId="0" fontId="82" fillId="64" borderId="0" xfId="0" applyFont="1" applyFill="1" applyAlignment="1">
      <alignment vertical="center" wrapText="1"/>
    </xf>
    <xf numFmtId="0" fontId="79" fillId="50" borderId="0" xfId="0" applyFont="1" applyFill="1" applyAlignment="1">
      <alignment vertical="center" readingOrder="1"/>
    </xf>
    <xf numFmtId="0" fontId="79" fillId="50" borderId="0" xfId="0" applyFont="1" applyFill="1" applyAlignment="1">
      <alignment horizontal="left" vertical="center" readingOrder="1"/>
    </xf>
    <xf numFmtId="0" fontId="89" fillId="64" borderId="0" xfId="0" applyFont="1" applyFill="1" applyAlignment="1">
      <alignment horizontal="left" vertical="center"/>
    </xf>
    <xf numFmtId="0" fontId="89" fillId="64" borderId="0" xfId="0" applyFont="1" applyFill="1" applyAlignment="1">
      <alignment vertical="center" wrapText="1"/>
    </xf>
    <xf numFmtId="0" fontId="89" fillId="64" borderId="0" xfId="0" applyFont="1" applyFill="1" applyAlignment="1">
      <alignment horizontal="left" vertical="center" wrapText="1"/>
    </xf>
    <xf numFmtId="0" fontId="89" fillId="47" borderId="0" xfId="0" applyFont="1" applyFill="1" applyAlignment="1">
      <alignment horizontal="center" vertical="center"/>
    </xf>
    <xf numFmtId="0" fontId="90" fillId="85" borderId="0" xfId="0" applyFont="1" applyFill="1" applyAlignment="1">
      <alignment horizontal="center" vertical="center"/>
    </xf>
    <xf numFmtId="0" fontId="79" fillId="82" borderId="0" xfId="0" applyFont="1" applyFill="1" applyAlignment="1">
      <alignment horizontal="center" vertical="center"/>
    </xf>
    <xf numFmtId="0" fontId="79" fillId="82" borderId="0" xfId="0" applyFont="1" applyFill="1" applyAlignment="1">
      <alignment horizontal="left" vertical="center"/>
    </xf>
    <xf numFmtId="0" fontId="79" fillId="82" borderId="0" xfId="0" applyFont="1" applyFill="1" applyAlignment="1">
      <alignment vertical="center" wrapText="1"/>
    </xf>
    <xf numFmtId="0" fontId="79" fillId="82" borderId="0" xfId="0" applyFont="1" applyFill="1" applyAlignment="1">
      <alignment horizontal="left" vertical="center" wrapText="1"/>
    </xf>
    <xf numFmtId="0" fontId="79" fillId="83" borderId="0" xfId="0" applyFont="1" applyFill="1" applyAlignment="1">
      <alignment horizontal="center" vertical="center"/>
    </xf>
    <xf numFmtId="0" fontId="79" fillId="83" borderId="0" xfId="0" applyFont="1" applyFill="1" applyAlignment="1">
      <alignment horizontal="left" vertical="center"/>
    </xf>
    <xf numFmtId="0" fontId="79" fillId="83" borderId="0" xfId="0" applyFont="1" applyFill="1" applyAlignment="1">
      <alignment vertical="center" wrapText="1"/>
    </xf>
    <xf numFmtId="0" fontId="79" fillId="83" borderId="0" xfId="0" applyFont="1" applyFill="1" applyAlignment="1">
      <alignment horizontal="left" vertical="center" wrapText="1"/>
    </xf>
    <xf numFmtId="0" fontId="82" fillId="0" borderId="0" xfId="0" applyFont="1" applyAlignment="1">
      <alignment horizontal="center" vertical="center"/>
    </xf>
    <xf numFmtId="0" fontId="82" fillId="0" borderId="0" xfId="0" applyFont="1" applyAlignment="1">
      <alignment horizontal="left" vertical="center" wrapText="1"/>
    </xf>
    <xf numFmtId="0" fontId="82" fillId="64" borderId="0" xfId="0" applyFont="1" applyFill="1" applyAlignment="1">
      <alignment horizontal="center" vertical="center"/>
    </xf>
    <xf numFmtId="0" fontId="154" fillId="83" borderId="0" xfId="0" applyFont="1" applyFill="1" applyAlignment="1">
      <alignment horizontal="left" vertical="center"/>
    </xf>
    <xf numFmtId="0" fontId="82" fillId="62" borderId="0" xfId="0" applyFont="1" applyFill="1" applyAlignment="1">
      <alignment horizontal="center" vertical="center"/>
    </xf>
    <xf numFmtId="0" fontId="82" fillId="62" borderId="0" xfId="0" applyFont="1" applyFill="1" applyAlignment="1">
      <alignment horizontal="left" vertical="center"/>
    </xf>
    <xf numFmtId="0" fontId="82" fillId="62" borderId="0" xfId="0" applyFont="1" applyFill="1" applyAlignment="1">
      <alignment vertical="center" wrapText="1" readingOrder="1"/>
    </xf>
    <xf numFmtId="0" fontId="82" fillId="62" borderId="0" xfId="62" applyFont="1" applyFill="1" applyAlignment="1">
      <alignment horizontal="left" vertical="center" wrapText="1" readingOrder="1"/>
    </xf>
    <xf numFmtId="0" fontId="82" fillId="62" borderId="0" xfId="0" applyFont="1" applyFill="1" applyAlignment="1">
      <alignment vertical="center" wrapText="1"/>
    </xf>
    <xf numFmtId="0" fontId="82" fillId="62" borderId="0" xfId="0" applyFont="1" applyFill="1" applyAlignment="1">
      <alignment horizontal="left" vertical="center" wrapText="1"/>
    </xf>
    <xf numFmtId="0" fontId="89" fillId="62" borderId="0" xfId="0" applyFont="1" applyFill="1" applyAlignment="1">
      <alignment horizontal="left" vertical="center"/>
    </xf>
    <xf numFmtId="0" fontId="89" fillId="62" borderId="0" xfId="0" applyFont="1" applyFill="1" applyAlignment="1">
      <alignment vertical="center" wrapText="1"/>
    </xf>
    <xf numFmtId="0" fontId="89" fillId="62" borderId="0" xfId="0" applyFont="1" applyFill="1" applyAlignment="1">
      <alignment horizontal="left" vertical="center" wrapText="1"/>
    </xf>
    <xf numFmtId="0" fontId="160" fillId="62" borderId="0" xfId="0" applyFont="1" applyFill="1" applyAlignment="1">
      <alignment horizontal="center" vertical="center"/>
    </xf>
    <xf numFmtId="0" fontId="160" fillId="62" borderId="0" xfId="0" applyFont="1" applyFill="1" applyAlignment="1">
      <alignment vertical="center"/>
    </xf>
    <xf numFmtId="0" fontId="89" fillId="62" borderId="0" xfId="0" applyFont="1" applyFill="1" applyAlignment="1">
      <alignment vertical="center" wrapText="1" readingOrder="1"/>
    </xf>
    <xf numFmtId="0" fontId="89" fillId="62" borderId="0" xfId="62" applyFont="1" applyFill="1" applyAlignment="1">
      <alignment horizontal="left" vertical="center" wrapText="1" readingOrder="1"/>
    </xf>
    <xf numFmtId="0" fontId="79" fillId="62" borderId="0" xfId="0" applyFont="1" applyFill="1" applyAlignment="1">
      <alignment horizontal="center" vertical="center"/>
    </xf>
    <xf numFmtId="0" fontId="79" fillId="62" borderId="0" xfId="0" applyFont="1" applyFill="1" applyAlignment="1">
      <alignment horizontal="left" vertical="center"/>
    </xf>
    <xf numFmtId="0" fontId="79" fillId="62" borderId="0" xfId="0" applyFont="1" applyFill="1" applyAlignment="1">
      <alignment vertical="center" wrapText="1" readingOrder="1"/>
    </xf>
    <xf numFmtId="0" fontId="79" fillId="62" borderId="0" xfId="62" applyFont="1" applyFill="1" applyAlignment="1">
      <alignment horizontal="left" vertical="center" wrapText="1" readingOrder="1"/>
    </xf>
    <xf numFmtId="0" fontId="79" fillId="64" borderId="0" xfId="0" applyFont="1" applyFill="1" applyAlignment="1">
      <alignment vertical="center" wrapText="1" readingOrder="1"/>
    </xf>
    <xf numFmtId="0" fontId="79" fillId="64" borderId="0" xfId="62" applyFont="1" applyFill="1" applyAlignment="1">
      <alignment horizontal="left" vertical="center" wrapText="1" readingOrder="1"/>
    </xf>
    <xf numFmtId="0" fontId="82" fillId="47" borderId="0" xfId="0" applyFont="1" applyFill="1" applyAlignment="1">
      <alignment horizontal="center" vertical="center" wrapText="1"/>
    </xf>
    <xf numFmtId="0" fontId="89" fillId="84" borderId="0" xfId="0" applyFont="1" applyFill="1" applyAlignment="1">
      <alignment vertical="center"/>
    </xf>
    <xf numFmtId="187" fontId="82" fillId="64" borderId="0" xfId="62" applyNumberFormat="1" applyFont="1" applyFill="1" applyAlignment="1">
      <alignment horizontal="left" vertical="center" wrapText="1"/>
    </xf>
    <xf numFmtId="0" fontId="154" fillId="83" borderId="0" xfId="0" applyFont="1" applyFill="1" applyAlignment="1">
      <alignment vertical="center" wrapText="1"/>
    </xf>
    <xf numFmtId="0" fontId="154" fillId="83" borderId="0" xfId="0" applyFont="1" applyFill="1" applyAlignment="1">
      <alignment horizontal="left" vertical="center" wrapText="1"/>
    </xf>
    <xf numFmtId="0" fontId="154" fillId="50" borderId="0" xfId="0" applyFont="1" applyFill="1" applyAlignment="1">
      <alignment vertical="center" wrapText="1"/>
    </xf>
    <xf numFmtId="0" fontId="160" fillId="50" borderId="0" xfId="0" applyFont="1" applyFill="1" applyAlignment="1">
      <alignment horizontal="left" vertical="center" wrapText="1"/>
    </xf>
    <xf numFmtId="0" fontId="160" fillId="64" borderId="0" xfId="0" applyFont="1" applyFill="1" applyAlignment="1">
      <alignment horizontal="left" vertical="center" wrapText="1"/>
    </xf>
    <xf numFmtId="0" fontId="155" fillId="84" borderId="0" xfId="0" applyFont="1" applyFill="1" applyAlignment="1">
      <alignment vertical="center" wrapText="1"/>
    </xf>
    <xf numFmtId="0" fontId="161" fillId="84" borderId="0" xfId="0" applyFont="1" applyFill="1" applyAlignment="1">
      <alignment vertical="center"/>
    </xf>
    <xf numFmtId="0" fontId="155" fillId="0" borderId="0" xfId="0" applyFont="1" applyAlignment="1">
      <alignment horizontal="center" vertical="center"/>
    </xf>
    <xf numFmtId="0" fontId="155" fillId="0" borderId="0" xfId="0" applyFont="1" applyAlignment="1">
      <alignment vertical="center" wrapText="1"/>
    </xf>
    <xf numFmtId="0" fontId="89" fillId="0" borderId="0" xfId="0" applyFont="1" applyAlignment="1">
      <alignment horizontal="left" vertical="center" wrapText="1"/>
    </xf>
    <xf numFmtId="0" fontId="89" fillId="50" borderId="0" xfId="0" applyFont="1" applyFill="1" applyAlignment="1">
      <alignment horizontal="left" vertical="center" wrapText="1"/>
    </xf>
    <xf numFmtId="0" fontId="154" fillId="64" borderId="0" xfId="0" applyFont="1" applyFill="1" applyAlignment="1">
      <alignment horizontal="left" vertical="center" wrapText="1"/>
    </xf>
    <xf numFmtId="0" fontId="157" fillId="64" borderId="0" xfId="0" applyFont="1" applyFill="1" applyAlignment="1">
      <alignment vertical="center"/>
    </xf>
    <xf numFmtId="0" fontId="155" fillId="64" borderId="0" xfId="0" applyFont="1" applyFill="1" applyAlignment="1">
      <alignment horizontal="left" vertical="center" wrapText="1"/>
    </xf>
    <xf numFmtId="0" fontId="160" fillId="64" borderId="0" xfId="0" applyFont="1" applyFill="1" applyAlignment="1">
      <alignment vertical="center"/>
    </xf>
    <xf numFmtId="0" fontId="82" fillId="64" borderId="0" xfId="0" applyFont="1" applyFill="1" applyAlignment="1">
      <alignment vertical="center" wrapText="1" readingOrder="1"/>
    </xf>
    <xf numFmtId="0" fontId="155" fillId="50" borderId="0" xfId="0" applyFont="1" applyFill="1" applyAlignment="1">
      <alignment vertical="center" wrapText="1"/>
    </xf>
    <xf numFmtId="0" fontId="88" fillId="81" borderId="0" xfId="0" applyFont="1" applyFill="1" applyAlignment="1">
      <alignment horizontal="left" vertical="center"/>
    </xf>
    <xf numFmtId="0" fontId="79" fillId="81" borderId="0" xfId="46" applyFont="1" applyFill="1" applyAlignment="1">
      <alignment horizontal="left" vertical="center" wrapText="1"/>
    </xf>
    <xf numFmtId="49" fontId="82" fillId="50" borderId="0" xfId="0" applyNumberFormat="1" applyFont="1" applyFill="1" applyAlignment="1">
      <alignment horizontal="left" vertical="center"/>
    </xf>
    <xf numFmtId="0" fontId="89" fillId="50" borderId="0" xfId="0" applyFont="1" applyFill="1" applyAlignment="1">
      <alignment horizontal="left" vertical="center"/>
    </xf>
    <xf numFmtId="0" fontId="155" fillId="83" borderId="0" xfId="0" applyFont="1" applyFill="1" applyAlignment="1">
      <alignment horizontal="center" vertical="center"/>
    </xf>
    <xf numFmtId="0" fontId="82" fillId="83" borderId="0" xfId="0" applyFont="1" applyFill="1" applyAlignment="1">
      <alignment vertical="center" wrapText="1"/>
    </xf>
    <xf numFmtId="0" fontId="82" fillId="83" borderId="0" xfId="0" applyFont="1" applyFill="1" applyAlignment="1">
      <alignment horizontal="left" vertical="center" wrapText="1"/>
    </xf>
    <xf numFmtId="0" fontId="155" fillId="83" borderId="0" xfId="0" applyFont="1" applyFill="1" applyAlignment="1">
      <alignment vertical="center" wrapText="1"/>
    </xf>
    <xf numFmtId="0" fontId="155" fillId="83" borderId="0" xfId="0" applyFont="1" applyFill="1" applyAlignment="1">
      <alignment horizontal="left" vertical="center"/>
    </xf>
    <xf numFmtId="0" fontId="159" fillId="83" borderId="0" xfId="0" applyFont="1" applyFill="1" applyAlignment="1">
      <alignment horizontal="left" vertical="center" wrapText="1"/>
    </xf>
    <xf numFmtId="0" fontId="160" fillId="83" borderId="0" xfId="0" applyFont="1" applyFill="1" applyAlignment="1">
      <alignment horizontal="center" vertical="center"/>
    </xf>
    <xf numFmtId="0" fontId="160" fillId="83" borderId="0" xfId="0" applyFont="1" applyFill="1" applyAlignment="1">
      <alignment vertical="center"/>
    </xf>
    <xf numFmtId="0" fontId="160" fillId="83" borderId="0" xfId="0" applyFont="1" applyFill="1" applyAlignment="1">
      <alignment horizontal="left" vertical="center"/>
    </xf>
    <xf numFmtId="0" fontId="89" fillId="83" borderId="0" xfId="0" applyFont="1" applyFill="1" applyAlignment="1">
      <alignment vertical="center" wrapText="1"/>
    </xf>
    <xf numFmtId="0" fontId="89" fillId="83" borderId="0" xfId="0" applyFont="1" applyFill="1" applyAlignment="1">
      <alignment horizontal="left" vertical="center" wrapText="1"/>
    </xf>
    <xf numFmtId="0" fontId="154" fillId="82" borderId="0" xfId="0" applyFont="1" applyFill="1" applyAlignment="1">
      <alignment vertical="center" wrapText="1"/>
    </xf>
    <xf numFmtId="0" fontId="160" fillId="83" borderId="0" xfId="0" applyFont="1" applyFill="1" applyAlignment="1">
      <alignment horizontal="left" vertical="center" wrapText="1"/>
    </xf>
    <xf numFmtId="188" fontId="82" fillId="83" borderId="0" xfId="0" applyNumberFormat="1" applyFont="1" applyFill="1" applyAlignment="1">
      <alignment horizontal="left" vertical="center" wrapText="1"/>
    </xf>
    <xf numFmtId="0" fontId="162" fillId="0" borderId="0" xfId="0" applyFont="1" applyAlignment="1">
      <alignment horizontal="justify" vertical="center"/>
    </xf>
    <xf numFmtId="0" fontId="157" fillId="0" borderId="0" xfId="0" applyFont="1" applyAlignment="1">
      <alignment horizontal="center" vertical="center"/>
    </xf>
    <xf numFmtId="0" fontId="157" fillId="47" borderId="0" xfId="0" applyFont="1" applyFill="1" applyAlignment="1">
      <alignment horizontal="center" vertical="center"/>
    </xf>
    <xf numFmtId="0" fontId="157" fillId="0" borderId="0" xfId="0" applyFont="1" applyAlignment="1">
      <alignment vertical="center" wrapText="1"/>
    </xf>
    <xf numFmtId="43" fontId="100" fillId="75" borderId="167" xfId="1" applyFont="1" applyFill="1" applyBorder="1" applyAlignment="1">
      <alignment horizontal="center" vertical="center" wrapText="1"/>
    </xf>
    <xf numFmtId="43" fontId="88" fillId="80" borderId="0" xfId="1" applyFont="1" applyFill="1" applyAlignment="1">
      <alignment horizontal="center" vertical="center"/>
    </xf>
    <xf numFmtId="43" fontId="88" fillId="81" borderId="0" xfId="1" applyFont="1" applyFill="1" applyAlignment="1">
      <alignment horizontal="center" vertical="center"/>
    </xf>
    <xf numFmtId="43" fontId="79" fillId="82" borderId="0" xfId="1" applyFont="1" applyFill="1" applyAlignment="1">
      <alignment horizontal="left" vertical="center" readingOrder="1"/>
    </xf>
    <xf numFmtId="43" fontId="79" fillId="83" borderId="0" xfId="1" applyFont="1" applyFill="1" applyAlignment="1">
      <alignment horizontal="left" vertical="center" readingOrder="1"/>
    </xf>
    <xf numFmtId="43" fontId="155" fillId="50" borderId="0" xfId="1" applyFont="1" applyFill="1" applyAlignment="1">
      <alignment horizontal="left" vertical="center"/>
    </xf>
    <xf numFmtId="43" fontId="154" fillId="50" borderId="0" xfId="1" applyFont="1" applyFill="1" applyAlignment="1">
      <alignment horizontal="left" vertical="center"/>
    </xf>
    <xf numFmtId="43" fontId="82" fillId="84" borderId="0" xfId="1" applyFont="1" applyFill="1" applyAlignment="1">
      <alignment horizontal="left" vertical="center"/>
    </xf>
    <xf numFmtId="43" fontId="82" fillId="50" borderId="0" xfId="1" applyFont="1" applyFill="1" applyAlignment="1">
      <alignment horizontal="left" vertical="center"/>
    </xf>
    <xf numFmtId="43" fontId="79" fillId="50" borderId="0" xfId="1" applyFont="1" applyFill="1" applyAlignment="1">
      <alignment horizontal="left" vertical="center"/>
    </xf>
    <xf numFmtId="43" fontId="154" fillId="64" borderId="0" xfId="1" applyFont="1" applyFill="1" applyAlignment="1">
      <alignment horizontal="left" vertical="center"/>
    </xf>
    <xf numFmtId="43" fontId="155" fillId="64" borderId="0" xfId="1" applyFont="1" applyFill="1" applyAlignment="1">
      <alignment horizontal="left" vertical="center"/>
    </xf>
    <xf numFmtId="43" fontId="79" fillId="64" borderId="0" xfId="1" applyFont="1" applyFill="1" applyAlignment="1">
      <alignment horizontal="left" vertical="center"/>
    </xf>
    <xf numFmtId="43" fontId="155" fillId="84" borderId="0" xfId="1" applyFont="1" applyFill="1" applyAlignment="1">
      <alignment horizontal="left" vertical="center"/>
    </xf>
    <xf numFmtId="43" fontId="79" fillId="50" borderId="0" xfId="1" applyFont="1" applyFill="1" applyAlignment="1">
      <alignment horizontal="left" vertical="center" readingOrder="1"/>
    </xf>
    <xf numFmtId="43" fontId="79" fillId="82" borderId="0" xfId="1" applyFont="1" applyFill="1" applyAlignment="1">
      <alignment horizontal="left" vertical="center"/>
    </xf>
    <xf numFmtId="43" fontId="79" fillId="83" borderId="0" xfId="1" applyFont="1" applyFill="1" applyAlignment="1">
      <alignment horizontal="left" vertical="center"/>
    </xf>
    <xf numFmtId="43" fontId="82" fillId="64" borderId="0" xfId="1" applyFont="1" applyFill="1" applyAlignment="1">
      <alignment horizontal="left" vertical="center"/>
    </xf>
    <xf numFmtId="43" fontId="154" fillId="83" borderId="0" xfId="1" applyFont="1" applyFill="1" applyAlignment="1">
      <alignment horizontal="left" vertical="center"/>
    </xf>
    <xf numFmtId="43" fontId="82" fillId="62" borderId="0" xfId="1" applyFont="1" applyFill="1" applyAlignment="1">
      <alignment horizontal="left" vertical="center"/>
    </xf>
    <xf numFmtId="43" fontId="89" fillId="62" borderId="0" xfId="1" applyFont="1" applyFill="1" applyAlignment="1">
      <alignment horizontal="left" vertical="center"/>
    </xf>
    <xf numFmtId="43" fontId="79" fillId="62" borderId="0" xfId="1" applyFont="1" applyFill="1" applyAlignment="1">
      <alignment horizontal="left" vertical="center"/>
    </xf>
    <xf numFmtId="43" fontId="82" fillId="84" borderId="0" xfId="1" applyFont="1" applyFill="1" applyAlignment="1">
      <alignment horizontal="center" vertical="center"/>
    </xf>
    <xf numFmtId="43" fontId="79" fillId="50" borderId="0" xfId="1" applyFont="1" applyFill="1" applyAlignment="1">
      <alignment horizontal="center" vertical="center"/>
    </xf>
    <xf numFmtId="43" fontId="154" fillId="50" borderId="0" xfId="1" applyFont="1" applyFill="1" applyAlignment="1">
      <alignment vertical="center"/>
    </xf>
    <xf numFmtId="43" fontId="154" fillId="64" borderId="0" xfId="1" applyFont="1" applyFill="1" applyAlignment="1">
      <alignment vertical="center"/>
    </xf>
    <xf numFmtId="43" fontId="155" fillId="84" borderId="0" xfId="1" applyFont="1" applyFill="1" applyAlignment="1">
      <alignment vertical="center"/>
    </xf>
    <xf numFmtId="43" fontId="155" fillId="64" borderId="0" xfId="1" applyFont="1" applyFill="1" applyAlignment="1">
      <alignment vertical="center"/>
    </xf>
    <xf numFmtId="43" fontId="155" fillId="0" borderId="0" xfId="1" applyFont="1" applyAlignment="1">
      <alignment vertical="center"/>
    </xf>
    <xf numFmtId="43" fontId="89" fillId="64" borderId="0" xfId="1" applyFont="1" applyFill="1" applyAlignment="1">
      <alignment horizontal="left" vertical="center" wrapText="1"/>
    </xf>
    <xf numFmtId="43" fontId="157" fillId="64" borderId="0" xfId="1" applyFont="1" applyFill="1" applyAlignment="1">
      <alignment vertical="center"/>
    </xf>
    <xf numFmtId="43" fontId="82" fillId="64" borderId="0" xfId="1" applyFont="1" applyFill="1" applyAlignment="1">
      <alignment vertical="center"/>
    </xf>
    <xf numFmtId="43" fontId="155" fillId="50" borderId="0" xfId="1" applyFont="1" applyFill="1" applyAlignment="1">
      <alignment vertical="center"/>
    </xf>
    <xf numFmtId="43" fontId="154" fillId="83" borderId="0" xfId="1" applyFont="1" applyFill="1" applyAlignment="1">
      <alignment vertical="center"/>
    </xf>
    <xf numFmtId="43" fontId="88" fillId="81" borderId="0" xfId="1" applyFont="1" applyFill="1" applyAlignment="1">
      <alignment horizontal="left" vertical="center"/>
    </xf>
    <xf numFmtId="43" fontId="154" fillId="82" borderId="0" xfId="1" applyFont="1" applyFill="1" applyAlignment="1">
      <alignment horizontal="left" vertical="center"/>
    </xf>
    <xf numFmtId="43" fontId="89" fillId="50" borderId="0" xfId="1" applyFont="1" applyFill="1" applyAlignment="1">
      <alignment horizontal="left" vertical="center"/>
    </xf>
    <xf numFmtId="43" fontId="155" fillId="83" borderId="0" xfId="1" applyFont="1" applyFill="1" applyAlignment="1">
      <alignment horizontal="left" vertical="center"/>
    </xf>
    <xf numFmtId="43" fontId="160" fillId="83" borderId="0" xfId="1" applyFont="1" applyFill="1" applyAlignment="1">
      <alignment horizontal="left" vertical="center"/>
    </xf>
    <xf numFmtId="43" fontId="82" fillId="50" borderId="0" xfId="1" applyFont="1" applyFill="1" applyAlignment="1">
      <alignment vertical="center"/>
    </xf>
    <xf numFmtId="43" fontId="155" fillId="83" borderId="0" xfId="1" applyFont="1" applyFill="1" applyAlignment="1">
      <alignment horizontal="center" vertical="center"/>
    </xf>
    <xf numFmtId="43" fontId="157" fillId="0" borderId="0" xfId="1" applyFont="1" applyAlignment="1">
      <alignment vertical="center"/>
    </xf>
    <xf numFmtId="166" fontId="46" fillId="35" borderId="112" xfId="1" applyNumberFormat="1" applyFont="1" applyFill="1" applyBorder="1" applyAlignment="1">
      <alignment vertical="center" wrapText="1"/>
    </xf>
    <xf numFmtId="43" fontId="82" fillId="84" borderId="0" xfId="1" quotePrefix="1" applyFont="1" applyFill="1" applyAlignment="1">
      <alignment horizontal="center" vertical="center"/>
    </xf>
    <xf numFmtId="3" fontId="94" fillId="0" borderId="106" xfId="0" applyNumberFormat="1" applyFont="1" applyBorder="1" applyAlignment="1">
      <alignment vertical="center"/>
    </xf>
    <xf numFmtId="3" fontId="97" fillId="35" borderId="0" xfId="0" applyNumberFormat="1" applyFont="1" applyFill="1" applyAlignment="1">
      <alignment vertical="center"/>
    </xf>
    <xf numFmtId="3" fontId="94" fillId="35" borderId="0" xfId="0" applyNumberFormat="1" applyFont="1" applyFill="1" applyAlignment="1">
      <alignment vertical="center"/>
    </xf>
    <xf numFmtId="3" fontId="94" fillId="35" borderId="134" xfId="0" applyNumberFormat="1" applyFont="1" applyFill="1" applyBorder="1" applyAlignment="1">
      <alignment vertical="center"/>
    </xf>
    <xf numFmtId="3" fontId="94" fillId="35" borderId="0" xfId="0" applyNumberFormat="1" applyFont="1" applyFill="1" applyAlignment="1">
      <alignment vertical="center" wrapText="1"/>
    </xf>
    <xf numFmtId="10" fontId="94" fillId="35" borderId="0" xfId="43" applyNumberFormat="1" applyFont="1" applyFill="1" applyAlignment="1">
      <alignment vertical="center"/>
    </xf>
    <xf numFmtId="3" fontId="97" fillId="35" borderId="63" xfId="0" applyNumberFormat="1" applyFont="1" applyFill="1" applyBorder="1" applyAlignment="1">
      <alignment vertical="center"/>
    </xf>
    <xf numFmtId="166" fontId="14" fillId="35" borderId="116" xfId="1" applyNumberFormat="1" applyFont="1" applyFill="1" applyBorder="1" applyAlignment="1">
      <alignment wrapText="1"/>
    </xf>
    <xf numFmtId="166" fontId="14" fillId="35" borderId="0" xfId="1" applyNumberFormat="1" applyFont="1" applyFill="1" applyBorder="1" applyAlignment="1">
      <alignment wrapText="1"/>
    </xf>
    <xf numFmtId="3" fontId="19" fillId="86" borderId="120" xfId="0" applyNumberFormat="1" applyFont="1" applyFill="1" applyBorder="1" applyAlignment="1">
      <alignment vertical="center"/>
    </xf>
    <xf numFmtId="3" fontId="19" fillId="86" borderId="106" xfId="0" applyNumberFormat="1" applyFont="1" applyFill="1" applyBorder="1" applyAlignment="1">
      <alignment vertical="center"/>
    </xf>
    <xf numFmtId="43" fontId="97" fillId="0" borderId="0" xfId="1" applyFont="1" applyFill="1" applyBorder="1" applyAlignment="1">
      <alignment horizontal="center" vertical="center"/>
    </xf>
    <xf numFmtId="168" fontId="19" fillId="87" borderId="137" xfId="35" applyNumberFormat="1" applyFont="1" applyFill="1" applyBorder="1" applyAlignment="1">
      <alignment horizontal="center" vertical="center" wrapText="1"/>
    </xf>
    <xf numFmtId="168" fontId="21" fillId="87" borderId="137" xfId="35" applyNumberFormat="1" applyFont="1" applyFill="1" applyBorder="1" applyAlignment="1">
      <alignment horizontal="center" vertical="center" wrapText="1"/>
    </xf>
    <xf numFmtId="168" fontId="21" fillId="87" borderId="142" xfId="35" applyNumberFormat="1" applyFont="1" applyFill="1" applyBorder="1" applyAlignment="1">
      <alignment horizontal="center" vertical="center" wrapText="1"/>
    </xf>
    <xf numFmtId="168" fontId="18" fillId="0" borderId="0" xfId="43" applyNumberFormat="1" applyFont="1" applyFill="1" applyBorder="1" applyAlignment="1">
      <alignment vertical="center"/>
    </xf>
    <xf numFmtId="10" fontId="18" fillId="0" borderId="0" xfId="43" applyNumberFormat="1" applyFont="1" applyFill="1" applyBorder="1" applyAlignment="1">
      <alignment vertical="center"/>
    </xf>
    <xf numFmtId="0" fontId="90" fillId="69" borderId="93" xfId="0" applyFont="1" applyFill="1" applyBorder="1" applyAlignment="1">
      <alignment horizontal="center" vertical="center" wrapText="1"/>
    </xf>
    <xf numFmtId="0" fontId="83" fillId="0" borderId="93" xfId="58" applyFont="1" applyBorder="1" applyAlignment="1">
      <alignment horizontal="left" wrapText="1"/>
    </xf>
    <xf numFmtId="168" fontId="82" fillId="0" borderId="93" xfId="63" applyNumberFormat="1" applyFont="1" applyBorder="1" applyAlignment="1" applyProtection="1"/>
    <xf numFmtId="0" fontId="90" fillId="69" borderId="93" xfId="0" applyFont="1" applyFill="1" applyBorder="1" applyAlignment="1">
      <alignment horizontal="right" vertical="center" wrapText="1"/>
    </xf>
    <xf numFmtId="3" fontId="90" fillId="69" borderId="93" xfId="0" applyNumberFormat="1" applyFont="1" applyFill="1" applyBorder="1" applyAlignment="1">
      <alignment horizontal="right" vertical="center" wrapText="1"/>
    </xf>
    <xf numFmtId="175" fontId="90" fillId="69" borderId="93" xfId="43" applyNumberFormat="1" applyFont="1" applyFill="1" applyBorder="1" applyAlignment="1" applyProtection="1">
      <alignment horizontal="center" vertical="center" wrapText="1"/>
    </xf>
    <xf numFmtId="0" fontId="82" fillId="0" borderId="93" xfId="58" quotePrefix="1" applyFont="1" applyBorder="1" applyAlignment="1">
      <alignment horizontal="left" wrapText="1"/>
    </xf>
    <xf numFmtId="0" fontId="82" fillId="0" borderId="93" xfId="58" applyFont="1" applyBorder="1"/>
    <xf numFmtId="0" fontId="79" fillId="58" borderId="93" xfId="58" applyFont="1" applyFill="1" applyBorder="1" applyAlignment="1">
      <alignment wrapText="1"/>
    </xf>
    <xf numFmtId="168" fontId="79" fillId="58" borderId="93" xfId="63" applyNumberFormat="1" applyFont="1" applyFill="1" applyBorder="1" applyProtection="1"/>
    <xf numFmtId="0" fontId="39" fillId="0" borderId="0" xfId="0" applyFont="1"/>
    <xf numFmtId="0" fontId="36" fillId="0" borderId="0" xfId="0" applyFont="1"/>
    <xf numFmtId="0" fontId="36" fillId="64" borderId="23" xfId="0" applyFont="1" applyFill="1" applyBorder="1" applyAlignment="1">
      <alignment horizontal="center" vertical="center" wrapText="1"/>
    </xf>
    <xf numFmtId="3" fontId="36" fillId="64" borderId="23" xfId="0" applyNumberFormat="1" applyFont="1" applyFill="1" applyBorder="1" applyAlignment="1">
      <alignment horizontal="center" vertical="center" wrapText="1"/>
    </xf>
    <xf numFmtId="3" fontId="36" fillId="64" borderId="23" xfId="0" applyNumberFormat="1" applyFont="1" applyFill="1" applyBorder="1" applyAlignment="1">
      <alignment horizontal="center" vertical="center"/>
    </xf>
    <xf numFmtId="49" fontId="39" fillId="64" borderId="22" xfId="0" applyNumberFormat="1" applyFont="1" applyFill="1" applyBorder="1" applyAlignment="1">
      <alignment horizontal="center"/>
    </xf>
    <xf numFmtId="0" fontId="39" fillId="64" borderId="22" xfId="0" applyFont="1" applyFill="1" applyBorder="1"/>
    <xf numFmtId="0" fontId="39" fillId="64" borderId="22" xfId="0" applyFont="1" applyFill="1" applyBorder="1" applyAlignment="1">
      <alignment horizontal="center"/>
    </xf>
    <xf numFmtId="3" fontId="39" fillId="64" borderId="23" xfId="0" applyNumberFormat="1" applyFont="1" applyFill="1" applyBorder="1" applyAlignment="1">
      <alignment horizontal="right" wrapText="1"/>
    </xf>
    <xf numFmtId="3" fontId="39" fillId="64" borderId="22" xfId="0" applyNumberFormat="1" applyFont="1" applyFill="1" applyBorder="1"/>
    <xf numFmtId="3" fontId="39" fillId="64" borderId="23" xfId="0" applyNumberFormat="1" applyFont="1" applyFill="1" applyBorder="1"/>
    <xf numFmtId="3" fontId="39" fillId="64" borderId="23" xfId="0" applyNumberFormat="1" applyFont="1" applyFill="1" applyBorder="1" applyAlignment="1">
      <alignment wrapText="1"/>
    </xf>
    <xf numFmtId="0" fontId="36" fillId="64" borderId="23" xfId="0" applyFont="1" applyFill="1" applyBorder="1" applyAlignment="1">
      <alignment horizontal="center"/>
    </xf>
    <xf numFmtId="0" fontId="36" fillId="64" borderId="23" xfId="0" applyFont="1" applyFill="1" applyBorder="1" applyAlignment="1">
      <alignment horizontal="left"/>
    </xf>
    <xf numFmtId="0" fontId="36" fillId="64" borderId="23" xfId="0" applyFont="1" applyFill="1" applyBorder="1" applyAlignment="1">
      <alignment horizontal="center" wrapText="1"/>
    </xf>
    <xf numFmtId="166" fontId="39" fillId="64" borderId="23" xfId="1" applyNumberFormat="1" applyFont="1" applyFill="1" applyBorder="1" applyAlignment="1">
      <alignment horizontal="center" wrapText="1"/>
    </xf>
    <xf numFmtId="3" fontId="36" fillId="64" borderId="23" xfId="0" applyNumberFormat="1" applyFont="1" applyFill="1" applyBorder="1"/>
    <xf numFmtId="3" fontId="36" fillId="35" borderId="23" xfId="0" applyNumberFormat="1" applyFont="1" applyFill="1" applyBorder="1"/>
    <xf numFmtId="44" fontId="39" fillId="0" borderId="0" xfId="50" applyFont="1"/>
    <xf numFmtId="0" fontId="36" fillId="64" borderId="0" xfId="0" applyFont="1" applyFill="1" applyAlignment="1">
      <alignment horizontal="center"/>
    </xf>
    <xf numFmtId="0" fontId="36" fillId="64" borderId="0" xfId="0" applyFont="1" applyFill="1" applyAlignment="1">
      <alignment horizontal="left"/>
    </xf>
    <xf numFmtId="0" fontId="36" fillId="64" borderId="0" xfId="0" applyFont="1" applyFill="1" applyAlignment="1">
      <alignment horizontal="center" wrapText="1"/>
    </xf>
    <xf numFmtId="166" fontId="39" fillId="64" borderId="0" xfId="1" applyNumberFormat="1" applyFont="1" applyFill="1" applyBorder="1" applyAlignment="1">
      <alignment horizontal="center" wrapText="1"/>
    </xf>
    <xf numFmtId="3" fontId="39" fillId="64" borderId="0" xfId="0" applyNumberFormat="1" applyFont="1" applyFill="1"/>
    <xf numFmtId="3" fontId="36" fillId="64" borderId="0" xfId="0" applyNumberFormat="1" applyFont="1" applyFill="1"/>
    <xf numFmtId="166" fontId="39" fillId="0" borderId="0" xfId="0" applyNumberFormat="1" applyFont="1"/>
    <xf numFmtId="3" fontId="39" fillId="64" borderId="0" xfId="0" applyNumberFormat="1" applyFont="1" applyFill="1" applyAlignment="1">
      <alignment horizontal="right" vertical="center"/>
    </xf>
    <xf numFmtId="0" fontId="39" fillId="64" borderId="0" xfId="0" applyFont="1" applyFill="1" applyAlignment="1">
      <alignment vertical="center"/>
    </xf>
    <xf numFmtId="3" fontId="39" fillId="64" borderId="0" xfId="0" applyNumberFormat="1" applyFont="1" applyFill="1" applyAlignment="1">
      <alignment vertical="center"/>
    </xf>
    <xf numFmtId="3" fontId="39" fillId="64" borderId="0" xfId="0" applyNumberFormat="1" applyFont="1" applyFill="1" applyAlignment="1">
      <alignment horizontal="right"/>
    </xf>
    <xf numFmtId="0" fontId="39" fillId="64" borderId="0" xfId="0" applyFont="1" applyFill="1"/>
    <xf numFmtId="42" fontId="39" fillId="0" borderId="0" xfId="0" applyNumberFormat="1" applyFont="1"/>
    <xf numFmtId="49" fontId="39" fillId="64" borderId="23" xfId="0" applyNumberFormat="1" applyFont="1" applyFill="1" applyBorder="1" applyAlignment="1">
      <alignment horizontal="center"/>
    </xf>
    <xf numFmtId="0" fontId="39" fillId="64" borderId="23" xfId="0" applyFont="1" applyFill="1" applyBorder="1"/>
    <xf numFmtId="0" fontId="39" fillId="64" borderId="23" xfId="0" applyFont="1" applyFill="1" applyBorder="1" applyAlignment="1">
      <alignment horizontal="center"/>
    </xf>
    <xf numFmtId="166" fontId="36" fillId="64" borderId="23" xfId="1" applyNumberFormat="1" applyFont="1" applyFill="1" applyBorder="1" applyAlignment="1">
      <alignment horizontal="center" wrapText="1"/>
    </xf>
    <xf numFmtId="166" fontId="36" fillId="35" borderId="23" xfId="1" applyNumberFormat="1" applyFont="1" applyFill="1" applyBorder="1" applyAlignment="1">
      <alignment horizontal="center" wrapText="1"/>
    </xf>
    <xf numFmtId="0" fontId="39" fillId="64" borderId="23" xfId="0" applyFont="1" applyFill="1" applyBorder="1" applyAlignment="1">
      <alignment horizontal="left" vertical="center" wrapText="1"/>
    </xf>
    <xf numFmtId="42" fontId="39" fillId="64" borderId="23" xfId="0" applyNumberFormat="1" applyFont="1" applyFill="1" applyBorder="1" applyAlignment="1">
      <alignment vertical="center"/>
    </xf>
    <xf numFmtId="0" fontId="39" fillId="0" borderId="23" xfId="0" applyFont="1" applyBorder="1" applyAlignment="1">
      <alignment wrapText="1"/>
    </xf>
    <xf numFmtId="42" fontId="39" fillId="0" borderId="23" xfId="0" applyNumberFormat="1" applyFont="1" applyBorder="1" applyAlignment="1">
      <alignment vertical="center"/>
    </xf>
    <xf numFmtId="0" fontId="39" fillId="0" borderId="0" xfId="0" applyFont="1" applyAlignment="1">
      <alignment vertical="center"/>
    </xf>
    <xf numFmtId="3" fontId="39" fillId="0" borderId="0" xfId="0" applyNumberFormat="1" applyFont="1" applyAlignment="1">
      <alignment vertical="center"/>
    </xf>
    <xf numFmtId="3" fontId="39" fillId="0" borderId="0" xfId="0" applyNumberFormat="1" applyFont="1" applyAlignment="1">
      <alignment horizontal="right"/>
    </xf>
    <xf numFmtId="0" fontId="36" fillId="0" borderId="23" xfId="0" applyFont="1" applyBorder="1" applyAlignment="1">
      <alignment wrapText="1"/>
    </xf>
    <xf numFmtId="3" fontId="39" fillId="0" borderId="0" xfId="0" applyNumberFormat="1" applyFont="1" applyAlignment="1">
      <alignment horizontal="left" vertical="center"/>
    </xf>
    <xf numFmtId="42" fontId="39" fillId="0" borderId="0" xfId="0" applyNumberFormat="1" applyFont="1" applyAlignment="1">
      <alignment vertical="center"/>
    </xf>
    <xf numFmtId="0" fontId="36" fillId="0" borderId="0" xfId="0" applyFont="1" applyAlignment="1">
      <alignment horizontal="left"/>
    </xf>
    <xf numFmtId="4" fontId="39" fillId="0" borderId="0" xfId="0" applyNumberFormat="1" applyFont="1" applyAlignment="1">
      <alignment horizontal="center"/>
    </xf>
    <xf numFmtId="0" fontId="36" fillId="0" borderId="23" xfId="0" applyFont="1" applyBorder="1" applyAlignment="1">
      <alignment horizontal="center" vertical="center"/>
    </xf>
    <xf numFmtId="0" fontId="36" fillId="0" borderId="23" xfId="0" applyFont="1" applyBorder="1" applyAlignment="1">
      <alignment horizontal="center" vertical="center" wrapText="1"/>
    </xf>
    <xf numFmtId="0" fontId="36" fillId="64" borderId="0" xfId="0" applyFont="1" applyFill="1" applyAlignment="1">
      <alignment horizontal="center" vertical="center"/>
    </xf>
    <xf numFmtId="16" fontId="39" fillId="0" borderId="23" xfId="0" applyNumberFormat="1" applyFont="1" applyBorder="1"/>
    <xf numFmtId="42" fontId="39" fillId="0" borderId="23" xfId="0" applyNumberFormat="1" applyFont="1" applyBorder="1"/>
    <xf numFmtId="0" fontId="39" fillId="0" borderId="23" xfId="0" applyFont="1" applyBorder="1"/>
    <xf numFmtId="42" fontId="39" fillId="64" borderId="23" xfId="0" applyNumberFormat="1" applyFont="1" applyFill="1" applyBorder="1"/>
    <xf numFmtId="42" fontId="39" fillId="64" borderId="0" xfId="0" applyNumberFormat="1" applyFont="1" applyFill="1"/>
    <xf numFmtId="42" fontId="36" fillId="0" borderId="23" xfId="0" applyNumberFormat="1" applyFont="1" applyBorder="1"/>
    <xf numFmtId="42" fontId="36" fillId="64" borderId="0" xfId="0" applyNumberFormat="1" applyFont="1" applyFill="1"/>
    <xf numFmtId="0" fontId="36" fillId="0" borderId="0" xfId="0" applyFont="1" applyAlignment="1">
      <alignment horizontal="center"/>
    </xf>
    <xf numFmtId="42" fontId="36" fillId="0" borderId="0" xfId="0" applyNumberFormat="1" applyFont="1"/>
    <xf numFmtId="166" fontId="36" fillId="0" borderId="23" xfId="0" applyNumberFormat="1" applyFont="1" applyBorder="1" applyAlignment="1">
      <alignment horizontal="center"/>
    </xf>
    <xf numFmtId="0" fontId="36" fillId="0" borderId="23" xfId="0" applyFont="1" applyBorder="1"/>
    <xf numFmtId="0" fontId="39" fillId="64" borderId="23" xfId="0" applyFont="1" applyFill="1" applyBorder="1" applyAlignment="1">
      <alignment vertical="center"/>
    </xf>
    <xf numFmtId="3" fontId="39" fillId="64" borderId="23" xfId="0" applyNumberFormat="1" applyFont="1" applyFill="1" applyBorder="1" applyAlignment="1">
      <alignment vertical="center"/>
    </xf>
    <xf numFmtId="3" fontId="39" fillId="64" borderId="23" xfId="0" applyNumberFormat="1" applyFont="1" applyFill="1" applyBorder="1" applyAlignment="1">
      <alignment horizontal="right"/>
    </xf>
    <xf numFmtId="0" fontId="39" fillId="0" borderId="23" xfId="0" applyFont="1" applyBorder="1" applyAlignment="1">
      <alignment vertical="center"/>
    </xf>
    <xf numFmtId="3" fontId="39" fillId="0" borderId="23" xfId="0" applyNumberFormat="1" applyFont="1" applyBorder="1" applyAlignment="1">
      <alignment vertical="center"/>
    </xf>
    <xf numFmtId="3" fontId="39" fillId="0" borderId="23" xfId="0" applyNumberFormat="1" applyFont="1" applyBorder="1" applyAlignment="1">
      <alignment horizontal="right"/>
    </xf>
    <xf numFmtId="168" fontId="19" fillId="49" borderId="137" xfId="35" applyNumberFormat="1" applyFont="1" applyFill="1" applyBorder="1" applyAlignment="1">
      <alignment horizontal="center" vertical="center" wrapText="1"/>
    </xf>
    <xf numFmtId="168" fontId="19" fillId="89" borderId="137" xfId="35" applyNumberFormat="1" applyFont="1" applyFill="1" applyBorder="1" applyAlignment="1">
      <alignment horizontal="center" vertical="center" wrapText="1"/>
    </xf>
    <xf numFmtId="168" fontId="21" fillId="86" borderId="135" xfId="35" applyNumberFormat="1" applyFont="1" applyFill="1" applyBorder="1" applyAlignment="1">
      <alignment horizontal="center" vertical="center" wrapText="1"/>
    </xf>
    <xf numFmtId="168" fontId="21" fillId="86" borderId="136" xfId="35" applyNumberFormat="1" applyFont="1" applyFill="1" applyBorder="1" applyAlignment="1">
      <alignment horizontal="center" vertical="center" wrapText="1"/>
    </xf>
    <xf numFmtId="168" fontId="21" fillId="86" borderId="137" xfId="35" applyNumberFormat="1" applyFont="1" applyFill="1" applyBorder="1" applyAlignment="1">
      <alignment horizontal="center" vertical="center" wrapText="1"/>
    </xf>
    <xf numFmtId="168" fontId="21" fillId="86" borderId="142" xfId="35" applyNumberFormat="1" applyFont="1" applyFill="1" applyBorder="1" applyAlignment="1">
      <alignment horizontal="center" vertical="center" wrapText="1"/>
    </xf>
    <xf numFmtId="42" fontId="36" fillId="86" borderId="23" xfId="0" applyNumberFormat="1" applyFont="1" applyFill="1" applyBorder="1" applyAlignment="1">
      <alignment vertical="center"/>
    </xf>
    <xf numFmtId="0" fontId="120" fillId="0" borderId="169" xfId="0" applyFont="1" applyBorder="1" applyProtection="1">
      <protection locked="0"/>
    </xf>
    <xf numFmtId="0" fontId="120" fillId="0" borderId="170" xfId="0" applyFont="1" applyBorder="1" applyProtection="1">
      <protection locked="0"/>
    </xf>
    <xf numFmtId="0" fontId="100" fillId="69" borderId="23" xfId="60" applyFont="1" applyFill="1" applyBorder="1" applyAlignment="1">
      <alignment horizontal="center" vertical="center" wrapText="1"/>
    </xf>
    <xf numFmtId="0" fontId="79" fillId="0" borderId="23" xfId="0" applyFont="1" applyBorder="1" applyAlignment="1">
      <alignment horizontal="left" vertical="center"/>
    </xf>
    <xf numFmtId="43" fontId="79" fillId="0" borderId="23" xfId="1" applyFont="1" applyBorder="1" applyAlignment="1">
      <alignment horizontal="center" vertical="center"/>
    </xf>
    <xf numFmtId="0" fontId="82" fillId="0" borderId="23" xfId="0" applyFont="1" applyBorder="1" applyAlignment="1">
      <alignment horizontal="left" vertical="center"/>
    </xf>
    <xf numFmtId="43" fontId="82" fillId="0" borderId="23" xfId="1" applyFont="1" applyBorder="1" applyAlignment="1">
      <alignment horizontal="center" vertical="center"/>
    </xf>
    <xf numFmtId="43" fontId="82" fillId="35" borderId="23" xfId="1" applyFont="1" applyFill="1" applyBorder="1" applyAlignment="1" applyProtection="1">
      <alignment horizontal="center" vertical="center"/>
      <protection locked="0"/>
    </xf>
    <xf numFmtId="43" fontId="82" fillId="88" borderId="23" xfId="1" applyFont="1" applyFill="1" applyBorder="1" applyAlignment="1">
      <alignment horizontal="center" vertical="center"/>
    </xf>
    <xf numFmtId="43" fontId="82" fillId="61" borderId="23" xfId="1" applyFont="1" applyFill="1" applyBorder="1" applyAlignment="1">
      <alignment horizontal="center" vertical="center"/>
    </xf>
    <xf numFmtId="43" fontId="82" fillId="49" borderId="23" xfId="1" applyFont="1" applyFill="1" applyBorder="1" applyAlignment="1">
      <alignment horizontal="center" vertical="center"/>
    </xf>
    <xf numFmtId="0" fontId="82" fillId="0" borderId="23" xfId="0" applyFont="1" applyBorder="1" applyAlignment="1">
      <alignment horizontal="left" vertical="center" indent="1"/>
    </xf>
    <xf numFmtId="43" fontId="78" fillId="0" borderId="23" xfId="1" applyFont="1" applyBorder="1" applyAlignment="1" applyProtection="1">
      <alignment horizontal="right"/>
      <protection locked="0"/>
    </xf>
    <xf numFmtId="9" fontId="82" fillId="0" borderId="23" xfId="43" applyFont="1" applyBorder="1" applyAlignment="1" applyProtection="1">
      <alignment horizontal="center" vertical="center"/>
    </xf>
    <xf numFmtId="3" fontId="82" fillId="0" borderId="23" xfId="0" applyNumberFormat="1" applyFont="1" applyBorder="1" applyAlignment="1">
      <alignment horizontal="center" vertical="center"/>
    </xf>
    <xf numFmtId="0" fontId="163" fillId="0" borderId="23" xfId="0" applyFont="1" applyBorder="1" applyAlignment="1">
      <alignment horizontal="left" vertical="center"/>
    </xf>
    <xf numFmtId="3" fontId="82" fillId="64" borderId="23" xfId="0" applyNumberFormat="1" applyFont="1" applyFill="1" applyBorder="1" applyAlignment="1">
      <alignment horizontal="center" vertical="center"/>
    </xf>
    <xf numFmtId="43" fontId="100" fillId="69" borderId="23" xfId="1" applyFont="1" applyFill="1" applyBorder="1" applyAlignment="1">
      <alignment horizontal="center" vertical="center" wrapText="1"/>
    </xf>
    <xf numFmtId="43" fontId="82" fillId="0" borderId="23" xfId="1" applyFont="1" applyBorder="1" applyAlignment="1" applyProtection="1">
      <alignment horizontal="center" vertical="center"/>
    </xf>
    <xf numFmtId="43" fontId="82" fillId="64" borderId="23" xfId="1" applyFont="1" applyFill="1" applyBorder="1" applyAlignment="1">
      <alignment horizontal="center" vertical="center"/>
    </xf>
    <xf numFmtId="43" fontId="120" fillId="0" borderId="170" xfId="1" applyFont="1" applyBorder="1" applyProtection="1">
      <protection locked="0"/>
    </xf>
    <xf numFmtId="43" fontId="120" fillId="0" borderId="0" xfId="1" applyFont="1" applyProtection="1">
      <protection locked="0"/>
    </xf>
    <xf numFmtId="0" fontId="19" fillId="90" borderId="151" xfId="0" applyFont="1" applyFill="1" applyBorder="1" applyAlignment="1">
      <alignment vertical="center" wrapText="1"/>
    </xf>
    <xf numFmtId="3" fontId="19" fillId="90" borderId="116" xfId="0" applyNumberFormat="1" applyFont="1" applyFill="1" applyBorder="1" applyAlignment="1">
      <alignment vertical="center"/>
    </xf>
    <xf numFmtId="0" fontId="19" fillId="78" borderId="151" xfId="0" applyFont="1" applyFill="1" applyBorder="1" applyAlignment="1">
      <alignment vertical="center" wrapText="1"/>
    </xf>
    <xf numFmtId="3" fontId="19" fillId="78" borderId="116" xfId="0" applyNumberFormat="1" applyFont="1" applyFill="1" applyBorder="1" applyAlignment="1">
      <alignment vertical="center"/>
    </xf>
    <xf numFmtId="3" fontId="19" fillId="61" borderId="0" xfId="0" applyNumberFormat="1" applyFont="1" applyFill="1" applyAlignment="1">
      <alignment vertical="center"/>
    </xf>
    <xf numFmtId="185" fontId="21" fillId="43" borderId="151" xfId="50" applyNumberFormat="1" applyFont="1" applyFill="1" applyBorder="1" applyAlignment="1">
      <alignment horizontal="center" vertical="center" wrapText="1"/>
    </xf>
    <xf numFmtId="0" fontId="21" fillId="0" borderId="151" xfId="0" applyFont="1" applyBorder="1" applyAlignment="1">
      <alignment horizontal="center" vertical="center" wrapText="1"/>
    </xf>
    <xf numFmtId="185" fontId="21" fillId="0" borderId="116" xfId="50" applyNumberFormat="1" applyFont="1" applyFill="1" applyBorder="1" applyAlignment="1">
      <alignment horizontal="center" vertical="center" wrapText="1"/>
    </xf>
    <xf numFmtId="185" fontId="21" fillId="0" borderId="138" xfId="50" applyNumberFormat="1" applyFont="1" applyFill="1" applyBorder="1" applyAlignment="1" applyProtection="1">
      <alignment vertical="center"/>
    </xf>
    <xf numFmtId="0" fontId="19" fillId="35" borderId="133" xfId="0" applyFont="1" applyFill="1" applyBorder="1" applyAlignment="1">
      <alignment vertical="center" wrapText="1"/>
    </xf>
    <xf numFmtId="3" fontId="19" fillId="0" borderId="0" xfId="0" applyNumberFormat="1" applyFont="1" applyAlignment="1">
      <alignment vertical="center"/>
    </xf>
    <xf numFmtId="3" fontId="19" fillId="0" borderId="0" xfId="0" applyNumberFormat="1" applyFont="1" applyAlignment="1">
      <alignment vertical="center"/>
    </xf>
    <xf numFmtId="3" fontId="94" fillId="35" borderId="0" xfId="0" applyNumberFormat="1" applyFont="1" applyFill="1" applyBorder="1" applyAlignment="1">
      <alignment vertical="center"/>
    </xf>
    <xf numFmtId="3" fontId="19" fillId="0" borderId="0" xfId="0" applyNumberFormat="1" applyFont="1" applyBorder="1" applyAlignment="1">
      <alignment vertical="center"/>
    </xf>
    <xf numFmtId="43" fontId="19" fillId="35" borderId="0" xfId="1" applyFont="1" applyFill="1" applyBorder="1" applyAlignment="1">
      <alignment horizontal="center" vertical="center"/>
    </xf>
    <xf numFmtId="168" fontId="19" fillId="35" borderId="116" xfId="44" applyNumberFormat="1" applyFont="1" applyFill="1" applyBorder="1" applyAlignment="1">
      <alignment vertical="center"/>
    </xf>
    <xf numFmtId="3" fontId="134" fillId="75" borderId="0" xfId="0" applyNumberFormat="1" applyFont="1" applyFill="1" applyAlignment="1">
      <alignment horizontal="center" vertical="center" wrapText="1"/>
    </xf>
    <xf numFmtId="3" fontId="19" fillId="0" borderId="134" xfId="0" applyNumberFormat="1" applyFont="1" applyBorder="1" applyAlignment="1">
      <alignment horizontal="center" vertical="center" wrapText="1"/>
    </xf>
    <xf numFmtId="168" fontId="19" fillId="0" borderId="28" xfId="44" applyNumberFormat="1" applyFont="1" applyFill="1" applyBorder="1" applyAlignment="1">
      <alignment horizontal="center" vertical="center" wrapText="1"/>
    </xf>
    <xf numFmtId="168" fontId="19" fillId="0" borderId="0" xfId="44" applyNumberFormat="1" applyFont="1" applyFill="1" applyBorder="1" applyAlignment="1">
      <alignment horizontal="center" vertical="center" wrapText="1"/>
    </xf>
    <xf numFmtId="168" fontId="19" fillId="0" borderId="153" xfId="44" applyNumberFormat="1" applyFont="1" applyFill="1" applyBorder="1" applyAlignment="1">
      <alignment horizontal="center" vertical="center" wrapText="1"/>
    </xf>
    <xf numFmtId="168" fontId="19" fillId="0" borderId="154" xfId="44" applyNumberFormat="1" applyFont="1" applyFill="1" applyBorder="1" applyAlignment="1">
      <alignment horizontal="center" vertical="center" wrapText="1"/>
    </xf>
    <xf numFmtId="168" fontId="41" fillId="43" borderId="140" xfId="35" applyNumberFormat="1" applyFont="1" applyFill="1" applyBorder="1" applyAlignment="1">
      <alignment horizontal="center" vertical="center"/>
    </xf>
    <xf numFmtId="168" fontId="41" fillId="43" borderId="143" xfId="35" applyNumberFormat="1" applyFont="1" applyFill="1" applyBorder="1" applyAlignment="1">
      <alignment horizontal="center" vertical="center"/>
    </xf>
    <xf numFmtId="3" fontId="21" fillId="75" borderId="0" xfId="0" applyNumberFormat="1" applyFont="1" applyFill="1" applyAlignment="1">
      <alignment horizontal="center" vertical="center" wrapText="1"/>
    </xf>
    <xf numFmtId="168" fontId="21" fillId="43" borderId="141" xfId="44" applyNumberFormat="1" applyFont="1" applyFill="1" applyBorder="1" applyAlignment="1">
      <alignment horizontal="center" vertical="center" wrapText="1"/>
    </xf>
    <xf numFmtId="168" fontId="21" fillId="43" borderId="114" xfId="44" applyNumberFormat="1" applyFont="1" applyFill="1" applyBorder="1" applyAlignment="1">
      <alignment horizontal="center" vertical="center" wrapText="1"/>
    </xf>
    <xf numFmtId="168" fontId="19" fillId="0" borderId="14" xfId="44" applyNumberFormat="1" applyFont="1" applyFill="1" applyBorder="1" applyAlignment="1">
      <alignment horizontal="center" vertical="center" wrapText="1"/>
    </xf>
    <xf numFmtId="168" fontId="21" fillId="43" borderId="0" xfId="35" applyNumberFormat="1" applyFont="1" applyFill="1" applyBorder="1" applyAlignment="1">
      <alignment horizontal="center" vertical="center"/>
    </xf>
    <xf numFmtId="168" fontId="19" fillId="0" borderId="15" xfId="44" applyNumberFormat="1" applyFont="1" applyFill="1" applyBorder="1" applyAlignment="1">
      <alignment horizontal="center" vertical="center" wrapText="1"/>
    </xf>
    <xf numFmtId="168" fontId="21" fillId="0" borderId="11" xfId="44" applyNumberFormat="1" applyFont="1" applyFill="1" applyBorder="1" applyAlignment="1">
      <alignment horizontal="center" vertical="center" wrapText="1"/>
    </xf>
    <xf numFmtId="168" fontId="21" fillId="43" borderId="10" xfId="37" applyNumberFormat="1" applyFont="1" applyFill="1" applyBorder="1" applyAlignment="1">
      <alignment horizontal="center" vertical="center" wrapText="1"/>
    </xf>
    <xf numFmtId="168" fontId="21" fillId="43" borderId="0" xfId="44" applyNumberFormat="1" applyFont="1" applyFill="1" applyBorder="1" applyAlignment="1">
      <alignment horizontal="center" vertical="center" wrapText="1"/>
    </xf>
    <xf numFmtId="168" fontId="21" fillId="43" borderId="152" xfId="44" applyNumberFormat="1" applyFont="1" applyFill="1" applyBorder="1" applyAlignment="1">
      <alignment horizontal="center" vertical="center" wrapText="1"/>
    </xf>
    <xf numFmtId="168" fontId="21" fillId="43" borderId="133" xfId="44" applyNumberFormat="1" applyFont="1" applyFill="1" applyBorder="1" applyAlignment="1">
      <alignment horizontal="center" vertical="center" wrapText="1"/>
    </xf>
    <xf numFmtId="185" fontId="21" fillId="43" borderId="28" xfId="50" applyNumberFormat="1" applyFont="1" applyFill="1" applyBorder="1" applyAlignment="1" applyProtection="1">
      <alignment horizontal="center" vertical="center" wrapText="1"/>
    </xf>
    <xf numFmtId="185" fontId="21" fillId="43" borderId="151" xfId="50" applyNumberFormat="1" applyFont="1" applyFill="1" applyBorder="1" applyAlignment="1" applyProtection="1">
      <alignment horizontal="center" vertical="center" wrapText="1"/>
    </xf>
    <xf numFmtId="168" fontId="21" fillId="0" borderId="0" xfId="44" applyNumberFormat="1" applyFont="1" applyFill="1" applyBorder="1" applyAlignment="1">
      <alignment horizontal="center" vertical="center" wrapText="1"/>
    </xf>
    <xf numFmtId="3" fontId="20" fillId="0" borderId="0" xfId="0" applyNumberFormat="1" applyFont="1" applyAlignment="1">
      <alignment horizontal="center" vertical="center"/>
    </xf>
    <xf numFmtId="3" fontId="19" fillId="0" borderId="0" xfId="0" applyNumberFormat="1" applyFont="1" applyAlignment="1">
      <alignment vertical="center"/>
    </xf>
    <xf numFmtId="3" fontId="94" fillId="35" borderId="134" xfId="0" applyNumberFormat="1" applyFont="1" applyFill="1" applyBorder="1" applyAlignment="1">
      <alignment horizontal="center" vertical="center" wrapText="1"/>
    </xf>
    <xf numFmtId="168" fontId="21" fillId="43" borderId="171" xfId="44" applyNumberFormat="1" applyFont="1" applyFill="1" applyBorder="1" applyAlignment="1">
      <alignment horizontal="center" vertical="center" wrapText="1"/>
    </xf>
    <xf numFmtId="168" fontId="41" fillId="86" borderId="28" xfId="35" applyNumberFormat="1" applyFont="1" applyFill="1" applyBorder="1" applyAlignment="1">
      <alignment horizontal="center" vertical="center"/>
    </xf>
    <xf numFmtId="168" fontId="41" fillId="86" borderId="0" xfId="35" applyNumberFormat="1" applyFont="1" applyFill="1" applyBorder="1" applyAlignment="1">
      <alignment horizontal="center" vertical="center"/>
    </xf>
    <xf numFmtId="168" fontId="41" fillId="86" borderId="140" xfId="35" applyNumberFormat="1" applyFont="1" applyFill="1" applyBorder="1" applyAlignment="1">
      <alignment horizontal="center" vertical="center"/>
    </xf>
    <xf numFmtId="168" fontId="41" fillId="86" borderId="143" xfId="35" applyNumberFormat="1" applyFont="1" applyFill="1" applyBorder="1" applyAlignment="1">
      <alignment horizontal="center" vertical="center"/>
    </xf>
    <xf numFmtId="168" fontId="41" fillId="87" borderId="141" xfId="35" applyNumberFormat="1" applyFont="1" applyFill="1" applyBorder="1" applyAlignment="1">
      <alignment horizontal="center" vertical="center"/>
    </xf>
    <xf numFmtId="189" fontId="41" fillId="87" borderId="113" xfId="1" applyNumberFormat="1" applyFont="1" applyFill="1" applyBorder="1" applyAlignment="1">
      <alignment horizontal="center" vertical="center"/>
    </xf>
    <xf numFmtId="168" fontId="41" fillId="87" borderId="113" xfId="35" applyNumberFormat="1" applyFont="1" applyFill="1" applyBorder="1" applyAlignment="1">
      <alignment horizontal="center" vertical="center"/>
    </xf>
    <xf numFmtId="168" fontId="41" fillId="87" borderId="168" xfId="35" applyNumberFormat="1" applyFont="1" applyFill="1" applyBorder="1" applyAlignment="1">
      <alignment horizontal="center" vertical="center"/>
    </xf>
    <xf numFmtId="168" fontId="41" fillId="49" borderId="141" xfId="35" applyNumberFormat="1" applyFont="1" applyFill="1" applyBorder="1" applyAlignment="1">
      <alignment horizontal="center" vertical="center"/>
    </xf>
    <xf numFmtId="189" fontId="41" fillId="49" borderId="113" xfId="1" applyNumberFormat="1" applyFont="1" applyFill="1" applyBorder="1" applyAlignment="1">
      <alignment horizontal="center" vertical="center"/>
    </xf>
    <xf numFmtId="168" fontId="41" fillId="49" borderId="113" xfId="35" applyNumberFormat="1" applyFont="1" applyFill="1" applyBorder="1" applyAlignment="1">
      <alignment horizontal="center" vertical="center"/>
    </xf>
    <xf numFmtId="168" fontId="41" fillId="49" borderId="168" xfId="35" applyNumberFormat="1" applyFont="1" applyFill="1" applyBorder="1" applyAlignment="1">
      <alignment horizontal="center" vertical="center"/>
    </xf>
    <xf numFmtId="168" fontId="41" fillId="89" borderId="141" xfId="35" applyNumberFormat="1" applyFont="1" applyFill="1" applyBorder="1" applyAlignment="1">
      <alignment horizontal="center" vertical="center"/>
    </xf>
    <xf numFmtId="189" fontId="41" fillId="89" borderId="113" xfId="1" applyNumberFormat="1" applyFont="1" applyFill="1" applyBorder="1" applyAlignment="1">
      <alignment horizontal="center" vertical="center"/>
    </xf>
    <xf numFmtId="168" fontId="41" fillId="89" borderId="113" xfId="35" applyNumberFormat="1" applyFont="1" applyFill="1" applyBorder="1" applyAlignment="1">
      <alignment horizontal="center" vertical="center"/>
    </xf>
    <xf numFmtId="168" fontId="41" fillId="89" borderId="168" xfId="35" applyNumberFormat="1" applyFont="1" applyFill="1" applyBorder="1" applyAlignment="1">
      <alignment horizontal="center" vertical="center"/>
    </xf>
    <xf numFmtId="189" fontId="41" fillId="87" borderId="120" xfId="1" applyNumberFormat="1" applyFont="1" applyFill="1" applyBorder="1" applyAlignment="1">
      <alignment horizontal="center" vertical="center"/>
    </xf>
    <xf numFmtId="189" fontId="41" fillId="87" borderId="0" xfId="1" applyNumberFormat="1" applyFont="1" applyFill="1" applyBorder="1" applyAlignment="1">
      <alignment horizontal="center" vertical="center"/>
    </xf>
    <xf numFmtId="168" fontId="19" fillId="0" borderId="172" xfId="44" applyNumberFormat="1" applyFont="1" applyFill="1" applyBorder="1" applyAlignment="1">
      <alignment horizontal="center" vertical="center" wrapText="1"/>
    </xf>
    <xf numFmtId="168" fontId="19" fillId="0" borderId="173" xfId="44" applyNumberFormat="1" applyFont="1" applyFill="1" applyBorder="1" applyAlignment="1">
      <alignment horizontal="center" vertical="center" wrapText="1"/>
    </xf>
    <xf numFmtId="168" fontId="21" fillId="43" borderId="65" xfId="37" applyNumberFormat="1" applyFont="1" applyFill="1" applyBorder="1" applyAlignment="1">
      <alignment horizontal="center" vertical="center" wrapText="1"/>
    </xf>
    <xf numFmtId="168" fontId="21" fillId="43" borderId="63" xfId="37" applyNumberFormat="1" applyFont="1" applyFill="1" applyBorder="1" applyAlignment="1">
      <alignment horizontal="center" vertical="center" wrapText="1"/>
    </xf>
    <xf numFmtId="168" fontId="21" fillId="0" borderId="74" xfId="44" applyNumberFormat="1" applyFont="1" applyFill="1" applyBorder="1" applyAlignment="1">
      <alignment horizontal="center" vertical="center" wrapText="1"/>
    </xf>
    <xf numFmtId="0" fontId="36" fillId="0" borderId="17" xfId="0" applyFont="1" applyBorder="1" applyAlignment="1">
      <alignment horizontal="center"/>
    </xf>
    <xf numFmtId="0" fontId="36" fillId="0" borderId="70" xfId="0" applyFont="1" applyBorder="1" applyAlignment="1">
      <alignment horizontal="center"/>
    </xf>
    <xf numFmtId="0" fontId="36" fillId="0" borderId="71" xfId="0" applyFont="1" applyBorder="1" applyAlignment="1">
      <alignment horizontal="center"/>
    </xf>
    <xf numFmtId="0" fontId="36" fillId="0" borderId="74" xfId="0" applyFont="1" applyBorder="1" applyAlignment="1">
      <alignment horizontal="center"/>
    </xf>
    <xf numFmtId="3" fontId="36" fillId="64" borderId="128" xfId="0" applyNumberFormat="1" applyFont="1" applyFill="1" applyBorder="1" applyAlignment="1">
      <alignment horizontal="center"/>
    </xf>
    <xf numFmtId="0" fontId="36" fillId="64" borderId="74" xfId="0" applyFont="1" applyFill="1" applyBorder="1" applyAlignment="1">
      <alignment horizontal="center"/>
    </xf>
    <xf numFmtId="0" fontId="36" fillId="64" borderId="17" xfId="0" applyFont="1" applyFill="1" applyBorder="1" applyAlignment="1">
      <alignment horizontal="center"/>
    </xf>
    <xf numFmtId="0" fontId="36" fillId="64" borderId="70" xfId="0" applyFont="1" applyFill="1" applyBorder="1" applyAlignment="1">
      <alignment horizontal="center"/>
    </xf>
    <xf numFmtId="0" fontId="36" fillId="64" borderId="71" xfId="0" applyFont="1" applyFill="1" applyBorder="1" applyAlignment="1">
      <alignment horizontal="center"/>
    </xf>
    <xf numFmtId="0" fontId="100" fillId="80" borderId="165" xfId="46" applyFont="1" applyFill="1" applyBorder="1" applyAlignment="1">
      <alignment horizontal="center" vertical="center" wrapText="1"/>
    </xf>
    <xf numFmtId="0" fontId="100" fillId="75" borderId="163" xfId="46" applyFont="1" applyFill="1" applyBorder="1" applyAlignment="1">
      <alignment horizontal="center" vertical="center" wrapText="1"/>
    </xf>
    <xf numFmtId="0" fontId="100" fillId="75" borderId="164" xfId="46" applyFont="1" applyFill="1" applyBorder="1" applyAlignment="1">
      <alignment horizontal="center" vertical="center" wrapText="1"/>
    </xf>
    <xf numFmtId="49" fontId="156" fillId="0" borderId="28" xfId="0" applyNumberFormat="1" applyFont="1" applyBorder="1" applyAlignment="1">
      <alignment horizontal="center" vertical="center" wrapText="1"/>
    </xf>
    <xf numFmtId="49" fontId="156" fillId="0" borderId="0" xfId="0" applyNumberFormat="1" applyFont="1" applyAlignment="1">
      <alignment horizontal="center" vertical="center" wrapText="1"/>
    </xf>
    <xf numFmtId="187" fontId="100" fillId="75" borderId="165" xfId="46" applyNumberFormat="1" applyFont="1" applyFill="1" applyBorder="1" applyAlignment="1">
      <alignment horizontal="center" vertical="center" wrapText="1"/>
    </xf>
    <xf numFmtId="187" fontId="100" fillId="75" borderId="166" xfId="46" applyNumberFormat="1" applyFont="1" applyFill="1" applyBorder="1" applyAlignment="1">
      <alignment horizontal="center" vertical="center" wrapText="1"/>
    </xf>
    <xf numFmtId="187" fontId="100" fillId="75" borderId="0" xfId="46" applyNumberFormat="1" applyFont="1" applyFill="1" applyAlignment="1">
      <alignment horizontal="center" vertical="center" wrapText="1"/>
    </xf>
    <xf numFmtId="187" fontId="100" fillId="75" borderId="167" xfId="46" applyNumberFormat="1" applyFont="1" applyFill="1" applyBorder="1" applyAlignment="1">
      <alignment horizontal="center" vertical="center" wrapText="1"/>
    </xf>
    <xf numFmtId="0" fontId="100" fillId="75" borderId="165" xfId="0" applyFont="1" applyFill="1" applyBorder="1" applyAlignment="1">
      <alignment horizontal="center" vertical="center" wrapText="1"/>
    </xf>
    <xf numFmtId="0" fontId="100" fillId="75" borderId="165" xfId="0" applyFont="1" applyFill="1" applyBorder="1" applyAlignment="1">
      <alignment horizontal="center" vertical="center"/>
    </xf>
    <xf numFmtId="170" fontId="47" fillId="0" borderId="65" xfId="3" applyNumberFormat="1" applyFont="1" applyFill="1" applyBorder="1" applyAlignment="1">
      <alignment horizontal="center" vertical="center" wrapText="1"/>
    </xf>
    <xf numFmtId="170" fontId="47" fillId="0" borderId="63" xfId="3" applyNumberFormat="1" applyFont="1" applyFill="1" applyBorder="1" applyAlignment="1">
      <alignment horizontal="center" vertical="center" wrapText="1"/>
    </xf>
    <xf numFmtId="170" fontId="49" fillId="0" borderId="65" xfId="44" applyNumberFormat="1" applyFont="1" applyFill="1" applyBorder="1" applyAlignment="1">
      <alignment horizontal="center"/>
    </xf>
    <xf numFmtId="170" fontId="49" fillId="0" borderId="63" xfId="44" applyNumberFormat="1" applyFont="1" applyFill="1" applyBorder="1" applyAlignment="1">
      <alignment horizontal="center"/>
    </xf>
    <xf numFmtId="0" fontId="21" fillId="0" borderId="80" xfId="0" applyFont="1" applyBorder="1" applyAlignment="1">
      <alignment horizontal="center"/>
    </xf>
    <xf numFmtId="0" fontId="21" fillId="0" borderId="0" xfId="0" applyFont="1" applyAlignment="1">
      <alignment horizontal="center"/>
    </xf>
    <xf numFmtId="0" fontId="86" fillId="63" borderId="82" xfId="0" applyFont="1" applyFill="1" applyBorder="1" applyAlignment="1">
      <alignment horizontal="center" vertical="center"/>
    </xf>
    <xf numFmtId="168" fontId="19" fillId="0" borderId="0" xfId="0" applyNumberFormat="1" applyFont="1" applyAlignment="1">
      <alignment horizontal="center"/>
    </xf>
    <xf numFmtId="168" fontId="21" fillId="60" borderId="0" xfId="1" applyNumberFormat="1" applyFont="1" applyFill="1" applyAlignment="1">
      <alignment horizontal="center"/>
    </xf>
    <xf numFmtId="0" fontId="42" fillId="0" borderId="0" xfId="0" applyFont="1" applyAlignment="1">
      <alignment horizontal="center"/>
    </xf>
    <xf numFmtId="168" fontId="18" fillId="25" borderId="83" xfId="35" applyNumberFormat="1" applyFont="1" applyBorder="1" applyAlignment="1">
      <alignment horizontal="center" vertical="center" wrapText="1"/>
    </xf>
    <xf numFmtId="168" fontId="18" fillId="25" borderId="85" xfId="35" applyNumberFormat="1" applyFont="1" applyBorder="1" applyAlignment="1">
      <alignment horizontal="center" vertical="center" wrapText="1"/>
    </xf>
    <xf numFmtId="168" fontId="18" fillId="25" borderId="83" xfId="35" applyNumberFormat="1" applyFont="1" applyBorder="1" applyAlignment="1">
      <alignment horizontal="center" vertical="center"/>
    </xf>
    <xf numFmtId="168" fontId="18" fillId="25" borderId="85" xfId="35" applyNumberFormat="1" applyFont="1" applyBorder="1" applyAlignment="1">
      <alignment horizontal="center" vertical="center"/>
    </xf>
    <xf numFmtId="168" fontId="123" fillId="25" borderId="83" xfId="35" applyNumberFormat="1" applyFont="1" applyBorder="1" applyAlignment="1">
      <alignment horizontal="center" vertical="center"/>
    </xf>
    <xf numFmtId="168" fontId="123" fillId="25" borderId="85" xfId="35" applyNumberFormat="1" applyFont="1" applyBorder="1" applyAlignment="1">
      <alignment horizontal="center" vertical="center"/>
    </xf>
    <xf numFmtId="168" fontId="123" fillId="25" borderId="84" xfId="35" applyNumberFormat="1" applyFont="1" applyBorder="1" applyAlignment="1">
      <alignment horizontal="center" vertical="center"/>
    </xf>
    <xf numFmtId="3" fontId="21" fillId="0" borderId="82" xfId="0" applyNumberFormat="1" applyFont="1" applyBorder="1" applyAlignment="1">
      <alignment horizontal="center" vertical="center"/>
    </xf>
    <xf numFmtId="3" fontId="19" fillId="0" borderId="15" xfId="0" applyNumberFormat="1" applyFont="1" applyBorder="1" applyAlignment="1">
      <alignment horizontal="center" vertical="center"/>
    </xf>
    <xf numFmtId="168" fontId="19" fillId="0" borderId="11" xfId="44" applyNumberFormat="1" applyFont="1" applyFill="1" applyBorder="1" applyAlignment="1">
      <alignment horizontal="center" vertical="center" wrapText="1"/>
    </xf>
    <xf numFmtId="3" fontId="19" fillId="0" borderId="11" xfId="0" applyNumberFormat="1" applyFont="1" applyBorder="1" applyAlignment="1">
      <alignment horizontal="center" vertical="center"/>
    </xf>
    <xf numFmtId="168" fontId="18" fillId="25" borderId="0" xfId="35" applyNumberFormat="1" applyFont="1" applyBorder="1" applyAlignment="1">
      <alignment horizontal="center" vertical="center"/>
    </xf>
    <xf numFmtId="168" fontId="18" fillId="25" borderId="81" xfId="35" applyNumberFormat="1" applyFont="1" applyBorder="1" applyAlignment="1">
      <alignment horizontal="center" vertical="center"/>
    </xf>
    <xf numFmtId="168" fontId="19" fillId="25" borderId="0" xfId="35" applyNumberFormat="1" applyFont="1" applyBorder="1" applyAlignment="1">
      <alignment horizontal="center" vertical="center"/>
    </xf>
    <xf numFmtId="168" fontId="18" fillId="25" borderId="10" xfId="35" applyNumberFormat="1" applyFont="1" applyBorder="1" applyAlignment="1">
      <alignment horizontal="center" vertical="center" wrapText="1"/>
    </xf>
    <xf numFmtId="0" fontId="18" fillId="25" borderId="10" xfId="35" applyFont="1" applyBorder="1" applyAlignment="1">
      <alignment vertical="center" wrapText="1"/>
    </xf>
    <xf numFmtId="168" fontId="19" fillId="0" borderId="12" xfId="44" applyNumberFormat="1" applyFont="1" applyFill="1" applyBorder="1" applyAlignment="1">
      <alignment horizontal="center" vertical="center" wrapText="1"/>
    </xf>
    <xf numFmtId="168" fontId="19" fillId="0" borderId="13" xfId="44" applyNumberFormat="1" applyFont="1" applyFill="1" applyBorder="1" applyAlignment="1">
      <alignment horizontal="center" vertical="center" wrapText="1"/>
    </xf>
    <xf numFmtId="168" fontId="19" fillId="27" borderId="10" xfId="37" applyNumberFormat="1" applyFont="1" applyBorder="1" applyAlignment="1">
      <alignment horizontal="center" vertical="center" wrapText="1"/>
    </xf>
    <xf numFmtId="168" fontId="19" fillId="25" borderId="66" xfId="35" applyNumberFormat="1" applyFont="1" applyBorder="1" applyAlignment="1">
      <alignment horizontal="center" vertical="center"/>
    </xf>
    <xf numFmtId="168" fontId="18" fillId="25" borderId="0" xfId="35" applyNumberFormat="1" applyFont="1" applyBorder="1" applyAlignment="1">
      <alignment horizontal="center" vertical="center" wrapText="1"/>
    </xf>
    <xf numFmtId="0" fontId="18" fillId="25" borderId="0" xfId="35" applyFont="1" applyBorder="1" applyAlignment="1">
      <alignment vertical="center" wrapText="1"/>
    </xf>
    <xf numFmtId="168" fontId="18" fillId="25" borderId="63" xfId="35" applyNumberFormat="1" applyFont="1" applyBorder="1" applyAlignment="1">
      <alignment horizontal="center" vertical="center" wrapText="1"/>
    </xf>
    <xf numFmtId="0" fontId="18" fillId="25" borderId="63" xfId="35" applyFont="1" applyBorder="1" applyAlignment="1">
      <alignment vertical="center" wrapText="1"/>
    </xf>
    <xf numFmtId="0" fontId="100" fillId="65" borderId="122" xfId="3" applyFont="1" applyFill="1" applyBorder="1" applyAlignment="1">
      <alignment horizontal="center" vertical="center" wrapText="1"/>
    </xf>
    <xf numFmtId="0" fontId="100" fillId="65" borderId="127" xfId="3" applyFont="1" applyFill="1" applyBorder="1" applyAlignment="1">
      <alignment horizontal="center" vertical="center" wrapText="1"/>
    </xf>
    <xf numFmtId="0" fontId="100" fillId="65" borderId="85" xfId="3" applyFont="1" applyFill="1" applyBorder="1" applyAlignment="1">
      <alignment horizontal="center" vertical="center" wrapText="1"/>
    </xf>
    <xf numFmtId="0" fontId="100" fillId="65" borderId="121" xfId="3" applyFont="1" applyFill="1" applyBorder="1" applyAlignment="1">
      <alignment horizontal="center" vertical="center" wrapText="1"/>
    </xf>
    <xf numFmtId="0" fontId="100" fillId="65" borderId="123" xfId="3" applyFont="1" applyFill="1" applyBorder="1" applyAlignment="1">
      <alignment horizontal="center" vertical="center" wrapText="1"/>
    </xf>
    <xf numFmtId="0" fontId="100" fillId="65" borderId="124" xfId="3" applyFont="1" applyFill="1" applyBorder="1" applyAlignment="1">
      <alignment horizontal="center" vertical="center" wrapText="1"/>
    </xf>
    <xf numFmtId="0" fontId="100" fillId="65" borderId="125" xfId="3" applyFont="1" applyFill="1" applyBorder="1" applyAlignment="1">
      <alignment horizontal="center" vertical="center" wrapText="1"/>
    </xf>
    <xf numFmtId="0" fontId="100" fillId="65" borderId="126" xfId="3" applyFont="1" applyFill="1" applyBorder="1" applyAlignment="1">
      <alignment horizontal="center" vertical="center" wrapText="1"/>
    </xf>
    <xf numFmtId="0" fontId="113" fillId="66" borderId="107" xfId="0" applyFont="1" applyFill="1" applyBorder="1" applyAlignment="1">
      <alignment horizontal="center" vertical="center" wrapText="1"/>
    </xf>
    <xf numFmtId="0" fontId="113" fillId="66" borderId="109" xfId="0" applyFont="1" applyFill="1" applyBorder="1" applyAlignment="1">
      <alignment horizontal="center" vertical="center" wrapText="1"/>
    </xf>
    <xf numFmtId="0" fontId="100" fillId="65" borderId="117" xfId="3" applyFont="1" applyFill="1" applyBorder="1" applyAlignment="1">
      <alignment horizontal="center" vertical="center" wrapText="1"/>
    </xf>
    <xf numFmtId="0" fontId="100" fillId="65" borderId="118" xfId="3" applyFont="1" applyFill="1" applyBorder="1" applyAlignment="1">
      <alignment horizontal="center" vertical="center" wrapText="1"/>
    </xf>
    <xf numFmtId="0" fontId="100" fillId="65" borderId="107" xfId="3" applyFont="1" applyFill="1" applyBorder="1" applyAlignment="1">
      <alignment horizontal="center" vertical="center" wrapText="1"/>
    </xf>
    <xf numFmtId="0" fontId="100" fillId="65" borderId="108" xfId="3" applyFont="1" applyFill="1" applyBorder="1" applyAlignment="1">
      <alignment horizontal="center" vertical="center" wrapText="1"/>
    </xf>
    <xf numFmtId="0" fontId="100" fillId="65" borderId="109" xfId="3" applyFont="1" applyFill="1" applyBorder="1" applyAlignment="1">
      <alignment horizontal="center" vertical="center" wrapText="1"/>
    </xf>
    <xf numFmtId="168" fontId="107" fillId="0" borderId="115" xfId="44" applyNumberFormat="1" applyFont="1" applyFill="1" applyBorder="1" applyAlignment="1">
      <alignment horizontal="center" vertical="center" wrapText="1"/>
    </xf>
    <xf numFmtId="3" fontId="107" fillId="0" borderId="112" xfId="0" applyNumberFormat="1" applyFont="1" applyBorder="1" applyAlignment="1">
      <alignment horizontal="center" vertical="center"/>
    </xf>
    <xf numFmtId="3" fontId="107" fillId="0" borderId="113" xfId="0" applyNumberFormat="1" applyFont="1" applyBorder="1" applyAlignment="1">
      <alignment horizontal="center" vertical="center"/>
    </xf>
    <xf numFmtId="3" fontId="107" fillId="0" borderId="114" xfId="0" applyNumberFormat="1" applyFont="1" applyBorder="1" applyAlignment="1">
      <alignment horizontal="center" vertical="center"/>
    </xf>
    <xf numFmtId="0" fontId="116" fillId="26" borderId="112" xfId="36" applyFont="1" applyBorder="1" applyAlignment="1">
      <alignment horizontal="center" vertical="center" wrapText="1"/>
    </xf>
    <xf numFmtId="0" fontId="116" fillId="26" borderId="113" xfId="36" applyFont="1" applyBorder="1" applyAlignment="1">
      <alignment horizontal="center" vertical="center" wrapText="1"/>
    </xf>
    <xf numFmtId="0" fontId="116" fillId="26" borderId="114" xfId="36" applyFont="1" applyBorder="1" applyAlignment="1">
      <alignment horizontal="center" vertical="center" wrapText="1"/>
    </xf>
    <xf numFmtId="168" fontId="106" fillId="0" borderId="0" xfId="44" applyNumberFormat="1" applyFont="1" applyFill="1" applyBorder="1" applyAlignment="1">
      <alignment horizontal="center" vertical="center" wrapText="1"/>
    </xf>
    <xf numFmtId="168" fontId="106" fillId="0" borderId="14" xfId="44" applyNumberFormat="1" applyFont="1" applyFill="1" applyBorder="1" applyAlignment="1">
      <alignment horizontal="center" vertical="center" wrapText="1"/>
    </xf>
    <xf numFmtId="0" fontId="107" fillId="0" borderId="112" xfId="0" applyFont="1" applyBorder="1" applyAlignment="1">
      <alignment horizontal="center" vertical="center" wrapText="1"/>
    </xf>
    <xf numFmtId="0" fontId="107" fillId="0" borderId="113" xfId="0" applyFont="1" applyBorder="1" applyAlignment="1">
      <alignment horizontal="center" vertical="center" wrapText="1"/>
    </xf>
    <xf numFmtId="0" fontId="107" fillId="0" borderId="114" xfId="0" applyFont="1" applyBorder="1" applyAlignment="1">
      <alignment horizontal="center" vertical="center" wrapText="1"/>
    </xf>
    <xf numFmtId="168" fontId="18" fillId="25" borderId="84" xfId="35" applyNumberFormat="1" applyFont="1" applyBorder="1" applyAlignment="1">
      <alignment horizontal="center" vertical="center"/>
    </xf>
    <xf numFmtId="0" fontId="107" fillId="0" borderId="0" xfId="60" applyFont="1" applyAlignment="1">
      <alignment horizontal="center" vertical="center"/>
    </xf>
    <xf numFmtId="0" fontId="107" fillId="67" borderId="88" xfId="60" applyFont="1" applyFill="1" applyBorder="1" applyAlignment="1">
      <alignment horizontal="center" vertical="center"/>
    </xf>
    <xf numFmtId="0" fontId="107" fillId="0" borderId="89" xfId="61" applyFont="1" applyBorder="1" applyAlignment="1">
      <alignment horizontal="center" vertical="center"/>
    </xf>
    <xf numFmtId="0" fontId="107" fillId="24" borderId="95" xfId="34" applyFont="1" applyBorder="1" applyAlignment="1">
      <alignment horizontal="center" vertical="center"/>
    </xf>
    <xf numFmtId="0" fontId="107" fillId="24" borderId="96" xfId="34" applyFont="1" applyBorder="1" applyAlignment="1">
      <alignment horizontal="center" vertical="center"/>
    </xf>
    <xf numFmtId="0" fontId="100" fillId="69" borderId="99" xfId="60" applyFont="1" applyFill="1" applyBorder="1" applyAlignment="1">
      <alignment horizontal="center" vertical="center" wrapText="1"/>
    </xf>
    <xf numFmtId="0" fontId="100" fillId="69" borderId="97" xfId="60" applyFont="1" applyFill="1" applyBorder="1" applyAlignment="1">
      <alignment horizontal="center" vertical="center" wrapText="1"/>
    </xf>
    <xf numFmtId="0" fontId="107" fillId="0" borderId="0" xfId="60" applyFont="1" applyAlignment="1">
      <alignment horizontal="center"/>
    </xf>
    <xf numFmtId="0" fontId="100" fillId="69" borderId="98" xfId="60" applyFont="1" applyFill="1" applyBorder="1" applyAlignment="1">
      <alignment horizontal="center" vertical="center" wrapText="1"/>
    </xf>
    <xf numFmtId="0" fontId="100" fillId="69" borderId="128" xfId="60" applyFont="1" applyFill="1" applyBorder="1" applyAlignment="1">
      <alignment horizontal="center" vertical="center" wrapText="1"/>
    </xf>
    <xf numFmtId="0" fontId="120" fillId="0" borderId="0" xfId="0" applyFont="1" applyProtection="1">
      <protection locked="0"/>
    </xf>
    <xf numFmtId="166" fontId="100" fillId="65" borderId="129" xfId="1" applyNumberFormat="1" applyFont="1" applyFill="1" applyBorder="1" applyAlignment="1">
      <alignment horizontal="center" vertical="center" wrapText="1"/>
    </xf>
    <xf numFmtId="166" fontId="100" fillId="65" borderId="99" xfId="1" applyNumberFormat="1" applyFont="1" applyFill="1" applyBorder="1" applyAlignment="1">
      <alignment horizontal="center" vertical="center" wrapText="1"/>
    </xf>
    <xf numFmtId="166" fontId="100" fillId="65" borderId="130" xfId="1" applyNumberFormat="1" applyFont="1" applyFill="1" applyBorder="1" applyAlignment="1">
      <alignment horizontal="center" vertical="center" wrapText="1"/>
    </xf>
    <xf numFmtId="166" fontId="100" fillId="65" borderId="107" xfId="1" applyNumberFormat="1" applyFont="1" applyFill="1" applyBorder="1" applyAlignment="1">
      <alignment horizontal="center" vertical="center" wrapText="1"/>
    </xf>
    <xf numFmtId="166" fontId="100" fillId="65" borderId="108" xfId="1" applyNumberFormat="1" applyFont="1" applyFill="1" applyBorder="1" applyAlignment="1">
      <alignment horizontal="center" vertical="center" wrapText="1"/>
    </xf>
    <xf numFmtId="166" fontId="100" fillId="65" borderId="109" xfId="1" applyNumberFormat="1" applyFont="1" applyFill="1" applyBorder="1" applyAlignment="1">
      <alignment horizontal="center" vertical="center" wrapText="1"/>
    </xf>
    <xf numFmtId="170" fontId="49" fillId="0" borderId="10" xfId="44" applyNumberFormat="1" applyFont="1" applyFill="1" applyBorder="1" applyAlignment="1">
      <alignment horizontal="center"/>
    </xf>
    <xf numFmtId="0" fontId="53" fillId="0" borderId="0" xfId="0" applyFont="1" applyAlignment="1">
      <alignment horizontal="left" wrapText="1"/>
    </xf>
    <xf numFmtId="0" fontId="80" fillId="59" borderId="77" xfId="0" applyFont="1" applyFill="1" applyBorder="1" applyAlignment="1">
      <alignment horizontal="center" vertical="center" wrapText="1"/>
    </xf>
    <xf numFmtId="0" fontId="80" fillId="59" borderId="78" xfId="0" applyFont="1" applyFill="1" applyBorder="1" applyAlignment="1">
      <alignment horizontal="center" vertical="center" wrapText="1"/>
    </xf>
    <xf numFmtId="14" fontId="85" fillId="0" borderId="0" xfId="0" applyNumberFormat="1" applyFont="1" applyAlignment="1">
      <alignment horizontal="left" wrapText="1"/>
    </xf>
    <xf numFmtId="0" fontId="75" fillId="0" borderId="0" xfId="0" applyFont="1" applyAlignment="1">
      <alignment horizontal="left" vertical="center"/>
    </xf>
    <xf numFmtId="0" fontId="76" fillId="0" borderId="0" xfId="0" applyFont="1" applyAlignment="1">
      <alignment vertical="center"/>
    </xf>
    <xf numFmtId="0" fontId="69" fillId="0" borderId="28" xfId="0" applyFont="1" applyBorder="1" applyAlignment="1">
      <alignment horizontal="center"/>
    </xf>
    <xf numFmtId="0" fontId="69" fillId="0" borderId="0" xfId="0" applyFont="1" applyAlignment="1">
      <alignment horizontal="center"/>
    </xf>
    <xf numFmtId="0" fontId="70" fillId="53" borderId="28" xfId="0" applyFont="1" applyFill="1" applyBorder="1" applyAlignment="1">
      <alignment horizontal="center" vertical="center"/>
    </xf>
    <xf numFmtId="0" fontId="70" fillId="53" borderId="0" xfId="0" applyFont="1" applyFill="1" applyAlignment="1">
      <alignment horizontal="center" vertical="center"/>
    </xf>
    <xf numFmtId="0" fontId="68" fillId="54" borderId="28" xfId="0" applyFont="1" applyFill="1" applyBorder="1" applyAlignment="1">
      <alignment horizontal="center" vertical="center" wrapText="1"/>
    </xf>
    <xf numFmtId="0" fontId="68" fillId="54" borderId="0" xfId="0" applyFont="1" applyFill="1" applyAlignment="1">
      <alignment horizontal="center" vertical="center" wrapText="1"/>
    </xf>
    <xf numFmtId="49" fontId="71" fillId="55" borderId="17" xfId="0" applyNumberFormat="1" applyFont="1" applyFill="1" applyBorder="1" applyAlignment="1">
      <alignment horizontal="center"/>
    </xf>
    <xf numFmtId="49" fontId="71" fillId="55" borderId="70" xfId="0" applyNumberFormat="1" applyFont="1" applyFill="1" applyBorder="1" applyAlignment="1">
      <alignment horizontal="center"/>
    </xf>
    <xf numFmtId="49" fontId="71" fillId="55" borderId="71" xfId="0" applyNumberFormat="1" applyFont="1" applyFill="1" applyBorder="1" applyAlignment="1">
      <alignment horizontal="center"/>
    </xf>
    <xf numFmtId="0" fontId="72" fillId="0" borderId="69" xfId="0" applyFont="1" applyBorder="1" applyAlignment="1">
      <alignment horizontal="center" vertical="center" wrapText="1"/>
    </xf>
    <xf numFmtId="0" fontId="72" fillId="0" borderId="22" xfId="0" applyFont="1" applyBorder="1" applyAlignment="1">
      <alignment horizontal="center" vertical="center" wrapText="1"/>
    </xf>
    <xf numFmtId="0" fontId="72" fillId="0" borderId="70" xfId="0" applyFont="1" applyBorder="1" applyAlignment="1">
      <alignment horizontal="center" vertical="center" wrapText="1"/>
    </xf>
    <xf numFmtId="0" fontId="72" fillId="0" borderId="71" xfId="0" applyFont="1" applyBorder="1" applyAlignment="1">
      <alignment horizontal="center" vertical="center" wrapText="1"/>
    </xf>
    <xf numFmtId="1" fontId="43" fillId="0" borderId="69" xfId="0" applyNumberFormat="1" applyFont="1" applyBorder="1" applyAlignment="1">
      <alignment horizontal="center" vertical="center"/>
    </xf>
    <xf numFmtId="168" fontId="19" fillId="25" borderId="10" xfId="35" applyNumberFormat="1" applyFont="1" applyBorder="1" applyAlignment="1">
      <alignment horizontal="center" vertical="center"/>
    </xf>
    <xf numFmtId="168" fontId="19" fillId="25" borderId="0" xfId="35" applyNumberFormat="1" applyFont="1" applyBorder="1" applyAlignment="1">
      <alignment horizontal="center" vertical="center" wrapText="1"/>
    </xf>
    <xf numFmtId="0" fontId="19" fillId="25" borderId="0" xfId="35" applyFont="1" applyBorder="1" applyAlignment="1">
      <alignment vertical="center" wrapText="1"/>
    </xf>
    <xf numFmtId="168" fontId="19" fillId="25" borderId="63" xfId="35" applyNumberFormat="1" applyFont="1" applyBorder="1" applyAlignment="1">
      <alignment horizontal="center" vertical="center" wrapText="1"/>
    </xf>
    <xf numFmtId="0" fontId="19" fillId="25" borderId="63" xfId="35" applyFont="1" applyBorder="1" applyAlignment="1">
      <alignment vertical="center" wrapText="1"/>
    </xf>
    <xf numFmtId="168" fontId="19" fillId="25" borderId="10" xfId="35" applyNumberFormat="1" applyFont="1" applyBorder="1" applyAlignment="1">
      <alignment horizontal="center" vertical="center" wrapText="1"/>
    </xf>
    <xf numFmtId="0" fontId="19" fillId="25" borderId="10" xfId="35" applyFont="1" applyBorder="1" applyAlignment="1">
      <alignment vertical="center" wrapText="1"/>
    </xf>
    <xf numFmtId="168" fontId="18" fillId="25" borderId="10" xfId="35" applyNumberFormat="1" applyFont="1" applyBorder="1" applyAlignment="1">
      <alignment horizontal="center" vertical="center"/>
    </xf>
    <xf numFmtId="0" fontId="18" fillId="25" borderId="10" xfId="35" applyFont="1" applyBorder="1" applyAlignment="1">
      <alignment vertical="center"/>
    </xf>
    <xf numFmtId="168" fontId="26" fillId="27" borderId="10" xfId="37" applyNumberFormat="1" applyFont="1" applyBorder="1" applyAlignment="1">
      <alignment horizontal="center" vertical="center" wrapText="1"/>
    </xf>
    <xf numFmtId="0" fontId="17" fillId="46" borderId="25" xfId="0" applyFont="1" applyFill="1" applyBorder="1" applyAlignment="1">
      <alignment horizontal="center" vertical="center"/>
    </xf>
    <xf numFmtId="0" fontId="17" fillId="46" borderId="26" xfId="0" applyFont="1" applyFill="1" applyBorder="1" applyAlignment="1">
      <alignment horizontal="center" vertical="center"/>
    </xf>
    <xf numFmtId="0" fontId="17" fillId="46" borderId="27" xfId="0" applyFont="1" applyFill="1" applyBorder="1" applyAlignment="1">
      <alignment horizontal="center" vertical="center"/>
    </xf>
    <xf numFmtId="0" fontId="55" fillId="0" borderId="0" xfId="0" applyFont="1" applyAlignment="1">
      <alignment horizontal="left" wrapText="1"/>
    </xf>
    <xf numFmtId="0" fontId="38" fillId="0" borderId="0" xfId="0" applyFont="1" applyAlignment="1">
      <alignment horizontal="center"/>
    </xf>
    <xf numFmtId="0" fontId="30" fillId="0" borderId="0" xfId="46" applyFont="1" applyAlignment="1">
      <alignment horizontal="center"/>
    </xf>
    <xf numFmtId="0" fontId="59" fillId="0" borderId="0" xfId="46" applyFont="1" applyAlignment="1">
      <alignment horizontal="center"/>
    </xf>
    <xf numFmtId="0" fontId="36" fillId="0" borderId="23" xfId="0" applyFont="1" applyBorder="1" applyAlignment="1">
      <alignment horizontal="center" vertical="center" textRotation="90"/>
    </xf>
    <xf numFmtId="0" fontId="32" fillId="0" borderId="23" xfId="0" applyFont="1" applyBorder="1" applyAlignment="1">
      <alignment horizontal="center" vertical="center" textRotation="90"/>
    </xf>
    <xf numFmtId="0" fontId="32" fillId="0" borderId="47" xfId="0" applyFont="1" applyBorder="1" applyAlignment="1">
      <alignment horizontal="center" vertical="center" textRotation="90"/>
    </xf>
    <xf numFmtId="172" fontId="42" fillId="0" borderId="29" xfId="0" applyNumberFormat="1" applyFont="1" applyBorder="1" applyAlignment="1">
      <alignment horizontal="center" vertical="center"/>
    </xf>
    <xf numFmtId="1" fontId="43" fillId="0" borderId="19" xfId="0" applyNumberFormat="1" applyFont="1" applyBorder="1" applyAlignment="1">
      <alignment horizontal="center" vertical="center"/>
    </xf>
    <xf numFmtId="1" fontId="43" fillId="0" borderId="20" xfId="0" applyNumberFormat="1" applyFont="1" applyBorder="1" applyAlignment="1">
      <alignment horizontal="center" vertical="center"/>
    </xf>
    <xf numFmtId="1" fontId="43" fillId="0" borderId="21" xfId="0" applyNumberFormat="1" applyFont="1" applyBorder="1" applyAlignment="1">
      <alignment horizontal="center" vertical="center"/>
    </xf>
    <xf numFmtId="4" fontId="37" fillId="0" borderId="23" xfId="0" applyNumberFormat="1" applyFont="1" applyBorder="1" applyAlignment="1">
      <alignment horizontal="center" vertical="center"/>
    </xf>
    <xf numFmtId="0" fontId="37" fillId="0" borderId="23" xfId="0" applyFont="1" applyBorder="1" applyAlignment="1">
      <alignment horizontal="center" vertical="center"/>
    </xf>
    <xf numFmtId="1" fontId="21" fillId="47" borderId="37" xfId="0" applyNumberFormat="1" applyFont="1" applyFill="1" applyBorder="1" applyAlignment="1">
      <alignment horizontal="center" vertical="center"/>
    </xf>
    <xf numFmtId="1" fontId="21" fillId="47" borderId="38" xfId="0" applyNumberFormat="1" applyFont="1" applyFill="1" applyBorder="1" applyAlignment="1">
      <alignment horizontal="center" vertical="center"/>
    </xf>
    <xf numFmtId="1" fontId="21" fillId="0" borderId="40" xfId="0" applyNumberFormat="1" applyFont="1" applyBorder="1" applyAlignment="1">
      <alignment horizontal="center" vertical="center"/>
    </xf>
    <xf numFmtId="1" fontId="21" fillId="0" borderId="37" xfId="0" applyNumberFormat="1" applyFont="1" applyBorder="1" applyAlignment="1">
      <alignment horizontal="center" vertical="center"/>
    </xf>
    <xf numFmtId="1" fontId="21" fillId="0" borderId="38" xfId="0" applyNumberFormat="1" applyFont="1" applyBorder="1" applyAlignment="1">
      <alignment horizontal="center" vertical="center"/>
    </xf>
    <xf numFmtId="4" fontId="44" fillId="47" borderId="41" xfId="0" applyNumberFormat="1" applyFont="1" applyFill="1" applyBorder="1" applyAlignment="1">
      <alignment horizontal="center" vertical="center"/>
    </xf>
    <xf numFmtId="4" fontId="44" fillId="47" borderId="49" xfId="0" applyNumberFormat="1" applyFont="1" applyFill="1" applyBorder="1" applyAlignment="1">
      <alignment horizontal="center" vertical="center"/>
    </xf>
    <xf numFmtId="4" fontId="44" fillId="47" borderId="42" xfId="0" applyNumberFormat="1" applyFont="1" applyFill="1" applyBorder="1" applyAlignment="1">
      <alignment horizontal="center" vertical="center"/>
    </xf>
    <xf numFmtId="4" fontId="44" fillId="47" borderId="50" xfId="0" applyNumberFormat="1" applyFont="1" applyFill="1" applyBorder="1" applyAlignment="1">
      <alignment horizontal="center" vertical="center"/>
    </xf>
    <xf numFmtId="0" fontId="36" fillId="0" borderId="56" xfId="0" applyFont="1" applyBorder="1" applyAlignment="1">
      <alignment horizontal="center" vertical="center" textRotation="90"/>
    </xf>
    <xf numFmtId="1" fontId="21" fillId="47" borderId="39" xfId="0" applyNumberFormat="1" applyFont="1" applyFill="1" applyBorder="1" applyAlignment="1">
      <alignment horizontal="center" vertical="center"/>
    </xf>
    <xf numFmtId="1" fontId="21" fillId="0" borderId="39" xfId="0" applyNumberFormat="1" applyFont="1" applyBorder="1" applyAlignment="1">
      <alignment horizontal="center" vertical="center"/>
    </xf>
    <xf numFmtId="0" fontId="21" fillId="0" borderId="39"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47" borderId="39" xfId="0" applyFont="1" applyFill="1" applyBorder="1" applyAlignment="1">
      <alignment horizontal="center" vertical="center"/>
    </xf>
    <xf numFmtId="0" fontId="21" fillId="47" borderId="37" xfId="0" applyFont="1" applyFill="1" applyBorder="1" applyAlignment="1">
      <alignment horizontal="center" vertical="center"/>
    </xf>
    <xf numFmtId="0" fontId="21" fillId="47" borderId="38" xfId="0" applyFont="1" applyFill="1" applyBorder="1" applyAlignment="1">
      <alignment horizontal="center" vertical="center"/>
    </xf>
    <xf numFmtId="0" fontId="41" fillId="0" borderId="32" xfId="0" applyFont="1" applyBorder="1" applyAlignment="1">
      <alignment horizontal="center" vertical="center"/>
    </xf>
    <xf numFmtId="0" fontId="41" fillId="0" borderId="20" xfId="0" applyFont="1" applyBorder="1" applyAlignment="1">
      <alignment horizontal="center" vertical="center"/>
    </xf>
    <xf numFmtId="0" fontId="41" fillId="0" borderId="31" xfId="0" applyFont="1" applyBorder="1" applyAlignment="1">
      <alignment horizontal="center" vertical="center"/>
    </xf>
    <xf numFmtId="0" fontId="41" fillId="38" borderId="19" xfId="0" applyFont="1" applyFill="1" applyBorder="1" applyAlignment="1">
      <alignment horizontal="center" vertical="center"/>
    </xf>
    <xf numFmtId="0" fontId="41" fillId="38" borderId="20" xfId="0" applyFont="1" applyFill="1" applyBorder="1" applyAlignment="1">
      <alignment horizontal="center" vertical="center"/>
    </xf>
    <xf numFmtId="0" fontId="41" fillId="38" borderId="31" xfId="0" applyFont="1" applyFill="1" applyBorder="1" applyAlignment="1">
      <alignment horizontal="center" vertical="center"/>
    </xf>
    <xf numFmtId="4" fontId="42" fillId="0" borderId="33" xfId="0" applyNumberFormat="1" applyFont="1" applyBorder="1" applyAlignment="1">
      <alignment horizontal="center" vertical="center" wrapText="1"/>
    </xf>
    <xf numFmtId="4" fontId="42" fillId="0" borderId="43" xfId="0" applyNumberFormat="1" applyFont="1" applyBorder="1" applyAlignment="1">
      <alignment horizontal="center" vertical="center" wrapText="1"/>
    </xf>
    <xf numFmtId="4" fontId="42" fillId="0" borderId="34" xfId="0" applyNumberFormat="1" applyFont="1" applyBorder="1" applyAlignment="1">
      <alignment horizontal="center" vertical="center"/>
    </xf>
    <xf numFmtId="4" fontId="42" fillId="0" borderId="44" xfId="0" applyNumberFormat="1" applyFont="1" applyBorder="1" applyAlignment="1">
      <alignment horizontal="center" vertical="center"/>
    </xf>
    <xf numFmtId="4" fontId="43" fillId="0" borderId="34" xfId="0" applyNumberFormat="1" applyFont="1" applyBorder="1" applyAlignment="1">
      <alignment horizontal="center" vertical="center" textRotation="90"/>
    </xf>
    <xf numFmtId="4" fontId="43" fillId="0" borderId="44" xfId="0" applyNumberFormat="1" applyFont="1" applyBorder="1" applyAlignment="1">
      <alignment horizontal="center" vertical="center" textRotation="90"/>
    </xf>
    <xf numFmtId="4" fontId="42" fillId="0" borderId="35" xfId="0" applyNumberFormat="1" applyFont="1" applyBorder="1" applyAlignment="1">
      <alignment horizontal="center" vertical="center"/>
    </xf>
    <xf numFmtId="4" fontId="42" fillId="0" borderId="36" xfId="0" applyNumberFormat="1" applyFont="1" applyBorder="1" applyAlignment="1">
      <alignment horizontal="center" vertical="center"/>
    </xf>
    <xf numFmtId="4" fontId="42" fillId="0" borderId="45" xfId="0" applyNumberFormat="1" applyFont="1" applyBorder="1" applyAlignment="1">
      <alignment horizontal="center" vertical="center"/>
    </xf>
    <xf numFmtId="4" fontId="42" fillId="0" borderId="30" xfId="0" applyNumberFormat="1" applyFont="1" applyBorder="1" applyAlignment="1">
      <alignment horizontal="center" vertical="center"/>
    </xf>
    <xf numFmtId="4" fontId="21" fillId="0" borderId="37" xfId="0" applyNumberFormat="1" applyFont="1" applyBorder="1" applyAlignment="1">
      <alignment horizontal="center" vertical="center" wrapText="1"/>
    </xf>
    <xf numFmtId="4" fontId="21" fillId="0" borderId="38" xfId="0" applyNumberFormat="1" applyFont="1" applyBorder="1" applyAlignment="1">
      <alignment horizontal="center" vertical="center" wrapText="1"/>
    </xf>
    <xf numFmtId="0" fontId="34" fillId="0" borderId="0" xfId="0" applyFont="1" applyAlignment="1">
      <alignment horizontal="center" vertical="center"/>
    </xf>
    <xf numFmtId="0" fontId="34"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30" xfId="0" applyFont="1" applyBorder="1" applyAlignment="1">
      <alignment horizontal="center" vertical="center"/>
    </xf>
    <xf numFmtId="0" fontId="41" fillId="0" borderId="19" xfId="0" applyFont="1" applyBorder="1" applyAlignment="1">
      <alignment horizontal="center" vertical="center"/>
    </xf>
    <xf numFmtId="0" fontId="41" fillId="38" borderId="21" xfId="0" applyFont="1" applyFill="1" applyBorder="1" applyAlignment="1">
      <alignment horizontal="center" vertical="center"/>
    </xf>
    <xf numFmtId="0" fontId="16" fillId="0" borderId="0" xfId="0" applyFont="1" applyAlignment="1">
      <alignment horizontal="center"/>
    </xf>
    <xf numFmtId="3" fontId="19" fillId="0" borderId="133" xfId="0" applyNumberFormat="1" applyFont="1" applyBorder="1" applyAlignment="1">
      <alignment vertical="center" wrapText="1"/>
    </xf>
    <xf numFmtId="0" fontId="19" fillId="0" borderId="115" xfId="0" applyFont="1" applyBorder="1" applyAlignment="1">
      <alignment vertical="center" wrapText="1"/>
    </xf>
    <xf numFmtId="166" fontId="46" fillId="63" borderId="138" xfId="1" applyNumberFormat="1" applyFont="1" applyFill="1" applyBorder="1" applyAlignment="1">
      <alignment vertical="center" wrapText="1"/>
    </xf>
  </cellXfs>
  <cellStyles count="6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xfId="1" builtinId="3"/>
    <cellStyle name="Millares [0]" xfId="51" builtinId="6"/>
    <cellStyle name="Millares [0] 2" xfId="47" xr:uid="{00000000-0005-0000-0000-000022000000}"/>
    <cellStyle name="Millares [0] 3" xfId="52" xr:uid="{00000000-0005-0000-0000-000023000000}"/>
    <cellStyle name="Millares 10" xfId="53" xr:uid="{00000000-0005-0000-0000-000024000000}"/>
    <cellStyle name="Millares 11" xfId="54" xr:uid="{00000000-0005-0000-0000-000025000000}"/>
    <cellStyle name="Millares 13" xfId="55" xr:uid="{00000000-0005-0000-0000-000026000000}"/>
    <cellStyle name="Millares 2" xfId="44" xr:uid="{00000000-0005-0000-0000-000027000000}"/>
    <cellStyle name="Millares 2 2" xfId="49" xr:uid="{00000000-0005-0000-0000-000028000000}"/>
    <cellStyle name="Millares 23" xfId="57" xr:uid="{00000000-0005-0000-0000-000029000000}"/>
    <cellStyle name="Millares 6" xfId="56" xr:uid="{00000000-0005-0000-0000-00002A000000}"/>
    <cellStyle name="Millares_Formato Analisis Financiero Viabilidad Fiscal VIG-2005 (YPL) FINAL1" xfId="63" xr:uid="{A319DBA8-6772-42A0-A1B0-011C8F7C051C}"/>
    <cellStyle name="Moneda" xfId="50" builtinId="4"/>
    <cellStyle name="Neutral" xfId="9" builtinId="28" customBuiltin="1"/>
    <cellStyle name="Normal" xfId="0" builtinId="0"/>
    <cellStyle name="Normal 2" xfId="46" xr:uid="{00000000-0005-0000-0000-00002E000000}"/>
    <cellStyle name="Normal 2 2" xfId="62" xr:uid="{72FCCF96-3784-4C35-821C-40B2641EFFA7}"/>
    <cellStyle name="Normal 3" xfId="58" xr:uid="{00000000-0005-0000-0000-00002F000000}"/>
    <cellStyle name="Normal 34" xfId="60" xr:uid="{00000000-0005-0000-0000-000030000000}"/>
    <cellStyle name="Normal 35" xfId="61" xr:uid="{00000000-0005-0000-0000-000031000000}"/>
    <cellStyle name="Normal_Hoja3" xfId="59" xr:uid="{00000000-0005-0000-0000-000032000000}"/>
    <cellStyle name="Normal_PROYECTOPRESUPUESTO2004(1)" xfId="45" xr:uid="{00000000-0005-0000-0000-000033000000}"/>
    <cellStyle name="Notas" xfId="16" builtinId="10" customBuiltin="1"/>
    <cellStyle name="Porcentaje" xfId="43" builtinId="5"/>
    <cellStyle name="Porcentaje 2" xfId="48" xr:uid="{00000000-0005-0000-0000-000036000000}"/>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6">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9C0006"/>
      </font>
      <fill>
        <patternFill>
          <bgColor rgb="FFFFC7CE"/>
        </patternFill>
      </fill>
    </dxf>
    <dxf>
      <fill>
        <patternFill patternType="solid">
          <fgColor rgb="FF92D050"/>
          <bgColor rgb="FF000000"/>
        </patternFill>
      </fill>
    </dxf>
  </dxfs>
  <tableStyles count="0" defaultTableStyle="TableStyleMedium2" defaultPivotStyle="PivotStyleLight16"/>
  <colors>
    <mruColors>
      <color rgb="FFF8DBA0"/>
      <color rgb="FFF2F4A4"/>
      <color rgb="FF00FFFF"/>
      <color rgb="FFFF6600"/>
      <color rgb="FFE58C15"/>
      <color rgb="FFD4E254"/>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externalLink" Target="externalLinks/externalLink12.xml"/><Relationship Id="rId79" Type="http://schemas.microsoft.com/office/2017/10/relationships/person" Target="persons/person.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externalLink" Target="externalLinks/externalLink11.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Límite Gastos Ley 617 de 2000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3B2-4DB3-AC72-45265F1318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3B2-4DB3-AC72-45265F1318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Gráficas!$A$57:$A$58</c:f>
              <c:strCache>
                <c:ptCount val="2"/>
                <c:pt idx="0">
                  <c:v>MAX. FUNCIONAMIENTO (70%) =                                                     </c:v>
                </c:pt>
                <c:pt idx="1">
                  <c:v>INVERSION, D.P. Y OTROS  (30%) =                                               </c:v>
                </c:pt>
              </c:strCache>
            </c:strRef>
          </c:cat>
          <c:val>
            <c:numRef>
              <c:f>Gráficas!$C$57:$C$58</c:f>
              <c:numCache>
                <c:formatCode>0.00%</c:formatCode>
                <c:ptCount val="2"/>
                <c:pt idx="0">
                  <c:v>0.62410031686165335</c:v>
                </c:pt>
                <c:pt idx="1">
                  <c:v>0.37589968313834665</c:v>
                </c:pt>
              </c:numCache>
            </c:numRef>
          </c:val>
          <c:extLst>
            <c:ext xmlns:c16="http://schemas.microsoft.com/office/drawing/2014/chart" uri="{C3380CC4-5D6E-409C-BE32-E72D297353CC}">
              <c16:uniqueId val="{00000000-D8F1-44AA-BEC2-867AF213390A}"/>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 de Ingresos Vigencia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Valor Presupuestado</c:v>
          </c:tx>
          <c:spPr>
            <a:solidFill>
              <a:schemeClr val="accent2"/>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cat>
            <c:strRef>
              <c:f>'Tablas Plan F'!$A$2:$A$6</c:f>
              <c:strCache>
                <c:ptCount val="3"/>
                <c:pt idx="0">
                  <c:v>INGRESOS CORRIENTES</c:v>
                </c:pt>
                <c:pt idx="1">
                  <c:v>RECURSOS DE CAPITAL</c:v>
                </c:pt>
                <c:pt idx="2">
                  <c:v>FONDOS ESPECIALES</c:v>
                </c:pt>
              </c:strCache>
            </c:strRef>
          </c:cat>
          <c:val>
            <c:numRef>
              <c:f>'Tablas Plan F'!$B$2:$B$6</c:f>
              <c:numCache>
                <c:formatCode>#,##0</c:formatCode>
                <c:ptCount val="3"/>
                <c:pt idx="0">
                  <c:v>153846924153.72162</c:v>
                </c:pt>
                <c:pt idx="1">
                  <c:v>795641085</c:v>
                </c:pt>
                <c:pt idx="2">
                  <c:v>254310579367</c:v>
                </c:pt>
              </c:numCache>
            </c:numRef>
          </c:val>
          <c:extLst>
            <c:ext xmlns:c16="http://schemas.microsoft.com/office/drawing/2014/chart" uri="{C3380CC4-5D6E-409C-BE32-E72D297353CC}">
              <c16:uniqueId val="{00000000-FF62-4AA0-A5E4-8F65BB6E2CB7}"/>
            </c:ext>
          </c:extLst>
        </c:ser>
        <c:ser>
          <c:idx val="1"/>
          <c:order val="1"/>
          <c:tx>
            <c:v>% de Participación</c:v>
          </c:tx>
          <c:spPr>
            <a:solidFill>
              <a:schemeClr val="accent4"/>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cat>
            <c:strRef>
              <c:f>'Tablas Plan F'!$A$2:$A$6</c:f>
              <c:strCache>
                <c:ptCount val="3"/>
                <c:pt idx="0">
                  <c:v>INGRESOS CORRIENTES</c:v>
                </c:pt>
                <c:pt idx="1">
                  <c:v>RECURSOS DE CAPITAL</c:v>
                </c:pt>
                <c:pt idx="2">
                  <c:v>FONDOS ESPECIALES</c:v>
                </c:pt>
              </c:strCache>
            </c:strRef>
          </c:cat>
          <c:val>
            <c:numRef>
              <c:f>'Tablas Plan F'!$C$2:$C$6</c:f>
              <c:numCache>
                <c:formatCode>0.00%</c:formatCode>
                <c:ptCount val="3"/>
                <c:pt idx="0">
                  <c:v>0.38429999999999997</c:v>
                </c:pt>
                <c:pt idx="1">
                  <c:v>1.9E-3</c:v>
                </c:pt>
                <c:pt idx="2">
                  <c:v>0.62185749815467239</c:v>
                </c:pt>
              </c:numCache>
            </c:numRef>
          </c:val>
          <c:extLst>
            <c:ext xmlns:c16="http://schemas.microsoft.com/office/drawing/2014/chart" uri="{C3380CC4-5D6E-409C-BE32-E72D297353CC}">
              <c16:uniqueId val="{00000001-FF62-4AA0-A5E4-8F65BB6E2CB7}"/>
            </c:ext>
          </c:extLst>
        </c:ser>
        <c:dLbls>
          <c:showLegendKey val="0"/>
          <c:showVal val="0"/>
          <c:showCatName val="0"/>
          <c:showSerName val="0"/>
          <c:showPercent val="0"/>
          <c:showBubbleSize val="0"/>
        </c:dLbls>
        <c:gapWidth val="150"/>
        <c:axId val="669908543"/>
        <c:axId val="669913951"/>
      </c:barChart>
      <c:catAx>
        <c:axId val="669908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9913951"/>
        <c:crosses val="autoZero"/>
        <c:auto val="1"/>
        <c:lblAlgn val="ctr"/>
        <c:lblOffset val="100"/>
        <c:noMultiLvlLbl val="0"/>
      </c:catAx>
      <c:valAx>
        <c:axId val="669913951"/>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99085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'Tablas Plan F'!$A$31</c:f>
              <c:strCache>
                <c:ptCount val="1"/>
                <c:pt idx="0">
                  <c:v>Recurso Ordinario</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numRef>
              <c:f>'Tablas Plan F'!$B$30:$F$30</c:f>
              <c:numCache>
                <c:formatCode>General</c:formatCode>
                <c:ptCount val="5"/>
                <c:pt idx="0">
                  <c:v>2017</c:v>
                </c:pt>
                <c:pt idx="1">
                  <c:v>2018</c:v>
                </c:pt>
                <c:pt idx="2">
                  <c:v>2019</c:v>
                </c:pt>
                <c:pt idx="3">
                  <c:v>2020</c:v>
                </c:pt>
                <c:pt idx="4">
                  <c:v>2021</c:v>
                </c:pt>
              </c:numCache>
            </c:numRef>
          </c:cat>
          <c:val>
            <c:numRef>
              <c:f>'Tablas Plan F'!$B$31:$F$31</c:f>
              <c:numCache>
                <c:formatCode>#,##0</c:formatCode>
                <c:ptCount val="5"/>
                <c:pt idx="0">
                  <c:v>77596</c:v>
                </c:pt>
                <c:pt idx="1">
                  <c:v>80147</c:v>
                </c:pt>
                <c:pt idx="2">
                  <c:v>85160</c:v>
                </c:pt>
                <c:pt idx="3">
                  <c:v>71867</c:v>
                </c:pt>
                <c:pt idx="4">
                  <c:v>96343</c:v>
                </c:pt>
              </c:numCache>
            </c:numRef>
          </c:val>
          <c:smooth val="0"/>
          <c:extLst>
            <c:ext xmlns:c16="http://schemas.microsoft.com/office/drawing/2014/chart" uri="{C3380CC4-5D6E-409C-BE32-E72D297353CC}">
              <c16:uniqueId val="{00000000-1BB3-4F25-93CA-820786CAC98D}"/>
            </c:ext>
          </c:extLst>
        </c:ser>
        <c:dLbls>
          <c:showLegendKey val="0"/>
          <c:showVal val="0"/>
          <c:showCatName val="0"/>
          <c:showSerName val="0"/>
          <c:showPercent val="0"/>
          <c:showBubbleSize val="0"/>
        </c:dLbls>
        <c:smooth val="0"/>
        <c:axId val="654958495"/>
        <c:axId val="654956415"/>
      </c:lineChart>
      <c:catAx>
        <c:axId val="654958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4956415"/>
        <c:crosses val="autoZero"/>
        <c:auto val="1"/>
        <c:lblAlgn val="ctr"/>
        <c:lblOffset val="100"/>
        <c:noMultiLvlLbl val="0"/>
      </c:catAx>
      <c:valAx>
        <c:axId val="6549564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Valores en Pesos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49584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Tablas!$B$1</c:f>
              <c:strCache>
                <c:ptCount val="1"/>
                <c:pt idx="0">
                  <c:v> PROYECCIONES PLAN FINANCIERO 2024 </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799E-4ABD-AA47-55EA1DA3AF83}"/>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799E-4ABD-AA47-55EA1DA3AF83}"/>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5-799E-4ABD-AA47-55EA1DA3AF83}"/>
              </c:ext>
            </c:extLst>
          </c:dPt>
          <c:dPt>
            <c:idx val="3"/>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799E-4ABD-AA47-55EA1DA3AF83}"/>
              </c:ext>
            </c:extLst>
          </c:dPt>
          <c:dPt>
            <c:idx val="4"/>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799E-4ABD-AA47-55EA1DA3AF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Tablas!$A$2:$A$6</c:f>
              <c:strCache>
                <c:ptCount val="5"/>
                <c:pt idx="0">
                  <c:v>INGRESOS CORRIENTES</c:v>
                </c:pt>
                <c:pt idx="1">
                  <c:v>TRIBUTARIOS</c:v>
                </c:pt>
                <c:pt idx="2">
                  <c:v>NO TRIBUTARIOS</c:v>
                </c:pt>
                <c:pt idx="3">
                  <c:v>RECURSOS DE CAPITAL</c:v>
                </c:pt>
                <c:pt idx="4">
                  <c:v>FONDOS ESPECIALES</c:v>
                </c:pt>
              </c:strCache>
            </c:strRef>
          </c:cat>
          <c:val>
            <c:numRef>
              <c:f>Tablas!$B$2:$B$6</c:f>
              <c:numCache>
                <c:formatCode>_-* #,##0_-;\-* #,##0_-;_-* "-"??_-;_-@_-</c:formatCode>
                <c:ptCount val="5"/>
                <c:pt idx="0">
                  <c:v>208123169000</c:v>
                </c:pt>
                <c:pt idx="1">
                  <c:v>32803406000</c:v>
                </c:pt>
                <c:pt idx="2">
                  <c:v>175319763000</c:v>
                </c:pt>
                <c:pt idx="3">
                  <c:v>9817000000</c:v>
                </c:pt>
                <c:pt idx="4">
                  <c:v>290333144000</c:v>
                </c:pt>
              </c:numCache>
            </c:numRef>
          </c:val>
          <c:extLst>
            <c:ext xmlns:c16="http://schemas.microsoft.com/office/drawing/2014/chart" uri="{C3380CC4-5D6E-409C-BE32-E72D297353CC}">
              <c16:uniqueId val="{00000000-5409-45EA-A86C-9F97DB40402E}"/>
            </c:ext>
          </c:extLst>
        </c:ser>
        <c:ser>
          <c:idx val="1"/>
          <c:order val="1"/>
          <c:tx>
            <c:strRef>
              <c:f>Tablas!$C$1</c:f>
              <c:strCache>
                <c:ptCount val="1"/>
                <c:pt idx="0">
                  <c:v> PORCENTAJE </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99E-4ABD-AA47-55EA1DA3AF83}"/>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D-799E-4ABD-AA47-55EA1DA3AF83}"/>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F-799E-4ABD-AA47-55EA1DA3AF83}"/>
              </c:ext>
            </c:extLst>
          </c:dPt>
          <c:dPt>
            <c:idx val="3"/>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99E-4ABD-AA47-55EA1DA3AF83}"/>
              </c:ext>
            </c:extLst>
          </c:dPt>
          <c:dPt>
            <c:idx val="4"/>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99E-4ABD-AA47-55EA1DA3AF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Tablas!$A$2:$A$6</c:f>
              <c:strCache>
                <c:ptCount val="5"/>
                <c:pt idx="0">
                  <c:v>INGRESOS CORRIENTES</c:v>
                </c:pt>
                <c:pt idx="1">
                  <c:v>TRIBUTARIOS</c:v>
                </c:pt>
                <c:pt idx="2">
                  <c:v>NO TRIBUTARIOS</c:v>
                </c:pt>
                <c:pt idx="3">
                  <c:v>RECURSOS DE CAPITAL</c:v>
                </c:pt>
                <c:pt idx="4">
                  <c:v>FONDOS ESPECIALES</c:v>
                </c:pt>
              </c:strCache>
            </c:strRef>
          </c:cat>
          <c:val>
            <c:numRef>
              <c:f>Tablas!$C$2:$C$6</c:f>
              <c:numCache>
                <c:formatCode>0%</c:formatCode>
                <c:ptCount val="5"/>
                <c:pt idx="0">
                  <c:v>0.40947097492014106</c:v>
                </c:pt>
                <c:pt idx="1">
                  <c:v>6.4538910780861714E-2</c:v>
                </c:pt>
                <c:pt idx="2">
                  <c:v>0.34493206413927935</c:v>
                </c:pt>
                <c:pt idx="3">
                  <c:v>1.9314411653952014E-2</c:v>
                </c:pt>
                <c:pt idx="4">
                  <c:v>0.57121461342590696</c:v>
                </c:pt>
              </c:numCache>
            </c:numRef>
          </c:val>
          <c:extLst>
            <c:ext xmlns:c16="http://schemas.microsoft.com/office/drawing/2014/chart" uri="{C3380CC4-5D6E-409C-BE32-E72D297353CC}">
              <c16:uniqueId val="{00000001-5409-45EA-A86C-9F97DB40402E}"/>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Tablas!$B$12</c:f>
              <c:strCache>
                <c:ptCount val="1"/>
                <c:pt idx="0">
                  <c:v> PROYECCIONES PLAN FINANCIERO 2024 </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73B2-4BB0-82E4-CD4349871905}"/>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73B2-4BB0-82E4-CD4349871905}"/>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5-73B2-4BB0-82E4-CD434987190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Tablas!$A$13:$A$28</c:f>
              <c:strCache>
                <c:ptCount val="3"/>
                <c:pt idx="0">
                  <c:v>GASTOS DE FUNCIONAMIENTO</c:v>
                </c:pt>
                <c:pt idx="1">
                  <c:v>DEUDA PÚBLICA</c:v>
                </c:pt>
                <c:pt idx="2">
                  <c:v>INVERSIÓN</c:v>
                </c:pt>
              </c:strCache>
            </c:strRef>
          </c:cat>
          <c:val>
            <c:numRef>
              <c:f>Tablas!$B$13:$B$28</c:f>
              <c:numCache>
                <c:formatCode>_-* #,##0_-;\-* #,##0_-;_-* "-"??_-;_-@_-</c:formatCode>
                <c:ptCount val="3"/>
                <c:pt idx="0">
                  <c:v>157753937382.48801</c:v>
                </c:pt>
                <c:pt idx="1">
                  <c:v>11236130586.506001</c:v>
                </c:pt>
                <c:pt idx="2">
                  <c:v>339283245031.00604</c:v>
                </c:pt>
              </c:numCache>
            </c:numRef>
          </c:val>
          <c:extLst>
            <c:ext xmlns:c16="http://schemas.microsoft.com/office/drawing/2014/chart" uri="{C3380CC4-5D6E-409C-BE32-E72D297353CC}">
              <c16:uniqueId val="{00000000-B93F-498C-BED3-0329DF9E8221}"/>
            </c:ext>
          </c:extLst>
        </c:ser>
        <c:ser>
          <c:idx val="1"/>
          <c:order val="1"/>
          <c:tx>
            <c:strRef>
              <c:f>Tablas!$C$12</c:f>
              <c:strCache>
                <c:ptCount val="1"/>
                <c:pt idx="0">
                  <c:v> PORCENTAJE </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7-73B2-4BB0-82E4-CD4349871905}"/>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3B2-4BB0-82E4-CD4349871905}"/>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B-73B2-4BB0-82E4-CD4349871905}"/>
              </c:ext>
            </c:extLst>
          </c:dPt>
          <c:cat>
            <c:strRef>
              <c:f>Tablas!$A$13:$A$28</c:f>
              <c:strCache>
                <c:ptCount val="3"/>
                <c:pt idx="0">
                  <c:v>GASTOS DE FUNCIONAMIENTO</c:v>
                </c:pt>
                <c:pt idx="1">
                  <c:v>DEUDA PÚBLICA</c:v>
                </c:pt>
                <c:pt idx="2">
                  <c:v>INVERSIÓN</c:v>
                </c:pt>
              </c:strCache>
            </c:strRef>
          </c:cat>
          <c:val>
            <c:numRef>
              <c:f>Tablas!$C$13:$C$28</c:f>
              <c:numCache>
                <c:formatCode>0%</c:formatCode>
                <c:ptCount val="3"/>
                <c:pt idx="0">
                  <c:v>0.31037226104076021</c:v>
                </c:pt>
                <c:pt idx="1">
                  <c:v>2.2106473621812995E-2</c:v>
                </c:pt>
                <c:pt idx="2">
                  <c:v>0.66752126533742695</c:v>
                </c:pt>
              </c:numCache>
            </c:numRef>
          </c:val>
          <c:extLst>
            <c:ext xmlns:c16="http://schemas.microsoft.com/office/drawing/2014/chart" uri="{C3380CC4-5D6E-409C-BE32-E72D297353CC}">
              <c16:uniqueId val="{00000001-B93F-498C-BED3-0329DF9E8221}"/>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Tablas!$B$36</c:f>
              <c:strCache>
                <c:ptCount val="1"/>
                <c:pt idx="0">
                  <c:v> VALOR </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3C-43C4-B3D4-CA617A83CE4D}"/>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3C-43C4-B3D4-CA617A83CE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Tablas!$A$37:$A$39</c:f>
              <c:strCache>
                <c:ptCount val="2"/>
                <c:pt idx="0">
                  <c:v>MAX. FUNCIONAMIENTO (60%) =                                                     </c:v>
                </c:pt>
                <c:pt idx="1">
                  <c:v>INVERSION, D.P. Y OTROS  (40%) =                                               </c:v>
                </c:pt>
              </c:strCache>
            </c:strRef>
          </c:cat>
          <c:val>
            <c:numRef>
              <c:f>Tablas!$B$37:$B$39</c:f>
              <c:numCache>
                <c:formatCode>_-* #,##0_-;\-* #,##0_-;_-* "-"??_-;_-@_-</c:formatCode>
                <c:ptCount val="2"/>
                <c:pt idx="0">
                  <c:v>67287866912.599998</c:v>
                </c:pt>
                <c:pt idx="1">
                  <c:v>44530025111.400024</c:v>
                </c:pt>
              </c:numCache>
            </c:numRef>
          </c:val>
          <c:extLst>
            <c:ext xmlns:c16="http://schemas.microsoft.com/office/drawing/2014/chart" uri="{C3380CC4-5D6E-409C-BE32-E72D297353CC}">
              <c16:uniqueId val="{00000000-257F-473D-8B8B-9ADBA9EABDC8}"/>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US"/>
              <a:t>Cumplimiento Art 350 CP</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lotArea>
      <c:layout/>
      <c:barChart>
        <c:barDir val="col"/>
        <c:grouping val="clustered"/>
        <c:varyColors val="0"/>
        <c:ser>
          <c:idx val="0"/>
          <c:order val="0"/>
          <c:tx>
            <c:v>% de Inversión</c:v>
          </c:tx>
          <c:spPr>
            <a:solidFill>
              <a:schemeClr val="accent2"/>
            </a:solidFill>
            <a:ln>
              <a:noFill/>
            </a:ln>
            <a:effectLst/>
          </c:spPr>
          <c:invertIfNegative val="0"/>
          <c:trendline>
            <c:spPr>
              <a:ln w="19050" cap="rnd">
                <a:solidFill>
                  <a:schemeClr val="accent2"/>
                </a:solidFill>
              </a:ln>
              <a:effectLst/>
            </c:spPr>
            <c:trendlineType val="linear"/>
            <c:dispRSqr val="0"/>
            <c:dispEq val="0"/>
          </c:trendline>
          <c:cat>
            <c:strRef>
              <c:f>'350 C.P  INCREMENTO SALARIAL'!$A$52:$A$53</c:f>
              <c:strCache>
                <c:ptCount val="2"/>
                <c:pt idx="0">
                  <c:v> VALOR % INVERSION 2022 </c:v>
                </c:pt>
                <c:pt idx="1">
                  <c:v> VALOR % INVERSION 2023 </c:v>
                </c:pt>
              </c:strCache>
            </c:strRef>
          </c:cat>
          <c:val>
            <c:numRef>
              <c:f>'350 C.P  INCREMENTO SALARIAL'!$B$52:$B$53</c:f>
              <c:numCache>
                <c:formatCode>0.00%</c:formatCode>
                <c:ptCount val="2"/>
                <c:pt idx="0">
                  <c:v>0.73460880223966463</c:v>
                </c:pt>
                <c:pt idx="1">
                  <c:v>0.73544213145167658</c:v>
                </c:pt>
              </c:numCache>
            </c:numRef>
          </c:val>
          <c:extLst>
            <c:ext xmlns:c16="http://schemas.microsoft.com/office/drawing/2014/chart" uri="{C3380CC4-5D6E-409C-BE32-E72D297353CC}">
              <c16:uniqueId val="{00000000-A105-4248-A21B-46A1935E9E84}"/>
            </c:ext>
          </c:extLst>
        </c:ser>
        <c:dLbls>
          <c:showLegendKey val="0"/>
          <c:showVal val="0"/>
          <c:showCatName val="0"/>
          <c:showSerName val="0"/>
          <c:showPercent val="0"/>
          <c:showBubbleSize val="0"/>
        </c:dLbls>
        <c:gapWidth val="267"/>
        <c:overlap val="-43"/>
        <c:axId val="654959327"/>
        <c:axId val="654974303"/>
      </c:barChart>
      <c:catAx>
        <c:axId val="654959327"/>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654974303"/>
        <c:crosses val="autoZero"/>
        <c:auto val="1"/>
        <c:lblAlgn val="ctr"/>
        <c:lblOffset val="100"/>
        <c:noMultiLvlLbl val="0"/>
      </c:catAx>
      <c:valAx>
        <c:axId val="654974303"/>
        <c:scaling>
          <c:orientation val="minMax"/>
        </c:scaling>
        <c:delete val="0"/>
        <c:axPos val="l"/>
        <c:majorGridlines>
          <c:spPr>
            <a:ln w="9525" cap="flat" cmpd="sng" algn="ctr">
              <a:solidFill>
                <a:schemeClr val="dk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654959327"/>
        <c:crosses val="autoZero"/>
        <c:crossBetween val="between"/>
      </c:valAx>
      <c:dTable>
        <c:showHorzBorder val="1"/>
        <c:showVertBorder val="1"/>
        <c:showOutline val="1"/>
        <c:showKeys val="1"/>
        <c:spPr>
          <a:noFill/>
          <a:ln w="9525" cap="flat" cmpd="sng" algn="ctr">
            <a:solidFill>
              <a:schemeClr val="dk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dk1">
                    <a:lumMod val="65000"/>
                    <a:lumOff val="35000"/>
                  </a:schemeClr>
                </a:solidFill>
                <a:latin typeface="+mn-lt"/>
                <a:ea typeface="+mn-ea"/>
                <a:cs typeface="+mn-cs"/>
              </a:defRPr>
            </a:pPr>
            <a:endParaRPr lang="es-CO"/>
          </a:p>
        </c:txPr>
      </c:dTable>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28574</xdr:colOff>
      <xdr:row>44</xdr:row>
      <xdr:rowOff>495300</xdr:rowOff>
    </xdr:from>
    <xdr:to>
      <xdr:col>5</xdr:col>
      <xdr:colOff>485774</xdr:colOff>
      <xdr:row>58</xdr:row>
      <xdr:rowOff>171450</xdr:rowOff>
    </xdr:to>
    <xdr:graphicFrame macro="">
      <xdr:nvGraphicFramePr>
        <xdr:cNvPr id="3" name="Gráfico 2">
          <a:extLst>
            <a:ext uri="{FF2B5EF4-FFF2-40B4-BE49-F238E27FC236}">
              <a16:creationId xmlns:a16="http://schemas.microsoft.com/office/drawing/2014/main" id="{FBBE5B57-79BE-61EC-EA33-08387BF70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1624541</xdr:colOff>
      <xdr:row>11</xdr:row>
      <xdr:rowOff>23284</xdr:rowOff>
    </xdr:from>
    <xdr:to>
      <xdr:col>1</xdr:col>
      <xdr:colOff>3862916</xdr:colOff>
      <xdr:row>25</xdr:row>
      <xdr:rowOff>99484</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1688040</xdr:colOff>
      <xdr:row>19</xdr:row>
      <xdr:rowOff>184150</xdr:rowOff>
    </xdr:from>
    <xdr:to>
      <xdr:col>6</xdr:col>
      <xdr:colOff>497415</xdr:colOff>
      <xdr:row>32</xdr:row>
      <xdr:rowOff>154516</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19050</xdr:colOff>
      <xdr:row>0</xdr:row>
      <xdr:rowOff>481012</xdr:rowOff>
    </xdr:from>
    <xdr:to>
      <xdr:col>8</xdr:col>
      <xdr:colOff>400050</xdr:colOff>
      <xdr:row>11</xdr:row>
      <xdr:rowOff>557212</xdr:rowOff>
    </xdr:to>
    <xdr:graphicFrame macro="">
      <xdr:nvGraphicFramePr>
        <xdr:cNvPr id="3" name="Gráfico 2">
          <a:extLst>
            <a:ext uri="{FF2B5EF4-FFF2-40B4-BE49-F238E27FC236}">
              <a16:creationId xmlns:a16="http://schemas.microsoft.com/office/drawing/2014/main" id="{3BB637A9-A659-0E62-4A16-6BC20514DD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1514475</xdr:colOff>
      <xdr:row>1</xdr:row>
      <xdr:rowOff>214312</xdr:rowOff>
    </xdr:from>
    <xdr:to>
      <xdr:col>9</xdr:col>
      <xdr:colOff>2009775</xdr:colOff>
      <xdr:row>12</xdr:row>
      <xdr:rowOff>290512</xdr:rowOff>
    </xdr:to>
    <xdr:graphicFrame macro="">
      <xdr:nvGraphicFramePr>
        <xdr:cNvPr id="4" name="Gráfico 3">
          <a:extLst>
            <a:ext uri="{FF2B5EF4-FFF2-40B4-BE49-F238E27FC236}">
              <a16:creationId xmlns:a16="http://schemas.microsoft.com/office/drawing/2014/main" id="{66E95203-4F2E-26B4-C79E-78EEF04806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733425</xdr:colOff>
      <xdr:row>35</xdr:row>
      <xdr:rowOff>4762</xdr:rowOff>
    </xdr:from>
    <xdr:to>
      <xdr:col>8</xdr:col>
      <xdr:colOff>1114425</xdr:colOff>
      <xdr:row>41</xdr:row>
      <xdr:rowOff>138112</xdr:rowOff>
    </xdr:to>
    <xdr:graphicFrame macro="">
      <xdr:nvGraphicFramePr>
        <xdr:cNvPr id="5" name="Gráfico 4">
          <a:extLst>
            <a:ext uri="{FF2B5EF4-FFF2-40B4-BE49-F238E27FC236}">
              <a16:creationId xmlns:a16="http://schemas.microsoft.com/office/drawing/2014/main" id="{FA0E798C-3F44-76C3-15AB-E6D151E74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890587</xdr:colOff>
      <xdr:row>43</xdr:row>
      <xdr:rowOff>9525</xdr:rowOff>
    </xdr:from>
    <xdr:to>
      <xdr:col>18</xdr:col>
      <xdr:colOff>528637</xdr:colOff>
      <xdr:row>54</xdr:row>
      <xdr:rowOff>95250</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28575</xdr:rowOff>
    </xdr:from>
    <xdr:to>
      <xdr:col>5</xdr:col>
      <xdr:colOff>266700</xdr:colOff>
      <xdr:row>4</xdr:row>
      <xdr:rowOff>133350</xdr:rowOff>
    </xdr:to>
    <xdr:pic>
      <xdr:nvPicPr>
        <xdr:cNvPr id="2" name="Imagen 3">
          <a:extLst>
            <a:ext uri="{FF2B5EF4-FFF2-40B4-BE49-F238E27FC236}">
              <a16:creationId xmlns:a16="http://schemas.microsoft.com/office/drawing/2014/main" id="{E1118C93-4375-4DB1-8C22-AC3F640252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5250"/>
          <a:ext cx="33147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xdr:colOff>
      <xdr:row>2</xdr:row>
      <xdr:rowOff>38100</xdr:rowOff>
    </xdr:from>
    <xdr:to>
      <xdr:col>7</xdr:col>
      <xdr:colOff>523875</xdr:colOff>
      <xdr:row>4</xdr:row>
      <xdr:rowOff>142875</xdr:rowOff>
    </xdr:to>
    <xdr:pic>
      <xdr:nvPicPr>
        <xdr:cNvPr id="3" name="Imagen 4">
          <a:extLst>
            <a:ext uri="{FF2B5EF4-FFF2-40B4-BE49-F238E27FC236}">
              <a16:creationId xmlns:a16="http://schemas.microsoft.com/office/drawing/2014/main" id="{E1480BBB-60E2-4821-A4F5-33D14AC808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39000" y="104775"/>
          <a:ext cx="199072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123825</xdr:colOff>
      <xdr:row>0</xdr:row>
      <xdr:rowOff>142875</xdr:rowOff>
    </xdr:from>
    <xdr:to>
      <xdr:col>1</xdr:col>
      <xdr:colOff>95250</xdr:colOff>
      <xdr:row>0</xdr:row>
      <xdr:rowOff>571500</xdr:rowOff>
    </xdr:to>
    <xdr:pic>
      <xdr:nvPicPr>
        <xdr:cNvPr id="2" name="Imagen 1">
          <a:extLst>
            <a:ext uri="{FF2B5EF4-FFF2-40B4-BE49-F238E27FC236}">
              <a16:creationId xmlns:a16="http://schemas.microsoft.com/office/drawing/2014/main" id="{E9EAA70B-7435-4479-AB35-877F354715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5"/>
          <a:ext cx="10477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870073</xdr:colOff>
      <xdr:row>0</xdr:row>
      <xdr:rowOff>123825</xdr:rowOff>
    </xdr:from>
    <xdr:to>
      <xdr:col>4</xdr:col>
      <xdr:colOff>2076</xdr:colOff>
      <xdr:row>6</xdr:row>
      <xdr:rowOff>95250</xdr:rowOff>
    </xdr:to>
    <xdr:pic>
      <xdr:nvPicPr>
        <xdr:cNvPr id="3" name="Imagen 2">
          <a:extLst>
            <a:ext uri="{FF2B5EF4-FFF2-40B4-BE49-F238E27FC236}">
              <a16:creationId xmlns:a16="http://schemas.microsoft.com/office/drawing/2014/main" id="{E027E6FF-0EBD-4BE9-9A54-87C028C43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6398" y="123825"/>
          <a:ext cx="2132378"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3</xdr:col>
      <xdr:colOff>988250</xdr:colOff>
      <xdr:row>1</xdr:row>
      <xdr:rowOff>38100</xdr:rowOff>
    </xdr:to>
    <xdr:pic>
      <xdr:nvPicPr>
        <xdr:cNvPr id="4" name="Imagen 3" descr="linea">
          <a:extLst>
            <a:ext uri="{FF2B5EF4-FFF2-40B4-BE49-F238E27FC236}">
              <a16:creationId xmlns:a16="http://schemas.microsoft.com/office/drawing/2014/main" id="{F56B4C42-4531-44C5-9FDC-998FF1B36D24}"/>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04850"/>
          <a:ext cx="40648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finahacienda/Desktop/PROYECCI&#211;N%20INGRESOS%20POR%20RENDIMIENTOS%20FINANICEROS.CSV"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DIRHACIENDA05.DQUINDIO/Desktop/PROYECCI&#211;N%20INGRESOS%20POR%20RENDIMIENTOS%20FINANICERO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Users/AUXHACIENDA35/Downloads/Presupuesto%20Asamblea%202023%20-%20proyecci&#243;n%20nueva%20ANDR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lan%20Financiero%20Plan%20de%20desarrollo%202024-2027%2019.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DIRHAC~1/AppData/Local/Temp/MX8.CSV"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DIRHACIENDA05.DQUINDIO/Desktop/Tu%20y%20Yo%20PC%20Tri/Tu%20y%20Yo%202020/Presupuesto%202021/Proyecciones%20Plan%20Financiero%202021%20Codefis%203%2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ac98ba2bb68872b2/Escritorio/Tri/Salento/Salento%202021/Presupuesto%202022/ESTRUCTURA%20PLAN%20FINANCIERO%20MFMP_ET_V_2021_1_QUINDIOultimo.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AUXHACIENDA24/Downloads/HOJA%20DE%20TRABAJO%20ADRES%20-%20ANDRES%20CERTIF%20TESORER&#205;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AUXHACIENDA24/Desktop/Tu%20y%20Yo/Tu%20y%20Yo%202021/Presupuesto%202022/1163000_Quindio_MFMP_2022%20Con%20Incremento.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AUXHACIENDA24/Downloads/ESTRUCTURA%20PLAN%20FINANCIERO%20MFMP_ET_V_2020_1_QUINDIO%206-1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Users/AUXHACIENDA24/Desktop/Tu%20y%20Yo/Tu%20y%20Yo%202021/Presupuesto%202022/Proyecciones%20Plan%20Financiero%202021%20Codefis%20Ultim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Users/AUXHACIENDA24/Desktop/Tu%20y%20Yo/Tu%20y%20Yo%20PC%20Tri/Tu%20y%20Yo%202020/Redireccionamiento%20AUX/Tablas%20Informe%20ingresos%202015%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ÓN INGRESOS POR RENDIMI"/>
    </sheetNames>
    <sheetDataSet>
      <sheetData sheetId="0">
        <row r="7">
          <cell r="I7">
            <v>4190679</v>
          </cell>
        </row>
        <row r="10">
          <cell r="I10">
            <v>549472</v>
          </cell>
        </row>
        <row r="11">
          <cell r="I11">
            <v>29512487</v>
          </cell>
        </row>
        <row r="14">
          <cell r="I14">
            <v>100000</v>
          </cell>
        </row>
        <row r="15">
          <cell r="I15">
            <v>100000</v>
          </cell>
        </row>
        <row r="16">
          <cell r="I16">
            <v>3333655</v>
          </cell>
        </row>
        <row r="18">
          <cell r="I18">
            <v>54739</v>
          </cell>
        </row>
        <row r="19">
          <cell r="I19">
            <v>42431209</v>
          </cell>
        </row>
        <row r="20">
          <cell r="I20">
            <v>727410</v>
          </cell>
        </row>
        <row r="22">
          <cell r="I22">
            <v>19668036</v>
          </cell>
        </row>
        <row r="23">
          <cell r="I23">
            <v>1763511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as"/>
      <sheetName val="09"/>
      <sheetName val="20"/>
      <sheetName val="21"/>
      <sheetName val="04"/>
      <sheetName val="05"/>
      <sheetName val="06"/>
      <sheetName val="27"/>
      <sheetName val="33"/>
      <sheetName val="34"/>
      <sheetName val="35"/>
      <sheetName val="39"/>
      <sheetName val="41"/>
      <sheetName val="42"/>
      <sheetName val="58"/>
      <sheetName val="59"/>
      <sheetName val="61"/>
      <sheetName val="63"/>
      <sheetName val="65"/>
      <sheetName val="72"/>
      <sheetName val="81"/>
      <sheetName val="145"/>
      <sheetName val="152"/>
      <sheetName val="154"/>
      <sheetName val="167"/>
      <sheetName val="171"/>
      <sheetName val="176"/>
      <sheetName val="177"/>
      <sheetName val="178"/>
      <sheetName val="179"/>
    </sheetNames>
    <sheetDataSet>
      <sheetData sheetId="0"/>
      <sheetData sheetId="1"/>
      <sheetData sheetId="2"/>
      <sheetData sheetId="3"/>
      <sheetData sheetId="4">
        <row r="117">
          <cell r="I117">
            <v>1664967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9"/>
      <sheetName val="Hoja2"/>
      <sheetName val="2020"/>
      <sheetName val="2021"/>
      <sheetName val="2022"/>
      <sheetName val="2022 Andres"/>
    </sheetNames>
    <sheetDataSet>
      <sheetData sheetId="0"/>
      <sheetData sheetId="1"/>
      <sheetData sheetId="2"/>
      <sheetData sheetId="3"/>
      <sheetData sheetId="4"/>
      <sheetData sheetId="5">
        <row r="24">
          <cell r="C24">
            <v>3329504244</v>
          </cell>
        </row>
        <row r="25">
          <cell r="C25">
            <v>490050000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2021"/>
      <sheetName val="MX6"/>
      <sheetName val="Gráficas"/>
      <sheetName val="Tablas Plan F"/>
      <sheetName val="Historico Plan Financiero 2023"/>
      <sheetName val="Historico Plan Financiero 2024"/>
      <sheetName val="F Y U 2024 Presupuesto"/>
      <sheetName val="F Y U 2024 Presupuesto OK RED"/>
      <sheetName val="FYU 2024-2027 inversion"/>
      <sheetName val=" Verdad Verdadera 24-27"/>
      <sheetName val="FYU 2024-2027 definitivo"/>
      <sheetName val="F Y U 2024 Presupuesto OK R (2)"/>
      <sheetName val="Categorizacion"/>
      <sheetName val="Asamblea 2024-2027"/>
      <sheetName val="Capacidad de Endeudamiento PA"/>
      <sheetName val="F Y U 2024 Presupuesto 15.09"/>
      <sheetName val="CCPET Ingre 2024"/>
      <sheetName val="CCPET Ingre 2024 (2)"/>
      <sheetName val="Tablas"/>
      <sheetName val="350 C.P  2024"/>
      <sheetName val="Salud 2024 "/>
      <sheetName val="Vicios Salud"/>
      <sheetName val="Ingresos 2023"/>
      <sheetName val="Recaudo Julio Dic 2022"/>
      <sheetName val="Ingresos 2022"/>
      <sheetName val="F Y U 2023 Prespupuesto"/>
      <sheetName val="Historico Plan Finan 15-23"/>
      <sheetName val="INVERSION 2023"/>
      <sheetName val="350 C.P  INCREMENTO SALARIAL"/>
      <sheetName val="Plan Financiero Ingresos"/>
      <sheetName val="F y U 2022 Presupuesto"/>
      <sheetName val="Inversion Incremento Salarial"/>
      <sheetName val="F y U 2022 Incremento Salarial"/>
      <sheetName val="Inversion "/>
      <sheetName val="Salud 2024"/>
      <sheetName val="Historico Plan Financiero 2 (2)"/>
      <sheetName val="Salud 2023"/>
      <sheetName val="Tablas Anteproyecto"/>
      <sheetName val="Plan Financiero MFMP"/>
      <sheetName val="MFMP Plan Financiero"/>
      <sheetName val="MFMP Plan Financiero GASTOS"/>
      <sheetName val="Hoja1"/>
      <sheetName val="Superávit Primario MFMP"/>
      <sheetName val="MFMP Superávit Primario"/>
      <sheetName val="Capacidad de Endeudamiento MFMP"/>
      <sheetName val="MFMP Endeudamiento con incremen"/>
      <sheetName val="Techos Funcionamiento"/>
      <sheetName val="350 C.P"/>
      <sheetName val="Sicodis"/>
      <sheetName val="Historico Gastos 2015-2021"/>
      <sheetName val="IPC"/>
      <sheetName val="Crecimiento 2021"/>
      <sheetName val="LEY 617"/>
      <sheetName val="F y U 2021"/>
      <sheetName val="Historico mes a mes"/>
      <sheetName val="F y U 2022"/>
      <sheetName val="Asamblea"/>
      <sheetName val="Deuda Nueva"/>
      <sheetName val="Deuda 2022"/>
      <sheetName val="Monopolio 2019"/>
      <sheetName val="2019"/>
      <sheetName val="Calculos Ingresos"/>
    </sheetNames>
    <sheetDataSet>
      <sheetData sheetId="0"/>
      <sheetData sheetId="1"/>
      <sheetData sheetId="2"/>
      <sheetData sheetId="3"/>
      <sheetData sheetId="4"/>
      <sheetData sheetId="5"/>
      <sheetData sheetId="6"/>
      <sheetData sheetId="7"/>
      <sheetData sheetId="8"/>
      <sheetData sheetId="9">
        <row r="57">
          <cell r="A57">
            <v>88</v>
          </cell>
          <cell r="B57" t="str">
            <v xml:space="preserve">Superávit Recurso Ordinario </v>
          </cell>
          <cell r="C57">
            <v>11773807973.99</v>
          </cell>
        </row>
        <row r="58">
          <cell r="A58">
            <v>82</v>
          </cell>
          <cell r="B58" t="str">
            <v>Superávit Estampilla Pro-Desarrollo</v>
          </cell>
          <cell r="C58">
            <v>5801575548.9700003</v>
          </cell>
        </row>
        <row r="59">
          <cell r="A59">
            <v>89</v>
          </cell>
          <cell r="B59" t="str">
            <v xml:space="preserve">Superávit Sobretasa ACPM  </v>
          </cell>
          <cell r="C59">
            <v>893732107.30999994</v>
          </cell>
        </row>
        <row r="60">
          <cell r="A60">
            <v>91</v>
          </cell>
          <cell r="B60" t="str">
            <v xml:space="preserve">Superávit Recurso Destinado del Monopolio </v>
          </cell>
          <cell r="C60">
            <v>127380177</v>
          </cell>
        </row>
        <row r="63">
          <cell r="A63">
            <v>208</v>
          </cell>
          <cell r="B63" t="str">
            <v>Superávit Impuesto al Consumo 3% Monopolio Indeportes</v>
          </cell>
          <cell r="C63">
            <v>19100484.77</v>
          </cell>
        </row>
        <row r="64">
          <cell r="A64">
            <v>260</v>
          </cell>
          <cell r="B64" t="str">
            <v>Superávit Estampilla Pro Hospital</v>
          </cell>
          <cell r="C64">
            <v>1272506149.01</v>
          </cell>
        </row>
        <row r="65">
          <cell r="A65">
            <v>261</v>
          </cell>
          <cell r="B65" t="str">
            <v>Suparávit Registro Pago Cuotas Partes Pensionales</v>
          </cell>
          <cell r="C65">
            <v>99155383.659999996</v>
          </cell>
        </row>
        <row r="66">
          <cell r="A66">
            <v>93</v>
          </cell>
          <cell r="B66" t="str">
            <v xml:space="preserve">Superávit IVA Telefonia Movil </v>
          </cell>
          <cell r="C66">
            <v>1009422.3</v>
          </cell>
        </row>
        <row r="67">
          <cell r="A67">
            <v>186</v>
          </cell>
          <cell r="B67" t="str">
            <v>Superávit Extraccíon Material Rïos, Minas y Otros</v>
          </cell>
          <cell r="C67">
            <v>150448.76</v>
          </cell>
        </row>
        <row r="68">
          <cell r="A68">
            <v>227</v>
          </cell>
          <cell r="B68" t="str">
            <v xml:space="preserve">Superávit Convenio Invias Colombia Rural </v>
          </cell>
          <cell r="C68">
            <v>1056276477</v>
          </cell>
        </row>
        <row r="69">
          <cell r="A69">
            <v>209</v>
          </cell>
          <cell r="B69" t="str">
            <v>Superávit estampilla Pro-Desarrollo (20%) Pensiones</v>
          </cell>
          <cell r="C69">
            <v>858879624.53999996</v>
          </cell>
        </row>
        <row r="70">
          <cell r="A70">
            <v>210</v>
          </cell>
          <cell r="B70" t="str">
            <v>Superávit estampilla Pro-Desarrollo (30%) Proyecta</v>
          </cell>
          <cell r="C70">
            <v>1186021823.6099999</v>
          </cell>
        </row>
        <row r="71">
          <cell r="A71">
            <v>211</v>
          </cell>
          <cell r="B71" t="str">
            <v>Superávit estampilla Procultura 20% Pensiones</v>
          </cell>
          <cell r="C71">
            <v>259959549.18000001</v>
          </cell>
        </row>
        <row r="72">
          <cell r="A72">
            <v>216</v>
          </cell>
          <cell r="B72" t="str">
            <v>Superávit estampilla Pro-adulto mayor (20%) Pensión</v>
          </cell>
          <cell r="C72">
            <v>233490607.13999999</v>
          </cell>
        </row>
        <row r="73">
          <cell r="A73">
            <v>122</v>
          </cell>
          <cell r="B73" t="str">
            <v>Superávit Desahorro FONPET</v>
          </cell>
          <cell r="C73">
            <v>6547110040.8100004</v>
          </cell>
        </row>
        <row r="74">
          <cell r="A74">
            <v>129</v>
          </cell>
          <cell r="B74" t="str">
            <v>Superávit Impuesto al Registro Proyecta</v>
          </cell>
          <cell r="C74">
            <v>51004314.18</v>
          </cell>
        </row>
        <row r="75">
          <cell r="A75">
            <v>213</v>
          </cell>
          <cell r="B75" t="str">
            <v>Superávit estampilla Procultura 10% Bibliotecas</v>
          </cell>
          <cell r="C75">
            <v>181500232.59</v>
          </cell>
        </row>
        <row r="76">
          <cell r="A76">
            <v>212</v>
          </cell>
          <cell r="B76" t="str">
            <v>Superávit estampilla Procultura 10% Seguridad Social</v>
          </cell>
          <cell r="C76">
            <v>139198689.56999999</v>
          </cell>
        </row>
        <row r="77">
          <cell r="A77">
            <v>214</v>
          </cell>
          <cell r="B77" t="str">
            <v>Superávit estampilla Procultura 50% Concertación</v>
          </cell>
          <cell r="C77">
            <v>630416665.33000004</v>
          </cell>
        </row>
        <row r="78">
          <cell r="A78">
            <v>215</v>
          </cell>
          <cell r="B78" t="str">
            <v>Superávit estampilla Procultura 10% Estimulos</v>
          </cell>
          <cell r="C78">
            <v>121310717.40000001</v>
          </cell>
        </row>
        <row r="79">
          <cell r="A79">
            <v>228</v>
          </cell>
          <cell r="B79" t="str">
            <v>Superávit convenio invias 1609 de 2020 vías terciarias</v>
          </cell>
          <cell r="C79">
            <v>9069171774.3999996</v>
          </cell>
        </row>
        <row r="80">
          <cell r="A80">
            <v>231</v>
          </cell>
          <cell r="B80" t="str">
            <v xml:space="preserve">Superávit Monopolio Deporte Alcohol Potable </v>
          </cell>
          <cell r="C80">
            <v>137394165.75</v>
          </cell>
        </row>
        <row r="81">
          <cell r="A81">
            <v>259</v>
          </cell>
          <cell r="B81" t="str">
            <v xml:space="preserve">Superávit Monopolio Deporte Alcohol Potable </v>
          </cell>
          <cell r="C81">
            <v>692888</v>
          </cell>
        </row>
        <row r="82">
          <cell r="A82">
            <v>264</v>
          </cell>
          <cell r="B82" t="str">
            <v xml:space="preserve">SUPERAVIT CONVENIO 047/22 RESGUARDO INDIGENA KARABIJUA </v>
          </cell>
          <cell r="C82">
            <v>6822431</v>
          </cell>
        </row>
        <row r="83">
          <cell r="A83">
            <v>262</v>
          </cell>
          <cell r="B83" t="str">
            <v xml:space="preserve">Superávit Tasa Pro Deporte </v>
          </cell>
          <cell r="C83">
            <v>1872632021.74</v>
          </cell>
        </row>
      </sheetData>
      <sheetData sheetId="10">
        <row r="196">
          <cell r="C196">
            <v>30685911431.009998</v>
          </cell>
        </row>
        <row r="197">
          <cell r="C197">
            <v>354403126466.67004</v>
          </cell>
        </row>
        <row r="198">
          <cell r="C198">
            <v>18696285800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X8"/>
    </sheetNames>
    <sheetDataSet>
      <sheetData sheetId="0" refreshError="1">
        <row r="6">
          <cell r="G6">
            <v>18334260465</v>
          </cell>
          <cell r="H6">
            <v>18334260465</v>
          </cell>
          <cell r="I6">
            <v>21056414375.990002</v>
          </cell>
        </row>
        <row r="10">
          <cell r="G10">
            <v>105804454.05</v>
          </cell>
          <cell r="H10">
            <v>105804454.05</v>
          </cell>
          <cell r="I10">
            <v>107699362.06</v>
          </cell>
        </row>
        <row r="11">
          <cell r="G11">
            <v>52902227.039999999</v>
          </cell>
          <cell r="H11">
            <v>52902227.039999999</v>
          </cell>
          <cell r="I11">
            <v>53849681.07</v>
          </cell>
        </row>
        <row r="12">
          <cell r="G12">
            <v>317413362.14999998</v>
          </cell>
          <cell r="H12">
            <v>317413362.14999998</v>
          </cell>
          <cell r="I12">
            <v>323098086.42000002</v>
          </cell>
        </row>
        <row r="13">
          <cell r="G13">
            <v>21160890.809999999</v>
          </cell>
        </row>
        <row r="14">
          <cell r="G14">
            <v>31741336.23</v>
          </cell>
          <cell r="H14">
            <v>31741336.23</v>
          </cell>
          <cell r="I14">
            <v>32309807.800000001</v>
          </cell>
        </row>
        <row r="16">
          <cell r="G16">
            <v>3421010680.9499998</v>
          </cell>
          <cell r="H16">
            <v>3421010680.9499998</v>
          </cell>
          <cell r="I16">
            <v>3093524146.8000002</v>
          </cell>
        </row>
        <row r="17">
          <cell r="G17">
            <v>1710505340.96</v>
          </cell>
          <cell r="H17">
            <v>1710505340.96</v>
          </cell>
          <cell r="I17">
            <v>1546762073.4000001</v>
          </cell>
        </row>
        <row r="18">
          <cell r="G18">
            <v>10263032042.85</v>
          </cell>
          <cell r="H18">
            <v>10263032042.85</v>
          </cell>
          <cell r="I18">
            <v>9280572440.3999996</v>
          </cell>
        </row>
        <row r="19">
          <cell r="G19">
            <v>684202136.19000006</v>
          </cell>
          <cell r="H19">
            <v>684202136.19000006</v>
          </cell>
          <cell r="I19">
            <v>618704829.36000001</v>
          </cell>
        </row>
        <row r="20">
          <cell r="G20">
            <v>1026303204.77</v>
          </cell>
          <cell r="H20">
            <v>1026303204.77</v>
          </cell>
          <cell r="I20">
            <v>928057244.03999996</v>
          </cell>
        </row>
        <row r="21">
          <cell r="G21">
            <v>693652915</v>
          </cell>
          <cell r="H21">
            <v>693652915</v>
          </cell>
          <cell r="I21">
            <v>477293300</v>
          </cell>
        </row>
        <row r="24">
          <cell r="G24">
            <v>135654286</v>
          </cell>
          <cell r="H24">
            <v>135654286</v>
          </cell>
          <cell r="I24">
            <v>29758649.399999999</v>
          </cell>
        </row>
        <row r="25">
          <cell r="G25">
            <v>2713085722</v>
          </cell>
          <cell r="H25">
            <v>2713085722</v>
          </cell>
          <cell r="I25">
            <v>606441988</v>
          </cell>
        </row>
        <row r="26">
          <cell r="G26">
            <v>130334511</v>
          </cell>
          <cell r="H26">
            <v>130334511</v>
          </cell>
          <cell r="I26">
            <v>100267360</v>
          </cell>
        </row>
        <row r="27">
          <cell r="G27">
            <v>2606690204</v>
          </cell>
          <cell r="H27">
            <v>2606690204</v>
          </cell>
          <cell r="I27">
            <v>1945446960</v>
          </cell>
        </row>
        <row r="29">
          <cell r="G29">
            <v>17382630268.389999</v>
          </cell>
          <cell r="H29">
            <v>17382630268.389999</v>
          </cell>
          <cell r="I29">
            <v>13879188000</v>
          </cell>
        </row>
        <row r="30">
          <cell r="G30">
            <v>264710105.61000001</v>
          </cell>
          <cell r="H30">
            <v>264710105.61000001</v>
          </cell>
          <cell r="I30">
            <v>168593000</v>
          </cell>
        </row>
        <row r="33">
          <cell r="G33">
            <v>10859778214</v>
          </cell>
          <cell r="H33">
            <v>10859778214</v>
          </cell>
          <cell r="I33">
            <v>7612522563</v>
          </cell>
        </row>
        <row r="34">
          <cell r="G34">
            <v>7947476705</v>
          </cell>
          <cell r="H34">
            <v>7947476705</v>
          </cell>
          <cell r="I34">
            <v>7045126850</v>
          </cell>
        </row>
        <row r="35">
          <cell r="G35">
            <v>1611202918</v>
          </cell>
          <cell r="H35">
            <v>1611202918</v>
          </cell>
          <cell r="I35">
            <v>2042069849.4000001</v>
          </cell>
        </row>
        <row r="38">
          <cell r="G38">
            <v>3393118962</v>
          </cell>
          <cell r="H38">
            <v>3393118962</v>
          </cell>
          <cell r="I38">
            <v>2923058960.6999998</v>
          </cell>
        </row>
        <row r="39">
          <cell r="G39">
            <v>848279741</v>
          </cell>
          <cell r="H39">
            <v>848279741</v>
          </cell>
          <cell r="I39">
            <v>730764739.29999995</v>
          </cell>
        </row>
        <row r="41">
          <cell r="G41">
            <v>3528349952</v>
          </cell>
          <cell r="H41">
            <v>3528349952</v>
          </cell>
          <cell r="I41">
            <v>3927004849.9899998</v>
          </cell>
        </row>
        <row r="42">
          <cell r="G42">
            <v>1411339981</v>
          </cell>
          <cell r="H42">
            <v>1411339981</v>
          </cell>
          <cell r="I42">
            <v>1570842210</v>
          </cell>
        </row>
        <row r="43">
          <cell r="G43">
            <v>2117009971</v>
          </cell>
          <cell r="H43">
            <v>2117009971</v>
          </cell>
          <cell r="I43">
            <v>2356162640.0100002</v>
          </cell>
        </row>
        <row r="45">
          <cell r="G45">
            <v>348635239</v>
          </cell>
          <cell r="H45">
            <v>348635239</v>
          </cell>
          <cell r="I45">
            <v>320910840.00999999</v>
          </cell>
        </row>
        <row r="46">
          <cell r="G46">
            <v>174317619</v>
          </cell>
          <cell r="H46">
            <v>174317619</v>
          </cell>
          <cell r="I46">
            <v>160455419.99000001</v>
          </cell>
        </row>
        <row r="47">
          <cell r="G47">
            <v>174317619</v>
          </cell>
          <cell r="H47">
            <v>174317619</v>
          </cell>
          <cell r="I47">
            <v>160558539.99000001</v>
          </cell>
        </row>
        <row r="48">
          <cell r="G48">
            <v>871588097</v>
          </cell>
          <cell r="H48">
            <v>871588097</v>
          </cell>
          <cell r="I48">
            <v>802173980.01999998</v>
          </cell>
        </row>
        <row r="49">
          <cell r="G49">
            <v>174317619</v>
          </cell>
          <cell r="H49">
            <v>174317619</v>
          </cell>
          <cell r="I49">
            <v>160455419.99000001</v>
          </cell>
        </row>
        <row r="51">
          <cell r="G51">
            <v>580088442</v>
          </cell>
          <cell r="H51">
            <v>580088442</v>
          </cell>
          <cell r="I51">
            <v>495833816.63999999</v>
          </cell>
        </row>
        <row r="52">
          <cell r="H52">
            <v>580088442</v>
          </cell>
        </row>
        <row r="69">
          <cell r="G69">
            <v>20000000</v>
          </cell>
          <cell r="H69">
            <v>20000000</v>
          </cell>
          <cell r="I69">
            <v>44005869</v>
          </cell>
        </row>
        <row r="70">
          <cell r="G70">
            <v>10000000</v>
          </cell>
          <cell r="H70">
            <v>10000000</v>
          </cell>
          <cell r="I70">
            <v>0</v>
          </cell>
        </row>
        <row r="71">
          <cell r="G71">
            <v>120000000</v>
          </cell>
          <cell r="H71">
            <v>120000000</v>
          </cell>
          <cell r="I71">
            <v>139376554</v>
          </cell>
        </row>
        <row r="72">
          <cell r="G72">
            <v>10000000</v>
          </cell>
          <cell r="H72">
            <v>10000000</v>
          </cell>
          <cell r="I72">
            <v>1183176</v>
          </cell>
        </row>
        <row r="74">
          <cell r="G74">
            <v>2382349720</v>
          </cell>
          <cell r="H74">
            <v>2382349720</v>
          </cell>
          <cell r="I74">
            <v>2528256929.8699999</v>
          </cell>
        </row>
        <row r="75">
          <cell r="G75">
            <v>3000000</v>
          </cell>
          <cell r="H75">
            <v>3000000</v>
          </cell>
          <cell r="I75">
            <v>7352396</v>
          </cell>
        </row>
        <row r="76">
          <cell r="G76">
            <v>1000000</v>
          </cell>
          <cell r="H76">
            <v>1000000</v>
          </cell>
          <cell r="I76">
            <v>2508943</v>
          </cell>
        </row>
        <row r="82">
          <cell r="G82">
            <v>1368223930</v>
          </cell>
          <cell r="H82">
            <v>1368223930</v>
          </cell>
          <cell r="I82">
            <v>508062206.51999998</v>
          </cell>
        </row>
        <row r="83">
          <cell r="G83">
            <v>435287619</v>
          </cell>
          <cell r="H83">
            <v>435287619</v>
          </cell>
          <cell r="I83">
            <v>230071437.80000001</v>
          </cell>
        </row>
        <row r="94">
          <cell r="G94">
            <v>2991799289</v>
          </cell>
          <cell r="H94">
            <v>2866612086</v>
          </cell>
          <cell r="I94">
            <v>2147235980</v>
          </cell>
        </row>
        <row r="95">
          <cell r="G95">
            <v>2991799289</v>
          </cell>
          <cell r="H95">
            <v>2866612086</v>
          </cell>
          <cell r="I95">
            <v>2147235980</v>
          </cell>
        </row>
        <row r="98">
          <cell r="G98">
            <v>2995430273</v>
          </cell>
          <cell r="H98">
            <v>2995430273</v>
          </cell>
          <cell r="I98">
            <v>2478270418</v>
          </cell>
        </row>
        <row r="99">
          <cell r="G99">
            <v>141163803</v>
          </cell>
          <cell r="H99">
            <v>103859422</v>
          </cell>
          <cell r="I99">
            <v>95209422</v>
          </cell>
        </row>
        <row r="105">
          <cell r="G105">
            <v>250000000</v>
          </cell>
          <cell r="H105">
            <v>14251706157</v>
          </cell>
          <cell r="I105">
            <v>13798323517</v>
          </cell>
        </row>
        <row r="110">
          <cell r="G110">
            <v>854197207</v>
          </cell>
          <cell r="H110">
            <v>854197207</v>
          </cell>
          <cell r="I110">
            <v>454062262.25</v>
          </cell>
        </row>
        <row r="137">
          <cell r="G137">
            <v>57061137</v>
          </cell>
          <cell r="H137">
            <v>57061137</v>
          </cell>
          <cell r="I137">
            <v>79604519.859999999</v>
          </cell>
        </row>
        <row r="138">
          <cell r="G138">
            <v>12227386</v>
          </cell>
          <cell r="H138">
            <v>12227386</v>
          </cell>
          <cell r="I138">
            <v>16850442.43</v>
          </cell>
        </row>
        <row r="139">
          <cell r="G139">
            <v>187486593</v>
          </cell>
          <cell r="H139">
            <v>187486593</v>
          </cell>
          <cell r="I139">
            <v>261564936.16999999</v>
          </cell>
        </row>
        <row r="141">
          <cell r="G141">
            <v>61816234</v>
          </cell>
          <cell r="H141">
            <v>61816234</v>
          </cell>
          <cell r="I141">
            <v>44065957.229999997</v>
          </cell>
        </row>
        <row r="142">
          <cell r="G142">
            <v>13246330</v>
          </cell>
          <cell r="H142">
            <v>13246330</v>
          </cell>
          <cell r="I142">
            <v>9451986.4100000001</v>
          </cell>
        </row>
        <row r="143">
          <cell r="G143">
            <v>203110476</v>
          </cell>
          <cell r="H143">
            <v>203110476</v>
          </cell>
          <cell r="I143">
            <v>144787987.78</v>
          </cell>
        </row>
        <row r="147">
          <cell r="G147">
            <v>226353196</v>
          </cell>
          <cell r="H147">
            <v>226353196</v>
          </cell>
          <cell r="I147">
            <v>453460808.36000001</v>
          </cell>
        </row>
        <row r="148">
          <cell r="G148">
            <v>3468843927</v>
          </cell>
          <cell r="H148">
            <v>3468843927</v>
          </cell>
          <cell r="I148">
            <v>6952085321.3599997</v>
          </cell>
        </row>
        <row r="149">
          <cell r="G149">
            <v>1053823622</v>
          </cell>
          <cell r="H149">
            <v>1053823622</v>
          </cell>
          <cell r="I149">
            <v>2115850740.48</v>
          </cell>
        </row>
        <row r="150">
          <cell r="G150">
            <v>384846228</v>
          </cell>
          <cell r="H150">
            <v>384846228</v>
          </cell>
          <cell r="I150">
            <v>153040123.72999999</v>
          </cell>
        </row>
        <row r="151">
          <cell r="G151">
            <v>5908465547</v>
          </cell>
          <cell r="H151">
            <v>5908465547</v>
          </cell>
          <cell r="I151">
            <v>2323582047.2800002</v>
          </cell>
        </row>
        <row r="152">
          <cell r="G152">
            <v>1798228644</v>
          </cell>
          <cell r="H152">
            <v>1798228644</v>
          </cell>
          <cell r="I152">
            <v>707045378.85000002</v>
          </cell>
        </row>
        <row r="154">
          <cell r="G154">
            <v>1905113</v>
          </cell>
          <cell r="H154">
            <v>1905113</v>
          </cell>
          <cell r="I154">
            <v>5376097.9500000002</v>
          </cell>
        </row>
        <row r="155">
          <cell r="G155">
            <v>488490</v>
          </cell>
          <cell r="H155">
            <v>488490</v>
          </cell>
          <cell r="I155">
            <v>1378500</v>
          </cell>
        </row>
        <row r="156">
          <cell r="G156">
            <v>2491302</v>
          </cell>
          <cell r="H156">
            <v>2491302</v>
          </cell>
          <cell r="I156">
            <v>1929952.05</v>
          </cell>
        </row>
        <row r="157">
          <cell r="G157">
            <v>7883689268</v>
          </cell>
          <cell r="H157">
            <v>56970852577.230003</v>
          </cell>
          <cell r="I157">
            <v>48747161940.099998</v>
          </cell>
        </row>
        <row r="159">
          <cell r="G159">
            <v>150000000</v>
          </cell>
        </row>
        <row r="160">
          <cell r="H160">
            <v>150000000</v>
          </cell>
        </row>
        <row r="164">
          <cell r="G164">
            <v>1664967</v>
          </cell>
          <cell r="H164">
            <v>1664967</v>
          </cell>
          <cell r="I164">
            <v>38805350.18</v>
          </cell>
        </row>
        <row r="165">
          <cell r="G165">
            <v>481528</v>
          </cell>
          <cell r="H165">
            <v>481528</v>
          </cell>
          <cell r="I165">
            <v>15522140.039999999</v>
          </cell>
        </row>
        <row r="166">
          <cell r="G166">
            <v>316121</v>
          </cell>
          <cell r="H166">
            <v>316121</v>
          </cell>
          <cell r="I166">
            <v>2218944.34</v>
          </cell>
        </row>
        <row r="167">
          <cell r="G167">
            <v>158060</v>
          </cell>
          <cell r="H167">
            <v>158060</v>
          </cell>
          <cell r="I167">
            <v>1109472.1599999999</v>
          </cell>
        </row>
        <row r="168">
          <cell r="G168">
            <v>158060</v>
          </cell>
          <cell r="H168">
            <v>158060</v>
          </cell>
          <cell r="I168">
            <v>1109472.1599999999</v>
          </cell>
        </row>
        <row r="169">
          <cell r="G169">
            <v>790301</v>
          </cell>
          <cell r="H169">
            <v>790301</v>
          </cell>
          <cell r="I169">
            <v>4759073.42</v>
          </cell>
        </row>
        <row r="170">
          <cell r="G170">
            <v>158060</v>
          </cell>
          <cell r="H170">
            <v>158060</v>
          </cell>
          <cell r="I170">
            <v>1897759.54</v>
          </cell>
        </row>
        <row r="171">
          <cell r="G171">
            <v>1400016</v>
          </cell>
          <cell r="H171">
            <v>1400016</v>
          </cell>
          <cell r="I171">
            <v>32273965.030000001</v>
          </cell>
        </row>
        <row r="172">
          <cell r="G172">
            <v>325004</v>
          </cell>
          <cell r="H172">
            <v>325004</v>
          </cell>
          <cell r="I172">
            <v>8068491.2400000002</v>
          </cell>
        </row>
        <row r="173">
          <cell r="G173">
            <v>39724450</v>
          </cell>
          <cell r="H173">
            <v>39724450</v>
          </cell>
          <cell r="I173">
            <v>4958264.82</v>
          </cell>
        </row>
        <row r="174">
          <cell r="G174">
            <v>2314305</v>
          </cell>
          <cell r="H174">
            <v>2314305</v>
          </cell>
          <cell r="I174">
            <v>73545579.719999999</v>
          </cell>
        </row>
        <row r="175">
          <cell r="G175">
            <v>311522</v>
          </cell>
          <cell r="H175">
            <v>311522</v>
          </cell>
          <cell r="I175">
            <v>12379705.84</v>
          </cell>
        </row>
        <row r="176">
          <cell r="G176">
            <v>412620217</v>
          </cell>
          <cell r="H176">
            <v>412620217</v>
          </cell>
          <cell r="I176">
            <v>209177515.41999999</v>
          </cell>
        </row>
        <row r="177">
          <cell r="G177">
            <v>0</v>
          </cell>
          <cell r="H177">
            <v>0</v>
          </cell>
          <cell r="I177">
            <v>23283210.050000001</v>
          </cell>
        </row>
        <row r="178">
          <cell r="G178">
            <v>0</v>
          </cell>
          <cell r="H178">
            <v>0</v>
          </cell>
          <cell r="I178">
            <v>1592523.35</v>
          </cell>
        </row>
        <row r="179">
          <cell r="G179">
            <v>0</v>
          </cell>
          <cell r="H179">
            <v>0</v>
          </cell>
          <cell r="I179">
            <v>119.26</v>
          </cell>
        </row>
        <row r="180">
          <cell r="G180">
            <v>0</v>
          </cell>
          <cell r="H180">
            <v>0</v>
          </cell>
          <cell r="I180">
            <v>121362.81</v>
          </cell>
        </row>
        <row r="181">
          <cell r="G181">
            <v>0</v>
          </cell>
          <cell r="H181">
            <v>0</v>
          </cell>
          <cell r="I181">
            <v>571514.89</v>
          </cell>
        </row>
        <row r="185">
          <cell r="I185">
            <v>20203853901.18</v>
          </cell>
        </row>
        <row r="186">
          <cell r="I186">
            <v>27403753414.459999</v>
          </cell>
        </row>
        <row r="213">
          <cell r="G213">
            <v>7263266657</v>
          </cell>
          <cell r="H213">
            <v>7263266657</v>
          </cell>
          <cell r="I213">
            <v>0</v>
          </cell>
        </row>
        <row r="216">
          <cell r="G216">
            <v>10000000</v>
          </cell>
          <cell r="H216">
            <v>1489555993.5899999</v>
          </cell>
          <cell r="I216">
            <v>708160160.19000006</v>
          </cell>
        </row>
        <row r="229">
          <cell r="G229">
            <v>150387000000</v>
          </cell>
          <cell r="H229">
            <v>150199703020</v>
          </cell>
          <cell r="I229">
            <v>102199618972</v>
          </cell>
        </row>
        <row r="230">
          <cell r="G230">
            <v>29000000000</v>
          </cell>
          <cell r="H230">
            <v>29000000000</v>
          </cell>
          <cell r="I230">
            <v>19254725762</v>
          </cell>
        </row>
        <row r="237">
          <cell r="G237">
            <v>11000000000</v>
          </cell>
          <cell r="H237">
            <v>8967474767</v>
          </cell>
          <cell r="I237">
            <v>9333161322</v>
          </cell>
        </row>
        <row r="239">
          <cell r="G239">
            <v>15000000</v>
          </cell>
          <cell r="H239">
            <v>15000000</v>
          </cell>
          <cell r="I239">
            <v>105008284.72</v>
          </cell>
        </row>
        <row r="263">
          <cell r="G263">
            <v>80000000</v>
          </cell>
          <cell r="H263">
            <v>80000000</v>
          </cell>
          <cell r="I263">
            <v>6835011</v>
          </cell>
        </row>
        <row r="266">
          <cell r="G266">
            <v>47036328956</v>
          </cell>
          <cell r="H266">
            <v>72969911835.220001</v>
          </cell>
          <cell r="I266">
            <v>59902516565.5</v>
          </cell>
        </row>
        <row r="270">
          <cell r="G270">
            <v>1092098811.71</v>
          </cell>
          <cell r="H270">
            <v>1092098811.71</v>
          </cell>
          <cell r="I270">
            <v>666380392</v>
          </cell>
        </row>
        <row r="278">
          <cell r="G278">
            <v>625919989.35000002</v>
          </cell>
          <cell r="H278">
            <v>625919989.35000002</v>
          </cell>
          <cell r="I278">
            <v>616428905</v>
          </cell>
        </row>
        <row r="283">
          <cell r="G283">
            <v>1362067804</v>
          </cell>
          <cell r="H283">
            <v>1666758458</v>
          </cell>
          <cell r="I283">
            <v>1218762618</v>
          </cell>
        </row>
        <row r="287">
          <cell r="G287">
            <v>3280528487.1599998</v>
          </cell>
          <cell r="H287">
            <v>3280528487.1599998</v>
          </cell>
          <cell r="I287">
            <v>1541229334.5999999</v>
          </cell>
        </row>
        <row r="295">
          <cell r="G295">
            <v>3359643356.5700002</v>
          </cell>
          <cell r="H295">
            <v>3359643356.5700002</v>
          </cell>
          <cell r="I295">
            <v>2802705117</v>
          </cell>
        </row>
        <row r="304">
          <cell r="G304">
            <v>3749209145</v>
          </cell>
          <cell r="H304">
            <v>10766854092.65</v>
          </cell>
          <cell r="I304">
            <v>11885694983</v>
          </cell>
        </row>
        <row r="306">
          <cell r="G306">
            <v>7157581679</v>
          </cell>
          <cell r="H306">
            <v>7157581679</v>
          </cell>
          <cell r="I306">
            <v>3035288648</v>
          </cell>
        </row>
        <row r="309">
          <cell r="G309">
            <v>960000000</v>
          </cell>
          <cell r="H309">
            <v>960000000</v>
          </cell>
          <cell r="I309">
            <v>286496115.45999998</v>
          </cell>
        </row>
        <row r="316">
          <cell r="G316">
            <v>4274847597</v>
          </cell>
          <cell r="H316">
            <v>4595895597</v>
          </cell>
          <cell r="I316">
            <v>3454773309</v>
          </cell>
        </row>
        <row r="317">
          <cell r="G317">
            <v>1724393294</v>
          </cell>
          <cell r="H317">
            <v>1756217290</v>
          </cell>
          <cell r="I317">
            <v>1315007192</v>
          </cell>
        </row>
        <row r="318">
          <cell r="G318">
            <v>2121689396</v>
          </cell>
          <cell r="H318">
            <v>8980257320</v>
          </cell>
          <cell r="I318">
            <v>9117973025</v>
          </cell>
        </row>
        <row r="329">
          <cell r="G329">
            <v>9069307195.9699993</v>
          </cell>
          <cell r="H329">
            <v>9746548090.0300007</v>
          </cell>
          <cell r="I329">
            <v>8503901757</v>
          </cell>
        </row>
        <row r="352">
          <cell r="G352">
            <v>7858326764.2399998</v>
          </cell>
          <cell r="H352">
            <v>8165239751.5500002</v>
          </cell>
          <cell r="I352">
            <v>7788828132.0600004</v>
          </cell>
        </row>
        <row r="380">
          <cell r="G380">
            <v>7000000</v>
          </cell>
          <cell r="H380">
            <v>7000000</v>
          </cell>
          <cell r="I380">
            <v>109899940.81</v>
          </cell>
        </row>
        <row r="394">
          <cell r="G394">
            <v>393715436</v>
          </cell>
          <cell r="H394">
            <v>571954102.67999995</v>
          </cell>
          <cell r="I394">
            <v>1248577703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sheetName val="Vig 15-19 "/>
      <sheetName val="Vig 15-19  (2)"/>
      <sheetName val="Hoja2"/>
      <sheetName val="Proyecciones"/>
      <sheetName val="Proyecciones (2)"/>
      <sheetName val="Plan Financiero 2021"/>
      <sheetName val="F y U 2021"/>
      <sheetName val="F y U 2021 (2)"/>
      <sheetName val="Cumplimiento Art 350 CP"/>
      <sheetName val="Cumplimiento Art 350 CP (2)"/>
      <sheetName val="Resumen Inversion 2021"/>
      <sheetName val="Deuda"/>
      <sheetName val="Ejecucion Ingresos 2020"/>
      <sheetName val="Ejecucion Gastos 2020"/>
      <sheetName val="Funcionamiento icld"/>
      <sheetName val="Hoja1"/>
      <sheetName val="SENTENCIAS"/>
    </sheetNames>
    <sheetDataSet>
      <sheetData sheetId="0" refreshError="1"/>
      <sheetData sheetId="1" refreshError="1"/>
      <sheetData sheetId="2" refreshError="1"/>
      <sheetData sheetId="3" refreshError="1"/>
      <sheetData sheetId="4" refreshError="1">
        <row r="8">
          <cell r="S8">
            <v>16934457986.723129</v>
          </cell>
        </row>
        <row r="10">
          <cell r="S10">
            <v>11070123857.616255</v>
          </cell>
        </row>
        <row r="12">
          <cell r="S12">
            <v>2227322217.5984659</v>
          </cell>
        </row>
        <row r="13">
          <cell r="S13">
            <v>664872303.76073611</v>
          </cell>
        </row>
        <row r="14">
          <cell r="S14">
            <v>997308455.64110398</v>
          </cell>
        </row>
        <row r="15">
          <cell r="S15">
            <v>1662180759.4018402</v>
          </cell>
        </row>
        <row r="18">
          <cell r="S18">
            <v>678447950.72717059</v>
          </cell>
        </row>
        <row r="19">
          <cell r="S19">
            <v>4351474085.5117607</v>
          </cell>
        </row>
        <row r="21">
          <cell r="S21">
            <v>16781818041.899189</v>
          </cell>
        </row>
        <row r="22">
          <cell r="S22">
            <v>916396916.831792</v>
          </cell>
        </row>
        <row r="25">
          <cell r="S25">
            <v>9248945181.4008999</v>
          </cell>
        </row>
        <row r="27">
          <cell r="S27">
            <v>673449432.05008829</v>
          </cell>
        </row>
        <row r="29">
          <cell r="S29">
            <v>7715996801.0351515</v>
          </cell>
        </row>
        <row r="32">
          <cell r="S32">
            <v>4453257219.7959309</v>
          </cell>
        </row>
        <row r="33">
          <cell r="S33">
            <v>1370232990.70644</v>
          </cell>
        </row>
        <row r="34">
          <cell r="S34">
            <v>1027674743.02983</v>
          </cell>
        </row>
        <row r="36">
          <cell r="S36">
            <v>363746317.22959542</v>
          </cell>
        </row>
        <row r="37">
          <cell r="S37">
            <v>181873158.61479771</v>
          </cell>
        </row>
        <row r="38">
          <cell r="S38">
            <v>181873158.61479771</v>
          </cell>
        </row>
        <row r="39">
          <cell r="S39">
            <v>909365793.07398844</v>
          </cell>
        </row>
        <row r="40">
          <cell r="S40">
            <v>181873158.61479771</v>
          </cell>
        </row>
        <row r="42">
          <cell r="S42">
            <v>3524009040</v>
          </cell>
        </row>
        <row r="43">
          <cell r="S43">
            <v>881002260</v>
          </cell>
        </row>
        <row r="44">
          <cell r="S44">
            <v>10000000000</v>
          </cell>
        </row>
        <row r="49">
          <cell r="S49">
            <v>206000000</v>
          </cell>
        </row>
        <row r="50">
          <cell r="S50">
            <v>244827263</v>
          </cell>
        </row>
        <row r="51">
          <cell r="S51">
            <v>118460356</v>
          </cell>
        </row>
        <row r="52">
          <cell r="S52">
            <v>65446233.878541037</v>
          </cell>
        </row>
        <row r="53">
          <cell r="S53">
            <v>100940000</v>
          </cell>
        </row>
        <row r="55">
          <cell r="S55">
            <v>235700906.33054188</v>
          </cell>
        </row>
        <row r="56">
          <cell r="S56">
            <v>1543006148.9429367</v>
          </cell>
        </row>
        <row r="60">
          <cell r="S60">
            <v>9577110504.5724258</v>
          </cell>
        </row>
        <row r="61">
          <cell r="S61">
            <v>1704977489.920789</v>
          </cell>
        </row>
        <row r="65">
          <cell r="S65">
            <v>561606231</v>
          </cell>
        </row>
        <row r="68">
          <cell r="S68">
            <v>250000000</v>
          </cell>
        </row>
        <row r="69">
          <cell r="S69">
            <v>197782501.69930002</v>
          </cell>
        </row>
        <row r="71">
          <cell r="S71">
            <v>4864434452.562665</v>
          </cell>
        </row>
        <row r="74">
          <cell r="S74">
            <v>263038142</v>
          </cell>
        </row>
        <row r="77">
          <cell r="S77">
            <v>251730002.97864836</v>
          </cell>
        </row>
        <row r="78">
          <cell r="S78">
            <v>611631081.93245459</v>
          </cell>
        </row>
        <row r="81">
          <cell r="S81">
            <v>141240000000</v>
          </cell>
        </row>
        <row r="82">
          <cell r="S82">
            <v>17655000000</v>
          </cell>
        </row>
        <row r="83">
          <cell r="S83">
            <v>7490000000</v>
          </cell>
        </row>
        <row r="85">
          <cell r="S85">
            <v>749000000</v>
          </cell>
        </row>
        <row r="86">
          <cell r="S86">
            <v>1766000000</v>
          </cell>
        </row>
        <row r="87">
          <cell r="S87">
            <v>12840000000</v>
          </cell>
        </row>
        <row r="90">
          <cell r="S90">
            <v>200000000</v>
          </cell>
        </row>
        <row r="91">
          <cell r="S91">
            <v>80000000</v>
          </cell>
        </row>
        <row r="98">
          <cell r="S98">
            <v>4211165548.23</v>
          </cell>
        </row>
        <row r="99">
          <cell r="S99">
            <v>2214028029.2800002</v>
          </cell>
        </row>
        <row r="107">
          <cell r="S107">
            <v>8446865336.8773279</v>
          </cell>
        </row>
        <row r="108">
          <cell r="S108">
            <v>3518317491.669682</v>
          </cell>
        </row>
        <row r="109">
          <cell r="S109">
            <v>5997708272</v>
          </cell>
        </row>
        <row r="110">
          <cell r="S110">
            <v>91147870.284888208</v>
          </cell>
        </row>
        <row r="111">
          <cell r="S111">
            <v>20527481.207827739</v>
          </cell>
        </row>
        <row r="112">
          <cell r="S112">
            <v>0</v>
          </cell>
        </row>
        <row r="113">
          <cell r="S113">
            <v>2507252674.3252301</v>
          </cell>
        </row>
        <row r="114">
          <cell r="S114">
            <v>653627696.80835664</v>
          </cell>
        </row>
        <row r="116">
          <cell r="S116">
            <v>1552030080</v>
          </cell>
        </row>
        <row r="117">
          <cell r="S117">
            <v>19200000</v>
          </cell>
        </row>
        <row r="118">
          <cell r="S118">
            <v>668014036</v>
          </cell>
        </row>
        <row r="119">
          <cell r="S119">
            <v>842700000</v>
          </cell>
        </row>
        <row r="121">
          <cell r="S121">
            <v>8756655044.4118958</v>
          </cell>
        </row>
        <row r="122">
          <cell r="S122">
            <v>8402737426</v>
          </cell>
        </row>
        <row r="123">
          <cell r="S123">
            <v>421146797</v>
          </cell>
        </row>
        <row r="127">
          <cell r="S127">
            <v>1754466997</v>
          </cell>
        </row>
        <row r="129">
          <cell r="S129">
            <v>2751236459</v>
          </cell>
        </row>
        <row r="132">
          <cell r="S132">
            <v>1648000000</v>
          </cell>
        </row>
        <row r="141">
          <cell r="S141">
            <v>1399802476.8373001</v>
          </cell>
        </row>
        <row r="142">
          <cell r="S142">
            <v>746302954.76499999</v>
          </cell>
        </row>
        <row r="143">
          <cell r="S143">
            <v>1867747545.8879001</v>
          </cell>
        </row>
        <row r="144">
          <cell r="S144">
            <v>83139616.896415442</v>
          </cell>
        </row>
        <row r="145">
          <cell r="S145">
            <v>815414496.42920005</v>
          </cell>
        </row>
        <row r="147">
          <cell r="S147">
            <v>412889740.92584801</v>
          </cell>
        </row>
        <row r="150">
          <cell r="S150">
            <v>600000000</v>
          </cell>
        </row>
        <row r="152">
          <cell r="S152">
            <v>16073375.444546001</v>
          </cell>
        </row>
        <row r="153">
          <cell r="S153">
            <v>4945653.9380530007</v>
          </cell>
        </row>
        <row r="154">
          <cell r="S154">
            <v>3709240.4561920003</v>
          </cell>
        </row>
        <row r="155">
          <cell r="S155">
            <v>4218672.7222850006</v>
          </cell>
        </row>
        <row r="156">
          <cell r="S156">
            <v>2109336.2709659999</v>
          </cell>
        </row>
        <row r="157">
          <cell r="S157">
            <v>2109336.2709659999</v>
          </cell>
        </row>
        <row r="158">
          <cell r="S158">
            <v>10546681.620054999</v>
          </cell>
        </row>
        <row r="159">
          <cell r="S159">
            <v>2109336.2709659999</v>
          </cell>
        </row>
        <row r="160">
          <cell r="S160">
            <v>2530533.6431940002</v>
          </cell>
        </row>
        <row r="161">
          <cell r="S161">
            <v>632633.37366700009</v>
          </cell>
        </row>
        <row r="162">
          <cell r="S162">
            <v>76182725.804521009</v>
          </cell>
        </row>
        <row r="165">
          <cell r="S165">
            <v>1774761.8187070002</v>
          </cell>
        </row>
        <row r="166">
          <cell r="S166">
            <v>51715200.753203005</v>
          </cell>
        </row>
        <row r="170">
          <cell r="S170">
            <v>237442517.8580744</v>
          </cell>
        </row>
      </sheetData>
      <sheetData sheetId="5" refreshError="1"/>
      <sheetData sheetId="6" refreshError="1">
        <row r="100">
          <cell r="A100" t="str">
            <v>Rendimientos por Operaciones Financieras. (SGP - Salud Pública )</v>
          </cell>
          <cell r="B100">
            <v>25000000</v>
          </cell>
        </row>
        <row r="101">
          <cell r="A101" t="str">
            <v>Rendimientos por Operaciones Financieras. (SGP - Oferta)</v>
          </cell>
          <cell r="B101">
            <v>10000000</v>
          </cell>
        </row>
        <row r="102">
          <cell r="A102" t="str">
            <v>Rendimientos por Operaciones Financieras. (Fondo Estupefacientes )</v>
          </cell>
          <cell r="B102">
            <v>2000000</v>
          </cell>
        </row>
        <row r="103">
          <cell r="A103" t="str">
            <v>Rendimientos por Operaciones Financieras. (Rentas Cedidas )</v>
          </cell>
          <cell r="B103">
            <v>163000000</v>
          </cell>
        </row>
        <row r="127">
          <cell r="A127" t="str">
            <v>IVA Cedido Sobre Licores, Vinos, Aperitivos y Similares</v>
          </cell>
          <cell r="B127">
            <v>462752030</v>
          </cell>
        </row>
      </sheetData>
      <sheetData sheetId="7" refreshError="1"/>
      <sheetData sheetId="8" refreshError="1"/>
      <sheetData sheetId="9" refreshError="1"/>
      <sheetData sheetId="10" refreshError="1"/>
      <sheetData sheetId="11" refreshError="1"/>
      <sheetData sheetId="12" refreshError="1">
        <row r="50">
          <cell r="AS50">
            <v>9970488812.3899994</v>
          </cell>
        </row>
      </sheetData>
      <sheetData sheetId="13" refreshError="1"/>
      <sheetData sheetId="14" refreshError="1"/>
      <sheetData sheetId="15" refreshError="1">
        <row r="6">
          <cell r="C6">
            <v>49806517043.722534</v>
          </cell>
        </row>
      </sheetData>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Basicos"/>
      <sheetName val="Departamentos"/>
      <sheetName val="EntidadesTerritoriales"/>
      <sheetName val="DAF_BalanceFinanciero"/>
      <sheetName val="DAF_Ley358"/>
      <sheetName val="DAF_SaldoDeuda"/>
      <sheetName val="Entidad"/>
      <sheetName val="Descripción Glosario"/>
      <sheetName val="Supuestos Macro Nación"/>
      <sheetName val="Plan Financiero"/>
      <sheetName val="Superávit Primario"/>
      <sheetName val="Capacidad de Endeudamiento"/>
    </sheetNames>
    <sheetDataSet>
      <sheetData sheetId="0"/>
      <sheetData sheetId="1"/>
      <sheetData sheetId="2"/>
      <sheetData sheetId="3"/>
      <sheetData sheetId="4">
        <row r="2">
          <cell r="A2" t="str">
            <v>63001-CAPEN.1.1</v>
          </cell>
          <cell r="B2" t="str">
            <v>QUINDIO</v>
          </cell>
          <cell r="C2">
            <v>63001</v>
          </cell>
          <cell r="D2" t="str">
            <v>ARMENIA</v>
          </cell>
          <cell r="E2" t="str">
            <v>CAPEN.1.1</v>
          </cell>
          <cell r="F2" t="str">
            <v>1.1 Ingresos corrientes (sin descontar vigencias futuras)</v>
          </cell>
          <cell r="G2">
            <v>156673.31943599999</v>
          </cell>
        </row>
        <row r="3">
          <cell r="A3" t="str">
            <v>63001-CAPEN.1.2</v>
          </cell>
          <cell r="B3" t="str">
            <v>QUINDIO</v>
          </cell>
          <cell r="C3">
            <v>63001</v>
          </cell>
          <cell r="D3" t="str">
            <v>ARMENIA</v>
          </cell>
          <cell r="E3" t="str">
            <v>CAPEN.1.2</v>
          </cell>
          <cell r="F3" t="str">
            <v>1.2 Vigencias futuras</v>
          </cell>
          <cell r="G3">
            <v>6256.8360000000002</v>
          </cell>
        </row>
        <row r="4">
          <cell r="A4" t="str">
            <v>63001-CAPEN.2</v>
          </cell>
          <cell r="B4" t="str">
            <v>QUINDIO</v>
          </cell>
          <cell r="C4">
            <v>63001</v>
          </cell>
          <cell r="D4" t="str">
            <v>ARMENIA</v>
          </cell>
          <cell r="E4" t="str">
            <v>CAPEN.2</v>
          </cell>
          <cell r="F4" t="str">
            <v>2. Gastos de funcionamiento</v>
          </cell>
          <cell r="G4">
            <v>58154.012781999998</v>
          </cell>
        </row>
        <row r="5">
          <cell r="A5" t="str">
            <v>63001-CAPEN.4.1.1</v>
          </cell>
          <cell r="B5" t="str">
            <v>QUINDIO</v>
          </cell>
          <cell r="C5">
            <v>63001</v>
          </cell>
          <cell r="D5" t="str">
            <v>ARMENIA</v>
          </cell>
          <cell r="E5" t="str">
            <v>CAPEN.4.1.1</v>
          </cell>
          <cell r="F5" t="str">
            <v>4.1.1 Saldo de la deuda</v>
          </cell>
          <cell r="G5">
            <v>44033.377999999997</v>
          </cell>
        </row>
        <row r="6">
          <cell r="A6" t="str">
            <v>63001-CAPEN.4.2.1</v>
          </cell>
          <cell r="B6" t="str">
            <v>QUINDIO</v>
          </cell>
          <cell r="C6">
            <v>63001</v>
          </cell>
          <cell r="D6" t="str">
            <v>ARMENIA</v>
          </cell>
          <cell r="E6" t="str">
            <v>CAPEN.4.2.1</v>
          </cell>
          <cell r="F6" t="str">
            <v>4.2.1 Amortizaciones de la deuda</v>
          </cell>
          <cell r="G6">
            <v>10879.33</v>
          </cell>
        </row>
        <row r="7">
          <cell r="A7" t="str">
            <v>63001-CAPEN.5.1</v>
          </cell>
          <cell r="B7" t="str">
            <v>QUINDIO</v>
          </cell>
          <cell r="C7">
            <v>63001</v>
          </cell>
          <cell r="D7" t="str">
            <v>ARMENIA</v>
          </cell>
          <cell r="E7" t="str">
            <v>CAPEN.5.1</v>
          </cell>
          <cell r="F7" t="str">
            <v>5.1 Intereses de la deuda</v>
          </cell>
          <cell r="G7">
            <v>2723.4549999999999</v>
          </cell>
        </row>
        <row r="8">
          <cell r="A8" t="str">
            <v>63111-CAPEN.1.1</v>
          </cell>
          <cell r="B8" t="str">
            <v>QUINDIO</v>
          </cell>
          <cell r="C8">
            <v>63111</v>
          </cell>
          <cell r="D8" t="str">
            <v>BUENAVISTA - QUINDIO</v>
          </cell>
          <cell r="E8" t="str">
            <v>CAPEN.1.1</v>
          </cell>
          <cell r="F8" t="str">
            <v>1.1 Ingresos corrientes (sin descontar vigencias futuras)</v>
          </cell>
          <cell r="G8">
            <v>3224.4105793354997</v>
          </cell>
        </row>
        <row r="9">
          <cell r="A9" t="str">
            <v>63111-CAPEN.1.2</v>
          </cell>
          <cell r="B9" t="str">
            <v>QUINDIO</v>
          </cell>
          <cell r="C9">
            <v>63111</v>
          </cell>
          <cell r="D9" t="str">
            <v>BUENAVISTA - QUINDIO</v>
          </cell>
          <cell r="E9" t="str">
            <v>CAPEN.1.2</v>
          </cell>
          <cell r="F9" t="str">
            <v>1.2 Vigencias futuras</v>
          </cell>
          <cell r="G9">
            <v>152.69</v>
          </cell>
        </row>
        <row r="10">
          <cell r="A10" t="str">
            <v>63111-CAPEN.2</v>
          </cell>
          <cell r="B10" t="str">
            <v>QUINDIO</v>
          </cell>
          <cell r="C10">
            <v>63111</v>
          </cell>
          <cell r="D10" t="str">
            <v>BUENAVISTA - QUINDIO</v>
          </cell>
          <cell r="E10" t="str">
            <v>CAPEN.2</v>
          </cell>
          <cell r="F10" t="str">
            <v>2. Gastos de funcionamiento</v>
          </cell>
          <cell r="G10">
            <v>1681.5758499999999</v>
          </cell>
        </row>
        <row r="11">
          <cell r="A11" t="str">
            <v>63111-CAPEN.4.1.1</v>
          </cell>
          <cell r="B11" t="str">
            <v>QUINDIO</v>
          </cell>
          <cell r="C11">
            <v>63111</v>
          </cell>
          <cell r="D11" t="str">
            <v>BUENAVISTA - QUINDIO</v>
          </cell>
          <cell r="E11" t="str">
            <v>CAPEN.4.1.1</v>
          </cell>
          <cell r="F11" t="str">
            <v>4.1.1 Saldo de la deuda</v>
          </cell>
          <cell r="G11">
            <v>146.66672</v>
          </cell>
        </row>
        <row r="12">
          <cell r="A12" t="str">
            <v>63111-CAPEN.4.2.1</v>
          </cell>
          <cell r="B12" t="str">
            <v>QUINDIO</v>
          </cell>
          <cell r="C12">
            <v>63111</v>
          </cell>
          <cell r="D12" t="str">
            <v>BUENAVISTA - QUINDIO</v>
          </cell>
          <cell r="E12" t="str">
            <v>CAPEN.4.2.1</v>
          </cell>
          <cell r="F12" t="str">
            <v>4.2.1 Amortizaciones de la deuda</v>
          </cell>
          <cell r="G12">
            <v>39.999960000000002</v>
          </cell>
        </row>
        <row r="13">
          <cell r="A13" t="str">
            <v>63111-CAPEN.5.1</v>
          </cell>
          <cell r="B13" t="str">
            <v>QUINDIO</v>
          </cell>
          <cell r="C13">
            <v>63111</v>
          </cell>
          <cell r="D13" t="str">
            <v>BUENAVISTA - QUINDIO</v>
          </cell>
          <cell r="E13" t="str">
            <v>CAPEN.5.1</v>
          </cell>
          <cell r="F13" t="str">
            <v>5.1 Intereses de la deuda</v>
          </cell>
          <cell r="G13">
            <v>7.9168859999999999</v>
          </cell>
        </row>
        <row r="14">
          <cell r="A14" t="str">
            <v>63130-CAPEN.1.1</v>
          </cell>
          <cell r="B14" t="str">
            <v>QUINDIO</v>
          </cell>
          <cell r="C14">
            <v>63130</v>
          </cell>
          <cell r="D14" t="str">
            <v>CALARCÁ</v>
          </cell>
          <cell r="E14" t="str">
            <v>CAPEN.1.1</v>
          </cell>
          <cell r="F14" t="str">
            <v>1.1 Ingresos corrientes (sin descontar vigencias futuras)</v>
          </cell>
          <cell r="G14">
            <v>27319.315464938001</v>
          </cell>
        </row>
        <row r="15">
          <cell r="A15" t="str">
            <v>63130-CAPEN.2</v>
          </cell>
          <cell r="B15" t="str">
            <v>QUINDIO</v>
          </cell>
          <cell r="C15">
            <v>63130</v>
          </cell>
          <cell r="D15" t="str">
            <v>CALARCÁ</v>
          </cell>
          <cell r="E15" t="str">
            <v>CAPEN.2</v>
          </cell>
          <cell r="F15" t="str">
            <v>2. Gastos de funcionamiento</v>
          </cell>
          <cell r="G15">
            <v>11780.238549</v>
          </cell>
        </row>
        <row r="16">
          <cell r="A16" t="str">
            <v>63130-CAPEN.4.1.1</v>
          </cell>
          <cell r="B16" t="str">
            <v>QUINDIO</v>
          </cell>
          <cell r="C16">
            <v>63130</v>
          </cell>
          <cell r="D16" t="str">
            <v>CALARCÁ</v>
          </cell>
          <cell r="E16" t="str">
            <v>CAPEN.4.1.1</v>
          </cell>
          <cell r="F16" t="str">
            <v>4.1.1 Saldo de la deuda</v>
          </cell>
          <cell r="G16">
            <v>3401.9158090000001</v>
          </cell>
        </row>
        <row r="17">
          <cell r="A17" t="str">
            <v>63130-CAPEN.4.2.1</v>
          </cell>
          <cell r="B17" t="str">
            <v>QUINDIO</v>
          </cell>
          <cell r="C17">
            <v>63130</v>
          </cell>
          <cell r="D17" t="str">
            <v>CALARCÁ</v>
          </cell>
          <cell r="E17" t="str">
            <v>CAPEN.4.2.1</v>
          </cell>
          <cell r="F17" t="str">
            <v>4.2.1 Amortizaciones de la deuda</v>
          </cell>
          <cell r="G17">
            <v>1197.273148</v>
          </cell>
        </row>
        <row r="18">
          <cell r="A18" t="str">
            <v>63190-CAPEN.1.1</v>
          </cell>
          <cell r="B18" t="str">
            <v>QUINDIO</v>
          </cell>
          <cell r="C18">
            <v>63190</v>
          </cell>
          <cell r="D18" t="str">
            <v>CIRCASIA</v>
          </cell>
          <cell r="E18" t="str">
            <v>CAPEN.1.1</v>
          </cell>
          <cell r="F18" t="str">
            <v>1.1 Ingresos corrientes (sin descontar vigencias futuras)</v>
          </cell>
          <cell r="G18">
            <v>11340.461959747499</v>
          </cell>
        </row>
        <row r="19">
          <cell r="A19" t="str">
            <v>63190-CAPEN.2</v>
          </cell>
          <cell r="B19" t="str">
            <v>QUINDIO</v>
          </cell>
          <cell r="C19">
            <v>63190</v>
          </cell>
          <cell r="D19" t="str">
            <v>CIRCASIA</v>
          </cell>
          <cell r="E19" t="str">
            <v>CAPEN.2</v>
          </cell>
          <cell r="F19" t="str">
            <v>2. Gastos de funcionamiento</v>
          </cell>
          <cell r="G19">
            <v>3528.3048330000001</v>
          </cell>
        </row>
        <row r="20">
          <cell r="A20" t="str">
            <v>63212-CAPEN.1.1</v>
          </cell>
          <cell r="B20" t="str">
            <v>QUINDIO</v>
          </cell>
          <cell r="C20">
            <v>63212</v>
          </cell>
          <cell r="D20" t="str">
            <v>CÓRDOBA - QUINDIO</v>
          </cell>
          <cell r="E20" t="str">
            <v>CAPEN.1.1</v>
          </cell>
          <cell r="F20" t="str">
            <v>1.1 Ingresos corrientes (sin descontar vigencias futuras)</v>
          </cell>
          <cell r="G20">
            <v>3710.7600694969997</v>
          </cell>
        </row>
        <row r="21">
          <cell r="A21" t="str">
            <v>63212-CAPEN.2</v>
          </cell>
          <cell r="B21" t="str">
            <v>QUINDIO</v>
          </cell>
          <cell r="C21">
            <v>63212</v>
          </cell>
          <cell r="D21" t="str">
            <v>CÓRDOBA - QUINDIO</v>
          </cell>
          <cell r="E21" t="str">
            <v>CAPEN.2</v>
          </cell>
          <cell r="F21" t="str">
            <v>2. Gastos de funcionamiento</v>
          </cell>
          <cell r="G21">
            <v>1389.0291239999999</v>
          </cell>
        </row>
        <row r="22">
          <cell r="A22" t="str">
            <v>63000-CAPEN.1.1</v>
          </cell>
          <cell r="B22" t="str">
            <v>QUINDIO</v>
          </cell>
          <cell r="C22">
            <v>63000</v>
          </cell>
          <cell r="D22" t="str">
            <v>DEPARTAMENTO DEL QUINDIO</v>
          </cell>
          <cell r="E22" t="str">
            <v>CAPEN.1.1</v>
          </cell>
          <cell r="F22" t="str">
            <v>1.1 Ingresos corrientes (sin descontar vigencias futuras)</v>
          </cell>
          <cell r="G22">
            <v>165558.02981000001</v>
          </cell>
        </row>
        <row r="23">
          <cell r="A23" t="str">
            <v>63000-CAPEN.2</v>
          </cell>
          <cell r="B23" t="str">
            <v>QUINDIO</v>
          </cell>
          <cell r="C23">
            <v>63000</v>
          </cell>
          <cell r="D23" t="str">
            <v>DEPARTAMENTO DEL QUINDIO</v>
          </cell>
          <cell r="E23" t="str">
            <v>CAPEN.2</v>
          </cell>
          <cell r="F23" t="str">
            <v>2. Gastos de funcionamiento</v>
          </cell>
          <cell r="G23">
            <v>46993.371515999999</v>
          </cell>
        </row>
        <row r="24">
          <cell r="A24" t="str">
            <v>63000-CAPEN.4.1.1</v>
          </cell>
          <cell r="B24" t="str">
            <v>QUINDIO</v>
          </cell>
          <cell r="C24">
            <v>63000</v>
          </cell>
          <cell r="D24" t="str">
            <v>DEPARTAMENTO DEL QUINDIO</v>
          </cell>
          <cell r="E24" t="str">
            <v>CAPEN.4.1.1</v>
          </cell>
          <cell r="F24" t="str">
            <v>4.1.1 Saldo de la deuda</v>
          </cell>
          <cell r="G24">
            <v>33968.067999999999</v>
          </cell>
        </row>
        <row r="25">
          <cell r="A25" t="str">
            <v>63000-CAPEN.4.2.1</v>
          </cell>
          <cell r="B25" t="str">
            <v>QUINDIO</v>
          </cell>
          <cell r="C25">
            <v>63000</v>
          </cell>
          <cell r="D25" t="str">
            <v>DEPARTAMENTO DEL QUINDIO</v>
          </cell>
          <cell r="E25" t="str">
            <v>CAPEN.4.2.1</v>
          </cell>
          <cell r="F25" t="str">
            <v>4.2.1 Amortizaciones de la deuda</v>
          </cell>
          <cell r="G25">
            <v>7297.3</v>
          </cell>
        </row>
        <row r="26">
          <cell r="A26" t="str">
            <v>63000-CAPEN.5.1</v>
          </cell>
          <cell r="B26" t="str">
            <v>QUINDIO</v>
          </cell>
          <cell r="C26">
            <v>63000</v>
          </cell>
          <cell r="D26" t="str">
            <v>DEPARTAMENTO DEL QUINDIO</v>
          </cell>
          <cell r="E26" t="str">
            <v>CAPEN.5.1</v>
          </cell>
          <cell r="F26" t="str">
            <v>5.1 Intereses de la deuda</v>
          </cell>
          <cell r="G26">
            <v>2668.4560000000001</v>
          </cell>
        </row>
        <row r="27">
          <cell r="A27" t="str">
            <v>63272-CAPEN.1.1</v>
          </cell>
          <cell r="B27" t="str">
            <v>QUINDIO</v>
          </cell>
          <cell r="C27">
            <v>63272</v>
          </cell>
          <cell r="D27" t="str">
            <v>FILANDIA</v>
          </cell>
          <cell r="E27" t="str">
            <v>CAPEN.1.1</v>
          </cell>
          <cell r="F27" t="str">
            <v>1.1 Ingresos corrientes (sin descontar vigencias futuras)</v>
          </cell>
          <cell r="G27">
            <v>7869.7529551729995</v>
          </cell>
        </row>
        <row r="28">
          <cell r="A28" t="str">
            <v>63272-CAPEN.2</v>
          </cell>
          <cell r="B28" t="str">
            <v>QUINDIO</v>
          </cell>
          <cell r="C28">
            <v>63272</v>
          </cell>
          <cell r="D28" t="str">
            <v>FILANDIA</v>
          </cell>
          <cell r="E28" t="str">
            <v>CAPEN.2</v>
          </cell>
          <cell r="F28" t="str">
            <v>2. Gastos de funcionamiento</v>
          </cell>
          <cell r="G28">
            <v>2847.5932680000001</v>
          </cell>
        </row>
        <row r="29">
          <cell r="A29" t="str">
            <v>63302-CAPEN.1.1</v>
          </cell>
          <cell r="B29" t="str">
            <v>QUINDIO</v>
          </cell>
          <cell r="C29">
            <v>63302</v>
          </cell>
          <cell r="D29" t="str">
            <v>GÉNOVA</v>
          </cell>
          <cell r="E29" t="str">
            <v>CAPEN.1.1</v>
          </cell>
          <cell r="F29" t="str">
            <v>1.1 Ingresos corrientes (sin descontar vigencias futuras)</v>
          </cell>
          <cell r="G29">
            <v>4532.0056048800006</v>
          </cell>
        </row>
        <row r="30">
          <cell r="A30" t="str">
            <v>63302-CAPEN.2</v>
          </cell>
          <cell r="B30" t="str">
            <v>QUINDIO</v>
          </cell>
          <cell r="C30">
            <v>63302</v>
          </cell>
          <cell r="D30" t="str">
            <v>GÉNOVA</v>
          </cell>
          <cell r="E30" t="str">
            <v>CAPEN.2</v>
          </cell>
          <cell r="F30" t="str">
            <v>2. Gastos de funcionamiento</v>
          </cell>
          <cell r="G30">
            <v>2116.9110289999999</v>
          </cell>
        </row>
        <row r="31">
          <cell r="A31" t="str">
            <v>63302-CAPEN.4.1.1</v>
          </cell>
          <cell r="B31" t="str">
            <v>QUINDIO</v>
          </cell>
          <cell r="C31">
            <v>63302</v>
          </cell>
          <cell r="D31" t="str">
            <v>GÉNOVA</v>
          </cell>
          <cell r="E31" t="str">
            <v>CAPEN.4.1.1</v>
          </cell>
          <cell r="F31" t="str">
            <v>4.1.1 Saldo de la deuda</v>
          </cell>
          <cell r="G31">
            <v>1026.460208</v>
          </cell>
        </row>
        <row r="32">
          <cell r="A32" t="str">
            <v>63302-CAPEN.4.2.1</v>
          </cell>
          <cell r="B32" t="str">
            <v>QUINDIO</v>
          </cell>
          <cell r="C32">
            <v>63302</v>
          </cell>
          <cell r="D32" t="str">
            <v>GÉNOVA</v>
          </cell>
          <cell r="E32" t="str">
            <v>CAPEN.4.2.1</v>
          </cell>
          <cell r="F32" t="str">
            <v>4.2.1 Amortizaciones de la deuda</v>
          </cell>
          <cell r="G32">
            <v>175.541822</v>
          </cell>
        </row>
        <row r="33">
          <cell r="A33" t="str">
            <v>63302-CAPEN.5.1</v>
          </cell>
          <cell r="B33" t="str">
            <v>QUINDIO</v>
          </cell>
          <cell r="C33">
            <v>63302</v>
          </cell>
          <cell r="D33" t="str">
            <v>GÉNOVA</v>
          </cell>
          <cell r="E33" t="str">
            <v>CAPEN.5.1</v>
          </cell>
          <cell r="F33" t="str">
            <v>5.1 Intereses de la deuda</v>
          </cell>
          <cell r="G33">
            <v>67.764985999999993</v>
          </cell>
        </row>
        <row r="34">
          <cell r="A34" t="str">
            <v>63401-CAPEN.1.1</v>
          </cell>
          <cell r="B34" t="str">
            <v>QUINDIO</v>
          </cell>
          <cell r="C34">
            <v>63401</v>
          </cell>
          <cell r="D34" t="str">
            <v>LA TEBAIDA</v>
          </cell>
          <cell r="E34" t="str">
            <v>CAPEN.1.1</v>
          </cell>
          <cell r="F34" t="str">
            <v>1.1 Ingresos corrientes (sin descontar vigencias futuras)</v>
          </cell>
          <cell r="G34">
            <v>18255.113295999497</v>
          </cell>
        </row>
        <row r="35">
          <cell r="A35" t="str">
            <v>63401-CAPEN.2</v>
          </cell>
          <cell r="B35" t="str">
            <v>QUINDIO</v>
          </cell>
          <cell r="C35">
            <v>63401</v>
          </cell>
          <cell r="D35" t="str">
            <v>LA TEBAIDA</v>
          </cell>
          <cell r="E35" t="str">
            <v>CAPEN.2</v>
          </cell>
          <cell r="F35" t="str">
            <v>2. Gastos de funcionamiento</v>
          </cell>
          <cell r="G35">
            <v>7264.3909030000004</v>
          </cell>
        </row>
        <row r="36">
          <cell r="A36" t="str">
            <v>63401-CAPEN.4.1.1</v>
          </cell>
          <cell r="B36" t="str">
            <v>QUINDIO</v>
          </cell>
          <cell r="C36">
            <v>63401</v>
          </cell>
          <cell r="D36" t="str">
            <v>LA TEBAIDA</v>
          </cell>
          <cell r="E36" t="str">
            <v>CAPEN.4.1.1</v>
          </cell>
          <cell r="F36" t="str">
            <v>4.1.1 Saldo de la deuda</v>
          </cell>
          <cell r="G36">
            <v>2301.9273309999999</v>
          </cell>
        </row>
        <row r="37">
          <cell r="A37" t="str">
            <v>63401-CAPEN.4.2.1</v>
          </cell>
          <cell r="B37" t="str">
            <v>QUINDIO</v>
          </cell>
          <cell r="C37">
            <v>63401</v>
          </cell>
          <cell r="D37" t="str">
            <v>LA TEBAIDA</v>
          </cell>
          <cell r="E37" t="str">
            <v>CAPEN.4.2.1</v>
          </cell>
          <cell r="F37" t="str">
            <v>4.2.1 Amortizaciones de la deuda</v>
          </cell>
          <cell r="G37">
            <v>1000</v>
          </cell>
        </row>
        <row r="38">
          <cell r="A38" t="str">
            <v>63401-CAPEN.5.1</v>
          </cell>
          <cell r="B38" t="str">
            <v>QUINDIO</v>
          </cell>
          <cell r="C38">
            <v>63401</v>
          </cell>
          <cell r="D38" t="str">
            <v>LA TEBAIDA</v>
          </cell>
          <cell r="E38" t="str">
            <v>CAPEN.5.1</v>
          </cell>
          <cell r="F38" t="str">
            <v>5.1 Intereses de la deuda</v>
          </cell>
          <cell r="G38">
            <v>111.95548100000001</v>
          </cell>
        </row>
        <row r="39">
          <cell r="A39" t="str">
            <v>63470-CAPEN.1.1</v>
          </cell>
          <cell r="B39" t="str">
            <v>QUINDIO</v>
          </cell>
          <cell r="C39">
            <v>63470</v>
          </cell>
          <cell r="D39" t="str">
            <v>MONTENEGRO</v>
          </cell>
          <cell r="E39" t="str">
            <v>CAPEN.1.1</v>
          </cell>
          <cell r="F39" t="str">
            <v>1.1 Ingresos corrientes (sin descontar vigencias futuras)</v>
          </cell>
          <cell r="G39">
            <v>15014.328650537</v>
          </cell>
        </row>
        <row r="40">
          <cell r="A40" t="str">
            <v>63470-CAPEN.2</v>
          </cell>
          <cell r="B40" t="str">
            <v>QUINDIO</v>
          </cell>
          <cell r="C40">
            <v>63470</v>
          </cell>
          <cell r="D40" t="str">
            <v>MONTENEGRO</v>
          </cell>
          <cell r="E40" t="str">
            <v>CAPEN.2</v>
          </cell>
          <cell r="F40" t="str">
            <v>2. Gastos de funcionamiento</v>
          </cell>
          <cell r="G40">
            <v>5408.1256190000004</v>
          </cell>
        </row>
        <row r="41">
          <cell r="A41" t="str">
            <v>63548-CAPEN.1.1</v>
          </cell>
          <cell r="B41" t="str">
            <v>QUINDIO</v>
          </cell>
          <cell r="C41">
            <v>63548</v>
          </cell>
          <cell r="D41" t="str">
            <v>PIJAO</v>
          </cell>
          <cell r="E41" t="str">
            <v>CAPEN.1.1</v>
          </cell>
          <cell r="F41" t="str">
            <v>1.1 Ingresos corrientes (sin descontar vigencias futuras)</v>
          </cell>
          <cell r="G41">
            <v>4078.0923773229997</v>
          </cell>
        </row>
        <row r="42">
          <cell r="A42" t="str">
            <v>63548-CAPEN.2</v>
          </cell>
          <cell r="B42" t="str">
            <v>QUINDIO</v>
          </cell>
          <cell r="C42">
            <v>63548</v>
          </cell>
          <cell r="D42" t="str">
            <v>PIJAO</v>
          </cell>
          <cell r="E42" t="str">
            <v>CAPEN.2</v>
          </cell>
          <cell r="F42" t="str">
            <v>2. Gastos de funcionamiento</v>
          </cell>
          <cell r="G42">
            <v>1225.816276</v>
          </cell>
        </row>
        <row r="43">
          <cell r="A43" t="str">
            <v>63548-CAPEN.4.1.1</v>
          </cell>
          <cell r="B43" t="str">
            <v>QUINDIO</v>
          </cell>
          <cell r="C43">
            <v>63548</v>
          </cell>
          <cell r="D43" t="str">
            <v>PIJAO</v>
          </cell>
          <cell r="E43" t="str">
            <v>CAPEN.4.1.1</v>
          </cell>
          <cell r="F43" t="str">
            <v>4.1.1 Saldo de la deuda</v>
          </cell>
          <cell r="G43">
            <v>950</v>
          </cell>
        </row>
        <row r="44">
          <cell r="A44" t="str">
            <v>63548-CAPEN.4.2.1</v>
          </cell>
          <cell r="B44" t="str">
            <v>QUINDIO</v>
          </cell>
          <cell r="C44">
            <v>63548</v>
          </cell>
          <cell r="D44" t="str">
            <v>PIJAO</v>
          </cell>
          <cell r="E44" t="str">
            <v>CAPEN.4.2.1</v>
          </cell>
          <cell r="F44" t="str">
            <v>4.2.1 Amortizaciones de la deuda</v>
          </cell>
          <cell r="G44">
            <v>153.10595000000001</v>
          </cell>
        </row>
        <row r="45">
          <cell r="A45" t="str">
            <v>63548-CAPEN.5.1</v>
          </cell>
          <cell r="B45" t="str">
            <v>QUINDIO</v>
          </cell>
          <cell r="C45">
            <v>63548</v>
          </cell>
          <cell r="D45" t="str">
            <v>PIJAO</v>
          </cell>
          <cell r="E45" t="str">
            <v>CAPEN.5.1</v>
          </cell>
          <cell r="F45" t="str">
            <v>5.1 Intereses de la deuda</v>
          </cell>
          <cell r="G45">
            <v>77.586703999999997</v>
          </cell>
        </row>
        <row r="46">
          <cell r="A46" t="str">
            <v>63594-CAPEN.1.1</v>
          </cell>
          <cell r="B46" t="str">
            <v>QUINDIO</v>
          </cell>
          <cell r="C46">
            <v>63594</v>
          </cell>
          <cell r="D46" t="str">
            <v>QUIMBAYA</v>
          </cell>
          <cell r="E46" t="str">
            <v>CAPEN.1.1</v>
          </cell>
          <cell r="F46" t="str">
            <v>1.1 Ingresos corrientes (sin descontar vigencias futuras)</v>
          </cell>
          <cell r="G46">
            <v>14844.2694870985</v>
          </cell>
        </row>
        <row r="47">
          <cell r="A47" t="str">
            <v>63594-CAPEN.1.2</v>
          </cell>
          <cell r="B47" t="str">
            <v>QUINDIO</v>
          </cell>
          <cell r="C47">
            <v>63594</v>
          </cell>
          <cell r="D47" t="str">
            <v>QUIMBAYA</v>
          </cell>
          <cell r="E47" t="str">
            <v>CAPEN.1.2</v>
          </cell>
          <cell r="F47" t="str">
            <v>1.2 Vigencias futuras</v>
          </cell>
          <cell r="G47">
            <v>950</v>
          </cell>
        </row>
        <row r="48">
          <cell r="A48" t="str">
            <v>63594-CAPEN.2</v>
          </cell>
          <cell r="B48" t="str">
            <v>QUINDIO</v>
          </cell>
          <cell r="C48">
            <v>63594</v>
          </cell>
          <cell r="D48" t="str">
            <v>QUIMBAYA</v>
          </cell>
          <cell r="E48" t="str">
            <v>CAPEN.2</v>
          </cell>
          <cell r="F48" t="str">
            <v>2. Gastos de funcionamiento</v>
          </cell>
          <cell r="G48">
            <v>6443.7802240000001</v>
          </cell>
        </row>
        <row r="49">
          <cell r="A49" t="str">
            <v>63594-CAPEN.4.1.1</v>
          </cell>
          <cell r="B49" t="str">
            <v>QUINDIO</v>
          </cell>
          <cell r="C49">
            <v>63594</v>
          </cell>
          <cell r="D49" t="str">
            <v>QUIMBAYA</v>
          </cell>
          <cell r="E49" t="str">
            <v>CAPEN.4.1.1</v>
          </cell>
          <cell r="F49" t="str">
            <v>4.1.1 Saldo de la deuda</v>
          </cell>
          <cell r="G49">
            <v>2465.0087899999999</v>
          </cell>
        </row>
        <row r="50">
          <cell r="A50" t="str">
            <v>63594-CAPEN.4.2.1</v>
          </cell>
          <cell r="B50" t="str">
            <v>QUINDIO</v>
          </cell>
          <cell r="C50">
            <v>63594</v>
          </cell>
          <cell r="D50" t="str">
            <v>QUIMBAYA</v>
          </cell>
          <cell r="E50" t="str">
            <v>CAPEN.4.2.1</v>
          </cell>
          <cell r="F50" t="str">
            <v>4.2.1 Amortizaciones de la deuda</v>
          </cell>
          <cell r="G50">
            <v>664.98359000000005</v>
          </cell>
        </row>
        <row r="51">
          <cell r="A51" t="str">
            <v>63594-CAPEN.5.1</v>
          </cell>
          <cell r="B51" t="str">
            <v>QUINDIO</v>
          </cell>
          <cell r="C51">
            <v>63594</v>
          </cell>
          <cell r="D51" t="str">
            <v>QUIMBAYA</v>
          </cell>
          <cell r="E51" t="str">
            <v>CAPEN.5.1</v>
          </cell>
          <cell r="F51" t="str">
            <v>5.1 Intereses de la deuda</v>
          </cell>
          <cell r="G51">
            <v>148.114261</v>
          </cell>
        </row>
        <row r="52">
          <cell r="A52" t="str">
            <v>63690-CAPEN.1.1</v>
          </cell>
          <cell r="B52" t="str">
            <v>QUINDIO</v>
          </cell>
          <cell r="C52">
            <v>63690</v>
          </cell>
          <cell r="D52" t="str">
            <v>SALENTO</v>
          </cell>
          <cell r="E52" t="str">
            <v>CAPEN.1.1</v>
          </cell>
          <cell r="F52" t="str">
            <v>1.1 Ingresos corrientes (sin descontar vigencias futuras)</v>
          </cell>
          <cell r="G52">
            <v>8140.7197154669993</v>
          </cell>
        </row>
        <row r="53">
          <cell r="A53" t="str">
            <v>63690-CAPEN.2</v>
          </cell>
          <cell r="B53" t="str">
            <v>QUINDIO</v>
          </cell>
          <cell r="C53">
            <v>63690</v>
          </cell>
          <cell r="D53" t="str">
            <v>SALENTO</v>
          </cell>
          <cell r="E53" t="str">
            <v>CAPEN.2</v>
          </cell>
          <cell r="F53" t="str">
            <v>2. Gastos de funcionamiento</v>
          </cell>
          <cell r="G53">
            <v>2902.8300380000001</v>
          </cell>
        </row>
        <row r="54">
          <cell r="A54" t="str">
            <v>63690-CAPEN.4.1.1</v>
          </cell>
          <cell r="B54" t="str">
            <v>QUINDIO</v>
          </cell>
          <cell r="C54">
            <v>63690</v>
          </cell>
          <cell r="D54" t="str">
            <v>SALENTO</v>
          </cell>
          <cell r="E54" t="str">
            <v>CAPEN.4.1.1</v>
          </cell>
          <cell r="F54" t="str">
            <v>4.1.1 Saldo de la deuda</v>
          </cell>
          <cell r="G54">
            <v>2065.530319</v>
          </cell>
        </row>
        <row r="55">
          <cell r="A55" t="str">
            <v>63690-CAPEN.4.2.1</v>
          </cell>
          <cell r="B55" t="str">
            <v>QUINDIO</v>
          </cell>
          <cell r="C55">
            <v>63690</v>
          </cell>
          <cell r="D55" t="str">
            <v>SALENTO</v>
          </cell>
          <cell r="E55" t="str">
            <v>CAPEN.4.2.1</v>
          </cell>
          <cell r="F55" t="str">
            <v>4.2.1 Amortizaciones de la deuda</v>
          </cell>
          <cell r="G55">
            <v>676.43941500000005</v>
          </cell>
        </row>
        <row r="56">
          <cell r="A56" t="str">
            <v>63690-CAPEN.5.1</v>
          </cell>
          <cell r="B56" t="str">
            <v>QUINDIO</v>
          </cell>
          <cell r="C56">
            <v>63690</v>
          </cell>
          <cell r="D56" t="str">
            <v>SALENTO</v>
          </cell>
          <cell r="E56" t="str">
            <v>CAPEN.5.1</v>
          </cell>
          <cell r="F56" t="str">
            <v>5.1 Intereses de la deuda</v>
          </cell>
          <cell r="G56">
            <v>103.90710300000001</v>
          </cell>
        </row>
      </sheetData>
      <sheetData sheetId="5"/>
      <sheetData sheetId="6">
        <row r="12">
          <cell r="B12">
            <v>63690</v>
          </cell>
        </row>
      </sheetData>
      <sheetData sheetId="7"/>
      <sheetData sheetId="8"/>
      <sheetData sheetId="9"/>
      <sheetData sheetId="10"/>
      <sheetData sheetId="11">
        <row r="18">
          <cell r="A18" t="str">
            <v>CAPEN.4.2.2</v>
          </cell>
        </row>
        <row r="24">
          <cell r="A24" t="str">
            <v>CAPEN.5.2</v>
          </cell>
        </row>
        <row r="29">
          <cell r="A29"/>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udo Año 2016"/>
      <sheetName val="Recaudo 2016 con IPC a 2022"/>
      <sheetName val="CALCULO 2017"/>
      <sheetName val="CALCULO 2018"/>
      <sheetName val="CALCULO 2019"/>
      <sheetName val="Recaudo y giros 2020"/>
      <sheetName val="Recaudo y Giros 2021"/>
    </sheetNames>
    <sheetDataSet>
      <sheetData sheetId="0"/>
      <sheetData sheetId="1">
        <row r="21">
          <cell r="R21">
            <v>3749209145.4255209</v>
          </cell>
        </row>
      </sheetData>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Basicos"/>
      <sheetName val="Departamentos"/>
      <sheetName val="EntidadesTerritoriales"/>
      <sheetName val="DAF_BalanceFinanciero"/>
      <sheetName val="DAF_Ley358"/>
      <sheetName val="DAF_SaldoDeuda"/>
      <sheetName val="Entidad"/>
      <sheetName val="Descripción Glosario"/>
      <sheetName val="Supuestos Macro Nación"/>
      <sheetName val="Plan Financiero"/>
      <sheetName val="Superávit Primario"/>
      <sheetName val="Capacidad de Endeudamiento"/>
    </sheetNames>
    <sheetDataSet>
      <sheetData sheetId="0">
        <row r="2">
          <cell r="A2">
            <v>2019</v>
          </cell>
        </row>
      </sheetData>
      <sheetData sheetId="1"/>
      <sheetData sheetId="2"/>
      <sheetData sheetId="3">
        <row r="1">
          <cell r="H1" t="str">
            <v>TOTAL_2017</v>
          </cell>
          <cell r="I1" t="str">
            <v>TOTAL_2018</v>
          </cell>
        </row>
        <row r="2">
          <cell r="A2" t="str">
            <v>63000-BF_1</v>
          </cell>
          <cell r="B2" t="str">
            <v>QUINDIO</v>
          </cell>
          <cell r="C2">
            <v>63000</v>
          </cell>
          <cell r="D2" t="str">
            <v>DEPARTAMENTO DEL QUINDIO</v>
          </cell>
          <cell r="E2">
            <v>1</v>
          </cell>
          <cell r="F2" t="str">
            <v>BF_1</v>
          </cell>
          <cell r="G2" t="str">
            <v>INGRESOS TOTALES</v>
          </cell>
          <cell r="H2">
            <v>305001.65399999998</v>
          </cell>
          <cell r="I2">
            <v>313252.73797199997</v>
          </cell>
        </row>
        <row r="3">
          <cell r="A3" t="str">
            <v>63000-BF_1.1</v>
          </cell>
          <cell r="B3" t="str">
            <v>QUINDIO</v>
          </cell>
          <cell r="C3">
            <v>63000</v>
          </cell>
          <cell r="D3" t="str">
            <v>DEPARTAMENTO DEL QUINDIO</v>
          </cell>
          <cell r="E3">
            <v>2</v>
          </cell>
          <cell r="F3" t="str">
            <v>BF_1.1</v>
          </cell>
          <cell r="G3" t="str">
            <v xml:space="preserve">    INGRESOS CORRIENTES</v>
          </cell>
          <cell r="H3">
            <v>286727.81699999998</v>
          </cell>
          <cell r="I3">
            <v>303699.02398599999</v>
          </cell>
        </row>
        <row r="4">
          <cell r="A4" t="str">
            <v>63000-BF_1.1.1</v>
          </cell>
          <cell r="B4" t="str">
            <v>QUINDIO</v>
          </cell>
          <cell r="C4">
            <v>63000</v>
          </cell>
          <cell r="D4" t="str">
            <v>DEPARTAMENTO DEL QUINDIO</v>
          </cell>
          <cell r="E4">
            <v>3</v>
          </cell>
          <cell r="F4" t="str">
            <v>BF_1.1.1</v>
          </cell>
          <cell r="G4" t="str">
            <v xml:space="preserve">        TRIBUTARIOS</v>
          </cell>
          <cell r="H4">
            <v>116340.342</v>
          </cell>
          <cell r="I4">
            <v>118908.05119499999</v>
          </cell>
        </row>
        <row r="5">
          <cell r="A5" t="str">
            <v>63000-BF_1.1.1.1</v>
          </cell>
          <cell r="B5" t="str">
            <v>QUINDIO</v>
          </cell>
          <cell r="C5">
            <v>63000</v>
          </cell>
          <cell r="D5" t="str">
            <v>DEPARTAMENTO DEL QUINDIO</v>
          </cell>
          <cell r="E5">
            <v>4</v>
          </cell>
          <cell r="F5" t="str">
            <v>BF_1.1.1.1</v>
          </cell>
          <cell r="G5" t="str">
            <v xml:space="preserve">             Vehículos Automotores</v>
          </cell>
          <cell r="H5">
            <v>12628.027</v>
          </cell>
          <cell r="I5">
            <v>13740.633217000001</v>
          </cell>
        </row>
        <row r="6">
          <cell r="A6" t="str">
            <v>63000-BF_1.1.1.4</v>
          </cell>
          <cell r="B6" t="str">
            <v>QUINDIO</v>
          </cell>
          <cell r="C6">
            <v>63000</v>
          </cell>
          <cell r="D6" t="str">
            <v>DEPARTAMENTO DEL QUINDIO</v>
          </cell>
          <cell r="E6">
            <v>7</v>
          </cell>
          <cell r="F6" t="str">
            <v>BF_1.1.1.4</v>
          </cell>
          <cell r="G6" t="str">
            <v xml:space="preserve">             Registro y Anotación</v>
          </cell>
          <cell r="H6">
            <v>13064.938</v>
          </cell>
          <cell r="I6">
            <v>13570.933605</v>
          </cell>
        </row>
        <row r="7">
          <cell r="A7" t="str">
            <v>63000-BF_1.1.1.5</v>
          </cell>
          <cell r="B7" t="str">
            <v>QUINDIO</v>
          </cell>
          <cell r="C7">
            <v>63000</v>
          </cell>
          <cell r="D7" t="str">
            <v>DEPARTAMENTO DEL QUINDIO</v>
          </cell>
          <cell r="E7">
            <v>8</v>
          </cell>
          <cell r="F7" t="str">
            <v>BF_1.1.1.5</v>
          </cell>
          <cell r="G7" t="str">
            <v xml:space="preserve">             Licores</v>
          </cell>
          <cell r="H7">
            <v>12378.339</v>
          </cell>
          <cell r="I7">
            <v>12323.33171</v>
          </cell>
        </row>
        <row r="8">
          <cell r="A8" t="str">
            <v>63000-BF_1.1.1.6</v>
          </cell>
          <cell r="B8" t="str">
            <v>QUINDIO</v>
          </cell>
          <cell r="C8">
            <v>63000</v>
          </cell>
          <cell r="D8" t="str">
            <v>DEPARTAMENTO DEL QUINDIO</v>
          </cell>
          <cell r="E8">
            <v>9</v>
          </cell>
          <cell r="F8" t="str">
            <v>BF_1.1.1.6</v>
          </cell>
          <cell r="G8" t="str">
            <v xml:space="preserve">             Cerveza</v>
          </cell>
          <cell r="H8">
            <v>19989.563999999998</v>
          </cell>
          <cell r="I8">
            <v>18447.6194</v>
          </cell>
        </row>
        <row r="9">
          <cell r="A9" t="str">
            <v>63000-BF_1.1.1.7</v>
          </cell>
          <cell r="B9" t="str">
            <v>QUINDIO</v>
          </cell>
          <cell r="C9">
            <v>63000</v>
          </cell>
          <cell r="D9" t="str">
            <v>DEPARTAMENTO DEL QUINDIO</v>
          </cell>
          <cell r="E9">
            <v>10</v>
          </cell>
          <cell r="F9" t="str">
            <v>BF_1.1.1.7</v>
          </cell>
          <cell r="G9" t="str">
            <v xml:space="preserve">             Cigarrillos y Tabaco</v>
          </cell>
          <cell r="H9">
            <v>21721.458999999999</v>
          </cell>
          <cell r="I9">
            <v>22183.786067000001</v>
          </cell>
        </row>
        <row r="10">
          <cell r="A10" t="str">
            <v>63000-BF_1.1.1.8</v>
          </cell>
          <cell r="B10" t="str">
            <v>QUINDIO</v>
          </cell>
          <cell r="C10">
            <v>63000</v>
          </cell>
          <cell r="D10" t="str">
            <v>DEPARTAMENTO DEL QUINDIO</v>
          </cell>
          <cell r="E10">
            <v>11</v>
          </cell>
          <cell r="F10" t="str">
            <v>BF_1.1.1.8</v>
          </cell>
          <cell r="G10" t="str">
            <v xml:space="preserve">             Sobretasa Consumo Gasolina Motor</v>
          </cell>
          <cell r="H10">
            <v>6713.558</v>
          </cell>
          <cell r="I10">
            <v>6992.5485500000004</v>
          </cell>
        </row>
        <row r="11">
          <cell r="A11" t="str">
            <v>63000-BF_1.1.1.9</v>
          </cell>
          <cell r="B11" t="str">
            <v>QUINDIO</v>
          </cell>
          <cell r="C11">
            <v>63000</v>
          </cell>
          <cell r="D11" t="str">
            <v>DEPARTAMENTO DEL QUINDIO</v>
          </cell>
          <cell r="E11">
            <v>12</v>
          </cell>
          <cell r="F11" t="str">
            <v>BF_1.1.1.9</v>
          </cell>
          <cell r="G11" t="str">
            <v xml:space="preserve">             Estampillas</v>
          </cell>
          <cell r="H11">
            <v>25973.508000000002</v>
          </cell>
          <cell r="I11">
            <v>27166.513202999999</v>
          </cell>
        </row>
        <row r="12">
          <cell r="A12" t="str">
            <v>63000-BF_1.1.1.12</v>
          </cell>
          <cell r="B12" t="str">
            <v>QUINDIO</v>
          </cell>
          <cell r="C12">
            <v>63000</v>
          </cell>
          <cell r="D12" t="str">
            <v>DEPARTAMENTO DEL QUINDIO</v>
          </cell>
          <cell r="E12">
            <v>15</v>
          </cell>
          <cell r="F12" t="str">
            <v>BF_1.1.1.12</v>
          </cell>
          <cell r="G12" t="str">
            <v xml:space="preserve">             Otros Ingresos Tributarios</v>
          </cell>
          <cell r="H12">
            <v>3870.9490000000001</v>
          </cell>
          <cell r="I12">
            <v>4482.6854430000003</v>
          </cell>
        </row>
        <row r="13">
          <cell r="A13" t="str">
            <v>63000-BF_1.1.2</v>
          </cell>
          <cell r="B13" t="str">
            <v>QUINDIO</v>
          </cell>
          <cell r="C13">
            <v>63000</v>
          </cell>
          <cell r="D13" t="str">
            <v>DEPARTAMENTO DEL QUINDIO</v>
          </cell>
          <cell r="E13">
            <v>16</v>
          </cell>
          <cell r="F13" t="str">
            <v>BF_1.1.2</v>
          </cell>
          <cell r="G13" t="str">
            <v xml:space="preserve">        NO TRIBUTARIOS</v>
          </cell>
          <cell r="H13">
            <v>22534.028999999999</v>
          </cell>
          <cell r="I13">
            <v>23932.643242999999</v>
          </cell>
        </row>
        <row r="14">
          <cell r="A14" t="str">
            <v>63000-BF_1.1.2.1</v>
          </cell>
          <cell r="B14" t="str">
            <v>QUINDIO</v>
          </cell>
          <cell r="C14">
            <v>63000</v>
          </cell>
          <cell r="D14" t="str">
            <v>DEPARTAMENTO DEL QUINDIO</v>
          </cell>
          <cell r="E14">
            <v>17</v>
          </cell>
          <cell r="F14" t="str">
            <v>BF_1.1.2.1</v>
          </cell>
          <cell r="G14" t="str">
            <v xml:space="preserve">             Ingresos de la Propiedad: Tasas, Derechos, Multas y Sanciones</v>
          </cell>
          <cell r="H14">
            <v>21417.488000000001</v>
          </cell>
          <cell r="I14">
            <v>23028.200915000001</v>
          </cell>
        </row>
        <row r="15">
          <cell r="A15" t="str">
            <v>63000-BF_1.1.2.2</v>
          </cell>
          <cell r="B15" t="str">
            <v>QUINDIO</v>
          </cell>
          <cell r="C15">
            <v>63000</v>
          </cell>
          <cell r="D15" t="str">
            <v>DEPARTAMENTO DEL QUINDIO</v>
          </cell>
          <cell r="E15">
            <v>18</v>
          </cell>
          <cell r="F15" t="str">
            <v>BF_1.1.2.2</v>
          </cell>
          <cell r="G15" t="str">
            <v xml:space="preserve">             Otros No Tributarios</v>
          </cell>
          <cell r="H15">
            <v>1116.5409999999999</v>
          </cell>
          <cell r="I15">
            <v>904.44232799999997</v>
          </cell>
        </row>
        <row r="16">
          <cell r="A16" t="str">
            <v>63000-BF_1.1.3</v>
          </cell>
          <cell r="B16" t="str">
            <v>QUINDIO</v>
          </cell>
          <cell r="C16">
            <v>63000</v>
          </cell>
          <cell r="D16" t="str">
            <v>DEPARTAMENTO DEL QUINDIO</v>
          </cell>
          <cell r="E16">
            <v>19</v>
          </cell>
          <cell r="F16" t="str">
            <v>BF_1.1.3</v>
          </cell>
          <cell r="G16" t="str">
            <v xml:space="preserve">        TRANSFERENCIAS</v>
          </cell>
          <cell r="H16">
            <v>147853.446</v>
          </cell>
          <cell r="I16">
            <v>160858.32954800001</v>
          </cell>
        </row>
        <row r="17">
          <cell r="A17" t="str">
            <v>63000-BF_1.1.3.1</v>
          </cell>
          <cell r="B17" t="str">
            <v>QUINDIO</v>
          </cell>
          <cell r="C17">
            <v>63000</v>
          </cell>
          <cell r="D17" t="str">
            <v>DEPARTAMENTO DEL QUINDIO</v>
          </cell>
          <cell r="E17">
            <v>20</v>
          </cell>
          <cell r="F17" t="str">
            <v>BF_1.1.3.1</v>
          </cell>
          <cell r="G17" t="str">
            <v xml:space="preserve">             Transferencias Para Funcionamiento</v>
          </cell>
          <cell r="H17">
            <v>2043.203</v>
          </cell>
          <cell r="I17">
            <v>3109.9217549999998</v>
          </cell>
        </row>
        <row r="18">
          <cell r="A18" t="str">
            <v>63000-BF_1.1.3.1.1</v>
          </cell>
          <cell r="B18" t="str">
            <v>QUINDIO</v>
          </cell>
          <cell r="C18">
            <v>63000</v>
          </cell>
          <cell r="D18" t="str">
            <v>DEPARTAMENTO DEL QUINDIO</v>
          </cell>
          <cell r="E18">
            <v>21</v>
          </cell>
          <cell r="F18" t="str">
            <v>BF_1.1.3.1.1</v>
          </cell>
          <cell r="G18" t="str">
            <v xml:space="preserve">                 Del Nivel Nacional</v>
          </cell>
          <cell r="H18">
            <v>0</v>
          </cell>
          <cell r="I18">
            <v>1301.0208660000001</v>
          </cell>
        </row>
        <row r="19">
          <cell r="A19" t="str">
            <v>63000-BF_1.1.3.1.1.2</v>
          </cell>
          <cell r="B19" t="str">
            <v>QUINDIO</v>
          </cell>
          <cell r="C19">
            <v>63000</v>
          </cell>
          <cell r="D19" t="str">
            <v>DEPARTAMENTO DEL QUINDIO</v>
          </cell>
          <cell r="E19">
            <v>23</v>
          </cell>
          <cell r="F19" t="str">
            <v>BF_1.1.3.1.1.2</v>
          </cell>
          <cell r="G19" t="str">
            <v xml:space="preserve">                     Otras Transferencias de la Nación</v>
          </cell>
          <cell r="H19">
            <v>0</v>
          </cell>
          <cell r="I19">
            <v>1301.0208660000001</v>
          </cell>
        </row>
        <row r="20">
          <cell r="A20" t="str">
            <v>63000-BF_1.1.3.1.3</v>
          </cell>
          <cell r="B20" t="str">
            <v>QUINDIO</v>
          </cell>
          <cell r="C20">
            <v>63000</v>
          </cell>
          <cell r="D20" t="str">
            <v>DEPARTAMENTO DEL QUINDIO</v>
          </cell>
          <cell r="E20">
            <v>27</v>
          </cell>
          <cell r="F20" t="str">
            <v>BF_1.1.3.1.3</v>
          </cell>
          <cell r="G20" t="str">
            <v xml:space="preserve">                 Otras Transferencias Para Funcionamiento</v>
          </cell>
          <cell r="H20">
            <v>2043.203</v>
          </cell>
          <cell r="I20">
            <v>1808.900889</v>
          </cell>
        </row>
        <row r="21">
          <cell r="A21" t="str">
            <v>63000-BF_1.1.3.2</v>
          </cell>
          <cell r="B21" t="str">
            <v>QUINDIO</v>
          </cell>
          <cell r="C21">
            <v>63000</v>
          </cell>
          <cell r="D21" t="str">
            <v>DEPARTAMENTO DEL QUINDIO</v>
          </cell>
          <cell r="E21">
            <v>28</v>
          </cell>
          <cell r="F21" t="str">
            <v>BF_1.1.3.2</v>
          </cell>
          <cell r="G21" t="str">
            <v xml:space="preserve">             Transferencias Para Inversión</v>
          </cell>
          <cell r="H21">
            <v>145810.24299999999</v>
          </cell>
          <cell r="I21">
            <v>157748.40779299999</v>
          </cell>
        </row>
        <row r="22">
          <cell r="A22" t="str">
            <v>63000-BF_1.1.3.2.1</v>
          </cell>
          <cell r="B22" t="str">
            <v>QUINDIO</v>
          </cell>
          <cell r="C22">
            <v>63000</v>
          </cell>
          <cell r="D22" t="str">
            <v>DEPARTAMENTO DEL QUINDIO</v>
          </cell>
          <cell r="E22">
            <v>29</v>
          </cell>
          <cell r="F22" t="str">
            <v>BF_1.1.3.2.1</v>
          </cell>
          <cell r="G22" t="str">
            <v xml:space="preserve">                 Del Nivel Nacional</v>
          </cell>
          <cell r="H22">
            <v>144704.58199999999</v>
          </cell>
          <cell r="I22">
            <v>157748.40779299999</v>
          </cell>
        </row>
        <row r="23">
          <cell r="A23" t="str">
            <v>63000-BF_1.1.3.2.1.1</v>
          </cell>
          <cell r="B23" t="str">
            <v>QUINDIO</v>
          </cell>
          <cell r="C23">
            <v>63000</v>
          </cell>
          <cell r="D23" t="str">
            <v>DEPARTAMENTO DEL QUINDIO</v>
          </cell>
          <cell r="E23">
            <v>30</v>
          </cell>
          <cell r="F23" t="str">
            <v>BF_1.1.3.2.1.1</v>
          </cell>
          <cell r="G23" t="str">
            <v xml:space="preserve">                     Sistema General de Participaciones</v>
          </cell>
          <cell r="H23">
            <v>140349.372</v>
          </cell>
          <cell r="I23">
            <v>145732.228011</v>
          </cell>
        </row>
        <row r="24">
          <cell r="A24" t="str">
            <v>63000-BF_1.1.3.2.1.1.1</v>
          </cell>
          <cell r="B24" t="str">
            <v>QUINDIO</v>
          </cell>
          <cell r="C24">
            <v>63000</v>
          </cell>
          <cell r="D24" t="str">
            <v>DEPARTAMENTO DEL QUINDIO</v>
          </cell>
          <cell r="E24">
            <v>31</v>
          </cell>
          <cell r="F24" t="str">
            <v>BF_1.1.3.2.1.1.1</v>
          </cell>
          <cell r="G24" t="str">
            <v xml:space="preserve">                         Sistema General de Participaciones - Educación</v>
          </cell>
          <cell r="H24">
            <v>126466.371</v>
          </cell>
          <cell r="I24">
            <v>131777.19046499999</v>
          </cell>
        </row>
        <row r="25">
          <cell r="A25" t="str">
            <v>63000-BF_1.1.3.2.1.1.2</v>
          </cell>
          <cell r="B25" t="str">
            <v>QUINDIO</v>
          </cell>
          <cell r="C25">
            <v>63000</v>
          </cell>
          <cell r="D25" t="str">
            <v>DEPARTAMENTO DEL QUINDIO</v>
          </cell>
          <cell r="E25">
            <v>32</v>
          </cell>
          <cell r="F25" t="str">
            <v>BF_1.1.3.2.1.1.2</v>
          </cell>
          <cell r="G25" t="str">
            <v xml:space="preserve">                         Sistema General de Participaciones - Salud</v>
          </cell>
          <cell r="H25">
            <v>11564.476000000001</v>
          </cell>
          <cell r="I25">
            <v>11440.320914</v>
          </cell>
        </row>
        <row r="26">
          <cell r="A26" t="str">
            <v>63000-BF_1.1.3.2.1.1.3</v>
          </cell>
          <cell r="B26" t="str">
            <v>QUINDIO</v>
          </cell>
          <cell r="C26">
            <v>63000</v>
          </cell>
          <cell r="D26" t="str">
            <v>DEPARTAMENTO DEL QUINDIO</v>
          </cell>
          <cell r="E26">
            <v>33</v>
          </cell>
          <cell r="F26" t="str">
            <v>BF_1.1.3.2.1.1.3</v>
          </cell>
          <cell r="G26" t="str">
            <v xml:space="preserve">                         Sistema General de Participaciones - Agua Potable y Saneamiento Básico</v>
          </cell>
          <cell r="H26">
            <v>2318.5250000000001</v>
          </cell>
          <cell r="I26">
            <v>2514.7166320000001</v>
          </cell>
        </row>
        <row r="27">
          <cell r="A27" t="str">
            <v>63000-BF_1.1.3.2.1.3</v>
          </cell>
          <cell r="B27" t="str">
            <v>QUINDIO</v>
          </cell>
          <cell r="C27">
            <v>63000</v>
          </cell>
          <cell r="D27" t="str">
            <v>DEPARTAMENTO DEL QUINDIO</v>
          </cell>
          <cell r="E27">
            <v>37</v>
          </cell>
          <cell r="F27" t="str">
            <v>BF_1.1.3.2.1.3</v>
          </cell>
          <cell r="G27" t="str">
            <v xml:space="preserve">                     Otras Transferencias de la Nación</v>
          </cell>
          <cell r="H27">
            <v>4355.21</v>
          </cell>
          <cell r="I27">
            <v>12016.179781999999</v>
          </cell>
        </row>
        <row r="28">
          <cell r="A28" t="str">
            <v>63000-BF_1.1.3.2.3</v>
          </cell>
          <cell r="B28" t="str">
            <v>QUINDIO</v>
          </cell>
          <cell r="C28">
            <v>63000</v>
          </cell>
          <cell r="D28" t="str">
            <v>DEPARTAMENTO DEL QUINDIO</v>
          </cell>
          <cell r="E28">
            <v>39</v>
          </cell>
          <cell r="F28" t="str">
            <v>BF_1.1.3.2.3</v>
          </cell>
          <cell r="G28" t="str">
            <v xml:space="preserve">                 Del Nivel Municipal</v>
          </cell>
          <cell r="H28">
            <v>792.98</v>
          </cell>
          <cell r="I28">
            <v>0</v>
          </cell>
        </row>
        <row r="29">
          <cell r="A29" t="str">
            <v>63000-BF_1.1.3.2.4</v>
          </cell>
          <cell r="B29" t="str">
            <v>QUINDIO</v>
          </cell>
          <cell r="C29">
            <v>63000</v>
          </cell>
          <cell r="D29" t="str">
            <v>DEPARTAMENTO DEL QUINDIO</v>
          </cell>
          <cell r="E29">
            <v>40</v>
          </cell>
          <cell r="F29" t="str">
            <v>BF_1.1.3.2.4</v>
          </cell>
          <cell r="G29" t="str">
            <v xml:space="preserve">                 Sector Descentralizado</v>
          </cell>
          <cell r="H29">
            <v>312.68099999999998</v>
          </cell>
          <cell r="I29">
            <v>0</v>
          </cell>
        </row>
        <row r="30">
          <cell r="A30" t="str">
            <v>63000-BF_2</v>
          </cell>
          <cell r="B30" t="str">
            <v>QUINDIO</v>
          </cell>
          <cell r="C30">
            <v>63000</v>
          </cell>
          <cell r="D30" t="str">
            <v>DEPARTAMENTO DEL QUINDIO</v>
          </cell>
          <cell r="E30">
            <v>43</v>
          </cell>
          <cell r="F30" t="str">
            <v>BF_2</v>
          </cell>
          <cell r="G30" t="str">
            <v>GASTOS  TOTALES</v>
          </cell>
          <cell r="H30">
            <v>299961.95500000002</v>
          </cell>
          <cell r="I30">
            <v>318283.75582800002</v>
          </cell>
        </row>
        <row r="31">
          <cell r="A31" t="str">
            <v>63000-BF_2.1</v>
          </cell>
          <cell r="B31" t="str">
            <v>QUINDIO</v>
          </cell>
          <cell r="C31">
            <v>63000</v>
          </cell>
          <cell r="D31" t="str">
            <v>DEPARTAMENTO DEL QUINDIO</v>
          </cell>
          <cell r="E31">
            <v>44</v>
          </cell>
          <cell r="F31" t="str">
            <v>BF_2.1</v>
          </cell>
          <cell r="G31" t="str">
            <v xml:space="preserve">    GASTOS CORRIENTES</v>
          </cell>
          <cell r="H31">
            <v>257981.66099999999</v>
          </cell>
          <cell r="I31">
            <v>282096.11716600001</v>
          </cell>
        </row>
        <row r="32">
          <cell r="A32" t="str">
            <v>63000-BF_2.1.1</v>
          </cell>
          <cell r="B32" t="str">
            <v>QUINDIO</v>
          </cell>
          <cell r="C32">
            <v>63000</v>
          </cell>
          <cell r="D32" t="str">
            <v>DEPARTAMENTO DEL QUINDIO</v>
          </cell>
          <cell r="E32">
            <v>45</v>
          </cell>
          <cell r="F32" t="str">
            <v>BF_2.1.1</v>
          </cell>
          <cell r="G32" t="str">
            <v xml:space="preserve">        FUNCIONAMIENTO</v>
          </cell>
          <cell r="H32">
            <v>75782.722999999998</v>
          </cell>
          <cell r="I32">
            <v>78829.301137999995</v>
          </cell>
        </row>
        <row r="33">
          <cell r="A33" t="str">
            <v>63000-BF_2.1.1.1</v>
          </cell>
          <cell r="B33" t="str">
            <v>QUINDIO</v>
          </cell>
          <cell r="C33">
            <v>63000</v>
          </cell>
          <cell r="D33" t="str">
            <v>DEPARTAMENTO DEL QUINDIO</v>
          </cell>
          <cell r="E33">
            <v>46</v>
          </cell>
          <cell r="F33" t="str">
            <v>BF_2.1.1.1</v>
          </cell>
          <cell r="G33" t="str">
            <v xml:space="preserve">             Gastos de Personal  </v>
          </cell>
          <cell r="H33">
            <v>29026.309000000001</v>
          </cell>
          <cell r="I33">
            <v>31428.355007999999</v>
          </cell>
        </row>
        <row r="34">
          <cell r="A34" t="str">
            <v>63000-BF_2.1.1.2</v>
          </cell>
          <cell r="B34" t="str">
            <v>QUINDIO</v>
          </cell>
          <cell r="C34">
            <v>63000</v>
          </cell>
          <cell r="D34" t="str">
            <v>DEPARTAMENTO DEL QUINDIO</v>
          </cell>
          <cell r="E34">
            <v>47</v>
          </cell>
          <cell r="F34" t="str">
            <v>BF_2.1.1.2</v>
          </cell>
          <cell r="G34" t="str">
            <v xml:space="preserve">             Gastos Generales</v>
          </cell>
          <cell r="H34">
            <v>7611.9369999999999</v>
          </cell>
          <cell r="I34">
            <v>6786.0466210000004</v>
          </cell>
        </row>
        <row r="35">
          <cell r="A35" t="str">
            <v>63000-BF_2.1.1.3</v>
          </cell>
          <cell r="B35" t="str">
            <v>QUINDIO</v>
          </cell>
          <cell r="C35">
            <v>63000</v>
          </cell>
          <cell r="D35" t="str">
            <v>DEPARTAMENTO DEL QUINDIO</v>
          </cell>
          <cell r="E35">
            <v>48</v>
          </cell>
          <cell r="F35" t="str">
            <v>BF_2.1.1.3</v>
          </cell>
          <cell r="G35" t="str">
            <v xml:space="preserve">             Transferencias</v>
          </cell>
          <cell r="H35">
            <v>37479.087</v>
          </cell>
          <cell r="I35">
            <v>39929.734617000002</v>
          </cell>
        </row>
        <row r="36">
          <cell r="A36" t="str">
            <v>63000-BF_2.1.1.3.1</v>
          </cell>
          <cell r="B36" t="str">
            <v>QUINDIO</v>
          </cell>
          <cell r="C36">
            <v>63000</v>
          </cell>
          <cell r="D36" t="str">
            <v>DEPARTAMENTO DEL QUINDIO</v>
          </cell>
          <cell r="E36">
            <v>49</v>
          </cell>
          <cell r="F36" t="str">
            <v>BF_2.1.1.3.1</v>
          </cell>
          <cell r="G36" t="str">
            <v xml:space="preserve">                 Pensiones</v>
          </cell>
          <cell r="H36">
            <v>10546.245999999999</v>
          </cell>
          <cell r="I36">
            <v>12695.564394999999</v>
          </cell>
        </row>
        <row r="37">
          <cell r="A37" t="str">
            <v>63000-BF_2.1.1.3.2</v>
          </cell>
          <cell r="B37" t="str">
            <v>QUINDIO</v>
          </cell>
          <cell r="C37">
            <v>63000</v>
          </cell>
          <cell r="D37" t="str">
            <v>DEPARTAMENTO DEL QUINDIO</v>
          </cell>
          <cell r="E37">
            <v>50</v>
          </cell>
          <cell r="F37" t="str">
            <v>BF_2.1.1.3.2</v>
          </cell>
          <cell r="G37" t="str">
            <v xml:space="preserve">                 A Fonpet</v>
          </cell>
          <cell r="H37">
            <v>3064.5650000000001</v>
          </cell>
          <cell r="I37">
            <v>3431.814046</v>
          </cell>
        </row>
        <row r="38">
          <cell r="A38" t="str">
            <v>63000-BF_2.1.1.3.4</v>
          </cell>
          <cell r="B38" t="str">
            <v>QUINDIO</v>
          </cell>
          <cell r="C38">
            <v>63000</v>
          </cell>
          <cell r="D38" t="str">
            <v>DEPARTAMENTO DEL QUINDIO</v>
          </cell>
          <cell r="E38">
            <v>52</v>
          </cell>
          <cell r="F38" t="str">
            <v>BF_2.1.1.3.4</v>
          </cell>
          <cell r="G38" t="str">
            <v xml:space="preserve">                 A Organismos de Control</v>
          </cell>
          <cell r="H38">
            <v>5011.0069999999996</v>
          </cell>
          <cell r="I38">
            <v>5743.690525</v>
          </cell>
        </row>
        <row r="39">
          <cell r="A39" t="str">
            <v>63000-BF_2.1.1.3.5</v>
          </cell>
          <cell r="B39" t="str">
            <v>QUINDIO</v>
          </cell>
          <cell r="C39">
            <v>63000</v>
          </cell>
          <cell r="D39" t="str">
            <v>DEPARTAMENTO DEL QUINDIO</v>
          </cell>
          <cell r="E39">
            <v>53</v>
          </cell>
          <cell r="F39" t="str">
            <v>BF_2.1.1.3.5</v>
          </cell>
          <cell r="G39" t="str">
            <v xml:space="preserve">                 A Establecimientos Públicos y Entidades Descentralizadas - Nivel Territorial</v>
          </cell>
          <cell r="H39">
            <v>17264.606</v>
          </cell>
          <cell r="I39">
            <v>15933.290602999999</v>
          </cell>
        </row>
        <row r="40">
          <cell r="A40" t="str">
            <v>63000-BF_2.1.1.3.6</v>
          </cell>
          <cell r="B40" t="str">
            <v>QUINDIO</v>
          </cell>
          <cell r="C40">
            <v>63000</v>
          </cell>
          <cell r="D40" t="str">
            <v>DEPARTAMENTO DEL QUINDIO</v>
          </cell>
          <cell r="E40">
            <v>54</v>
          </cell>
          <cell r="F40" t="str">
            <v>BF_2.1.1.3.6</v>
          </cell>
          <cell r="G40" t="str">
            <v xml:space="preserve">                 Sentencias y Conciliaciones</v>
          </cell>
          <cell r="H40">
            <v>1592.663</v>
          </cell>
          <cell r="I40">
            <v>2125.3750479999999</v>
          </cell>
        </row>
        <row r="41">
          <cell r="A41" t="str">
            <v>63000-BF_2.1.1.6</v>
          </cell>
          <cell r="B41" t="str">
            <v>QUINDIO</v>
          </cell>
          <cell r="C41">
            <v>63000</v>
          </cell>
          <cell r="D41" t="str">
            <v>DEPARTAMENTO DEL QUINDIO</v>
          </cell>
          <cell r="E41">
            <v>58</v>
          </cell>
          <cell r="F41" t="str">
            <v>BF_2.1.1.6</v>
          </cell>
          <cell r="G41" t="str">
            <v xml:space="preserve">             Otros Gastos de Funcionamiento</v>
          </cell>
          <cell r="H41">
            <v>1665.39</v>
          </cell>
          <cell r="I41">
            <v>685.16489200000001</v>
          </cell>
        </row>
        <row r="42">
          <cell r="A42" t="str">
            <v>63000-BF_2.1.4</v>
          </cell>
          <cell r="B42" t="str">
            <v>QUINDIO</v>
          </cell>
          <cell r="C42">
            <v>63000</v>
          </cell>
          <cell r="D42" t="str">
            <v>DEPARTAMENTO DEL QUINDIO</v>
          </cell>
          <cell r="E42">
            <v>61</v>
          </cell>
          <cell r="F42" t="str">
            <v>BF_2.1.4</v>
          </cell>
          <cell r="G42" t="str">
            <v xml:space="preserve">        GASTOS OPERATIVOS EN SECTORES SOCIALES (Remuneración al Trabajo, Prestaciones, y Subsidios en Sectores de Inversión)</v>
          </cell>
          <cell r="H42">
            <v>179168.315</v>
          </cell>
          <cell r="I42">
            <v>201004.020793</v>
          </cell>
        </row>
        <row r="43">
          <cell r="A43" t="str">
            <v>63000-BF_2.1.4.1</v>
          </cell>
          <cell r="B43" t="str">
            <v>QUINDIO</v>
          </cell>
          <cell r="C43">
            <v>63000</v>
          </cell>
          <cell r="D43" t="str">
            <v>DEPARTAMENTO DEL QUINDIO</v>
          </cell>
          <cell r="E43">
            <v>62</v>
          </cell>
          <cell r="F43" t="str">
            <v>BF_2.1.4.1</v>
          </cell>
          <cell r="G43" t="str">
            <v xml:space="preserve">             Educación</v>
          </cell>
          <cell r="H43">
            <v>140313.46900000001</v>
          </cell>
          <cell r="I43">
            <v>143070.6023</v>
          </cell>
        </row>
        <row r="44">
          <cell r="A44" t="str">
            <v>63000-BF_2.1.4.2</v>
          </cell>
          <cell r="B44" t="str">
            <v>QUINDIO</v>
          </cell>
          <cell r="C44">
            <v>63000</v>
          </cell>
          <cell r="D44" t="str">
            <v>DEPARTAMENTO DEL QUINDIO</v>
          </cell>
          <cell r="E44">
            <v>63</v>
          </cell>
          <cell r="F44" t="str">
            <v>BF_2.1.4.2</v>
          </cell>
          <cell r="G44" t="str">
            <v xml:space="preserve">             Salud</v>
          </cell>
          <cell r="H44">
            <v>35718.294000000002</v>
          </cell>
          <cell r="I44">
            <v>35630.144436000002</v>
          </cell>
        </row>
        <row r="45">
          <cell r="A45" t="str">
            <v>63000-BF_2.1.4.5</v>
          </cell>
          <cell r="B45" t="str">
            <v>QUINDIO</v>
          </cell>
          <cell r="C45">
            <v>63000</v>
          </cell>
          <cell r="D45" t="str">
            <v>DEPARTAMENTO DEL QUINDIO</v>
          </cell>
          <cell r="E45">
            <v>66</v>
          </cell>
          <cell r="F45" t="str">
            <v>BF_2.1.4.5</v>
          </cell>
          <cell r="G45" t="str">
            <v xml:space="preserve">             Otros Sectores</v>
          </cell>
          <cell r="H45">
            <v>3136.5520000000001</v>
          </cell>
          <cell r="I45">
            <v>22303.274056999999</v>
          </cell>
        </row>
        <row r="46">
          <cell r="A46" t="str">
            <v>63000-BF_2.1.5</v>
          </cell>
          <cell r="B46" t="str">
            <v>QUINDIO</v>
          </cell>
          <cell r="C46">
            <v>63000</v>
          </cell>
          <cell r="D46" t="str">
            <v>DEPARTAMENTO DEL QUINDIO</v>
          </cell>
          <cell r="E46">
            <v>67</v>
          </cell>
          <cell r="F46" t="str">
            <v>BF_2.1.5</v>
          </cell>
          <cell r="G46" t="str">
            <v xml:space="preserve">        INTERESES Y COMISIONES DE LA DEUDA</v>
          </cell>
          <cell r="H46">
            <v>3030.623</v>
          </cell>
          <cell r="I46">
            <v>2262.795235</v>
          </cell>
        </row>
        <row r="47">
          <cell r="A47" t="str">
            <v>63000-BF_2.1.5.1</v>
          </cell>
          <cell r="B47" t="str">
            <v>QUINDIO</v>
          </cell>
          <cell r="C47">
            <v>63000</v>
          </cell>
          <cell r="D47" t="str">
            <v>DEPARTAMENTO DEL QUINDIO</v>
          </cell>
          <cell r="E47">
            <v>68</v>
          </cell>
          <cell r="F47" t="str">
            <v>BF_2.1.5.1</v>
          </cell>
          <cell r="G47" t="str">
            <v xml:space="preserve">             Interna</v>
          </cell>
          <cell r="H47">
            <v>3030.623</v>
          </cell>
          <cell r="I47">
            <v>2262.795235</v>
          </cell>
        </row>
        <row r="48">
          <cell r="A48" t="str">
            <v>63000-BF_3</v>
          </cell>
          <cell r="B48" t="str">
            <v>QUINDIO</v>
          </cell>
          <cell r="C48">
            <v>63000</v>
          </cell>
          <cell r="D48" t="str">
            <v>DEPARTAMENTO DEL QUINDIO</v>
          </cell>
          <cell r="E48">
            <v>70</v>
          </cell>
          <cell r="F48" t="str">
            <v>BF_3</v>
          </cell>
          <cell r="G48" t="str">
            <v>DÉFICIT O AHORRO CORRIENTE</v>
          </cell>
          <cell r="H48">
            <v>28746.155999999999</v>
          </cell>
          <cell r="I48">
            <v>21602.90682</v>
          </cell>
        </row>
        <row r="49">
          <cell r="A49" t="str">
            <v>63000-BF_4</v>
          </cell>
          <cell r="B49" t="str">
            <v>QUINDIO</v>
          </cell>
          <cell r="C49">
            <v>63000</v>
          </cell>
          <cell r="D49" t="str">
            <v>DEPARTAMENTO DEL QUINDIO</v>
          </cell>
          <cell r="E49">
            <v>71</v>
          </cell>
          <cell r="F49" t="str">
            <v>BF_4</v>
          </cell>
          <cell r="G49" t="str">
            <v>INGRESOS DE CAPITAL</v>
          </cell>
          <cell r="H49">
            <v>18273.837</v>
          </cell>
          <cell r="I49">
            <v>9553.7139860000007</v>
          </cell>
        </row>
        <row r="50">
          <cell r="A50" t="str">
            <v>63000-BF_4.1</v>
          </cell>
          <cell r="B50" t="str">
            <v>QUINDIO</v>
          </cell>
          <cell r="C50">
            <v>63000</v>
          </cell>
          <cell r="D50" t="str">
            <v>DEPARTAMENTO DEL QUINDIO</v>
          </cell>
          <cell r="E50">
            <v>72</v>
          </cell>
          <cell r="F50" t="str">
            <v>BF_4.1</v>
          </cell>
          <cell r="G50" t="str">
            <v xml:space="preserve">    Cofinanciación</v>
          </cell>
          <cell r="H50">
            <v>7580.393</v>
          </cell>
          <cell r="I50">
            <v>541.13017000000002</v>
          </cell>
        </row>
        <row r="51">
          <cell r="A51" t="str">
            <v>63000-BF_4.4</v>
          </cell>
          <cell r="B51" t="str">
            <v>QUINDIO</v>
          </cell>
          <cell r="C51">
            <v>63000</v>
          </cell>
          <cell r="D51" t="str">
            <v>DEPARTAMENTO DEL QUINDIO</v>
          </cell>
          <cell r="E51">
            <v>75</v>
          </cell>
          <cell r="F51" t="str">
            <v>BF_4.4</v>
          </cell>
          <cell r="G51" t="str">
            <v xml:space="preserve">    Rendimientos Financieros</v>
          </cell>
          <cell r="H51">
            <v>2296.2649999999999</v>
          </cell>
          <cell r="I51">
            <v>1610.289495</v>
          </cell>
        </row>
        <row r="52">
          <cell r="A52" t="str">
            <v>63000-BF_4.6</v>
          </cell>
          <cell r="B52" t="str">
            <v>QUINDIO</v>
          </cell>
          <cell r="C52">
            <v>63000</v>
          </cell>
          <cell r="D52" t="str">
            <v>DEPARTAMENTO DEL QUINDIO</v>
          </cell>
          <cell r="E52">
            <v>77</v>
          </cell>
          <cell r="F52" t="str">
            <v>BF_4.6</v>
          </cell>
          <cell r="G52" t="str">
            <v xml:space="preserve">    Desahorro FONPET</v>
          </cell>
          <cell r="H52">
            <v>7691.5780000000004</v>
          </cell>
          <cell r="I52">
            <v>6616.0669909999997</v>
          </cell>
        </row>
        <row r="53">
          <cell r="A53" t="str">
            <v>63000-BF_4.6.4</v>
          </cell>
          <cell r="B53" t="str">
            <v>QUINDIO</v>
          </cell>
          <cell r="C53">
            <v>63000</v>
          </cell>
          <cell r="D53" t="str">
            <v>DEPARTAMENTO DEL QUINDIO</v>
          </cell>
          <cell r="E53">
            <v>81</v>
          </cell>
          <cell r="F53" t="str">
            <v>BF_4.6.4</v>
          </cell>
          <cell r="G53" t="str">
            <v xml:space="preserve">    Otros Desahorros y Retiros (Cuotas partes, Bonos y Devoluciones)</v>
          </cell>
          <cell r="H53">
            <v>7691.5780000000004</v>
          </cell>
          <cell r="I53">
            <v>6616.0669909999997</v>
          </cell>
        </row>
        <row r="54">
          <cell r="A54" t="str">
            <v>63000-BF_4.7</v>
          </cell>
          <cell r="B54" t="str">
            <v>QUINDIO</v>
          </cell>
          <cell r="C54">
            <v>63000</v>
          </cell>
          <cell r="D54" t="str">
            <v>DEPARTAMENTO DEL QUINDIO</v>
          </cell>
          <cell r="E54">
            <v>82</v>
          </cell>
          <cell r="F54" t="str">
            <v>BF_4.7</v>
          </cell>
          <cell r="G54" t="str">
            <v xml:space="preserve">    Otros Recursos de Capital (Donaciones, Aprovechamientos y Otros)</v>
          </cell>
          <cell r="H54">
            <v>705.601</v>
          </cell>
          <cell r="I54">
            <v>786.22733000000005</v>
          </cell>
        </row>
        <row r="55">
          <cell r="A55" t="str">
            <v>63000-BF_5</v>
          </cell>
          <cell r="B55" t="str">
            <v>QUINDIO</v>
          </cell>
          <cell r="C55">
            <v>63000</v>
          </cell>
          <cell r="D55" t="str">
            <v>DEPARTAMENTO DEL QUINDIO</v>
          </cell>
          <cell r="E55">
            <v>83</v>
          </cell>
          <cell r="F55" t="str">
            <v>BF_5</v>
          </cell>
          <cell r="G55" t="str">
            <v>GASTOS DE CAPITAL</v>
          </cell>
          <cell r="H55">
            <v>41980.294000000002</v>
          </cell>
          <cell r="I55">
            <v>36187.638661999998</v>
          </cell>
        </row>
        <row r="56">
          <cell r="A56" t="str">
            <v>63000-BF_5.1</v>
          </cell>
          <cell r="B56" t="str">
            <v>QUINDIO</v>
          </cell>
          <cell r="C56">
            <v>63000</v>
          </cell>
          <cell r="D56" t="str">
            <v>DEPARTAMENTO DEL QUINDIO</v>
          </cell>
          <cell r="E56">
            <v>84</v>
          </cell>
          <cell r="F56" t="str">
            <v>BF_5.1</v>
          </cell>
          <cell r="G56" t="str">
            <v xml:space="preserve">    Formación Bruta de Capital (Construcción, Reparación, Mantenimiento, Preinversión, Otros)</v>
          </cell>
          <cell r="H56">
            <v>33697.959000000003</v>
          </cell>
          <cell r="I56">
            <v>24017.043226999998</v>
          </cell>
        </row>
        <row r="57">
          <cell r="A57" t="str">
            <v>63000-BF_5.1.1</v>
          </cell>
          <cell r="B57" t="str">
            <v>QUINDIO</v>
          </cell>
          <cell r="C57">
            <v>63000</v>
          </cell>
          <cell r="D57" t="str">
            <v>DEPARTAMENTO DEL QUINDIO</v>
          </cell>
          <cell r="E57">
            <v>85</v>
          </cell>
          <cell r="F57" t="str">
            <v>BF_5.1.1</v>
          </cell>
          <cell r="G57" t="str">
            <v xml:space="preserve">        Educación</v>
          </cell>
          <cell r="H57">
            <v>4821.2089999999998</v>
          </cell>
          <cell r="I57">
            <v>7310.555746</v>
          </cell>
        </row>
        <row r="58">
          <cell r="A58" t="str">
            <v>63000-BF_5.1.2</v>
          </cell>
          <cell r="B58" t="str">
            <v>QUINDIO</v>
          </cell>
          <cell r="C58">
            <v>63000</v>
          </cell>
          <cell r="D58" t="str">
            <v>DEPARTAMENTO DEL QUINDIO</v>
          </cell>
          <cell r="E58">
            <v>86</v>
          </cell>
          <cell r="F58" t="str">
            <v>BF_5.1.2</v>
          </cell>
          <cell r="G58" t="str">
            <v xml:space="preserve">        Salud</v>
          </cell>
          <cell r="H58">
            <v>0</v>
          </cell>
          <cell r="I58">
            <v>1043.3134170000001</v>
          </cell>
        </row>
        <row r="59">
          <cell r="A59" t="str">
            <v>63000-BF_5.1.3</v>
          </cell>
          <cell r="B59" t="str">
            <v>QUINDIO</v>
          </cell>
          <cell r="C59">
            <v>63000</v>
          </cell>
          <cell r="D59" t="str">
            <v>DEPARTAMENTO DEL QUINDIO</v>
          </cell>
          <cell r="E59">
            <v>87</v>
          </cell>
          <cell r="F59" t="str">
            <v>BF_5.1.3</v>
          </cell>
          <cell r="G59" t="str">
            <v xml:space="preserve">        Agua Potable</v>
          </cell>
          <cell r="H59">
            <v>3000.732</v>
          </cell>
          <cell r="I59">
            <v>3350.4114500000001</v>
          </cell>
        </row>
        <row r="60">
          <cell r="A60" t="str">
            <v>63000-BF_5.1.5</v>
          </cell>
          <cell r="B60" t="str">
            <v>QUINDIO</v>
          </cell>
          <cell r="C60">
            <v>63000</v>
          </cell>
          <cell r="D60" t="str">
            <v>DEPARTAMENTO DEL QUINDIO</v>
          </cell>
          <cell r="E60">
            <v>89</v>
          </cell>
          <cell r="F60" t="str">
            <v>BF_5.1.5</v>
          </cell>
          <cell r="G60" t="str">
            <v xml:space="preserve">        Vías</v>
          </cell>
          <cell r="H60">
            <v>964.99199999999996</v>
          </cell>
          <cell r="I60">
            <v>4454.9703060000002</v>
          </cell>
        </row>
        <row r="61">
          <cell r="A61" t="str">
            <v>63000-BF_5.1.6</v>
          </cell>
          <cell r="B61" t="str">
            <v>QUINDIO</v>
          </cell>
          <cell r="C61">
            <v>63000</v>
          </cell>
          <cell r="D61" t="str">
            <v>DEPARTAMENTO DEL QUINDIO</v>
          </cell>
          <cell r="E61">
            <v>90</v>
          </cell>
          <cell r="F61" t="str">
            <v>BF_5.1.6</v>
          </cell>
          <cell r="G61" t="str">
            <v xml:space="preserve">        Otros Sectores</v>
          </cell>
          <cell r="H61">
            <v>24911.026000000002</v>
          </cell>
          <cell r="I61">
            <v>7857.792308</v>
          </cell>
        </row>
        <row r="62">
          <cell r="A62" t="str">
            <v>63000-BF_5.2</v>
          </cell>
          <cell r="B62" t="str">
            <v>QUINDIO</v>
          </cell>
          <cell r="C62">
            <v>63000</v>
          </cell>
          <cell r="D62" t="str">
            <v>DEPARTAMENTO DEL QUINDIO</v>
          </cell>
          <cell r="E62">
            <v>91</v>
          </cell>
          <cell r="F62" t="str">
            <v>BF_5.2</v>
          </cell>
          <cell r="G62" t="str">
            <v xml:space="preserve">    Déficit Fiscal de Vigencias Anteriores por Inversión</v>
          </cell>
          <cell r="H62">
            <v>8282.3349999999991</v>
          </cell>
          <cell r="I62">
            <v>12170.595434999999</v>
          </cell>
        </row>
        <row r="63">
          <cell r="A63" t="str">
            <v>63000-BF_6</v>
          </cell>
          <cell r="B63" t="str">
            <v>QUINDIO</v>
          </cell>
          <cell r="C63">
            <v>63000</v>
          </cell>
          <cell r="D63" t="str">
            <v>DEPARTAMENTO DEL QUINDIO</v>
          </cell>
          <cell r="E63">
            <v>92</v>
          </cell>
          <cell r="F63" t="str">
            <v>BF_6</v>
          </cell>
          <cell r="G63" t="str">
            <v>DÉFICIT O SUPERÁVIT DE CAPITAL</v>
          </cell>
          <cell r="H63">
            <v>-23706.456999999999</v>
          </cell>
          <cell r="I63">
            <v>-26633.924675999999</v>
          </cell>
        </row>
        <row r="64">
          <cell r="A64" t="str">
            <v>63000-BF_7</v>
          </cell>
          <cell r="B64" t="str">
            <v>QUINDIO</v>
          </cell>
          <cell r="C64">
            <v>63000</v>
          </cell>
          <cell r="D64" t="str">
            <v>DEPARTAMENTO DEL QUINDIO</v>
          </cell>
          <cell r="E64">
            <v>93</v>
          </cell>
          <cell r="F64" t="str">
            <v>BF_7</v>
          </cell>
          <cell r="G64" t="str">
            <v>DÉFICIT O SUPERÁVIT TOTAL</v>
          </cell>
          <cell r="H64">
            <v>5039.6989999999996</v>
          </cell>
          <cell r="I64">
            <v>-5031.0178560000004</v>
          </cell>
        </row>
        <row r="65">
          <cell r="A65" t="str">
            <v>63000-BF_8</v>
          </cell>
          <cell r="B65" t="str">
            <v>QUINDIO</v>
          </cell>
          <cell r="C65">
            <v>63000</v>
          </cell>
          <cell r="D65" t="str">
            <v>DEPARTAMENTO DEL QUINDIO</v>
          </cell>
          <cell r="E65">
            <v>94</v>
          </cell>
          <cell r="F65" t="str">
            <v>BF_8</v>
          </cell>
          <cell r="G65" t="str">
            <v>FINANCIACIÓN</v>
          </cell>
          <cell r="H65">
            <v>40838.980000000003</v>
          </cell>
          <cell r="I65">
            <v>42052.543275000004</v>
          </cell>
        </row>
        <row r="66">
          <cell r="A66" t="str">
            <v>63000-BF_8.1</v>
          </cell>
          <cell r="B66" t="str">
            <v>QUINDIO</v>
          </cell>
          <cell r="C66">
            <v>63000</v>
          </cell>
          <cell r="D66" t="str">
            <v>DEPARTAMENTO DEL QUINDIO</v>
          </cell>
          <cell r="E66">
            <v>95</v>
          </cell>
          <cell r="F66" t="str">
            <v>BF_8.1</v>
          </cell>
          <cell r="G66" t="str">
            <v xml:space="preserve">    RECURSOS DEL CRÉDITO</v>
          </cell>
          <cell r="H66">
            <v>-4037.5070000000001</v>
          </cell>
          <cell r="I66">
            <v>-1993.4183949999999</v>
          </cell>
        </row>
        <row r="67">
          <cell r="A67" t="str">
            <v>63000-BF_8.1.1</v>
          </cell>
          <cell r="B67" t="str">
            <v>QUINDIO</v>
          </cell>
          <cell r="C67">
            <v>63000</v>
          </cell>
          <cell r="D67" t="str">
            <v>DEPARTAMENTO DEL QUINDIO</v>
          </cell>
          <cell r="E67">
            <v>96</v>
          </cell>
          <cell r="F67" t="str">
            <v>BF_8.1.1</v>
          </cell>
          <cell r="G67" t="str">
            <v xml:space="preserve">        Interno</v>
          </cell>
          <cell r="H67">
            <v>-4037.5070000000001</v>
          </cell>
          <cell r="I67">
            <v>-1993.4183949999999</v>
          </cell>
        </row>
        <row r="68">
          <cell r="A68" t="str">
            <v>63000-BF_8.1.1.1</v>
          </cell>
          <cell r="B68" t="str">
            <v>QUINDIO</v>
          </cell>
          <cell r="C68">
            <v>63000</v>
          </cell>
          <cell r="D68" t="str">
            <v>DEPARTAMENTO DEL QUINDIO</v>
          </cell>
          <cell r="E68">
            <v>97</v>
          </cell>
          <cell r="F68" t="str">
            <v>BF_8.1.1.1</v>
          </cell>
          <cell r="G68" t="str">
            <v xml:space="preserve">             Desembolsos</v>
          </cell>
          <cell r="H68">
            <v>0</v>
          </cell>
          <cell r="I68">
            <v>3600</v>
          </cell>
        </row>
        <row r="69">
          <cell r="A69" t="str">
            <v>63000-BF_8.1.1.2</v>
          </cell>
          <cell r="B69" t="str">
            <v>QUINDIO</v>
          </cell>
          <cell r="C69">
            <v>63000</v>
          </cell>
          <cell r="D69" t="str">
            <v>DEPARTAMENTO DEL QUINDIO</v>
          </cell>
          <cell r="E69">
            <v>98</v>
          </cell>
          <cell r="F69" t="str">
            <v>BF_8.1.1.2</v>
          </cell>
          <cell r="G69" t="str">
            <v xml:space="preserve">             Amortizaciones</v>
          </cell>
          <cell r="H69">
            <v>4037.5070000000001</v>
          </cell>
          <cell r="I69">
            <v>5593.4183949999997</v>
          </cell>
        </row>
        <row r="70">
          <cell r="A70" t="str">
            <v>63000-BF_8.2</v>
          </cell>
          <cell r="B70" t="str">
            <v>QUINDIO</v>
          </cell>
          <cell r="C70">
            <v>63000</v>
          </cell>
          <cell r="D70" t="str">
            <v>DEPARTAMENTO DEL QUINDIO</v>
          </cell>
          <cell r="E70">
            <v>102</v>
          </cell>
          <cell r="F70" t="str">
            <v>BF_8.2</v>
          </cell>
          <cell r="G70" t="str">
            <v xml:space="preserve">    Recursos del Balance (Superávit Fiscal, Cancelación de Reservas)</v>
          </cell>
          <cell r="H70">
            <v>44876.487000000001</v>
          </cell>
          <cell r="I70">
            <v>44045.961669999997</v>
          </cell>
        </row>
        <row r="71">
          <cell r="A71" t="str">
            <v>63000-BF_9.1</v>
          </cell>
          <cell r="B71" t="str">
            <v>QUINDIO</v>
          </cell>
          <cell r="C71">
            <v>63000</v>
          </cell>
          <cell r="D71" t="str">
            <v>DEPARTAMENTO DEL QUINDIO</v>
          </cell>
          <cell r="E71">
            <v>107</v>
          </cell>
          <cell r="F71" t="str">
            <v>BF_9.1</v>
          </cell>
          <cell r="G71" t="str">
            <v xml:space="preserve">    DÉFICIT O SUPERÁVIT PRIMARIO</v>
          </cell>
          <cell r="H71">
            <v>52946.809000000001</v>
          </cell>
          <cell r="I71">
            <v>41277.739049000003</v>
          </cell>
        </row>
        <row r="72">
          <cell r="A72" t="str">
            <v>63000-BF_9.2</v>
          </cell>
          <cell r="B72" t="str">
            <v>QUINDIO</v>
          </cell>
          <cell r="C72">
            <v>63000</v>
          </cell>
          <cell r="D72" t="str">
            <v>DEPARTAMENTO DEL QUINDIO</v>
          </cell>
          <cell r="E72">
            <v>108</v>
          </cell>
          <cell r="F72" t="str">
            <v>BF_9.2</v>
          </cell>
          <cell r="G72" t="str">
            <v xml:space="preserve">    DÉFICIT O SUPERÁVIT PRIMARIO/INTERESES</v>
          </cell>
          <cell r="H72">
            <v>17.471</v>
          </cell>
          <cell r="I72">
            <v>18.241924000000001</v>
          </cell>
        </row>
        <row r="73">
          <cell r="A73" t="str">
            <v>63000-BF_10.1</v>
          </cell>
          <cell r="B73" t="str">
            <v>QUINDIO</v>
          </cell>
          <cell r="C73">
            <v>63000</v>
          </cell>
          <cell r="D73" t="str">
            <v>DEPARTAMENTO DEL QUINDIO</v>
          </cell>
          <cell r="E73">
            <v>110</v>
          </cell>
          <cell r="F73" t="str">
            <v>BF_10.1</v>
          </cell>
          <cell r="G73" t="str">
            <v xml:space="preserve">    INGRESOS TOTALES SIN INCLUIR RECURSOS PARA RESERVAS PRESUPUESTALES</v>
          </cell>
          <cell r="H73">
            <v>349878.141</v>
          </cell>
          <cell r="I73">
            <v>360898.69964200002</v>
          </cell>
        </row>
        <row r="74">
          <cell r="A74" t="str">
            <v>63000-BF_10.2</v>
          </cell>
          <cell r="B74" t="str">
            <v>QUINDIO</v>
          </cell>
          <cell r="C74">
            <v>63000</v>
          </cell>
          <cell r="D74" t="str">
            <v>DEPARTAMENTO DEL QUINDIO</v>
          </cell>
          <cell r="E74">
            <v>111</v>
          </cell>
          <cell r="F74" t="str">
            <v>BF_10.2</v>
          </cell>
          <cell r="G74" t="str">
            <v xml:space="preserve">    GASTOS TOTALES SIN INCLUIR GASTOS POR RESERVAS PRESUPUESTALES</v>
          </cell>
          <cell r="H74">
            <v>303999.462</v>
          </cell>
          <cell r="I74">
            <v>323877.17422300001</v>
          </cell>
        </row>
        <row r="75">
          <cell r="A75" t="str">
            <v>63000-BF_10.3</v>
          </cell>
          <cell r="B75" t="str">
            <v>QUINDIO</v>
          </cell>
          <cell r="C75">
            <v>63000</v>
          </cell>
          <cell r="D75" t="str">
            <v>DEPARTAMENTO DEL QUINDIO</v>
          </cell>
          <cell r="E75">
            <v>112</v>
          </cell>
          <cell r="F75" t="str">
            <v>BF_10.3</v>
          </cell>
          <cell r="G75" t="str">
            <v xml:space="preserve">    DÉFICIT O SUPERÁVIT PRESUPUESTAL SIN INCLUIR RESERVAS PRESUPUESTALES</v>
          </cell>
          <cell r="H75">
            <v>45878.678999999996</v>
          </cell>
          <cell r="I75">
            <v>37021.525418999998</v>
          </cell>
        </row>
        <row r="76">
          <cell r="A76" t="str">
            <v>63000-BF_12.1</v>
          </cell>
          <cell r="B76" t="str">
            <v>QUINDIO</v>
          </cell>
          <cell r="C76">
            <v>63000</v>
          </cell>
          <cell r="D76" t="str">
            <v>DEPARTAMENTO DEL QUINDIO</v>
          </cell>
          <cell r="E76">
            <v>114</v>
          </cell>
          <cell r="F76" t="str">
            <v>BF_12.1</v>
          </cell>
          <cell r="G76" t="str">
            <v xml:space="preserve">    INGRESOS TOTALES</v>
          </cell>
          <cell r="H76">
            <v>353393.38500000001</v>
          </cell>
          <cell r="I76">
            <v>361787.33454200003</v>
          </cell>
        </row>
        <row r="77">
          <cell r="A77" t="str">
            <v>63000-BF_12.2</v>
          </cell>
          <cell r="B77" t="str">
            <v>QUINDIO</v>
          </cell>
          <cell r="C77">
            <v>63000</v>
          </cell>
          <cell r="D77" t="str">
            <v>DEPARTAMENTO DEL QUINDIO</v>
          </cell>
          <cell r="E77">
            <v>115</v>
          </cell>
          <cell r="F77" t="str">
            <v>BF_12.2</v>
          </cell>
          <cell r="G77" t="str">
            <v xml:space="preserve">    GASTOS TOTALES</v>
          </cell>
          <cell r="H77">
            <v>305387.06400000001</v>
          </cell>
          <cell r="I77">
            <v>324761.14572299999</v>
          </cell>
        </row>
        <row r="78">
          <cell r="A78" t="str">
            <v>63000-BF_12.3</v>
          </cell>
          <cell r="B78" t="str">
            <v>QUINDIO</v>
          </cell>
          <cell r="C78">
            <v>63000</v>
          </cell>
          <cell r="D78" t="str">
            <v>DEPARTAMENTO DEL QUINDIO</v>
          </cell>
          <cell r="E78">
            <v>116</v>
          </cell>
          <cell r="F78" t="str">
            <v>BF_12.3</v>
          </cell>
          <cell r="G78" t="str">
            <v xml:space="preserve">    DÉFICIT O SUPERÁVIT PRESUPUESTAL</v>
          </cell>
          <cell r="H78">
            <v>48006.321000000004</v>
          </cell>
          <cell r="I78">
            <v>37026.188819000003</v>
          </cell>
        </row>
        <row r="79">
          <cell r="A79" t="str">
            <v>63000-BF_13.1</v>
          </cell>
          <cell r="B79" t="str">
            <v>QUINDIO</v>
          </cell>
          <cell r="C79">
            <v>63000</v>
          </cell>
          <cell r="D79" t="str">
            <v>DEPARTAMENTO DEL QUINDIO</v>
          </cell>
          <cell r="E79">
            <v>118</v>
          </cell>
          <cell r="F79" t="str">
            <v>BF_13.1</v>
          </cell>
          <cell r="G79" t="str">
            <v xml:space="preserve">    Recursos que Financian Reservas Presupuestales Excepcionales (Ley 819/2003)</v>
          </cell>
          <cell r="H79">
            <v>3515.2440000000001</v>
          </cell>
          <cell r="I79">
            <v>888.63490000000002</v>
          </cell>
        </row>
        <row r="80">
          <cell r="A80" t="str">
            <v>63000-BF_13.2</v>
          </cell>
          <cell r="B80" t="str">
            <v>QUINDIO</v>
          </cell>
          <cell r="C80">
            <v>63000</v>
          </cell>
          <cell r="D80" t="str">
            <v>DEPARTAMENTO DEL QUINDIO</v>
          </cell>
          <cell r="E80">
            <v>119</v>
          </cell>
          <cell r="F80" t="str">
            <v>BF_13.2</v>
          </cell>
          <cell r="G80" t="str">
            <v xml:space="preserve">    Reservas Presupuestales de Funcionamiento Vigencia Anterior</v>
          </cell>
          <cell r="H80">
            <v>386.00700000000001</v>
          </cell>
          <cell r="I80">
            <v>646.99664399999995</v>
          </cell>
        </row>
        <row r="81">
          <cell r="A81" t="str">
            <v>63000-BF_13.3</v>
          </cell>
          <cell r="B81" t="str">
            <v>QUINDIO</v>
          </cell>
          <cell r="C81">
            <v>63000</v>
          </cell>
          <cell r="D81" t="str">
            <v>DEPARTAMENTO DEL QUINDIO</v>
          </cell>
          <cell r="E81">
            <v>120</v>
          </cell>
          <cell r="F81" t="str">
            <v>BF_13.3</v>
          </cell>
          <cell r="G81" t="str">
            <v xml:space="preserve">    Reservas Presupuestales de Inversión Vigencia Anterior</v>
          </cell>
          <cell r="H81">
            <v>1001.595</v>
          </cell>
          <cell r="I81">
            <v>236.974872</v>
          </cell>
        </row>
        <row r="82">
          <cell r="A82" t="str">
            <v>63000-BF_13.4</v>
          </cell>
          <cell r="B82" t="str">
            <v>QUINDIO</v>
          </cell>
          <cell r="C82">
            <v>63000</v>
          </cell>
          <cell r="D82" t="str">
            <v>DEPARTAMENTO DEL QUINDIO</v>
          </cell>
          <cell r="E82">
            <v>121</v>
          </cell>
          <cell r="F82" t="str">
            <v>BF_13.4</v>
          </cell>
          <cell r="G82" t="str">
            <v xml:space="preserve">    DEFICIT O SUPERAVIT RESERVAS PRESUPUESTALES</v>
          </cell>
          <cell r="H82">
            <v>2127.6419999999998</v>
          </cell>
          <cell r="I82">
            <v>4.6633839999999998</v>
          </cell>
        </row>
        <row r="83">
          <cell r="A83" t="str">
            <v>63001-BF_1</v>
          </cell>
          <cell r="B83" t="str">
            <v>QUINDIO</v>
          </cell>
          <cell r="C83">
            <v>63001</v>
          </cell>
          <cell r="D83" t="str">
            <v>ARMENIA</v>
          </cell>
          <cell r="E83">
            <v>1</v>
          </cell>
          <cell r="F83" t="str">
            <v>BF_1</v>
          </cell>
          <cell r="G83" t="str">
            <v>INGRESOS TOTALES</v>
          </cell>
          <cell r="H83">
            <v>385206.13099999999</v>
          </cell>
          <cell r="I83">
            <v>378356.06415300001</v>
          </cell>
        </row>
        <row r="84">
          <cell r="A84" t="str">
            <v>63001-BF_1.1</v>
          </cell>
          <cell r="B84" t="str">
            <v>QUINDIO</v>
          </cell>
          <cell r="C84">
            <v>63001</v>
          </cell>
          <cell r="D84" t="str">
            <v>ARMENIA</v>
          </cell>
          <cell r="E84">
            <v>2</v>
          </cell>
          <cell r="F84" t="str">
            <v>BF_1.1</v>
          </cell>
          <cell r="G84" t="str">
            <v xml:space="preserve">    INGRESOS CORRIENTES</v>
          </cell>
          <cell r="H84">
            <v>364714.83</v>
          </cell>
          <cell r="I84">
            <v>366300.73241400003</v>
          </cell>
        </row>
        <row r="85">
          <cell r="A85" t="str">
            <v>63001-BF_1.1.1</v>
          </cell>
          <cell r="B85" t="str">
            <v>QUINDIO</v>
          </cell>
          <cell r="C85">
            <v>63001</v>
          </cell>
          <cell r="D85" t="str">
            <v>ARMENIA</v>
          </cell>
          <cell r="E85">
            <v>3</v>
          </cell>
          <cell r="F85" t="str">
            <v>BF_1.1.1</v>
          </cell>
          <cell r="G85" t="str">
            <v xml:space="preserve">        TRIBUTARIOS</v>
          </cell>
          <cell r="H85">
            <v>115840.895</v>
          </cell>
          <cell r="I85">
            <v>115953.31129899999</v>
          </cell>
        </row>
        <row r="86">
          <cell r="A86" t="str">
            <v>63001-BF_1.1.1.1</v>
          </cell>
          <cell r="B86" t="str">
            <v>QUINDIO</v>
          </cell>
          <cell r="C86">
            <v>63001</v>
          </cell>
          <cell r="D86" t="str">
            <v>ARMENIA</v>
          </cell>
          <cell r="E86">
            <v>4</v>
          </cell>
          <cell r="F86" t="str">
            <v>BF_1.1.1.1</v>
          </cell>
          <cell r="G86" t="str">
            <v xml:space="preserve">             Vehículos Automotores</v>
          </cell>
          <cell r="H86">
            <v>2714.114</v>
          </cell>
          <cell r="I86">
            <v>2864.157706</v>
          </cell>
        </row>
        <row r="87">
          <cell r="A87" t="str">
            <v>63001-BF_1.1.1.2</v>
          </cell>
          <cell r="B87" t="str">
            <v>QUINDIO</v>
          </cell>
          <cell r="C87">
            <v>63001</v>
          </cell>
          <cell r="D87" t="str">
            <v>ARMENIA</v>
          </cell>
          <cell r="E87">
            <v>5</v>
          </cell>
          <cell r="F87" t="str">
            <v>BF_1.1.1.2</v>
          </cell>
          <cell r="G87" t="str">
            <v xml:space="preserve">             Impuesto Predial Unificado</v>
          </cell>
          <cell r="H87">
            <v>48788.358</v>
          </cell>
          <cell r="I87">
            <v>46014.839523000002</v>
          </cell>
        </row>
        <row r="88">
          <cell r="A88" t="str">
            <v>63001-BF_1.1.1.3</v>
          </cell>
          <cell r="B88" t="str">
            <v>QUINDIO</v>
          </cell>
          <cell r="C88">
            <v>63001</v>
          </cell>
          <cell r="D88" t="str">
            <v>ARMENIA</v>
          </cell>
          <cell r="E88">
            <v>6</v>
          </cell>
          <cell r="F88" t="str">
            <v>BF_1.1.1.3</v>
          </cell>
          <cell r="G88" t="str">
            <v xml:space="preserve">             Impuesto de Industria y Comercio</v>
          </cell>
          <cell r="H88">
            <v>26482.266</v>
          </cell>
          <cell r="I88">
            <v>27117.507538000002</v>
          </cell>
        </row>
        <row r="89">
          <cell r="A89" t="str">
            <v>63001-BF_1.1.1.8</v>
          </cell>
          <cell r="B89" t="str">
            <v>QUINDIO</v>
          </cell>
          <cell r="C89">
            <v>63001</v>
          </cell>
          <cell r="D89" t="str">
            <v>ARMENIA</v>
          </cell>
          <cell r="E89">
            <v>11</v>
          </cell>
          <cell r="F89" t="str">
            <v>BF_1.1.1.8</v>
          </cell>
          <cell r="G89" t="str">
            <v xml:space="preserve">             Sobretasa Consumo Gasolina Motor</v>
          </cell>
          <cell r="H89">
            <v>13285.902</v>
          </cell>
          <cell r="I89">
            <v>13937.324000000001</v>
          </cell>
        </row>
        <row r="90">
          <cell r="A90" t="str">
            <v>63001-BF_1.1.1.9</v>
          </cell>
          <cell r="B90" t="str">
            <v>QUINDIO</v>
          </cell>
          <cell r="C90">
            <v>63001</v>
          </cell>
          <cell r="D90" t="str">
            <v>ARMENIA</v>
          </cell>
          <cell r="E90">
            <v>12</v>
          </cell>
          <cell r="F90" t="str">
            <v>BF_1.1.1.9</v>
          </cell>
          <cell r="G90" t="str">
            <v xml:space="preserve">             Estampillas</v>
          </cell>
          <cell r="H90">
            <v>4173.1220000000003</v>
          </cell>
          <cell r="I90">
            <v>4510.7246020000002</v>
          </cell>
        </row>
        <row r="91">
          <cell r="A91" t="str">
            <v>63001-BF_1.1.1.10</v>
          </cell>
          <cell r="B91" t="str">
            <v>QUINDIO</v>
          </cell>
          <cell r="C91">
            <v>63001</v>
          </cell>
          <cell r="D91" t="str">
            <v>ARMENIA</v>
          </cell>
          <cell r="E91">
            <v>13</v>
          </cell>
          <cell r="F91" t="str">
            <v>BF_1.1.1.10</v>
          </cell>
          <cell r="G91" t="str">
            <v xml:space="preserve">             Impuesto de Transporte por Oleoductos y Gasoductos</v>
          </cell>
          <cell r="H91">
            <v>10.079000000000001</v>
          </cell>
          <cell r="I91">
            <v>6.2438510000000003</v>
          </cell>
        </row>
        <row r="92">
          <cell r="A92" t="str">
            <v>63001-BF_1.1.1.12</v>
          </cell>
          <cell r="B92" t="str">
            <v>QUINDIO</v>
          </cell>
          <cell r="C92">
            <v>63001</v>
          </cell>
          <cell r="D92" t="str">
            <v>ARMENIA</v>
          </cell>
          <cell r="E92">
            <v>15</v>
          </cell>
          <cell r="F92" t="str">
            <v>BF_1.1.1.12</v>
          </cell>
          <cell r="G92" t="str">
            <v xml:space="preserve">             Otros Ingresos Tributarios</v>
          </cell>
          <cell r="H92">
            <v>20387.054</v>
          </cell>
          <cell r="I92">
            <v>21502.514079</v>
          </cell>
        </row>
        <row r="93">
          <cell r="A93" t="str">
            <v>63001-BF_1.1.2</v>
          </cell>
          <cell r="B93" t="str">
            <v>QUINDIO</v>
          </cell>
          <cell r="C93">
            <v>63001</v>
          </cell>
          <cell r="D93" t="str">
            <v>ARMENIA</v>
          </cell>
          <cell r="E93">
            <v>16</v>
          </cell>
          <cell r="F93" t="str">
            <v>BF_1.1.2</v>
          </cell>
          <cell r="G93" t="str">
            <v xml:space="preserve">        NO TRIBUTARIOS</v>
          </cell>
          <cell r="H93">
            <v>27646.474999999999</v>
          </cell>
          <cell r="I93">
            <v>20057.366725</v>
          </cell>
        </row>
        <row r="94">
          <cell r="A94" t="str">
            <v>63001-BF_1.1.2.1</v>
          </cell>
          <cell r="B94" t="str">
            <v>QUINDIO</v>
          </cell>
          <cell r="C94">
            <v>63001</v>
          </cell>
          <cell r="D94" t="str">
            <v>ARMENIA</v>
          </cell>
          <cell r="E94">
            <v>17</v>
          </cell>
          <cell r="F94" t="str">
            <v>BF_1.1.2.1</v>
          </cell>
          <cell r="G94" t="str">
            <v xml:space="preserve">             Ingresos de la Propiedad: Tasas, Derechos, Multas y Sanciones</v>
          </cell>
          <cell r="H94">
            <v>27603.100999999999</v>
          </cell>
          <cell r="I94">
            <v>20038.401628</v>
          </cell>
        </row>
        <row r="95">
          <cell r="A95" t="str">
            <v>63001-BF_1.1.2.2</v>
          </cell>
          <cell r="B95" t="str">
            <v>QUINDIO</v>
          </cell>
          <cell r="C95">
            <v>63001</v>
          </cell>
          <cell r="D95" t="str">
            <v>ARMENIA</v>
          </cell>
          <cell r="E95">
            <v>18</v>
          </cell>
          <cell r="F95" t="str">
            <v>BF_1.1.2.2</v>
          </cell>
          <cell r="G95" t="str">
            <v xml:space="preserve">             Otros No Tributarios</v>
          </cell>
          <cell r="H95">
            <v>43.374000000000002</v>
          </cell>
          <cell r="I95">
            <v>18.965097</v>
          </cell>
        </row>
        <row r="96">
          <cell r="A96" t="str">
            <v>63001-BF_1.1.3</v>
          </cell>
          <cell r="B96" t="str">
            <v>QUINDIO</v>
          </cell>
          <cell r="C96">
            <v>63001</v>
          </cell>
          <cell r="D96" t="str">
            <v>ARMENIA</v>
          </cell>
          <cell r="E96">
            <v>19</v>
          </cell>
          <cell r="F96" t="str">
            <v>BF_1.1.3</v>
          </cell>
          <cell r="G96" t="str">
            <v xml:space="preserve">        TRANSFERENCIAS</v>
          </cell>
          <cell r="H96">
            <v>221227.46</v>
          </cell>
          <cell r="I96">
            <v>230290.05439</v>
          </cell>
        </row>
        <row r="97">
          <cell r="A97" t="str">
            <v>63001-BF_1.1.3.1</v>
          </cell>
          <cell r="B97" t="str">
            <v>QUINDIO</v>
          </cell>
          <cell r="C97">
            <v>63001</v>
          </cell>
          <cell r="D97" t="str">
            <v>ARMENIA</v>
          </cell>
          <cell r="E97">
            <v>20</v>
          </cell>
          <cell r="F97" t="str">
            <v>BF_1.1.3.1</v>
          </cell>
          <cell r="G97" t="str">
            <v xml:space="preserve">             Transferencias Para Funcionamiento</v>
          </cell>
          <cell r="H97">
            <v>3928.5729999999999</v>
          </cell>
          <cell r="I97">
            <v>1749.677522</v>
          </cell>
        </row>
        <row r="98">
          <cell r="A98" t="str">
            <v>63001-BF_1.1.3.1.1</v>
          </cell>
          <cell r="B98" t="str">
            <v>QUINDIO</v>
          </cell>
          <cell r="C98">
            <v>63001</v>
          </cell>
          <cell r="D98" t="str">
            <v>ARMENIA</v>
          </cell>
          <cell r="E98">
            <v>21</v>
          </cell>
          <cell r="F98" t="str">
            <v>BF_1.1.3.1.1</v>
          </cell>
          <cell r="G98" t="str">
            <v xml:space="preserve">                 Del Nivel Nacional</v>
          </cell>
          <cell r="H98">
            <v>0</v>
          </cell>
          <cell r="I98">
            <v>0.66960399999999998</v>
          </cell>
        </row>
        <row r="99">
          <cell r="A99" t="str">
            <v>63001-BF_1.1.3.1.1.2</v>
          </cell>
          <cell r="B99" t="str">
            <v>QUINDIO</v>
          </cell>
          <cell r="C99">
            <v>63001</v>
          </cell>
          <cell r="D99" t="str">
            <v>ARMENIA</v>
          </cell>
          <cell r="E99">
            <v>23</v>
          </cell>
          <cell r="F99" t="str">
            <v>BF_1.1.3.1.1.2</v>
          </cell>
          <cell r="G99" t="str">
            <v xml:space="preserve">                     Otras Transferencias de la Nación</v>
          </cell>
          <cell r="H99">
            <v>0</v>
          </cell>
          <cell r="I99">
            <v>0.66960399999999998</v>
          </cell>
        </row>
        <row r="100">
          <cell r="A100" t="str">
            <v>63001-BF_1.1.3.1.2</v>
          </cell>
          <cell r="B100" t="str">
            <v>QUINDIO</v>
          </cell>
          <cell r="C100">
            <v>63001</v>
          </cell>
          <cell r="D100" t="str">
            <v>ARMENIA</v>
          </cell>
          <cell r="E100">
            <v>24</v>
          </cell>
          <cell r="F100" t="str">
            <v>BF_1.1.3.1.2</v>
          </cell>
          <cell r="G100" t="str">
            <v xml:space="preserve">                 Del Nivel Departamental</v>
          </cell>
          <cell r="H100">
            <v>1955.4090000000001</v>
          </cell>
          <cell r="I100">
            <v>966.92202999999995</v>
          </cell>
        </row>
        <row r="101">
          <cell r="A101" t="str">
            <v>63001-BF_1.1.3.1.2.2</v>
          </cell>
          <cell r="B101" t="str">
            <v>QUINDIO</v>
          </cell>
          <cell r="C101">
            <v>63001</v>
          </cell>
          <cell r="D101" t="str">
            <v>ARMENIA</v>
          </cell>
          <cell r="E101">
            <v>26</v>
          </cell>
          <cell r="F101" t="str">
            <v>BF_1.1.3.1.2.2</v>
          </cell>
          <cell r="G101" t="str">
            <v xml:space="preserve">                     Otras Transferencias del Departamento</v>
          </cell>
          <cell r="H101">
            <v>1955.4090000000001</v>
          </cell>
          <cell r="I101">
            <v>966.92202999999995</v>
          </cell>
        </row>
        <row r="102">
          <cell r="A102" t="str">
            <v>63001-BF_1.1.3.1.3</v>
          </cell>
          <cell r="B102" t="str">
            <v>QUINDIO</v>
          </cell>
          <cell r="C102">
            <v>63001</v>
          </cell>
          <cell r="D102" t="str">
            <v>ARMENIA</v>
          </cell>
          <cell r="E102">
            <v>27</v>
          </cell>
          <cell r="F102" t="str">
            <v>BF_1.1.3.1.3</v>
          </cell>
          <cell r="G102" t="str">
            <v xml:space="preserve">                 Otras Transferencias Para Funcionamiento</v>
          </cell>
          <cell r="H102">
            <v>1973.164</v>
          </cell>
          <cell r="I102">
            <v>782.08588799999995</v>
          </cell>
        </row>
        <row r="103">
          <cell r="A103" t="str">
            <v>63001-BF_1.1.3.2</v>
          </cell>
          <cell r="B103" t="str">
            <v>QUINDIO</v>
          </cell>
          <cell r="C103">
            <v>63001</v>
          </cell>
          <cell r="D103" t="str">
            <v>ARMENIA</v>
          </cell>
          <cell r="E103">
            <v>28</v>
          </cell>
          <cell r="F103" t="str">
            <v>BF_1.1.3.2</v>
          </cell>
          <cell r="G103" t="str">
            <v xml:space="preserve">             Transferencias Para Inversión</v>
          </cell>
          <cell r="H103">
            <v>217298.88699999999</v>
          </cell>
          <cell r="I103">
            <v>228540.37686799999</v>
          </cell>
        </row>
        <row r="104">
          <cell r="A104" t="str">
            <v>63001-BF_1.1.3.2.1</v>
          </cell>
          <cell r="B104" t="str">
            <v>QUINDIO</v>
          </cell>
          <cell r="C104">
            <v>63001</v>
          </cell>
          <cell r="D104" t="str">
            <v>ARMENIA</v>
          </cell>
          <cell r="E104">
            <v>29</v>
          </cell>
          <cell r="F104" t="str">
            <v>BF_1.1.3.2.1</v>
          </cell>
          <cell r="G104" t="str">
            <v xml:space="preserve">                 Del Nivel Nacional</v>
          </cell>
          <cell r="H104">
            <v>217298.88699999999</v>
          </cell>
          <cell r="I104">
            <v>228540.37686799999</v>
          </cell>
        </row>
        <row r="105">
          <cell r="A105" t="str">
            <v>63001-BF_1.1.3.2.1.1</v>
          </cell>
          <cell r="B105" t="str">
            <v>QUINDIO</v>
          </cell>
          <cell r="C105">
            <v>63001</v>
          </cell>
          <cell r="D105" t="str">
            <v>ARMENIA</v>
          </cell>
          <cell r="E105">
            <v>30</v>
          </cell>
          <cell r="F105" t="str">
            <v>BF_1.1.3.2.1.1</v>
          </cell>
          <cell r="G105" t="str">
            <v xml:space="preserve">                     Sistema General de Participaciones</v>
          </cell>
          <cell r="H105">
            <v>159067.16399999999</v>
          </cell>
          <cell r="I105">
            <v>161037.59650300001</v>
          </cell>
        </row>
        <row r="106">
          <cell r="A106" t="str">
            <v>63001-BF_1.1.3.2.1.1.1</v>
          </cell>
          <cell r="B106" t="str">
            <v>QUINDIO</v>
          </cell>
          <cell r="C106">
            <v>63001</v>
          </cell>
          <cell r="D106" t="str">
            <v>ARMENIA</v>
          </cell>
          <cell r="E106">
            <v>31</v>
          </cell>
          <cell r="F106" t="str">
            <v>BF_1.1.3.2.1.1.1</v>
          </cell>
          <cell r="G106" t="str">
            <v xml:space="preserve">                         Sistema General de Participaciones - Educación</v>
          </cell>
          <cell r="H106">
            <v>113332.542</v>
          </cell>
          <cell r="I106">
            <v>115660.95264800001</v>
          </cell>
        </row>
        <row r="107">
          <cell r="A107" t="str">
            <v>63001-BF_1.1.3.2.1.1.2</v>
          </cell>
          <cell r="B107" t="str">
            <v>QUINDIO</v>
          </cell>
          <cell r="C107">
            <v>63001</v>
          </cell>
          <cell r="D107" t="str">
            <v>ARMENIA</v>
          </cell>
          <cell r="E107">
            <v>32</v>
          </cell>
          <cell r="F107" t="str">
            <v>BF_1.1.3.2.1.1.2</v>
          </cell>
          <cell r="G107" t="str">
            <v xml:space="preserve">                         Sistema General de Participaciones - Salud</v>
          </cell>
          <cell r="H107">
            <v>32172.794999999998</v>
          </cell>
          <cell r="I107">
            <v>31923.407083999999</v>
          </cell>
        </row>
        <row r="108">
          <cell r="A108" t="str">
            <v>63001-BF_1.1.3.2.1.1.3</v>
          </cell>
          <cell r="B108" t="str">
            <v>QUINDIO</v>
          </cell>
          <cell r="C108">
            <v>63001</v>
          </cell>
          <cell r="D108" t="str">
            <v>ARMENIA</v>
          </cell>
          <cell r="E108">
            <v>33</v>
          </cell>
          <cell r="F108" t="str">
            <v>BF_1.1.3.2.1.1.3</v>
          </cell>
          <cell r="G108" t="str">
            <v xml:space="preserve">                         Sistema General de Participaciones - Agua Potable y Saneamiento Básico</v>
          </cell>
          <cell r="H108">
            <v>4734.6210000000001</v>
          </cell>
          <cell r="I108">
            <v>4790.8119230000002</v>
          </cell>
        </row>
        <row r="109">
          <cell r="A109" t="str">
            <v>63001-BF_1.1.3.2.1.1.4</v>
          </cell>
          <cell r="B109" t="str">
            <v>QUINDIO</v>
          </cell>
          <cell r="C109">
            <v>63001</v>
          </cell>
          <cell r="D109" t="str">
            <v>ARMENIA</v>
          </cell>
          <cell r="E109">
            <v>34</v>
          </cell>
          <cell r="F109" t="str">
            <v>BF_1.1.3.2.1.1.4</v>
          </cell>
          <cell r="G109" t="str">
            <v xml:space="preserve">                         Sistema General de Participaciones - Propósito General - Forzosa Inversión</v>
          </cell>
          <cell r="H109">
            <v>8035.3810000000003</v>
          </cell>
          <cell r="I109">
            <v>8181.66975</v>
          </cell>
        </row>
        <row r="110">
          <cell r="A110" t="str">
            <v>63001-BF_1.1.3.2.1.1.5</v>
          </cell>
          <cell r="B110" t="str">
            <v>QUINDIO</v>
          </cell>
          <cell r="C110">
            <v>63001</v>
          </cell>
          <cell r="D110" t="str">
            <v>ARMENIA</v>
          </cell>
          <cell r="E110">
            <v>35</v>
          </cell>
          <cell r="F110" t="str">
            <v>BF_1.1.3.2.1.1.5</v>
          </cell>
          <cell r="G110" t="str">
            <v xml:space="preserve">                         Otras del Sistema General de Participaciones</v>
          </cell>
          <cell r="H110">
            <v>791.82500000000005</v>
          </cell>
          <cell r="I110">
            <v>480.75509799999998</v>
          </cell>
        </row>
        <row r="111">
          <cell r="A111" t="str">
            <v>63001-BF_1.1.3.2.1.2</v>
          </cell>
          <cell r="B111" t="str">
            <v>QUINDIO</v>
          </cell>
          <cell r="C111">
            <v>63001</v>
          </cell>
          <cell r="D111" t="str">
            <v>ARMENIA</v>
          </cell>
          <cell r="E111">
            <v>36</v>
          </cell>
          <cell r="F111" t="str">
            <v>BF_1.1.3.2.1.2</v>
          </cell>
          <cell r="G111" t="str">
            <v xml:space="preserve">                     FOSYGA y COLJUEGOS</v>
          </cell>
          <cell r="H111">
            <v>47320.622000000003</v>
          </cell>
          <cell r="I111">
            <v>44620.387151000003</v>
          </cell>
        </row>
        <row r="112">
          <cell r="A112" t="str">
            <v>63001-BF_1.1.3.2.1.3</v>
          </cell>
          <cell r="B112" t="str">
            <v>QUINDIO</v>
          </cell>
          <cell r="C112">
            <v>63001</v>
          </cell>
          <cell r="D112" t="str">
            <v>ARMENIA</v>
          </cell>
          <cell r="E112">
            <v>37</v>
          </cell>
          <cell r="F112" t="str">
            <v>BF_1.1.3.2.1.3</v>
          </cell>
          <cell r="G112" t="str">
            <v xml:space="preserve">                     Otras Transferencias de la Nación</v>
          </cell>
          <cell r="H112">
            <v>10911.101000000001</v>
          </cell>
          <cell r="I112">
            <v>22882.393214</v>
          </cell>
        </row>
        <row r="113">
          <cell r="A113" t="str">
            <v>63001-BF_2</v>
          </cell>
          <cell r="B113" t="str">
            <v>QUINDIO</v>
          </cell>
          <cell r="C113">
            <v>63001</v>
          </cell>
          <cell r="D113" t="str">
            <v>ARMENIA</v>
          </cell>
          <cell r="E113">
            <v>43</v>
          </cell>
          <cell r="F113" t="str">
            <v>BF_2</v>
          </cell>
          <cell r="G113" t="str">
            <v>GASTOS  TOTALES</v>
          </cell>
          <cell r="H113">
            <v>396671.58</v>
          </cell>
          <cell r="I113">
            <v>369953.16970500001</v>
          </cell>
        </row>
        <row r="114">
          <cell r="A114" t="str">
            <v>63001-BF_2.1</v>
          </cell>
          <cell r="B114" t="str">
            <v>QUINDIO</v>
          </cell>
          <cell r="C114">
            <v>63001</v>
          </cell>
          <cell r="D114" t="str">
            <v>ARMENIA</v>
          </cell>
          <cell r="E114">
            <v>44</v>
          </cell>
          <cell r="F114" t="str">
            <v>BF_2.1</v>
          </cell>
          <cell r="G114" t="str">
            <v xml:space="preserve">    GASTOS CORRIENTES</v>
          </cell>
          <cell r="H114">
            <v>299276.37800000003</v>
          </cell>
          <cell r="I114">
            <v>341230.46399100003</v>
          </cell>
        </row>
        <row r="115">
          <cell r="A115" t="str">
            <v>63001-BF_2.1.1</v>
          </cell>
          <cell r="B115" t="str">
            <v>QUINDIO</v>
          </cell>
          <cell r="C115">
            <v>63001</v>
          </cell>
          <cell r="D115" t="str">
            <v>ARMENIA</v>
          </cell>
          <cell r="E115">
            <v>45</v>
          </cell>
          <cell r="F115" t="str">
            <v>BF_2.1.1</v>
          </cell>
          <cell r="G115" t="str">
            <v xml:space="preserve">        FUNCIONAMIENTO</v>
          </cell>
          <cell r="H115">
            <v>61541.777999999998</v>
          </cell>
          <cell r="I115">
            <v>60843.864597</v>
          </cell>
        </row>
        <row r="116">
          <cell r="A116" t="str">
            <v>63001-BF_2.1.1.1</v>
          </cell>
          <cell r="B116" t="str">
            <v>QUINDIO</v>
          </cell>
          <cell r="C116">
            <v>63001</v>
          </cell>
          <cell r="D116" t="str">
            <v>ARMENIA</v>
          </cell>
          <cell r="E116">
            <v>46</v>
          </cell>
          <cell r="F116" t="str">
            <v>BF_2.1.1.1</v>
          </cell>
          <cell r="G116" t="str">
            <v xml:space="preserve">             Gastos de Personal  </v>
          </cell>
          <cell r="H116">
            <v>21607.758999999998</v>
          </cell>
          <cell r="I116">
            <v>23427.067599000002</v>
          </cell>
        </row>
        <row r="117">
          <cell r="A117" t="str">
            <v>63001-BF_2.1.1.2</v>
          </cell>
          <cell r="B117" t="str">
            <v>QUINDIO</v>
          </cell>
          <cell r="C117">
            <v>63001</v>
          </cell>
          <cell r="D117" t="str">
            <v>ARMENIA</v>
          </cell>
          <cell r="E117">
            <v>47</v>
          </cell>
          <cell r="F117" t="str">
            <v>BF_2.1.1.2</v>
          </cell>
          <cell r="G117" t="str">
            <v xml:space="preserve">             Gastos Generales</v>
          </cell>
          <cell r="H117">
            <v>21251.751</v>
          </cell>
          <cell r="I117">
            <v>20521.529681</v>
          </cell>
        </row>
        <row r="118">
          <cell r="A118" t="str">
            <v>63001-BF_2.1.1.3</v>
          </cell>
          <cell r="B118" t="str">
            <v>QUINDIO</v>
          </cell>
          <cell r="C118">
            <v>63001</v>
          </cell>
          <cell r="D118" t="str">
            <v>ARMENIA</v>
          </cell>
          <cell r="E118">
            <v>48</v>
          </cell>
          <cell r="F118" t="str">
            <v>BF_2.1.1.3</v>
          </cell>
          <cell r="G118" t="str">
            <v xml:space="preserve">             Transferencias</v>
          </cell>
          <cell r="H118">
            <v>18679.268</v>
          </cell>
          <cell r="I118">
            <v>16891.687317</v>
          </cell>
        </row>
        <row r="119">
          <cell r="A119" t="str">
            <v>63001-BF_2.1.1.3.1</v>
          </cell>
          <cell r="B119" t="str">
            <v>QUINDIO</v>
          </cell>
          <cell r="C119">
            <v>63001</v>
          </cell>
          <cell r="D119" t="str">
            <v>ARMENIA</v>
          </cell>
          <cell r="E119">
            <v>49</v>
          </cell>
          <cell r="F119" t="str">
            <v>BF_2.1.1.3.1</v>
          </cell>
          <cell r="G119" t="str">
            <v xml:space="preserve">                 Pensiones</v>
          </cell>
          <cell r="H119">
            <v>7520.8760000000002</v>
          </cell>
          <cell r="I119">
            <v>6135.5433620000003</v>
          </cell>
        </row>
        <row r="120">
          <cell r="A120" t="str">
            <v>63001-BF_2.1.1.3.4</v>
          </cell>
          <cell r="B120" t="str">
            <v>QUINDIO</v>
          </cell>
          <cell r="C120">
            <v>63001</v>
          </cell>
          <cell r="D120" t="str">
            <v>ARMENIA</v>
          </cell>
          <cell r="E120">
            <v>52</v>
          </cell>
          <cell r="F120" t="str">
            <v>BF_2.1.1.3.4</v>
          </cell>
          <cell r="G120" t="str">
            <v xml:space="preserve">                 A Organismos de Control</v>
          </cell>
          <cell r="H120">
            <v>6049.7370000000001</v>
          </cell>
          <cell r="I120">
            <v>6113.591625</v>
          </cell>
        </row>
        <row r="121">
          <cell r="A121" t="str">
            <v>63001-BF_2.1.1.3.5</v>
          </cell>
          <cell r="B121" t="str">
            <v>QUINDIO</v>
          </cell>
          <cell r="C121">
            <v>63001</v>
          </cell>
          <cell r="D121" t="str">
            <v>ARMENIA</v>
          </cell>
          <cell r="E121">
            <v>53</v>
          </cell>
          <cell r="F121" t="str">
            <v>BF_2.1.1.3.5</v>
          </cell>
          <cell r="G121" t="str">
            <v xml:space="preserve">                 A Establecimientos Públicos y Entidades Descentralizadas - Nivel Territorial</v>
          </cell>
          <cell r="H121">
            <v>3186.24</v>
          </cell>
          <cell r="I121">
            <v>3301.2399919999998</v>
          </cell>
        </row>
        <row r="122">
          <cell r="A122" t="str">
            <v>63001-BF_2.1.1.3.6</v>
          </cell>
          <cell r="B122" t="str">
            <v>QUINDIO</v>
          </cell>
          <cell r="C122">
            <v>63001</v>
          </cell>
          <cell r="D122" t="str">
            <v>ARMENIA</v>
          </cell>
          <cell r="E122">
            <v>54</v>
          </cell>
          <cell r="F122" t="str">
            <v>BF_2.1.1.3.6</v>
          </cell>
          <cell r="G122" t="str">
            <v xml:space="preserve">                 Sentencias y Conciliaciones</v>
          </cell>
          <cell r="H122">
            <v>1922.415</v>
          </cell>
          <cell r="I122">
            <v>1341.312338</v>
          </cell>
        </row>
        <row r="123">
          <cell r="A123" t="str">
            <v>63001-BF_2.1.1.6</v>
          </cell>
          <cell r="B123" t="str">
            <v>QUINDIO</v>
          </cell>
          <cell r="C123">
            <v>63001</v>
          </cell>
          <cell r="D123" t="str">
            <v>ARMENIA</v>
          </cell>
          <cell r="E123">
            <v>58</v>
          </cell>
          <cell r="F123" t="str">
            <v>BF_2.1.1.6</v>
          </cell>
          <cell r="G123" t="str">
            <v xml:space="preserve">             Otros Gastos de Funcionamiento</v>
          </cell>
          <cell r="H123">
            <v>3</v>
          </cell>
          <cell r="I123">
            <v>3.58</v>
          </cell>
        </row>
        <row r="124">
          <cell r="A124" t="str">
            <v>63001-BF_2.1.2</v>
          </cell>
          <cell r="B124" t="str">
            <v>QUINDIO</v>
          </cell>
          <cell r="C124">
            <v>63001</v>
          </cell>
          <cell r="D124" t="str">
            <v>ARMENIA</v>
          </cell>
          <cell r="E124">
            <v>59</v>
          </cell>
          <cell r="F124" t="str">
            <v>BF_2.1.2</v>
          </cell>
          <cell r="G124" t="str">
            <v xml:space="preserve">        PAGO DE BONOS PENSIONALES Y CUOTAS PARTES DE BONO PENSIONAL</v>
          </cell>
          <cell r="H124">
            <v>1.3280000000000001</v>
          </cell>
          <cell r="I124">
            <v>3.5510000000000002</v>
          </cell>
        </row>
        <row r="125">
          <cell r="A125" t="str">
            <v>63001-BF_2.1.4</v>
          </cell>
          <cell r="B125" t="str">
            <v>QUINDIO</v>
          </cell>
          <cell r="C125">
            <v>63001</v>
          </cell>
          <cell r="D125" t="str">
            <v>ARMENIA</v>
          </cell>
          <cell r="E125">
            <v>61</v>
          </cell>
          <cell r="F125" t="str">
            <v>BF_2.1.4</v>
          </cell>
          <cell r="G125" t="str">
            <v xml:space="preserve">        GASTOS OPERATIVOS EN SECTORES SOCIALES (Remuneración al Trabajo, Prestaciones, y Subsidios en Sectores de Inversión)</v>
          </cell>
          <cell r="H125">
            <v>229610.7</v>
          </cell>
          <cell r="I125">
            <v>275255.11934400001</v>
          </cell>
        </row>
        <row r="126">
          <cell r="A126" t="str">
            <v>63001-BF_2.1.4.1</v>
          </cell>
          <cell r="B126" t="str">
            <v>QUINDIO</v>
          </cell>
          <cell r="C126">
            <v>63001</v>
          </cell>
          <cell r="D126" t="str">
            <v>ARMENIA</v>
          </cell>
          <cell r="E126">
            <v>62</v>
          </cell>
          <cell r="F126" t="str">
            <v>BF_2.1.4.1</v>
          </cell>
          <cell r="G126" t="str">
            <v xml:space="preserve">             Educación</v>
          </cell>
          <cell r="H126">
            <v>121585.351</v>
          </cell>
          <cell r="I126">
            <v>134910.18247500001</v>
          </cell>
        </row>
        <row r="127">
          <cell r="A127" t="str">
            <v>63001-BF_2.1.4.2</v>
          </cell>
          <cell r="B127" t="str">
            <v>QUINDIO</v>
          </cell>
          <cell r="C127">
            <v>63001</v>
          </cell>
          <cell r="D127" t="str">
            <v>ARMENIA</v>
          </cell>
          <cell r="E127">
            <v>63</v>
          </cell>
          <cell r="F127" t="str">
            <v>BF_2.1.4.2</v>
          </cell>
          <cell r="G127" t="str">
            <v xml:space="preserve">             Salud</v>
          </cell>
          <cell r="H127">
            <v>95812.824999999997</v>
          </cell>
          <cell r="I127">
            <v>97485.136148000005</v>
          </cell>
        </row>
        <row r="128">
          <cell r="A128" t="str">
            <v>63001-BF_2.1.4.3</v>
          </cell>
          <cell r="B128" t="str">
            <v>QUINDIO</v>
          </cell>
          <cell r="C128">
            <v>63001</v>
          </cell>
          <cell r="D128" t="str">
            <v>ARMENIA</v>
          </cell>
          <cell r="E128">
            <v>64</v>
          </cell>
          <cell r="F128" t="str">
            <v>BF_2.1.4.3</v>
          </cell>
          <cell r="G128" t="str">
            <v xml:space="preserve">             Agua Potable y Saneamiento Básico</v>
          </cell>
          <cell r="H128">
            <v>3198.0250000000001</v>
          </cell>
          <cell r="I128">
            <v>0</v>
          </cell>
        </row>
        <row r="129">
          <cell r="A129" t="str">
            <v>63001-BF_2.1.4.5</v>
          </cell>
          <cell r="B129" t="str">
            <v>QUINDIO</v>
          </cell>
          <cell r="C129">
            <v>63001</v>
          </cell>
          <cell r="D129" t="str">
            <v>ARMENIA</v>
          </cell>
          <cell r="E129">
            <v>66</v>
          </cell>
          <cell r="F129" t="str">
            <v>BF_2.1.4.5</v>
          </cell>
          <cell r="G129" t="str">
            <v xml:space="preserve">             Otros Sectores</v>
          </cell>
          <cell r="H129">
            <v>9014.4989999999998</v>
          </cell>
          <cell r="I129">
            <v>42859.800721</v>
          </cell>
        </row>
        <row r="130">
          <cell r="A130" t="str">
            <v>63001-BF_2.1.5</v>
          </cell>
          <cell r="B130" t="str">
            <v>QUINDIO</v>
          </cell>
          <cell r="C130">
            <v>63001</v>
          </cell>
          <cell r="D130" t="str">
            <v>ARMENIA</v>
          </cell>
          <cell r="E130">
            <v>67</v>
          </cell>
          <cell r="F130" t="str">
            <v>BF_2.1.5</v>
          </cell>
          <cell r="G130" t="str">
            <v xml:space="preserve">        INTERESES Y COMISIONES DE LA DEUDA</v>
          </cell>
          <cell r="H130">
            <v>8122.5720000000001</v>
          </cell>
          <cell r="I130">
            <v>5127.9290499999997</v>
          </cell>
        </row>
        <row r="131">
          <cell r="A131" t="str">
            <v>63001-BF_2.1.5.1</v>
          </cell>
          <cell r="B131" t="str">
            <v>QUINDIO</v>
          </cell>
          <cell r="C131">
            <v>63001</v>
          </cell>
          <cell r="D131" t="str">
            <v>ARMENIA</v>
          </cell>
          <cell r="E131">
            <v>68</v>
          </cell>
          <cell r="F131" t="str">
            <v>BF_2.1.5.1</v>
          </cell>
          <cell r="G131" t="str">
            <v xml:space="preserve">             Interna</v>
          </cell>
          <cell r="H131">
            <v>8122.5720000000001</v>
          </cell>
          <cell r="I131">
            <v>5127.9290499999997</v>
          </cell>
        </row>
        <row r="132">
          <cell r="A132" t="str">
            <v>63001-BF_3</v>
          </cell>
          <cell r="B132" t="str">
            <v>QUINDIO</v>
          </cell>
          <cell r="C132">
            <v>63001</v>
          </cell>
          <cell r="D132" t="str">
            <v>ARMENIA</v>
          </cell>
          <cell r="E132">
            <v>70</v>
          </cell>
          <cell r="F132" t="str">
            <v>BF_3</v>
          </cell>
          <cell r="G132" t="str">
            <v>DÉFICIT O AHORRO CORRIENTE</v>
          </cell>
          <cell r="H132">
            <v>65438.451999999997</v>
          </cell>
          <cell r="I132">
            <v>25070.268423000001</v>
          </cell>
        </row>
        <row r="133">
          <cell r="A133" t="str">
            <v>63001-BF_4</v>
          </cell>
          <cell r="B133" t="str">
            <v>QUINDIO</v>
          </cell>
          <cell r="C133">
            <v>63001</v>
          </cell>
          <cell r="D133" t="str">
            <v>ARMENIA</v>
          </cell>
          <cell r="E133">
            <v>71</v>
          </cell>
          <cell r="F133" t="str">
            <v>BF_4</v>
          </cell>
          <cell r="G133" t="str">
            <v>INGRESOS DE CAPITAL</v>
          </cell>
          <cell r="H133">
            <v>20491.300999999999</v>
          </cell>
          <cell r="I133">
            <v>12055.331738999999</v>
          </cell>
        </row>
        <row r="134">
          <cell r="A134" t="str">
            <v>63001-BF_4.1</v>
          </cell>
          <cell r="B134" t="str">
            <v>QUINDIO</v>
          </cell>
          <cell r="C134">
            <v>63001</v>
          </cell>
          <cell r="D134" t="str">
            <v>ARMENIA</v>
          </cell>
          <cell r="E134">
            <v>72</v>
          </cell>
          <cell r="F134" t="str">
            <v>BF_4.1</v>
          </cell>
          <cell r="G134" t="str">
            <v xml:space="preserve">    Cofinanciación</v>
          </cell>
          <cell r="H134">
            <v>9254.3619999999992</v>
          </cell>
          <cell r="I134">
            <v>10017.262424</v>
          </cell>
        </row>
        <row r="135">
          <cell r="A135" t="str">
            <v>63001-BF_4.4</v>
          </cell>
          <cell r="B135" t="str">
            <v>QUINDIO</v>
          </cell>
          <cell r="C135">
            <v>63001</v>
          </cell>
          <cell r="D135" t="str">
            <v>ARMENIA</v>
          </cell>
          <cell r="E135">
            <v>75</v>
          </cell>
          <cell r="F135" t="str">
            <v>BF_4.4</v>
          </cell>
          <cell r="G135" t="str">
            <v xml:space="preserve">    Rendimientos Financieros</v>
          </cell>
          <cell r="H135">
            <v>891.99199999999996</v>
          </cell>
          <cell r="I135">
            <v>833.02792099999999</v>
          </cell>
        </row>
        <row r="136">
          <cell r="A136" t="str">
            <v>63001-BF_4.6</v>
          </cell>
          <cell r="B136" t="str">
            <v>QUINDIO</v>
          </cell>
          <cell r="C136">
            <v>63001</v>
          </cell>
          <cell r="D136" t="str">
            <v>ARMENIA</v>
          </cell>
          <cell r="E136">
            <v>77</v>
          </cell>
          <cell r="F136" t="str">
            <v>BF_4.6</v>
          </cell>
          <cell r="G136" t="str">
            <v xml:space="preserve">    Desahorro FONPET</v>
          </cell>
          <cell r="H136">
            <v>8633.4249999999993</v>
          </cell>
          <cell r="I136">
            <v>384.26</v>
          </cell>
        </row>
        <row r="137">
          <cell r="A137" t="str">
            <v>63001-BF_4.6.4</v>
          </cell>
          <cell r="B137" t="str">
            <v>QUINDIO</v>
          </cell>
          <cell r="C137">
            <v>63001</v>
          </cell>
          <cell r="D137" t="str">
            <v>ARMENIA</v>
          </cell>
          <cell r="E137">
            <v>81</v>
          </cell>
          <cell r="F137" t="str">
            <v>BF_4.6.4</v>
          </cell>
          <cell r="G137" t="str">
            <v xml:space="preserve">    Otros Desahorros y Retiros (Cuotas partes, Bonos y Devoluciones)</v>
          </cell>
          <cell r="H137">
            <v>8633.4249999999993</v>
          </cell>
          <cell r="I137">
            <v>384.26</v>
          </cell>
        </row>
        <row r="138">
          <cell r="A138" t="str">
            <v>63001-BF_4.7</v>
          </cell>
          <cell r="B138" t="str">
            <v>QUINDIO</v>
          </cell>
          <cell r="C138">
            <v>63001</v>
          </cell>
          <cell r="D138" t="str">
            <v>ARMENIA</v>
          </cell>
          <cell r="E138">
            <v>82</v>
          </cell>
          <cell r="F138" t="str">
            <v>BF_4.7</v>
          </cell>
          <cell r="G138" t="str">
            <v xml:space="preserve">    Otros Recursos de Capital (Donaciones, Aprovechamientos y Otros)</v>
          </cell>
          <cell r="H138">
            <v>1711.5219999999999</v>
          </cell>
          <cell r="I138">
            <v>820.78139399999998</v>
          </cell>
        </row>
        <row r="139">
          <cell r="A139" t="str">
            <v>63001-BF_5</v>
          </cell>
          <cell r="B139" t="str">
            <v>QUINDIO</v>
          </cell>
          <cell r="C139">
            <v>63001</v>
          </cell>
          <cell r="D139" t="str">
            <v>ARMENIA</v>
          </cell>
          <cell r="E139">
            <v>83</v>
          </cell>
          <cell r="F139" t="str">
            <v>BF_5</v>
          </cell>
          <cell r="G139" t="str">
            <v>GASTOS DE CAPITAL</v>
          </cell>
          <cell r="H139">
            <v>97395.202000000005</v>
          </cell>
          <cell r="I139">
            <v>28722.705714</v>
          </cell>
        </row>
        <row r="140">
          <cell r="A140" t="str">
            <v>63001-BF_5.1</v>
          </cell>
          <cell r="B140" t="str">
            <v>QUINDIO</v>
          </cell>
          <cell r="C140">
            <v>63001</v>
          </cell>
          <cell r="D140" t="str">
            <v>ARMENIA</v>
          </cell>
          <cell r="E140">
            <v>84</v>
          </cell>
          <cell r="F140" t="str">
            <v>BF_5.1</v>
          </cell>
          <cell r="G140" t="str">
            <v xml:space="preserve">    Formación Bruta de Capital (Construcción, Reparación, Mantenimiento, Preinversión, Otros)</v>
          </cell>
          <cell r="H140">
            <v>97395.202000000005</v>
          </cell>
          <cell r="I140">
            <v>28527.466034000001</v>
          </cell>
        </row>
        <row r="141">
          <cell r="A141" t="str">
            <v>63001-BF_5.1.1</v>
          </cell>
          <cell r="B141" t="str">
            <v>QUINDIO</v>
          </cell>
          <cell r="C141">
            <v>63001</v>
          </cell>
          <cell r="D141" t="str">
            <v>ARMENIA</v>
          </cell>
          <cell r="E141">
            <v>85</v>
          </cell>
          <cell r="F141" t="str">
            <v>BF_5.1.1</v>
          </cell>
          <cell r="G141" t="str">
            <v xml:space="preserve">        Educación</v>
          </cell>
          <cell r="H141">
            <v>14441.406000000001</v>
          </cell>
          <cell r="I141">
            <v>4812.4158619999998</v>
          </cell>
        </row>
        <row r="142">
          <cell r="A142" t="str">
            <v>63001-BF_5.1.2</v>
          </cell>
          <cell r="B142" t="str">
            <v>QUINDIO</v>
          </cell>
          <cell r="C142">
            <v>63001</v>
          </cell>
          <cell r="D142" t="str">
            <v>ARMENIA</v>
          </cell>
          <cell r="E142">
            <v>86</v>
          </cell>
          <cell r="F142" t="str">
            <v>BF_5.1.2</v>
          </cell>
          <cell r="G142" t="str">
            <v xml:space="preserve">        Salud</v>
          </cell>
          <cell r="H142">
            <v>0</v>
          </cell>
          <cell r="I142">
            <v>1009.105678</v>
          </cell>
        </row>
        <row r="143">
          <cell r="A143" t="str">
            <v>63001-BF_5.1.4</v>
          </cell>
          <cell r="B143" t="str">
            <v>QUINDIO</v>
          </cell>
          <cell r="C143">
            <v>63001</v>
          </cell>
          <cell r="D143" t="str">
            <v>ARMENIA</v>
          </cell>
          <cell r="E143">
            <v>88</v>
          </cell>
          <cell r="F143" t="str">
            <v>BF_5.1.4</v>
          </cell>
          <cell r="G143" t="str">
            <v xml:space="preserve">        Vivienda</v>
          </cell>
          <cell r="H143">
            <v>40</v>
          </cell>
          <cell r="I143">
            <v>80</v>
          </cell>
        </row>
        <row r="144">
          <cell r="A144" t="str">
            <v>63001-BF_5.1.5</v>
          </cell>
          <cell r="B144" t="str">
            <v>QUINDIO</v>
          </cell>
          <cell r="C144">
            <v>63001</v>
          </cell>
          <cell r="D144" t="str">
            <v>ARMENIA</v>
          </cell>
          <cell r="E144">
            <v>89</v>
          </cell>
          <cell r="F144" t="str">
            <v>BF_5.1.5</v>
          </cell>
          <cell r="G144" t="str">
            <v xml:space="preserve">        Vías</v>
          </cell>
          <cell r="H144">
            <v>41998.82</v>
          </cell>
          <cell r="I144">
            <v>11287.104493000001</v>
          </cell>
        </row>
        <row r="145">
          <cell r="A145" t="str">
            <v>63001-BF_5.1.6</v>
          </cell>
          <cell r="B145" t="str">
            <v>QUINDIO</v>
          </cell>
          <cell r="C145">
            <v>63001</v>
          </cell>
          <cell r="D145" t="str">
            <v>ARMENIA</v>
          </cell>
          <cell r="E145">
            <v>90</v>
          </cell>
          <cell r="F145" t="str">
            <v>BF_5.1.6</v>
          </cell>
          <cell r="G145" t="str">
            <v xml:space="preserve">        Otros Sectores</v>
          </cell>
          <cell r="H145">
            <v>40914.976000000002</v>
          </cell>
          <cell r="I145">
            <v>11338.840001</v>
          </cell>
        </row>
        <row r="146">
          <cell r="A146" t="str">
            <v>63001-BF_5.2</v>
          </cell>
          <cell r="B146" t="str">
            <v>QUINDIO</v>
          </cell>
          <cell r="C146">
            <v>63001</v>
          </cell>
          <cell r="D146" t="str">
            <v>ARMENIA</v>
          </cell>
          <cell r="E146">
            <v>91</v>
          </cell>
          <cell r="F146" t="str">
            <v>BF_5.2</v>
          </cell>
          <cell r="G146" t="str">
            <v xml:space="preserve">    Déficit Fiscal de Vigencias Anteriores por Inversión</v>
          </cell>
          <cell r="H146">
            <v>0</v>
          </cell>
          <cell r="I146">
            <v>195.23967999999999</v>
          </cell>
        </row>
        <row r="147">
          <cell r="A147" t="str">
            <v>63001-BF_6</v>
          </cell>
          <cell r="B147" t="str">
            <v>QUINDIO</v>
          </cell>
          <cell r="C147">
            <v>63001</v>
          </cell>
          <cell r="D147" t="str">
            <v>ARMENIA</v>
          </cell>
          <cell r="E147">
            <v>92</v>
          </cell>
          <cell r="F147" t="str">
            <v>BF_6</v>
          </cell>
          <cell r="G147" t="str">
            <v>DÉFICIT O SUPERÁVIT DE CAPITAL</v>
          </cell>
          <cell r="H147">
            <v>-76903.900999999998</v>
          </cell>
          <cell r="I147">
            <v>-16667.373974999999</v>
          </cell>
        </row>
        <row r="148">
          <cell r="A148" t="str">
            <v>63001-BF_7</v>
          </cell>
          <cell r="B148" t="str">
            <v>QUINDIO</v>
          </cell>
          <cell r="C148">
            <v>63001</v>
          </cell>
          <cell r="D148" t="str">
            <v>ARMENIA</v>
          </cell>
          <cell r="E148">
            <v>93</v>
          </cell>
          <cell r="F148" t="str">
            <v>BF_7</v>
          </cell>
          <cell r="G148" t="str">
            <v>DÉFICIT O SUPERÁVIT TOTAL</v>
          </cell>
          <cell r="H148">
            <v>-11465.449000000001</v>
          </cell>
          <cell r="I148">
            <v>8402.8944479999991</v>
          </cell>
        </row>
        <row r="149">
          <cell r="A149" t="str">
            <v>63001-BF_8</v>
          </cell>
          <cell r="B149" t="str">
            <v>QUINDIO</v>
          </cell>
          <cell r="C149">
            <v>63001</v>
          </cell>
          <cell r="D149" t="str">
            <v>ARMENIA</v>
          </cell>
          <cell r="E149">
            <v>94</v>
          </cell>
          <cell r="F149" t="str">
            <v>BF_8</v>
          </cell>
          <cell r="G149" t="str">
            <v>FINANCIACIÓN</v>
          </cell>
          <cell r="H149">
            <v>44704.464</v>
          </cell>
          <cell r="I149">
            <v>34053.884486000003</v>
          </cell>
        </row>
        <row r="150">
          <cell r="A150" t="str">
            <v>63001-BF_8.1</v>
          </cell>
          <cell r="B150" t="str">
            <v>QUINDIO</v>
          </cell>
          <cell r="C150">
            <v>63001</v>
          </cell>
          <cell r="D150" t="str">
            <v>ARMENIA</v>
          </cell>
          <cell r="E150">
            <v>95</v>
          </cell>
          <cell r="F150" t="str">
            <v>BF_8.1</v>
          </cell>
          <cell r="G150" t="str">
            <v xml:space="preserve">    RECURSOS DEL CRÉDITO</v>
          </cell>
          <cell r="H150">
            <v>-20595.420999999998</v>
          </cell>
          <cell r="I150">
            <v>-20727.863476999999</v>
          </cell>
        </row>
        <row r="151">
          <cell r="A151" t="str">
            <v>63001-BF_8.1.1</v>
          </cell>
          <cell r="B151" t="str">
            <v>QUINDIO</v>
          </cell>
          <cell r="C151">
            <v>63001</v>
          </cell>
          <cell r="D151" t="str">
            <v>ARMENIA</v>
          </cell>
          <cell r="E151">
            <v>96</v>
          </cell>
          <cell r="F151" t="str">
            <v>BF_8.1.1</v>
          </cell>
          <cell r="G151" t="str">
            <v xml:space="preserve">        Interno</v>
          </cell>
          <cell r="H151">
            <v>-20595.420999999998</v>
          </cell>
          <cell r="I151">
            <v>-20727.863476999999</v>
          </cell>
        </row>
        <row r="152">
          <cell r="A152" t="str">
            <v>63001-BF_8.1.1.1</v>
          </cell>
          <cell r="B152" t="str">
            <v>QUINDIO</v>
          </cell>
          <cell r="C152">
            <v>63001</v>
          </cell>
          <cell r="D152" t="str">
            <v>ARMENIA</v>
          </cell>
          <cell r="E152">
            <v>97</v>
          </cell>
          <cell r="F152" t="str">
            <v>BF_8.1.1.1</v>
          </cell>
          <cell r="G152" t="str">
            <v xml:space="preserve">             Desembolsos</v>
          </cell>
          <cell r="H152">
            <v>1918.952</v>
          </cell>
          <cell r="I152">
            <v>0</v>
          </cell>
        </row>
        <row r="153">
          <cell r="A153" t="str">
            <v>63001-BF_8.1.1.2</v>
          </cell>
          <cell r="B153" t="str">
            <v>QUINDIO</v>
          </cell>
          <cell r="C153">
            <v>63001</v>
          </cell>
          <cell r="D153" t="str">
            <v>ARMENIA</v>
          </cell>
          <cell r="E153">
            <v>98</v>
          </cell>
          <cell r="F153" t="str">
            <v>BF_8.1.1.2</v>
          </cell>
          <cell r="G153" t="str">
            <v xml:space="preserve">             Amortizaciones</v>
          </cell>
          <cell r="H153">
            <v>22514.373</v>
          </cell>
          <cell r="I153">
            <v>20727.863476999999</v>
          </cell>
        </row>
        <row r="154">
          <cell r="A154" t="str">
            <v>63001-BF_8.2</v>
          </cell>
          <cell r="B154" t="str">
            <v>QUINDIO</v>
          </cell>
          <cell r="C154">
            <v>63001</v>
          </cell>
          <cell r="D154" t="str">
            <v>ARMENIA</v>
          </cell>
          <cell r="E154">
            <v>102</v>
          </cell>
          <cell r="F154" t="str">
            <v>BF_8.2</v>
          </cell>
          <cell r="G154" t="str">
            <v xml:space="preserve">    Recursos del Balance (Superávit Fiscal, Cancelación de Reservas)</v>
          </cell>
          <cell r="H154">
            <v>65299.885000000002</v>
          </cell>
          <cell r="I154">
            <v>54781.747963000002</v>
          </cell>
        </row>
        <row r="155">
          <cell r="A155" t="str">
            <v>63001-BF_9.1</v>
          </cell>
          <cell r="B155" t="str">
            <v>QUINDIO</v>
          </cell>
          <cell r="C155">
            <v>63001</v>
          </cell>
          <cell r="D155" t="str">
            <v>ARMENIA</v>
          </cell>
          <cell r="E155">
            <v>107</v>
          </cell>
          <cell r="F155" t="str">
            <v>BF_9.1</v>
          </cell>
          <cell r="G155" t="str">
            <v xml:space="preserve">    DÉFICIT O SUPERÁVIT PRIMARIO</v>
          </cell>
          <cell r="H155">
            <v>61957.008000000002</v>
          </cell>
          <cell r="I155">
            <v>68312.571461</v>
          </cell>
        </row>
        <row r="156">
          <cell r="A156" t="str">
            <v>63001-BF_9.2</v>
          </cell>
          <cell r="B156" t="str">
            <v>QUINDIO</v>
          </cell>
          <cell r="C156">
            <v>63001</v>
          </cell>
          <cell r="D156" t="str">
            <v>ARMENIA</v>
          </cell>
          <cell r="E156">
            <v>108</v>
          </cell>
          <cell r="F156" t="str">
            <v>BF_9.2</v>
          </cell>
          <cell r="G156" t="str">
            <v xml:space="preserve">    DÉFICIT O SUPERÁVIT PRIMARIO/INTERESES</v>
          </cell>
          <cell r="H156">
            <v>7.6280000000000001</v>
          </cell>
          <cell r="I156">
            <v>13.321669</v>
          </cell>
        </row>
        <row r="157">
          <cell r="A157" t="str">
            <v>63001-BF_10.1</v>
          </cell>
          <cell r="B157" t="str">
            <v>QUINDIO</v>
          </cell>
          <cell r="C157">
            <v>63001</v>
          </cell>
          <cell r="D157" t="str">
            <v>ARMENIA</v>
          </cell>
          <cell r="E157">
            <v>110</v>
          </cell>
          <cell r="F157" t="str">
            <v>BF_10.1</v>
          </cell>
          <cell r="G157" t="str">
            <v xml:space="preserve">    INGRESOS TOTALES SIN INCLUIR RECURSOS PARA RESERVAS PRESUPUESTALES</v>
          </cell>
          <cell r="H157">
            <v>452424.96799999999</v>
          </cell>
          <cell r="I157">
            <v>433137.81211599999</v>
          </cell>
        </row>
        <row r="158">
          <cell r="A158" t="str">
            <v>63001-BF_10.2</v>
          </cell>
          <cell r="B158" t="str">
            <v>QUINDIO</v>
          </cell>
          <cell r="C158">
            <v>63001</v>
          </cell>
          <cell r="D158" t="str">
            <v>ARMENIA</v>
          </cell>
          <cell r="E158">
            <v>111</v>
          </cell>
          <cell r="F158" t="str">
            <v>BF_10.2</v>
          </cell>
          <cell r="G158" t="str">
            <v xml:space="preserve">    GASTOS TOTALES SIN INCLUIR GASTOS POR RESERVAS PRESUPUESTALES</v>
          </cell>
          <cell r="H158">
            <v>419185.95299999998</v>
          </cell>
          <cell r="I158">
            <v>390681.03318199998</v>
          </cell>
        </row>
        <row r="159">
          <cell r="A159" t="str">
            <v>63001-BF_10.3</v>
          </cell>
          <cell r="B159" t="str">
            <v>QUINDIO</v>
          </cell>
          <cell r="C159">
            <v>63001</v>
          </cell>
          <cell r="D159" t="str">
            <v>ARMENIA</v>
          </cell>
          <cell r="E159">
            <v>112</v>
          </cell>
          <cell r="F159" t="str">
            <v>BF_10.3</v>
          </cell>
          <cell r="G159" t="str">
            <v xml:space="preserve">    DÉFICIT O SUPERÁVIT PRESUPUESTAL SIN INCLUIR RESERVAS PRESUPUESTALES</v>
          </cell>
          <cell r="H159">
            <v>33239.014999999999</v>
          </cell>
          <cell r="I159">
            <v>42456.778934000002</v>
          </cell>
        </row>
        <row r="160">
          <cell r="A160" t="str">
            <v>63001-BF_12.1</v>
          </cell>
          <cell r="B160" t="str">
            <v>QUINDIO</v>
          </cell>
          <cell r="C160">
            <v>63001</v>
          </cell>
          <cell r="D160" t="str">
            <v>ARMENIA</v>
          </cell>
          <cell r="E160">
            <v>114</v>
          </cell>
          <cell r="F160" t="str">
            <v>BF_12.1</v>
          </cell>
          <cell r="G160" t="str">
            <v xml:space="preserve">    INGRESOS TOTALES</v>
          </cell>
          <cell r="H160">
            <v>467441.712</v>
          </cell>
          <cell r="I160">
            <v>482602.74121599999</v>
          </cell>
        </row>
        <row r="161">
          <cell r="A161" t="str">
            <v>63001-BF_12.2</v>
          </cell>
          <cell r="B161" t="str">
            <v>QUINDIO</v>
          </cell>
          <cell r="C161">
            <v>63001</v>
          </cell>
          <cell r="D161" t="str">
            <v>ARMENIA</v>
          </cell>
          <cell r="E161">
            <v>115</v>
          </cell>
          <cell r="F161" t="str">
            <v>BF_12.2</v>
          </cell>
          <cell r="G161" t="str">
            <v xml:space="preserve">    GASTOS TOTALES</v>
          </cell>
          <cell r="H161">
            <v>422141.56599999999</v>
          </cell>
          <cell r="I161">
            <v>409553.244282</v>
          </cell>
        </row>
        <row r="162">
          <cell r="A162" t="str">
            <v>63001-BF_12.3</v>
          </cell>
          <cell r="B162" t="str">
            <v>QUINDIO</v>
          </cell>
          <cell r="C162">
            <v>63001</v>
          </cell>
          <cell r="D162" t="str">
            <v>ARMENIA</v>
          </cell>
          <cell r="E162">
            <v>116</v>
          </cell>
          <cell r="F162" t="str">
            <v>BF_12.3</v>
          </cell>
          <cell r="G162" t="str">
            <v xml:space="preserve">    DÉFICIT O SUPERÁVIT PRESUPUESTAL</v>
          </cell>
          <cell r="H162">
            <v>45300.146000000001</v>
          </cell>
          <cell r="I162">
            <v>73049.496933999995</v>
          </cell>
        </row>
        <row r="163">
          <cell r="A163" t="str">
            <v>63001-BF_13.1</v>
          </cell>
          <cell r="B163" t="str">
            <v>QUINDIO</v>
          </cell>
          <cell r="C163">
            <v>63001</v>
          </cell>
          <cell r="D163" t="str">
            <v>ARMENIA</v>
          </cell>
          <cell r="E163">
            <v>118</v>
          </cell>
          <cell r="F163" t="str">
            <v>BF_13.1</v>
          </cell>
          <cell r="G163" t="str">
            <v xml:space="preserve">    Recursos que Financian Reservas Presupuestales Excepcionales (Ley 819/2003)</v>
          </cell>
          <cell r="H163">
            <v>15016.744000000001</v>
          </cell>
          <cell r="I163">
            <v>49464.929100000001</v>
          </cell>
        </row>
        <row r="164">
          <cell r="A164" t="str">
            <v>63001-BF_13.2</v>
          </cell>
          <cell r="B164" t="str">
            <v>QUINDIO</v>
          </cell>
          <cell r="C164">
            <v>63001</v>
          </cell>
          <cell r="D164" t="str">
            <v>ARMENIA</v>
          </cell>
          <cell r="E164">
            <v>119</v>
          </cell>
          <cell r="F164" t="str">
            <v>BF_13.2</v>
          </cell>
          <cell r="G164" t="str">
            <v xml:space="preserve">    Reservas Presupuestales de Funcionamiento Vigencia Anterior</v>
          </cell>
          <cell r="H164">
            <v>0</v>
          </cell>
          <cell r="I164">
            <v>257.60129499999999</v>
          </cell>
        </row>
        <row r="165">
          <cell r="A165" t="str">
            <v>63001-BF_13.3</v>
          </cell>
          <cell r="B165" t="str">
            <v>QUINDIO</v>
          </cell>
          <cell r="C165">
            <v>63001</v>
          </cell>
          <cell r="D165" t="str">
            <v>ARMENIA</v>
          </cell>
          <cell r="E165">
            <v>120</v>
          </cell>
          <cell r="F165" t="str">
            <v>BF_13.3</v>
          </cell>
          <cell r="G165" t="str">
            <v xml:space="preserve">    Reservas Presupuestales de Inversión Vigencia Anterior</v>
          </cell>
          <cell r="H165">
            <v>2955.6129999999998</v>
          </cell>
          <cell r="I165">
            <v>18614.609809000001</v>
          </cell>
        </row>
        <row r="166">
          <cell r="A166" t="str">
            <v>63001-BF_13.4</v>
          </cell>
          <cell r="B166" t="str">
            <v>QUINDIO</v>
          </cell>
          <cell r="C166">
            <v>63001</v>
          </cell>
          <cell r="D166" t="str">
            <v>ARMENIA</v>
          </cell>
          <cell r="E166">
            <v>121</v>
          </cell>
          <cell r="F166" t="str">
            <v>BF_13.4</v>
          </cell>
          <cell r="G166" t="str">
            <v xml:space="preserve">    DEFICIT O SUPERAVIT RESERVAS PRESUPUESTALES</v>
          </cell>
          <cell r="H166">
            <v>12061.130999999999</v>
          </cell>
          <cell r="I166">
            <v>30592.717995999999</v>
          </cell>
        </row>
        <row r="167">
          <cell r="A167" t="str">
            <v>63111-BF_1</v>
          </cell>
          <cell r="B167" t="str">
            <v>QUINDIO</v>
          </cell>
          <cell r="C167">
            <v>63111</v>
          </cell>
          <cell r="D167" t="str">
            <v>BUENAVISTA - QUINDIO</v>
          </cell>
          <cell r="E167">
            <v>1</v>
          </cell>
          <cell r="F167" t="str">
            <v>BF_1</v>
          </cell>
          <cell r="G167" t="str">
            <v>INGRESOS TOTALES</v>
          </cell>
          <cell r="H167">
            <v>6781.8450000000003</v>
          </cell>
          <cell r="I167">
            <v>6064.0784119999998</v>
          </cell>
        </row>
        <row r="168">
          <cell r="A168" t="str">
            <v>63111-BF_1.1</v>
          </cell>
          <cell r="B168" t="str">
            <v>QUINDIO</v>
          </cell>
          <cell r="C168">
            <v>63111</v>
          </cell>
          <cell r="D168" t="str">
            <v>BUENAVISTA - QUINDIO</v>
          </cell>
          <cell r="E168">
            <v>2</v>
          </cell>
          <cell r="F168" t="str">
            <v>BF_1.1</v>
          </cell>
          <cell r="G168" t="str">
            <v xml:space="preserve">    INGRESOS CORRIENTES</v>
          </cell>
          <cell r="H168">
            <v>3728.2049999999999</v>
          </cell>
          <cell r="I168">
            <v>4329.9129350000003</v>
          </cell>
        </row>
        <row r="169">
          <cell r="A169" t="str">
            <v>63111-BF_1.1.1</v>
          </cell>
          <cell r="B169" t="str">
            <v>QUINDIO</v>
          </cell>
          <cell r="C169">
            <v>63111</v>
          </cell>
          <cell r="D169" t="str">
            <v>BUENAVISTA - QUINDIO</v>
          </cell>
          <cell r="E169">
            <v>3</v>
          </cell>
          <cell r="F169" t="str">
            <v>BF_1.1.1</v>
          </cell>
          <cell r="G169" t="str">
            <v xml:space="preserve">        TRIBUTARIOS</v>
          </cell>
          <cell r="H169">
            <v>657.74</v>
          </cell>
          <cell r="I169">
            <v>753.49813400000005</v>
          </cell>
        </row>
        <row r="170">
          <cell r="A170" t="str">
            <v>63111-BF_1.1.1.2</v>
          </cell>
          <cell r="B170" t="str">
            <v>QUINDIO</v>
          </cell>
          <cell r="C170">
            <v>63111</v>
          </cell>
          <cell r="D170" t="str">
            <v>BUENAVISTA - QUINDIO</v>
          </cell>
          <cell r="E170">
            <v>5</v>
          </cell>
          <cell r="F170" t="str">
            <v>BF_1.1.1.2</v>
          </cell>
          <cell r="G170" t="str">
            <v xml:space="preserve">             Impuesto Predial Unificado</v>
          </cell>
          <cell r="H170">
            <v>368.851</v>
          </cell>
          <cell r="I170">
            <v>328.45926900000001</v>
          </cell>
        </row>
        <row r="171">
          <cell r="A171" t="str">
            <v>63111-BF_1.1.1.3</v>
          </cell>
          <cell r="B171" t="str">
            <v>QUINDIO</v>
          </cell>
          <cell r="C171">
            <v>63111</v>
          </cell>
          <cell r="D171" t="str">
            <v>BUENAVISTA - QUINDIO</v>
          </cell>
          <cell r="E171">
            <v>6</v>
          </cell>
          <cell r="F171" t="str">
            <v>BF_1.1.1.3</v>
          </cell>
          <cell r="G171" t="str">
            <v xml:space="preserve">             Impuesto de Industria y Comercio</v>
          </cell>
          <cell r="H171">
            <v>41.606000000000002</v>
          </cell>
          <cell r="I171">
            <v>46.335887999999997</v>
          </cell>
        </row>
        <row r="172">
          <cell r="A172" t="str">
            <v>63111-BF_1.1.1.8</v>
          </cell>
          <cell r="B172" t="str">
            <v>QUINDIO</v>
          </cell>
          <cell r="C172">
            <v>63111</v>
          </cell>
          <cell r="D172" t="str">
            <v>BUENAVISTA - QUINDIO</v>
          </cell>
          <cell r="E172">
            <v>11</v>
          </cell>
          <cell r="F172" t="str">
            <v>BF_1.1.1.8</v>
          </cell>
          <cell r="G172" t="str">
            <v xml:space="preserve">             Sobretasa Consumo Gasolina Motor</v>
          </cell>
          <cell r="H172">
            <v>17.417999999999999</v>
          </cell>
          <cell r="I172">
            <v>25.481999999999999</v>
          </cell>
        </row>
        <row r="173">
          <cell r="A173" t="str">
            <v>63111-BF_1.1.1.9</v>
          </cell>
          <cell r="B173" t="str">
            <v>QUINDIO</v>
          </cell>
          <cell r="C173">
            <v>63111</v>
          </cell>
          <cell r="D173" t="str">
            <v>BUENAVISTA - QUINDIO</v>
          </cell>
          <cell r="E173">
            <v>12</v>
          </cell>
          <cell r="F173" t="str">
            <v>BF_1.1.1.9</v>
          </cell>
          <cell r="G173" t="str">
            <v xml:space="preserve">             Estampillas</v>
          </cell>
          <cell r="H173">
            <v>73.668999999999997</v>
          </cell>
          <cell r="I173">
            <v>138.33799999999999</v>
          </cell>
        </row>
        <row r="174">
          <cell r="A174" t="str">
            <v>63111-BF_1.1.1.12</v>
          </cell>
          <cell r="B174" t="str">
            <v>QUINDIO</v>
          </cell>
          <cell r="C174">
            <v>63111</v>
          </cell>
          <cell r="D174" t="str">
            <v>BUENAVISTA - QUINDIO</v>
          </cell>
          <cell r="E174">
            <v>15</v>
          </cell>
          <cell r="F174" t="str">
            <v>BF_1.1.1.12</v>
          </cell>
          <cell r="G174" t="str">
            <v xml:space="preserve">             Otros Ingresos Tributarios</v>
          </cell>
          <cell r="H174">
            <v>156.196</v>
          </cell>
          <cell r="I174">
            <v>214.88297700000001</v>
          </cell>
        </row>
        <row r="175">
          <cell r="A175" t="str">
            <v>63111-BF_1.1.2</v>
          </cell>
          <cell r="B175" t="str">
            <v>QUINDIO</v>
          </cell>
          <cell r="C175">
            <v>63111</v>
          </cell>
          <cell r="D175" t="str">
            <v>BUENAVISTA - QUINDIO</v>
          </cell>
          <cell r="E175">
            <v>16</v>
          </cell>
          <cell r="F175" t="str">
            <v>BF_1.1.2</v>
          </cell>
          <cell r="G175" t="str">
            <v xml:space="preserve">        NO TRIBUTARIOS</v>
          </cell>
          <cell r="H175">
            <v>125.086</v>
          </cell>
          <cell r="I175">
            <v>162.29559900000001</v>
          </cell>
        </row>
        <row r="176">
          <cell r="A176" t="str">
            <v>63111-BF_1.1.2.1</v>
          </cell>
          <cell r="B176" t="str">
            <v>QUINDIO</v>
          </cell>
          <cell r="C176">
            <v>63111</v>
          </cell>
          <cell r="D176" t="str">
            <v>BUENAVISTA - QUINDIO</v>
          </cell>
          <cell r="E176">
            <v>17</v>
          </cell>
          <cell r="F176" t="str">
            <v>BF_1.1.2.1</v>
          </cell>
          <cell r="G176" t="str">
            <v xml:space="preserve">             Ingresos de la Propiedad: Tasas, Derechos, Multas y Sanciones</v>
          </cell>
          <cell r="H176">
            <v>117.958</v>
          </cell>
          <cell r="I176">
            <v>158.643404</v>
          </cell>
        </row>
        <row r="177">
          <cell r="A177" t="str">
            <v>63111-BF_1.1.2.2</v>
          </cell>
          <cell r="B177" t="str">
            <v>QUINDIO</v>
          </cell>
          <cell r="C177">
            <v>63111</v>
          </cell>
          <cell r="D177" t="str">
            <v>BUENAVISTA - QUINDIO</v>
          </cell>
          <cell r="E177">
            <v>18</v>
          </cell>
          <cell r="F177" t="str">
            <v>BF_1.1.2.2</v>
          </cell>
          <cell r="G177" t="str">
            <v xml:space="preserve">             Otros No Tributarios</v>
          </cell>
          <cell r="H177">
            <v>7.1280000000000001</v>
          </cell>
          <cell r="I177">
            <v>3.6521949999999999</v>
          </cell>
        </row>
        <row r="178">
          <cell r="A178" t="str">
            <v>63111-BF_1.1.3</v>
          </cell>
          <cell r="B178" t="str">
            <v>QUINDIO</v>
          </cell>
          <cell r="C178">
            <v>63111</v>
          </cell>
          <cell r="D178" t="str">
            <v>BUENAVISTA - QUINDIO</v>
          </cell>
          <cell r="E178">
            <v>19</v>
          </cell>
          <cell r="F178" t="str">
            <v>BF_1.1.3</v>
          </cell>
          <cell r="G178" t="str">
            <v xml:space="preserve">        TRANSFERENCIAS</v>
          </cell>
          <cell r="H178">
            <v>2945.3789999999999</v>
          </cell>
          <cell r="I178">
            <v>3414.1192019999999</v>
          </cell>
        </row>
        <row r="179">
          <cell r="A179" t="str">
            <v>63111-BF_1.1.3.1</v>
          </cell>
          <cell r="B179" t="str">
            <v>QUINDIO</v>
          </cell>
          <cell r="C179">
            <v>63111</v>
          </cell>
          <cell r="D179" t="str">
            <v>BUENAVISTA - QUINDIO</v>
          </cell>
          <cell r="E179">
            <v>20</v>
          </cell>
          <cell r="F179" t="str">
            <v>BF_1.1.3.1</v>
          </cell>
          <cell r="G179" t="str">
            <v xml:space="preserve">             Transferencias Para Funcionamiento</v>
          </cell>
          <cell r="H179">
            <v>628.74800000000005</v>
          </cell>
          <cell r="I179">
            <v>707.85597299999995</v>
          </cell>
        </row>
        <row r="180">
          <cell r="A180" t="str">
            <v>63111-BF_1.1.3.1.1</v>
          </cell>
          <cell r="B180" t="str">
            <v>QUINDIO</v>
          </cell>
          <cell r="C180">
            <v>63111</v>
          </cell>
          <cell r="D180" t="str">
            <v>BUENAVISTA - QUINDIO</v>
          </cell>
          <cell r="E180">
            <v>21</v>
          </cell>
          <cell r="F180" t="str">
            <v>BF_1.1.3.1.1</v>
          </cell>
          <cell r="G180" t="str">
            <v xml:space="preserve">                 Del Nivel Nacional</v>
          </cell>
          <cell r="H180">
            <v>624.37400000000002</v>
          </cell>
          <cell r="I180">
            <v>701.32275600000003</v>
          </cell>
        </row>
        <row r="181">
          <cell r="A181" t="str">
            <v>63111-BF_1.1.3.1.1.1</v>
          </cell>
          <cell r="B181" t="str">
            <v>QUINDIO</v>
          </cell>
          <cell r="C181">
            <v>63111</v>
          </cell>
          <cell r="D181" t="str">
            <v>BUENAVISTA - QUINDIO</v>
          </cell>
          <cell r="E181">
            <v>22</v>
          </cell>
          <cell r="F181" t="str">
            <v>BF_1.1.3.1.1.1</v>
          </cell>
          <cell r="G181" t="str">
            <v xml:space="preserve">                     Sistema General de Participaciones - Propósito General - Libre destinación - Municipios categorías 4, 5 y 6</v>
          </cell>
          <cell r="H181">
            <v>624.37400000000002</v>
          </cell>
          <cell r="I181">
            <v>701.32275600000003</v>
          </cell>
        </row>
        <row r="182">
          <cell r="A182" t="str">
            <v>63111-BF_1.1.3.1.2</v>
          </cell>
          <cell r="B182" t="str">
            <v>QUINDIO</v>
          </cell>
          <cell r="C182">
            <v>63111</v>
          </cell>
          <cell r="D182" t="str">
            <v>BUENAVISTA - QUINDIO</v>
          </cell>
          <cell r="E182">
            <v>24</v>
          </cell>
          <cell r="F182" t="str">
            <v>BF_1.1.3.1.2</v>
          </cell>
          <cell r="G182" t="str">
            <v xml:space="preserve">                 Del Nivel Departamental</v>
          </cell>
          <cell r="H182">
            <v>4.3739999999999997</v>
          </cell>
          <cell r="I182">
            <v>6.5332169999999996</v>
          </cell>
        </row>
        <row r="183">
          <cell r="A183" t="str">
            <v>63111-BF_1.1.3.1.2.1</v>
          </cell>
          <cell r="B183" t="str">
            <v>QUINDIO</v>
          </cell>
          <cell r="C183">
            <v>63111</v>
          </cell>
          <cell r="D183" t="str">
            <v>BUENAVISTA - QUINDIO</v>
          </cell>
          <cell r="E183">
            <v>25</v>
          </cell>
          <cell r="F183" t="str">
            <v>BF_1.1.3.1.2.1</v>
          </cell>
          <cell r="G183" t="str">
            <v xml:space="preserve">                     De Vehículos Automotores</v>
          </cell>
          <cell r="H183">
            <v>4.3739999999999997</v>
          </cell>
          <cell r="I183">
            <v>6.5332169999999996</v>
          </cell>
        </row>
        <row r="184">
          <cell r="A184" t="str">
            <v>63111-BF_1.1.3.2</v>
          </cell>
          <cell r="B184" t="str">
            <v>QUINDIO</v>
          </cell>
          <cell r="C184">
            <v>63111</v>
          </cell>
          <cell r="D184" t="str">
            <v>BUENAVISTA - QUINDIO</v>
          </cell>
          <cell r="E184">
            <v>28</v>
          </cell>
          <cell r="F184" t="str">
            <v>BF_1.1.3.2</v>
          </cell>
          <cell r="G184" t="str">
            <v xml:space="preserve">             Transferencias Para Inversión</v>
          </cell>
          <cell r="H184">
            <v>2316.6309999999999</v>
          </cell>
          <cell r="I184">
            <v>2706.2632290000001</v>
          </cell>
        </row>
        <row r="185">
          <cell r="A185" t="str">
            <v>63111-BF_1.1.3.2.1</v>
          </cell>
          <cell r="B185" t="str">
            <v>QUINDIO</v>
          </cell>
          <cell r="C185">
            <v>63111</v>
          </cell>
          <cell r="D185" t="str">
            <v>BUENAVISTA - QUINDIO</v>
          </cell>
          <cell r="E185">
            <v>29</v>
          </cell>
          <cell r="F185" t="str">
            <v>BF_1.1.3.2.1</v>
          </cell>
          <cell r="G185" t="str">
            <v xml:space="preserve">                 Del Nivel Nacional</v>
          </cell>
          <cell r="H185">
            <v>2316.6309999999999</v>
          </cell>
          <cell r="I185">
            <v>2706.2632290000001</v>
          </cell>
        </row>
        <row r="186">
          <cell r="A186" t="str">
            <v>63111-BF_1.1.3.2.1.1</v>
          </cell>
          <cell r="B186" t="str">
            <v>QUINDIO</v>
          </cell>
          <cell r="C186">
            <v>63111</v>
          </cell>
          <cell r="D186" t="str">
            <v>BUENAVISTA - QUINDIO</v>
          </cell>
          <cell r="E186">
            <v>30</v>
          </cell>
          <cell r="F186" t="str">
            <v>BF_1.1.3.2.1.1</v>
          </cell>
          <cell r="G186" t="str">
            <v xml:space="preserve">                     Sistema General de Participaciones</v>
          </cell>
          <cell r="H186">
            <v>1720.3320000000001</v>
          </cell>
          <cell r="I186">
            <v>1842.5904849999999</v>
          </cell>
        </row>
        <row r="187">
          <cell r="A187" t="str">
            <v>63111-BF_1.1.3.2.1.1.1</v>
          </cell>
          <cell r="B187" t="str">
            <v>QUINDIO</v>
          </cell>
          <cell r="C187">
            <v>63111</v>
          </cell>
          <cell r="D187" t="str">
            <v>BUENAVISTA - QUINDIO</v>
          </cell>
          <cell r="E187">
            <v>31</v>
          </cell>
          <cell r="F187" t="str">
            <v>BF_1.1.3.2.1.1.1</v>
          </cell>
          <cell r="G187" t="str">
            <v xml:space="preserve">                         Sistema General de Participaciones - Educación</v>
          </cell>
          <cell r="H187">
            <v>99.55</v>
          </cell>
          <cell r="I187">
            <v>98.573594</v>
          </cell>
        </row>
        <row r="188">
          <cell r="A188" t="str">
            <v>63111-BF_1.1.3.2.1.1.2</v>
          </cell>
          <cell r="B188" t="str">
            <v>QUINDIO</v>
          </cell>
          <cell r="C188">
            <v>63111</v>
          </cell>
          <cell r="D188" t="str">
            <v>BUENAVISTA - QUINDIO</v>
          </cell>
          <cell r="E188">
            <v>32</v>
          </cell>
          <cell r="F188" t="str">
            <v>BF_1.1.3.2.1.1.2</v>
          </cell>
          <cell r="G188" t="str">
            <v xml:space="preserve">                         Sistema General de Participaciones - Salud</v>
          </cell>
          <cell r="H188">
            <v>567.10599999999999</v>
          </cell>
          <cell r="I188">
            <v>540.11984600000005</v>
          </cell>
        </row>
        <row r="189">
          <cell r="A189" t="str">
            <v>63111-BF_1.1.3.2.1.1.3</v>
          </cell>
          <cell r="B189" t="str">
            <v>QUINDIO</v>
          </cell>
          <cell r="C189">
            <v>63111</v>
          </cell>
          <cell r="D189" t="str">
            <v>BUENAVISTA - QUINDIO</v>
          </cell>
          <cell r="E189">
            <v>33</v>
          </cell>
          <cell r="F189" t="str">
            <v>BF_1.1.3.2.1.1.3</v>
          </cell>
          <cell r="G189" t="str">
            <v xml:space="preserve">                         Sistema General de Participaciones - Agua Potable y Saneamiento Básico</v>
          </cell>
          <cell r="H189">
            <v>227.69200000000001</v>
          </cell>
          <cell r="I189">
            <v>225.975075</v>
          </cell>
        </row>
        <row r="190">
          <cell r="A190" t="str">
            <v>63111-BF_1.1.3.2.1.1.4</v>
          </cell>
          <cell r="B190" t="str">
            <v>QUINDIO</v>
          </cell>
          <cell r="C190">
            <v>63111</v>
          </cell>
          <cell r="D190" t="str">
            <v>BUENAVISTA - QUINDIO</v>
          </cell>
          <cell r="E190">
            <v>34</v>
          </cell>
          <cell r="F190" t="str">
            <v>BF_1.1.3.2.1.1.4</v>
          </cell>
          <cell r="G190" t="str">
            <v xml:space="preserve">                         Sistema General de Participaciones - Propósito General - Forzosa Inversión</v>
          </cell>
          <cell r="H190">
            <v>810.34299999999996</v>
          </cell>
          <cell r="I190">
            <v>968.49333300000001</v>
          </cell>
        </row>
        <row r="191">
          <cell r="A191" t="str">
            <v>63111-BF_1.1.3.2.1.1.5</v>
          </cell>
          <cell r="B191" t="str">
            <v>QUINDIO</v>
          </cell>
          <cell r="C191">
            <v>63111</v>
          </cell>
          <cell r="D191" t="str">
            <v>BUENAVISTA - QUINDIO</v>
          </cell>
          <cell r="E191">
            <v>35</v>
          </cell>
          <cell r="F191" t="str">
            <v>BF_1.1.3.2.1.1.5</v>
          </cell>
          <cell r="G191" t="str">
            <v xml:space="preserve">                         Otras del Sistema General de Participaciones</v>
          </cell>
          <cell r="H191">
            <v>15.641</v>
          </cell>
          <cell r="I191">
            <v>9.4286370000000002</v>
          </cell>
        </row>
        <row r="192">
          <cell r="A192" t="str">
            <v>63111-BF_1.1.3.2.1.2</v>
          </cell>
          <cell r="B192" t="str">
            <v>QUINDIO</v>
          </cell>
          <cell r="C192">
            <v>63111</v>
          </cell>
          <cell r="D192" t="str">
            <v>BUENAVISTA - QUINDIO</v>
          </cell>
          <cell r="E192">
            <v>36</v>
          </cell>
          <cell r="F192" t="str">
            <v>BF_1.1.3.2.1.2</v>
          </cell>
          <cell r="G192" t="str">
            <v xml:space="preserve">                     FOSYGA y COLJUEGOS</v>
          </cell>
          <cell r="H192">
            <v>523.87400000000002</v>
          </cell>
          <cell r="I192">
            <v>603.57554600000003</v>
          </cell>
        </row>
        <row r="193">
          <cell r="A193" t="str">
            <v>63111-BF_1.1.3.2.1.3</v>
          </cell>
          <cell r="B193" t="str">
            <v>QUINDIO</v>
          </cell>
          <cell r="C193">
            <v>63111</v>
          </cell>
          <cell r="D193" t="str">
            <v>BUENAVISTA - QUINDIO</v>
          </cell>
          <cell r="E193">
            <v>37</v>
          </cell>
          <cell r="F193" t="str">
            <v>BF_1.1.3.2.1.3</v>
          </cell>
          <cell r="G193" t="str">
            <v xml:space="preserve">                     Otras Transferencias de la Nación</v>
          </cell>
          <cell r="H193">
            <v>72.424999999999997</v>
          </cell>
          <cell r="I193">
            <v>260.09719799999999</v>
          </cell>
        </row>
        <row r="194">
          <cell r="A194" t="str">
            <v>63111-BF_2</v>
          </cell>
          <cell r="B194" t="str">
            <v>QUINDIO</v>
          </cell>
          <cell r="C194">
            <v>63111</v>
          </cell>
          <cell r="D194" t="str">
            <v>BUENAVISTA - QUINDIO</v>
          </cell>
          <cell r="E194">
            <v>43</v>
          </cell>
          <cell r="F194" t="str">
            <v>BF_2</v>
          </cell>
          <cell r="G194" t="str">
            <v>GASTOS  TOTALES</v>
          </cell>
          <cell r="H194">
            <v>4138.5680000000002</v>
          </cell>
          <cell r="I194">
            <v>5942.2444654499996</v>
          </cell>
        </row>
        <row r="195">
          <cell r="A195" t="str">
            <v>63111-BF_2.1</v>
          </cell>
          <cell r="B195" t="str">
            <v>QUINDIO</v>
          </cell>
          <cell r="C195">
            <v>63111</v>
          </cell>
          <cell r="D195" t="str">
            <v>BUENAVISTA - QUINDIO</v>
          </cell>
          <cell r="E195">
            <v>44</v>
          </cell>
          <cell r="F195" t="str">
            <v>BF_2.1</v>
          </cell>
          <cell r="G195" t="str">
            <v xml:space="preserve">    GASTOS CORRIENTES</v>
          </cell>
          <cell r="H195">
            <v>2920.6219999999998</v>
          </cell>
          <cell r="I195">
            <v>3820.0759804499999</v>
          </cell>
        </row>
        <row r="196">
          <cell r="A196" t="str">
            <v>63111-BF_2.1.1</v>
          </cell>
          <cell r="B196" t="str">
            <v>QUINDIO</v>
          </cell>
          <cell r="C196">
            <v>63111</v>
          </cell>
          <cell r="D196" t="str">
            <v>BUENAVISTA - QUINDIO</v>
          </cell>
          <cell r="E196">
            <v>45</v>
          </cell>
          <cell r="F196" t="str">
            <v>BF_2.1.1</v>
          </cell>
          <cell r="G196" t="str">
            <v xml:space="preserve">        FUNCIONAMIENTO</v>
          </cell>
          <cell r="H196">
            <v>931.56200000000001</v>
          </cell>
          <cell r="I196">
            <v>972.04331023999998</v>
          </cell>
        </row>
        <row r="197">
          <cell r="A197" t="str">
            <v>63111-BF_2.1.1.1</v>
          </cell>
          <cell r="B197" t="str">
            <v>QUINDIO</v>
          </cell>
          <cell r="C197">
            <v>63111</v>
          </cell>
          <cell r="D197" t="str">
            <v>BUENAVISTA - QUINDIO</v>
          </cell>
          <cell r="E197">
            <v>46</v>
          </cell>
          <cell r="F197" t="str">
            <v>BF_2.1.1.1</v>
          </cell>
          <cell r="G197" t="str">
            <v xml:space="preserve">             Gastos de Personal  </v>
          </cell>
          <cell r="H197">
            <v>542.226</v>
          </cell>
          <cell r="I197">
            <v>605.77133700000002</v>
          </cell>
        </row>
        <row r="198">
          <cell r="A198" t="str">
            <v>63111-BF_2.1.1.2</v>
          </cell>
          <cell r="B198" t="str">
            <v>QUINDIO</v>
          </cell>
          <cell r="C198">
            <v>63111</v>
          </cell>
          <cell r="D198" t="str">
            <v>BUENAVISTA - QUINDIO</v>
          </cell>
          <cell r="E198">
            <v>47</v>
          </cell>
          <cell r="F198" t="str">
            <v>BF_2.1.1.2</v>
          </cell>
          <cell r="G198" t="str">
            <v xml:space="preserve">             Gastos Generales</v>
          </cell>
          <cell r="H198">
            <v>175.47499999999999</v>
          </cell>
          <cell r="I198">
            <v>138.29664524</v>
          </cell>
        </row>
        <row r="199">
          <cell r="A199" t="str">
            <v>63111-BF_2.1.1.3</v>
          </cell>
          <cell r="B199" t="str">
            <v>QUINDIO</v>
          </cell>
          <cell r="C199">
            <v>63111</v>
          </cell>
          <cell r="D199" t="str">
            <v>BUENAVISTA - QUINDIO</v>
          </cell>
          <cell r="E199">
            <v>48</v>
          </cell>
          <cell r="F199" t="str">
            <v>BF_2.1.1.3</v>
          </cell>
          <cell r="G199" t="str">
            <v xml:space="preserve">             Transferencias</v>
          </cell>
          <cell r="H199">
            <v>213.86099999999999</v>
          </cell>
          <cell r="I199">
            <v>227.97532799999999</v>
          </cell>
        </row>
        <row r="200">
          <cell r="A200" t="str">
            <v>63111-BF_2.1.1.3.1</v>
          </cell>
          <cell r="B200" t="str">
            <v>QUINDIO</v>
          </cell>
          <cell r="C200">
            <v>63111</v>
          </cell>
          <cell r="D200" t="str">
            <v>BUENAVISTA - QUINDIO</v>
          </cell>
          <cell r="E200">
            <v>49</v>
          </cell>
          <cell r="F200" t="str">
            <v>BF_2.1.1.3.1</v>
          </cell>
          <cell r="G200" t="str">
            <v xml:space="preserve">                 Pensiones</v>
          </cell>
          <cell r="H200">
            <v>17.353000000000002</v>
          </cell>
          <cell r="I200">
            <v>19.893173999999998</v>
          </cell>
        </row>
        <row r="201">
          <cell r="A201" t="str">
            <v>63111-BF_2.1.1.3.4</v>
          </cell>
          <cell r="B201" t="str">
            <v>QUINDIO</v>
          </cell>
          <cell r="C201">
            <v>63111</v>
          </cell>
          <cell r="D201" t="str">
            <v>BUENAVISTA - QUINDIO</v>
          </cell>
          <cell r="E201">
            <v>52</v>
          </cell>
          <cell r="F201" t="str">
            <v>BF_2.1.1.3.4</v>
          </cell>
          <cell r="G201" t="str">
            <v xml:space="preserve">                 A Organismos de Control</v>
          </cell>
          <cell r="H201">
            <v>196.50800000000001</v>
          </cell>
          <cell r="I201">
            <v>207.68253100000001</v>
          </cell>
        </row>
        <row r="202">
          <cell r="A202" t="str">
            <v>63111-BF_2.1.1.3.7</v>
          </cell>
          <cell r="B202" t="str">
            <v>QUINDIO</v>
          </cell>
          <cell r="C202">
            <v>63111</v>
          </cell>
          <cell r="D202" t="str">
            <v>BUENAVISTA - QUINDIO</v>
          </cell>
          <cell r="E202">
            <v>55</v>
          </cell>
          <cell r="F202" t="str">
            <v>BF_2.1.1.3.7</v>
          </cell>
          <cell r="G202" t="str">
            <v xml:space="preserve">                 Otras Transferencias</v>
          </cell>
          <cell r="H202">
            <v>0</v>
          </cell>
          <cell r="I202">
            <v>0.39962300000000001</v>
          </cell>
        </row>
        <row r="203">
          <cell r="A203" t="str">
            <v>63111-BF_2.1.2</v>
          </cell>
          <cell r="B203" t="str">
            <v>QUINDIO</v>
          </cell>
          <cell r="C203">
            <v>63111</v>
          </cell>
          <cell r="D203" t="str">
            <v>BUENAVISTA - QUINDIO</v>
          </cell>
          <cell r="E203">
            <v>59</v>
          </cell>
          <cell r="F203" t="str">
            <v>BF_2.1.2</v>
          </cell>
          <cell r="G203" t="str">
            <v xml:space="preserve">        PAGO DE BONOS PENSIONALES Y CUOTAS PARTES DE BONO PENSIONAL</v>
          </cell>
          <cell r="H203">
            <v>0</v>
          </cell>
          <cell r="I203">
            <v>17.298552999999998</v>
          </cell>
        </row>
        <row r="204">
          <cell r="A204" t="str">
            <v>63111-BF_2.1.4</v>
          </cell>
          <cell r="B204" t="str">
            <v>QUINDIO</v>
          </cell>
          <cell r="C204">
            <v>63111</v>
          </cell>
          <cell r="D204" t="str">
            <v>BUENAVISTA - QUINDIO</v>
          </cell>
          <cell r="E204">
            <v>61</v>
          </cell>
          <cell r="F204" t="str">
            <v>BF_2.1.4</v>
          </cell>
          <cell r="G204" t="str">
            <v xml:space="preserve">        GASTOS OPERATIVOS EN SECTORES SOCIALES (Remuneración al Trabajo, Prestaciones, y Subsidios en Sectores de Inversión)</v>
          </cell>
          <cell r="H204">
            <v>1989.06</v>
          </cell>
          <cell r="I204">
            <v>2830.73411721</v>
          </cell>
        </row>
        <row r="205">
          <cell r="A205" t="str">
            <v>63111-BF_2.1.4.1</v>
          </cell>
          <cell r="B205" t="str">
            <v>QUINDIO</v>
          </cell>
          <cell r="C205">
            <v>63111</v>
          </cell>
          <cell r="D205" t="str">
            <v>BUENAVISTA - QUINDIO</v>
          </cell>
          <cell r="E205">
            <v>62</v>
          </cell>
          <cell r="F205" t="str">
            <v>BF_2.1.4.1</v>
          </cell>
          <cell r="G205" t="str">
            <v xml:space="preserve">             Educación</v>
          </cell>
          <cell r="H205">
            <v>233.70599999999999</v>
          </cell>
          <cell r="I205">
            <v>233.30660399999999</v>
          </cell>
        </row>
        <row r="206">
          <cell r="A206" t="str">
            <v>63111-BF_2.1.4.2</v>
          </cell>
          <cell r="B206" t="str">
            <v>QUINDIO</v>
          </cell>
          <cell r="C206">
            <v>63111</v>
          </cell>
          <cell r="D206" t="str">
            <v>BUENAVISTA - QUINDIO</v>
          </cell>
          <cell r="E206">
            <v>63</v>
          </cell>
          <cell r="F206" t="str">
            <v>BF_2.1.4.2</v>
          </cell>
          <cell r="G206" t="str">
            <v xml:space="preserve">             Salud</v>
          </cell>
          <cell r="H206">
            <v>1362.384</v>
          </cell>
          <cell r="I206">
            <v>1542.2509239999999</v>
          </cell>
        </row>
        <row r="207">
          <cell r="A207" t="str">
            <v>63111-BF_2.1.4.3</v>
          </cell>
          <cell r="B207" t="str">
            <v>QUINDIO</v>
          </cell>
          <cell r="C207">
            <v>63111</v>
          </cell>
          <cell r="D207" t="str">
            <v>BUENAVISTA - QUINDIO</v>
          </cell>
          <cell r="E207">
            <v>64</v>
          </cell>
          <cell r="F207" t="str">
            <v>BF_2.1.4.3</v>
          </cell>
          <cell r="G207" t="str">
            <v xml:space="preserve">             Agua Potable y Saneamiento Básico</v>
          </cell>
          <cell r="H207">
            <v>83.498999999999995</v>
          </cell>
          <cell r="I207">
            <v>81.691935999999998</v>
          </cell>
        </row>
        <row r="208">
          <cell r="A208" t="str">
            <v>63111-BF_2.1.4.4</v>
          </cell>
          <cell r="B208" t="str">
            <v>QUINDIO</v>
          </cell>
          <cell r="C208">
            <v>63111</v>
          </cell>
          <cell r="D208" t="str">
            <v>BUENAVISTA - QUINDIO</v>
          </cell>
          <cell r="E208">
            <v>65</v>
          </cell>
          <cell r="F208" t="str">
            <v>BF_2.1.4.4</v>
          </cell>
          <cell r="G208" t="str">
            <v xml:space="preserve">             Vivienda</v>
          </cell>
          <cell r="H208">
            <v>79.662999999999997</v>
          </cell>
          <cell r="I208">
            <v>0</v>
          </cell>
        </row>
        <row r="209">
          <cell r="A209" t="str">
            <v>63111-BF_2.1.4.5</v>
          </cell>
          <cell r="B209" t="str">
            <v>QUINDIO</v>
          </cell>
          <cell r="C209">
            <v>63111</v>
          </cell>
          <cell r="D209" t="str">
            <v>BUENAVISTA - QUINDIO</v>
          </cell>
          <cell r="E209">
            <v>66</v>
          </cell>
          <cell r="F209" t="str">
            <v>BF_2.1.4.5</v>
          </cell>
          <cell r="G209" t="str">
            <v xml:space="preserve">             Otros Sectores</v>
          </cell>
          <cell r="H209">
            <v>229.80799999999999</v>
          </cell>
          <cell r="I209">
            <v>973.48465321000003</v>
          </cell>
        </row>
        <row r="210">
          <cell r="A210" t="str">
            <v>63111-BF_3</v>
          </cell>
          <cell r="B210" t="str">
            <v>QUINDIO</v>
          </cell>
          <cell r="C210">
            <v>63111</v>
          </cell>
          <cell r="D210" t="str">
            <v>BUENAVISTA - QUINDIO</v>
          </cell>
          <cell r="E210">
            <v>70</v>
          </cell>
          <cell r="F210" t="str">
            <v>BF_3</v>
          </cell>
          <cell r="G210" t="str">
            <v>DÉFICIT O AHORRO CORRIENTE</v>
          </cell>
          <cell r="H210">
            <v>807.58299999999997</v>
          </cell>
          <cell r="I210">
            <v>509.83695454999997</v>
          </cell>
        </row>
        <row r="211">
          <cell r="A211" t="str">
            <v>63111-BF_4</v>
          </cell>
          <cell r="B211" t="str">
            <v>QUINDIO</v>
          </cell>
          <cell r="C211">
            <v>63111</v>
          </cell>
          <cell r="D211" t="str">
            <v>BUENAVISTA - QUINDIO</v>
          </cell>
          <cell r="E211">
            <v>71</v>
          </cell>
          <cell r="F211" t="str">
            <v>BF_4</v>
          </cell>
          <cell r="G211" t="str">
            <v>INGRESOS DE CAPITAL</v>
          </cell>
          <cell r="H211">
            <v>3053.64</v>
          </cell>
          <cell r="I211">
            <v>1734.165477</v>
          </cell>
        </row>
        <row r="212">
          <cell r="A212" t="str">
            <v>63111-BF_4.1</v>
          </cell>
          <cell r="B212" t="str">
            <v>QUINDIO</v>
          </cell>
          <cell r="C212">
            <v>63111</v>
          </cell>
          <cell r="D212" t="str">
            <v>BUENAVISTA - QUINDIO</v>
          </cell>
          <cell r="E212">
            <v>72</v>
          </cell>
          <cell r="F212" t="str">
            <v>BF_4.1</v>
          </cell>
          <cell r="G212" t="str">
            <v xml:space="preserve">    Cofinanciación</v>
          </cell>
          <cell r="H212">
            <v>323.30099999999999</v>
          </cell>
          <cell r="I212">
            <v>273.86922600000003</v>
          </cell>
        </row>
        <row r="213">
          <cell r="A213" t="str">
            <v>63111-BF_4.4</v>
          </cell>
          <cell r="B213" t="str">
            <v>QUINDIO</v>
          </cell>
          <cell r="C213">
            <v>63111</v>
          </cell>
          <cell r="D213" t="str">
            <v>BUENAVISTA - QUINDIO</v>
          </cell>
          <cell r="E213">
            <v>75</v>
          </cell>
          <cell r="F213" t="str">
            <v>BF_4.4</v>
          </cell>
          <cell r="G213" t="str">
            <v xml:space="preserve">    Rendimientos Financieros</v>
          </cell>
          <cell r="H213">
            <v>14.722</v>
          </cell>
          <cell r="I213">
            <v>12.600463</v>
          </cell>
        </row>
        <row r="214">
          <cell r="A214" t="str">
            <v>63111-BF_4.5</v>
          </cell>
          <cell r="B214" t="str">
            <v>QUINDIO</v>
          </cell>
          <cell r="C214">
            <v>63111</v>
          </cell>
          <cell r="D214" t="str">
            <v>BUENAVISTA - QUINDIO</v>
          </cell>
          <cell r="E214">
            <v>76</v>
          </cell>
          <cell r="F214" t="str">
            <v>BF_4.5</v>
          </cell>
          <cell r="G214" t="str">
            <v xml:space="preserve">    Excedentes Financieros</v>
          </cell>
          <cell r="H214">
            <v>2.3199999999999998</v>
          </cell>
          <cell r="I214">
            <v>1.8628629999999999</v>
          </cell>
        </row>
        <row r="215">
          <cell r="A215" t="str">
            <v>63111-BF_4.6</v>
          </cell>
          <cell r="B215" t="str">
            <v>QUINDIO</v>
          </cell>
          <cell r="C215">
            <v>63111</v>
          </cell>
          <cell r="D215" t="str">
            <v>BUENAVISTA - QUINDIO</v>
          </cell>
          <cell r="E215">
            <v>77</v>
          </cell>
          <cell r="F215" t="str">
            <v>BF_4.6</v>
          </cell>
          <cell r="G215" t="str">
            <v xml:space="preserve">    Desahorro FONPET</v>
          </cell>
          <cell r="H215">
            <v>2694.1729999999998</v>
          </cell>
          <cell r="I215">
            <v>1445.032925</v>
          </cell>
        </row>
        <row r="216">
          <cell r="A216" t="str">
            <v>63111-BF_4.6.3</v>
          </cell>
          <cell r="B216" t="str">
            <v>QUINDIO</v>
          </cell>
          <cell r="C216">
            <v>63111</v>
          </cell>
          <cell r="D216" t="str">
            <v>BUENAVISTA - QUINDIO</v>
          </cell>
          <cell r="E216">
            <v>80</v>
          </cell>
          <cell r="F216" t="str">
            <v>BF_4.6.3</v>
          </cell>
          <cell r="G216" t="str">
            <v xml:space="preserve">    Propósito General</v>
          </cell>
          <cell r="H216">
            <v>2666.085</v>
          </cell>
          <cell r="I216">
            <v>1434.4861579999999</v>
          </cell>
        </row>
        <row r="217">
          <cell r="A217" t="str">
            <v>63111-BF_4.6.4</v>
          </cell>
          <cell r="B217" t="str">
            <v>QUINDIO</v>
          </cell>
          <cell r="C217">
            <v>63111</v>
          </cell>
          <cell r="D217" t="str">
            <v>BUENAVISTA - QUINDIO</v>
          </cell>
          <cell r="E217">
            <v>81</v>
          </cell>
          <cell r="F217" t="str">
            <v>BF_4.6.4</v>
          </cell>
          <cell r="G217" t="str">
            <v xml:space="preserve">    Otros Desahorros y Retiros (Cuotas partes, Bonos y Devoluciones)</v>
          </cell>
          <cell r="H217">
            <v>28.088000000000001</v>
          </cell>
          <cell r="I217">
            <v>10.546766999999999</v>
          </cell>
        </row>
        <row r="218">
          <cell r="A218" t="str">
            <v>63111-BF_4.7</v>
          </cell>
          <cell r="B218" t="str">
            <v>QUINDIO</v>
          </cell>
          <cell r="C218">
            <v>63111</v>
          </cell>
          <cell r="D218" t="str">
            <v>BUENAVISTA - QUINDIO</v>
          </cell>
          <cell r="E218">
            <v>82</v>
          </cell>
          <cell r="F218" t="str">
            <v>BF_4.7</v>
          </cell>
          <cell r="G218" t="str">
            <v xml:space="preserve">    Otros Recursos de Capital (Donaciones, Aprovechamientos y Otros)</v>
          </cell>
          <cell r="H218">
            <v>19.123999999999999</v>
          </cell>
          <cell r="I218">
            <v>0.8</v>
          </cell>
        </row>
        <row r="219">
          <cell r="A219" t="str">
            <v>63111-BF_5</v>
          </cell>
          <cell r="B219" t="str">
            <v>QUINDIO</v>
          </cell>
          <cell r="C219">
            <v>63111</v>
          </cell>
          <cell r="D219" t="str">
            <v>BUENAVISTA - QUINDIO</v>
          </cell>
          <cell r="E219">
            <v>83</v>
          </cell>
          <cell r="F219" t="str">
            <v>BF_5</v>
          </cell>
          <cell r="G219" t="str">
            <v>GASTOS DE CAPITAL</v>
          </cell>
          <cell r="H219">
            <v>1217.9459999999999</v>
          </cell>
          <cell r="I219">
            <v>2122.1684850000001</v>
          </cell>
        </row>
        <row r="220">
          <cell r="A220" t="str">
            <v>63111-BF_5.1</v>
          </cell>
          <cell r="B220" t="str">
            <v>QUINDIO</v>
          </cell>
          <cell r="C220">
            <v>63111</v>
          </cell>
          <cell r="D220" t="str">
            <v>BUENAVISTA - QUINDIO</v>
          </cell>
          <cell r="E220">
            <v>84</v>
          </cell>
          <cell r="F220" t="str">
            <v>BF_5.1</v>
          </cell>
          <cell r="G220" t="str">
            <v xml:space="preserve">    Formación Bruta de Capital (Construcción, Reparación, Mantenimiento, Preinversión, Otros)</v>
          </cell>
          <cell r="H220">
            <v>1200.575</v>
          </cell>
          <cell r="I220">
            <v>2117.2019409999998</v>
          </cell>
        </row>
        <row r="221">
          <cell r="A221" t="str">
            <v>63111-BF_5.1.1</v>
          </cell>
          <cell r="B221" t="str">
            <v>QUINDIO</v>
          </cell>
          <cell r="C221">
            <v>63111</v>
          </cell>
          <cell r="D221" t="str">
            <v>BUENAVISTA - QUINDIO</v>
          </cell>
          <cell r="E221">
            <v>85</v>
          </cell>
          <cell r="F221" t="str">
            <v>BF_5.1.1</v>
          </cell>
          <cell r="G221" t="str">
            <v xml:space="preserve">        Educación</v>
          </cell>
          <cell r="H221">
            <v>0</v>
          </cell>
          <cell r="I221">
            <v>4.1211520000000004</v>
          </cell>
        </row>
        <row r="222">
          <cell r="A222" t="str">
            <v>63111-BF_5.1.2</v>
          </cell>
          <cell r="B222" t="str">
            <v>QUINDIO</v>
          </cell>
          <cell r="C222">
            <v>63111</v>
          </cell>
          <cell r="D222" t="str">
            <v>BUENAVISTA - QUINDIO</v>
          </cell>
          <cell r="E222">
            <v>86</v>
          </cell>
          <cell r="F222" t="str">
            <v>BF_5.1.2</v>
          </cell>
          <cell r="G222" t="str">
            <v xml:space="preserve">        Salud</v>
          </cell>
          <cell r="H222">
            <v>0</v>
          </cell>
          <cell r="I222">
            <v>140.5</v>
          </cell>
        </row>
        <row r="223">
          <cell r="A223" t="str">
            <v>63111-BF_5.1.3</v>
          </cell>
          <cell r="B223" t="str">
            <v>QUINDIO</v>
          </cell>
          <cell r="C223">
            <v>63111</v>
          </cell>
          <cell r="D223" t="str">
            <v>BUENAVISTA - QUINDIO</v>
          </cell>
          <cell r="E223">
            <v>87</v>
          </cell>
          <cell r="F223" t="str">
            <v>BF_5.1.3</v>
          </cell>
          <cell r="G223" t="str">
            <v xml:space="preserve">        Agua Potable</v>
          </cell>
          <cell r="H223">
            <v>140.94800000000001</v>
          </cell>
          <cell r="I223">
            <v>137.77943300000001</v>
          </cell>
        </row>
        <row r="224">
          <cell r="A224" t="str">
            <v>63111-BF_5.1.5</v>
          </cell>
          <cell r="B224" t="str">
            <v>QUINDIO</v>
          </cell>
          <cell r="C224">
            <v>63111</v>
          </cell>
          <cell r="D224" t="str">
            <v>BUENAVISTA - QUINDIO</v>
          </cell>
          <cell r="E224">
            <v>89</v>
          </cell>
          <cell r="F224" t="str">
            <v>BF_5.1.5</v>
          </cell>
          <cell r="G224" t="str">
            <v xml:space="preserve">        Vías</v>
          </cell>
          <cell r="H224">
            <v>173.815</v>
          </cell>
          <cell r="I224">
            <v>562.76998200000003</v>
          </cell>
        </row>
        <row r="225">
          <cell r="A225" t="str">
            <v>63111-BF_5.1.6</v>
          </cell>
          <cell r="B225" t="str">
            <v>QUINDIO</v>
          </cell>
          <cell r="C225">
            <v>63111</v>
          </cell>
          <cell r="D225" t="str">
            <v>BUENAVISTA - QUINDIO</v>
          </cell>
          <cell r="E225">
            <v>90</v>
          </cell>
          <cell r="F225" t="str">
            <v>BF_5.1.6</v>
          </cell>
          <cell r="G225" t="str">
            <v xml:space="preserve">        Otros Sectores</v>
          </cell>
          <cell r="H225">
            <v>885.81200000000001</v>
          </cell>
          <cell r="I225">
            <v>1272.0313739999999</v>
          </cell>
        </row>
        <row r="226">
          <cell r="A226" t="str">
            <v>63111-BF_5.2</v>
          </cell>
          <cell r="B226" t="str">
            <v>QUINDIO</v>
          </cell>
          <cell r="C226">
            <v>63111</v>
          </cell>
          <cell r="D226" t="str">
            <v>BUENAVISTA - QUINDIO</v>
          </cell>
          <cell r="E226">
            <v>91</v>
          </cell>
          <cell r="F226" t="str">
            <v>BF_5.2</v>
          </cell>
          <cell r="G226" t="str">
            <v xml:space="preserve">    Déficit Fiscal de Vigencias Anteriores por Inversión</v>
          </cell>
          <cell r="H226">
            <v>17.370999999999999</v>
          </cell>
          <cell r="I226">
            <v>4.9665439999999998</v>
          </cell>
        </row>
        <row r="227">
          <cell r="A227" t="str">
            <v>63111-BF_6</v>
          </cell>
          <cell r="B227" t="str">
            <v>QUINDIO</v>
          </cell>
          <cell r="C227">
            <v>63111</v>
          </cell>
          <cell r="D227" t="str">
            <v>BUENAVISTA - QUINDIO</v>
          </cell>
          <cell r="E227">
            <v>92</v>
          </cell>
          <cell r="F227" t="str">
            <v>BF_6</v>
          </cell>
          <cell r="G227" t="str">
            <v>DÉFICIT O SUPERÁVIT DE CAPITAL</v>
          </cell>
          <cell r="H227">
            <v>1835.694</v>
          </cell>
          <cell r="I227">
            <v>-388.00300800000002</v>
          </cell>
        </row>
        <row r="228">
          <cell r="A228" t="str">
            <v>63111-BF_7</v>
          </cell>
          <cell r="B228" t="str">
            <v>QUINDIO</v>
          </cell>
          <cell r="C228">
            <v>63111</v>
          </cell>
          <cell r="D228" t="str">
            <v>BUENAVISTA - QUINDIO</v>
          </cell>
          <cell r="E228">
            <v>93</v>
          </cell>
          <cell r="F228" t="str">
            <v>BF_7</v>
          </cell>
          <cell r="G228" t="str">
            <v>DÉFICIT O SUPERÁVIT TOTAL</v>
          </cell>
          <cell r="H228">
            <v>2643.277</v>
          </cell>
          <cell r="I228">
            <v>121.83394654999999</v>
          </cell>
        </row>
        <row r="229">
          <cell r="A229" t="str">
            <v>63111-BF_8</v>
          </cell>
          <cell r="B229" t="str">
            <v>QUINDIO</v>
          </cell>
          <cell r="C229">
            <v>63111</v>
          </cell>
          <cell r="D229" t="str">
            <v>BUENAVISTA - QUINDIO</v>
          </cell>
          <cell r="E229">
            <v>94</v>
          </cell>
          <cell r="F229" t="str">
            <v>BF_8</v>
          </cell>
          <cell r="G229" t="str">
            <v>FINANCIACIÓN</v>
          </cell>
          <cell r="H229">
            <v>757.56500000000005</v>
          </cell>
          <cell r="I229">
            <v>3413.4114669999999</v>
          </cell>
        </row>
        <row r="230">
          <cell r="A230" t="str">
            <v>63111-BF_8.2</v>
          </cell>
          <cell r="B230" t="str">
            <v>QUINDIO</v>
          </cell>
          <cell r="C230">
            <v>63111</v>
          </cell>
          <cell r="D230" t="str">
            <v>BUENAVISTA - QUINDIO</v>
          </cell>
          <cell r="E230">
            <v>102</v>
          </cell>
          <cell r="F230" t="str">
            <v>BF_8.2</v>
          </cell>
          <cell r="G230" t="str">
            <v xml:space="preserve">    Recursos del Balance (Superávit Fiscal, Cancelación de Reservas)</v>
          </cell>
          <cell r="H230">
            <v>748.16800000000001</v>
          </cell>
          <cell r="I230">
            <v>3407.6591669999998</v>
          </cell>
        </row>
        <row r="231">
          <cell r="A231" t="str">
            <v>63111-BF_8.3</v>
          </cell>
          <cell r="B231" t="str">
            <v>QUINDIO</v>
          </cell>
          <cell r="C231">
            <v>63111</v>
          </cell>
          <cell r="D231" t="str">
            <v>BUENAVISTA - QUINDIO</v>
          </cell>
          <cell r="E231">
            <v>103</v>
          </cell>
          <cell r="F231" t="str">
            <v>BF_8.3</v>
          </cell>
          <cell r="G231" t="str">
            <v xml:space="preserve">    Venta de Activos</v>
          </cell>
          <cell r="H231">
            <v>9.3970000000000002</v>
          </cell>
          <cell r="I231">
            <v>5.7523</v>
          </cell>
        </row>
        <row r="232">
          <cell r="A232" t="str">
            <v>63111-BF_9.1</v>
          </cell>
          <cell r="B232" t="str">
            <v>QUINDIO</v>
          </cell>
          <cell r="C232">
            <v>63111</v>
          </cell>
          <cell r="D232" t="str">
            <v>BUENAVISTA - QUINDIO</v>
          </cell>
          <cell r="E232">
            <v>107</v>
          </cell>
          <cell r="F232" t="str">
            <v>BF_9.1</v>
          </cell>
          <cell r="G232" t="str">
            <v xml:space="preserve">    DÉFICIT O SUPERÁVIT PRIMARIO</v>
          </cell>
          <cell r="H232">
            <v>3391.4450000000002</v>
          </cell>
          <cell r="I232">
            <v>3529.4931135500001</v>
          </cell>
        </row>
        <row r="233">
          <cell r="A233" t="str">
            <v>63111-BF_10.1</v>
          </cell>
          <cell r="B233" t="str">
            <v>QUINDIO</v>
          </cell>
          <cell r="C233">
            <v>63111</v>
          </cell>
          <cell r="D233" t="str">
            <v>BUENAVISTA - QUINDIO</v>
          </cell>
          <cell r="E233">
            <v>110</v>
          </cell>
          <cell r="F233" t="str">
            <v>BF_10.1</v>
          </cell>
          <cell r="G233" t="str">
            <v xml:space="preserve">    INGRESOS TOTALES SIN INCLUIR RECURSOS PARA RESERVAS PRESUPUESTALES</v>
          </cell>
          <cell r="H233">
            <v>7539.41</v>
          </cell>
          <cell r="I233">
            <v>9477.4898790000007</v>
          </cell>
        </row>
        <row r="234">
          <cell r="A234" t="str">
            <v>63111-BF_10.2</v>
          </cell>
          <cell r="B234" t="str">
            <v>QUINDIO</v>
          </cell>
          <cell r="C234">
            <v>63111</v>
          </cell>
          <cell r="D234" t="str">
            <v>BUENAVISTA - QUINDIO</v>
          </cell>
          <cell r="E234">
            <v>111</v>
          </cell>
          <cell r="F234" t="str">
            <v>BF_10.2</v>
          </cell>
          <cell r="G234" t="str">
            <v xml:space="preserve">    GASTOS TOTALES SIN INCLUIR GASTOS POR RESERVAS PRESUPUESTALES</v>
          </cell>
          <cell r="H234">
            <v>4138.5680000000002</v>
          </cell>
          <cell r="I234">
            <v>5942.2444654499996</v>
          </cell>
        </row>
        <row r="235">
          <cell r="A235" t="str">
            <v>63111-BF_10.3</v>
          </cell>
          <cell r="B235" t="str">
            <v>QUINDIO</v>
          </cell>
          <cell r="C235">
            <v>63111</v>
          </cell>
          <cell r="D235" t="str">
            <v>BUENAVISTA - QUINDIO</v>
          </cell>
          <cell r="E235">
            <v>112</v>
          </cell>
          <cell r="F235" t="str">
            <v>BF_10.3</v>
          </cell>
          <cell r="G235" t="str">
            <v xml:space="preserve">    DÉFICIT O SUPERÁVIT PRESUPUESTAL SIN INCLUIR RESERVAS PRESUPUESTALES</v>
          </cell>
          <cell r="H235">
            <v>3400.8420000000001</v>
          </cell>
          <cell r="I235">
            <v>3535.2454135500002</v>
          </cell>
        </row>
        <row r="236">
          <cell r="A236" t="str">
            <v>63111-BF_12.1</v>
          </cell>
          <cell r="B236" t="str">
            <v>QUINDIO</v>
          </cell>
          <cell r="C236">
            <v>63111</v>
          </cell>
          <cell r="D236" t="str">
            <v>BUENAVISTA - QUINDIO</v>
          </cell>
          <cell r="E236">
            <v>114</v>
          </cell>
          <cell r="F236" t="str">
            <v>BF_12.1</v>
          </cell>
          <cell r="G236" t="str">
            <v xml:space="preserve">    INGRESOS TOTALES</v>
          </cell>
          <cell r="H236">
            <v>7569.5940000000001</v>
          </cell>
          <cell r="I236">
            <v>9478.1609669999998</v>
          </cell>
        </row>
        <row r="237">
          <cell r="A237" t="str">
            <v>63111-BF_12.2</v>
          </cell>
          <cell r="B237" t="str">
            <v>QUINDIO</v>
          </cell>
          <cell r="C237">
            <v>63111</v>
          </cell>
          <cell r="D237" t="str">
            <v>BUENAVISTA - QUINDIO</v>
          </cell>
          <cell r="E237">
            <v>115</v>
          </cell>
          <cell r="F237" t="str">
            <v>BF_12.2</v>
          </cell>
          <cell r="G237" t="str">
            <v xml:space="preserve">    GASTOS TOTALES</v>
          </cell>
          <cell r="H237">
            <v>4168.7520000000004</v>
          </cell>
          <cell r="I237">
            <v>5942.9155534499996</v>
          </cell>
        </row>
        <row r="238">
          <cell r="A238" t="str">
            <v>63111-BF_12.3</v>
          </cell>
          <cell r="B238" t="str">
            <v>QUINDIO</v>
          </cell>
          <cell r="C238">
            <v>63111</v>
          </cell>
          <cell r="D238" t="str">
            <v>BUENAVISTA - QUINDIO</v>
          </cell>
          <cell r="E238">
            <v>116</v>
          </cell>
          <cell r="F238" t="str">
            <v>BF_12.3</v>
          </cell>
          <cell r="G238" t="str">
            <v xml:space="preserve">    DÉFICIT O SUPERÁVIT PRESUPUESTAL</v>
          </cell>
          <cell r="H238">
            <v>3400.8420000000001</v>
          </cell>
          <cell r="I238">
            <v>3535.2454135500002</v>
          </cell>
        </row>
        <row r="239">
          <cell r="A239" t="str">
            <v>63111-BF_13.1</v>
          </cell>
          <cell r="B239" t="str">
            <v>QUINDIO</v>
          </cell>
          <cell r="C239">
            <v>63111</v>
          </cell>
          <cell r="D239" t="str">
            <v>BUENAVISTA - QUINDIO</v>
          </cell>
          <cell r="E239">
            <v>118</v>
          </cell>
          <cell r="F239" t="str">
            <v>BF_13.1</v>
          </cell>
          <cell r="G239" t="str">
            <v xml:space="preserve">    Recursos que Financian Reservas Presupuestales Excepcionales (Ley 819/2003)</v>
          </cell>
          <cell r="H239">
            <v>30.184000000000001</v>
          </cell>
          <cell r="I239">
            <v>0.67108800000000002</v>
          </cell>
        </row>
        <row r="240">
          <cell r="A240" t="str">
            <v>63111-BF_13.3</v>
          </cell>
          <cell r="B240" t="str">
            <v>QUINDIO</v>
          </cell>
          <cell r="C240">
            <v>63111</v>
          </cell>
          <cell r="D240" t="str">
            <v>BUENAVISTA - QUINDIO</v>
          </cell>
          <cell r="E240">
            <v>120</v>
          </cell>
          <cell r="F240" t="str">
            <v>BF_13.3</v>
          </cell>
          <cell r="G240" t="str">
            <v xml:space="preserve">    Reservas Presupuestales de Inversión Vigencia Anterior</v>
          </cell>
          <cell r="H240">
            <v>30.184000000000001</v>
          </cell>
          <cell r="I240">
            <v>0.67108800000000002</v>
          </cell>
        </row>
        <row r="241">
          <cell r="A241" t="str">
            <v>63130-BF_1</v>
          </cell>
          <cell r="B241" t="str">
            <v>QUINDIO</v>
          </cell>
          <cell r="C241">
            <v>63130</v>
          </cell>
          <cell r="D241" t="str">
            <v>CALARCÁ</v>
          </cell>
          <cell r="E241">
            <v>1</v>
          </cell>
          <cell r="F241" t="str">
            <v>BF_1</v>
          </cell>
          <cell r="G241" t="str">
            <v>INGRESOS TOTALES</v>
          </cell>
          <cell r="H241">
            <v>50386.408000000003</v>
          </cell>
          <cell r="I241">
            <v>55324.397127999997</v>
          </cell>
        </row>
        <row r="242">
          <cell r="A242" t="str">
            <v>63130-BF_1.1</v>
          </cell>
          <cell r="B242" t="str">
            <v>QUINDIO</v>
          </cell>
          <cell r="C242">
            <v>63130</v>
          </cell>
          <cell r="D242" t="str">
            <v>CALARCÁ</v>
          </cell>
          <cell r="E242">
            <v>2</v>
          </cell>
          <cell r="F242" t="str">
            <v>BF_1.1</v>
          </cell>
          <cell r="G242" t="str">
            <v xml:space="preserve">    INGRESOS CORRIENTES</v>
          </cell>
          <cell r="H242">
            <v>46005.828999999998</v>
          </cell>
          <cell r="I242">
            <v>48541.271855999999</v>
          </cell>
        </row>
        <row r="243">
          <cell r="A243" t="str">
            <v>63130-BF_1.1.1</v>
          </cell>
          <cell r="B243" t="str">
            <v>QUINDIO</v>
          </cell>
          <cell r="C243">
            <v>63130</v>
          </cell>
          <cell r="D243" t="str">
            <v>CALARCÁ</v>
          </cell>
          <cell r="E243">
            <v>3</v>
          </cell>
          <cell r="F243" t="str">
            <v>BF_1.1.1</v>
          </cell>
          <cell r="G243" t="str">
            <v xml:space="preserve">        TRIBUTARIOS</v>
          </cell>
          <cell r="H243">
            <v>13162.862999999999</v>
          </cell>
          <cell r="I243">
            <v>16118.874341000001</v>
          </cell>
        </row>
        <row r="244">
          <cell r="A244" t="str">
            <v>63130-BF_1.1.1.2</v>
          </cell>
          <cell r="B244" t="str">
            <v>QUINDIO</v>
          </cell>
          <cell r="C244">
            <v>63130</v>
          </cell>
          <cell r="D244" t="str">
            <v>CALARCÁ</v>
          </cell>
          <cell r="E244">
            <v>5</v>
          </cell>
          <cell r="F244" t="str">
            <v>BF_1.1.1.2</v>
          </cell>
          <cell r="G244" t="str">
            <v xml:space="preserve">             Impuesto Predial Unificado</v>
          </cell>
          <cell r="H244">
            <v>3647.4090000000001</v>
          </cell>
          <cell r="I244">
            <v>3236.3276380000002</v>
          </cell>
        </row>
        <row r="245">
          <cell r="A245" t="str">
            <v>63130-BF_1.1.1.3</v>
          </cell>
          <cell r="B245" t="str">
            <v>QUINDIO</v>
          </cell>
          <cell r="C245">
            <v>63130</v>
          </cell>
          <cell r="D245" t="str">
            <v>CALARCÁ</v>
          </cell>
          <cell r="E245">
            <v>6</v>
          </cell>
          <cell r="F245" t="str">
            <v>BF_1.1.1.3</v>
          </cell>
          <cell r="G245" t="str">
            <v xml:space="preserve">             Impuesto de Industria y Comercio</v>
          </cell>
          <cell r="H245">
            <v>3485.085</v>
          </cell>
          <cell r="I245">
            <v>5527.2383650000002</v>
          </cell>
        </row>
        <row r="246">
          <cell r="A246" t="str">
            <v>63130-BF_1.1.1.8</v>
          </cell>
          <cell r="B246" t="str">
            <v>QUINDIO</v>
          </cell>
          <cell r="C246">
            <v>63130</v>
          </cell>
          <cell r="D246" t="str">
            <v>CALARCÁ</v>
          </cell>
          <cell r="E246">
            <v>11</v>
          </cell>
          <cell r="F246" t="str">
            <v>BF_1.1.1.8</v>
          </cell>
          <cell r="G246" t="str">
            <v xml:space="preserve">             Sobretasa Consumo Gasolina Motor</v>
          </cell>
          <cell r="H246">
            <v>2492.4839999999999</v>
          </cell>
          <cell r="I246">
            <v>2584.116</v>
          </cell>
        </row>
        <row r="247">
          <cell r="A247" t="str">
            <v>63130-BF_1.1.1.9</v>
          </cell>
          <cell r="B247" t="str">
            <v>QUINDIO</v>
          </cell>
          <cell r="C247">
            <v>63130</v>
          </cell>
          <cell r="D247" t="str">
            <v>CALARCÁ</v>
          </cell>
          <cell r="E247">
            <v>12</v>
          </cell>
          <cell r="F247" t="str">
            <v>BF_1.1.1.9</v>
          </cell>
          <cell r="G247" t="str">
            <v xml:space="preserve">             Estampillas</v>
          </cell>
          <cell r="H247">
            <v>589.16700000000003</v>
          </cell>
          <cell r="I247">
            <v>848.34822499999996</v>
          </cell>
        </row>
        <row r="248">
          <cell r="A248" t="str">
            <v>63130-BF_1.1.1.12</v>
          </cell>
          <cell r="B248" t="str">
            <v>QUINDIO</v>
          </cell>
          <cell r="C248">
            <v>63130</v>
          </cell>
          <cell r="D248" t="str">
            <v>CALARCÁ</v>
          </cell>
          <cell r="E248">
            <v>15</v>
          </cell>
          <cell r="F248" t="str">
            <v>BF_1.1.1.12</v>
          </cell>
          <cell r="G248" t="str">
            <v xml:space="preserve">             Otros Ingresos Tributarios</v>
          </cell>
          <cell r="H248">
            <v>2948.7179999999998</v>
          </cell>
          <cell r="I248">
            <v>3922.8441130000001</v>
          </cell>
        </row>
        <row r="249">
          <cell r="A249" t="str">
            <v>63130-BF_1.1.2</v>
          </cell>
          <cell r="B249" t="str">
            <v>QUINDIO</v>
          </cell>
          <cell r="C249">
            <v>63130</v>
          </cell>
          <cell r="D249" t="str">
            <v>CALARCÁ</v>
          </cell>
          <cell r="E249">
            <v>16</v>
          </cell>
          <cell r="F249" t="str">
            <v>BF_1.1.2</v>
          </cell>
          <cell r="G249" t="str">
            <v xml:space="preserve">        NO TRIBUTARIOS</v>
          </cell>
          <cell r="H249">
            <v>1407.7439999999999</v>
          </cell>
          <cell r="I249">
            <v>1410.6339840000001</v>
          </cell>
        </row>
        <row r="250">
          <cell r="A250" t="str">
            <v>63130-BF_1.1.2.1</v>
          </cell>
          <cell r="B250" t="str">
            <v>QUINDIO</v>
          </cell>
          <cell r="C250">
            <v>63130</v>
          </cell>
          <cell r="D250" t="str">
            <v>CALARCÁ</v>
          </cell>
          <cell r="E250">
            <v>17</v>
          </cell>
          <cell r="F250" t="str">
            <v>BF_1.1.2.1</v>
          </cell>
          <cell r="G250" t="str">
            <v xml:space="preserve">             Ingresos de la Propiedad: Tasas, Derechos, Multas y Sanciones</v>
          </cell>
          <cell r="H250">
            <v>1407.7439999999999</v>
          </cell>
          <cell r="I250">
            <v>1410.6339840000001</v>
          </cell>
        </row>
        <row r="251">
          <cell r="A251" t="str">
            <v>63130-BF_1.1.3</v>
          </cell>
          <cell r="B251" t="str">
            <v>QUINDIO</v>
          </cell>
          <cell r="C251">
            <v>63130</v>
          </cell>
          <cell r="D251" t="str">
            <v>CALARCÁ</v>
          </cell>
          <cell r="E251">
            <v>19</v>
          </cell>
          <cell r="F251" t="str">
            <v>BF_1.1.3</v>
          </cell>
          <cell r="G251" t="str">
            <v xml:space="preserve">        TRANSFERENCIAS</v>
          </cell>
          <cell r="H251">
            <v>31435.222000000002</v>
          </cell>
          <cell r="I251">
            <v>31011.763531000001</v>
          </cell>
        </row>
        <row r="252">
          <cell r="A252" t="str">
            <v>63130-BF_1.1.3.1</v>
          </cell>
          <cell r="B252" t="str">
            <v>QUINDIO</v>
          </cell>
          <cell r="C252">
            <v>63130</v>
          </cell>
          <cell r="D252" t="str">
            <v>CALARCÁ</v>
          </cell>
          <cell r="E252">
            <v>20</v>
          </cell>
          <cell r="F252" t="str">
            <v>BF_1.1.3.1</v>
          </cell>
          <cell r="G252" t="str">
            <v xml:space="preserve">             Transferencias Para Funcionamiento</v>
          </cell>
          <cell r="H252">
            <v>1695.674</v>
          </cell>
          <cell r="I252">
            <v>1703.4090610000001</v>
          </cell>
        </row>
        <row r="253">
          <cell r="A253" t="str">
            <v>63130-BF_1.1.3.1.1</v>
          </cell>
          <cell r="B253" t="str">
            <v>QUINDIO</v>
          </cell>
          <cell r="C253">
            <v>63130</v>
          </cell>
          <cell r="D253" t="str">
            <v>CALARCÁ</v>
          </cell>
          <cell r="E253">
            <v>21</v>
          </cell>
          <cell r="F253" t="str">
            <v>BF_1.1.3.1.1</v>
          </cell>
          <cell r="G253" t="str">
            <v xml:space="preserve">                 Del Nivel Nacional</v>
          </cell>
          <cell r="H253">
            <v>1431.183</v>
          </cell>
          <cell r="I253">
            <v>1434.0096960000001</v>
          </cell>
        </row>
        <row r="254">
          <cell r="A254" t="str">
            <v>63130-BF_1.1.3.1.1.1</v>
          </cell>
          <cell r="B254" t="str">
            <v>QUINDIO</v>
          </cell>
          <cell r="C254">
            <v>63130</v>
          </cell>
          <cell r="D254" t="str">
            <v>CALARCÁ</v>
          </cell>
          <cell r="E254">
            <v>22</v>
          </cell>
          <cell r="F254" t="str">
            <v>BF_1.1.3.1.1.1</v>
          </cell>
          <cell r="G254" t="str">
            <v xml:space="preserve">                     Sistema General de Participaciones - Propósito General - Libre destinación - Municipios categorías 4, 5 y 6</v>
          </cell>
          <cell r="H254">
            <v>1431.183</v>
          </cell>
          <cell r="I254">
            <v>1434.0096960000001</v>
          </cell>
        </row>
        <row r="255">
          <cell r="A255" t="str">
            <v>63130-BF_1.1.3.1.2</v>
          </cell>
          <cell r="B255" t="str">
            <v>QUINDIO</v>
          </cell>
          <cell r="C255">
            <v>63130</v>
          </cell>
          <cell r="D255" t="str">
            <v>CALARCÁ</v>
          </cell>
          <cell r="E255">
            <v>24</v>
          </cell>
          <cell r="F255" t="str">
            <v>BF_1.1.3.1.2</v>
          </cell>
          <cell r="G255" t="str">
            <v xml:space="preserve">                 Del Nivel Departamental</v>
          </cell>
          <cell r="H255">
            <v>264.49099999999999</v>
          </cell>
          <cell r="I255">
            <v>269.39936499999999</v>
          </cell>
        </row>
        <row r="256">
          <cell r="A256" t="str">
            <v>63130-BF_1.1.3.1.2.1</v>
          </cell>
          <cell r="B256" t="str">
            <v>QUINDIO</v>
          </cell>
          <cell r="C256">
            <v>63130</v>
          </cell>
          <cell r="D256" t="str">
            <v>CALARCÁ</v>
          </cell>
          <cell r="E256">
            <v>25</v>
          </cell>
          <cell r="F256" t="str">
            <v>BF_1.1.3.1.2.1</v>
          </cell>
          <cell r="G256" t="str">
            <v xml:space="preserve">                     De Vehículos Automotores</v>
          </cell>
          <cell r="H256">
            <v>264.49099999999999</v>
          </cell>
          <cell r="I256">
            <v>269.39936499999999</v>
          </cell>
        </row>
        <row r="257">
          <cell r="A257" t="str">
            <v>63130-BF_1.1.3.2</v>
          </cell>
          <cell r="B257" t="str">
            <v>QUINDIO</v>
          </cell>
          <cell r="C257">
            <v>63130</v>
          </cell>
          <cell r="D257" t="str">
            <v>CALARCÁ</v>
          </cell>
          <cell r="E257">
            <v>28</v>
          </cell>
          <cell r="F257" t="str">
            <v>BF_1.1.3.2</v>
          </cell>
          <cell r="G257" t="str">
            <v xml:space="preserve">             Transferencias Para Inversión</v>
          </cell>
          <cell r="H257">
            <v>29739.547999999999</v>
          </cell>
          <cell r="I257">
            <v>29308.354469999998</v>
          </cell>
        </row>
        <row r="258">
          <cell r="A258" t="str">
            <v>63130-BF_1.1.3.2.1</v>
          </cell>
          <cell r="B258" t="str">
            <v>QUINDIO</v>
          </cell>
          <cell r="C258">
            <v>63130</v>
          </cell>
          <cell r="D258" t="str">
            <v>CALARCÁ</v>
          </cell>
          <cell r="E258">
            <v>29</v>
          </cell>
          <cell r="F258" t="str">
            <v>BF_1.1.3.2.1</v>
          </cell>
          <cell r="G258" t="str">
            <v xml:space="preserve">                 Del Nivel Nacional</v>
          </cell>
          <cell r="H258">
            <v>29636.592000000001</v>
          </cell>
          <cell r="I258">
            <v>28167.566284</v>
          </cell>
        </row>
        <row r="259">
          <cell r="A259" t="str">
            <v>63130-BF_1.1.3.2.1.1</v>
          </cell>
          <cell r="B259" t="str">
            <v>QUINDIO</v>
          </cell>
          <cell r="C259">
            <v>63130</v>
          </cell>
          <cell r="D259" t="str">
            <v>CALARCÁ</v>
          </cell>
          <cell r="E259">
            <v>30</v>
          </cell>
          <cell r="F259" t="str">
            <v>BF_1.1.3.2.1.1</v>
          </cell>
          <cell r="G259" t="str">
            <v xml:space="preserve">                     Sistema General de Participaciones</v>
          </cell>
          <cell r="H259">
            <v>16539.532999999999</v>
          </cell>
          <cell r="I259">
            <v>16696.207431999999</v>
          </cell>
        </row>
        <row r="260">
          <cell r="A260" t="str">
            <v>63130-BF_1.1.3.2.1.1.1</v>
          </cell>
          <cell r="B260" t="str">
            <v>QUINDIO</v>
          </cell>
          <cell r="C260">
            <v>63130</v>
          </cell>
          <cell r="D260" t="str">
            <v>CALARCÁ</v>
          </cell>
          <cell r="E260">
            <v>31</v>
          </cell>
          <cell r="F260" t="str">
            <v>BF_1.1.3.2.1.1.1</v>
          </cell>
          <cell r="G260" t="str">
            <v xml:space="preserve">                         Sistema General de Participaciones - Educación</v>
          </cell>
          <cell r="H260">
            <v>2128.114</v>
          </cell>
          <cell r="I260">
            <v>2069.6372999999999</v>
          </cell>
        </row>
        <row r="261">
          <cell r="A261" t="str">
            <v>63130-BF_1.1.3.2.1.1.2</v>
          </cell>
          <cell r="B261" t="str">
            <v>QUINDIO</v>
          </cell>
          <cell r="C261">
            <v>63130</v>
          </cell>
          <cell r="D261" t="str">
            <v>CALARCÁ</v>
          </cell>
          <cell r="E261">
            <v>32</v>
          </cell>
          <cell r="F261" t="str">
            <v>BF_1.1.3.2.1.1.2</v>
          </cell>
          <cell r="G261" t="str">
            <v xml:space="preserve">                         Sistema General de Participaciones - Salud</v>
          </cell>
          <cell r="H261">
            <v>10668.031999999999</v>
          </cell>
          <cell r="I261">
            <v>10496.482258</v>
          </cell>
        </row>
        <row r="262">
          <cell r="A262" t="str">
            <v>63130-BF_1.1.3.2.1.1.3</v>
          </cell>
          <cell r="B262" t="str">
            <v>QUINDIO</v>
          </cell>
          <cell r="C262">
            <v>63130</v>
          </cell>
          <cell r="D262" t="str">
            <v>CALARCÁ</v>
          </cell>
          <cell r="E262">
            <v>33</v>
          </cell>
          <cell r="F262" t="str">
            <v>BF_1.1.3.2.1.1.3</v>
          </cell>
          <cell r="G262" t="str">
            <v xml:space="preserve">                         Sistema General de Participaciones - Agua Potable y Saneamiento Básico</v>
          </cell>
          <cell r="H262">
            <v>1723.366</v>
          </cell>
          <cell r="I262">
            <v>2200.04405</v>
          </cell>
        </row>
        <row r="263">
          <cell r="A263" t="str">
            <v>63130-BF_1.1.3.2.1.1.4</v>
          </cell>
          <cell r="B263" t="str">
            <v>QUINDIO</v>
          </cell>
          <cell r="C263">
            <v>63130</v>
          </cell>
          <cell r="D263" t="str">
            <v>CALARCÁ</v>
          </cell>
          <cell r="E263">
            <v>34</v>
          </cell>
          <cell r="F263" t="str">
            <v>BF_1.1.3.2.1.1.4</v>
          </cell>
          <cell r="G263" t="str">
            <v xml:space="preserve">                         Sistema General de Participaciones - Propósito General - Forzosa Inversión</v>
          </cell>
          <cell r="H263">
            <v>1778.7560000000001</v>
          </cell>
          <cell r="I263">
            <v>1782.2692070000001</v>
          </cell>
        </row>
        <row r="264">
          <cell r="A264" t="str">
            <v>63130-BF_1.1.3.2.1.1.5</v>
          </cell>
          <cell r="B264" t="str">
            <v>QUINDIO</v>
          </cell>
          <cell r="C264">
            <v>63130</v>
          </cell>
          <cell r="D264" t="str">
            <v>CALARCÁ</v>
          </cell>
          <cell r="E264">
            <v>35</v>
          </cell>
          <cell r="F264" t="str">
            <v>BF_1.1.3.2.1.1.5</v>
          </cell>
          <cell r="G264" t="str">
            <v xml:space="preserve">                         Otras del Sistema General de Participaciones</v>
          </cell>
          <cell r="H264">
            <v>241.26499999999999</v>
          </cell>
          <cell r="I264">
            <v>147.77461700000001</v>
          </cell>
        </row>
        <row r="265">
          <cell r="A265" t="str">
            <v>63130-BF_1.1.3.2.1.2</v>
          </cell>
          <cell r="B265" t="str">
            <v>QUINDIO</v>
          </cell>
          <cell r="C265">
            <v>63130</v>
          </cell>
          <cell r="D265" t="str">
            <v>CALARCÁ</v>
          </cell>
          <cell r="E265">
            <v>36</v>
          </cell>
          <cell r="F265" t="str">
            <v>BF_1.1.3.2.1.2</v>
          </cell>
          <cell r="G265" t="str">
            <v xml:space="preserve">                     FOSYGA y COLJUEGOS</v>
          </cell>
          <cell r="H265">
            <v>13097.058999999999</v>
          </cell>
          <cell r="I265">
            <v>11271.635851999999</v>
          </cell>
        </row>
        <row r="266">
          <cell r="A266" t="str">
            <v>63130-BF_1.1.3.2.1.3</v>
          </cell>
          <cell r="B266" t="str">
            <v>QUINDIO</v>
          </cell>
          <cell r="C266">
            <v>63130</v>
          </cell>
          <cell r="D266" t="str">
            <v>CALARCÁ</v>
          </cell>
          <cell r="E266">
            <v>37</v>
          </cell>
          <cell r="F266" t="str">
            <v>BF_1.1.3.2.1.3</v>
          </cell>
          <cell r="G266" t="str">
            <v xml:space="preserve">                     Otras Transferencias de la Nación</v>
          </cell>
          <cell r="H266">
            <v>0</v>
          </cell>
          <cell r="I266">
            <v>199.72300000000001</v>
          </cell>
        </row>
        <row r="267">
          <cell r="A267" t="str">
            <v>63130-BF_1.1.3.2.2</v>
          </cell>
          <cell r="B267" t="str">
            <v>QUINDIO</v>
          </cell>
          <cell r="C267">
            <v>63130</v>
          </cell>
          <cell r="D267" t="str">
            <v>CALARCÁ</v>
          </cell>
          <cell r="E267">
            <v>38</v>
          </cell>
          <cell r="F267" t="str">
            <v>BF_1.1.3.2.2</v>
          </cell>
          <cell r="G267" t="str">
            <v xml:space="preserve">                 Del Nivel Departamental</v>
          </cell>
          <cell r="H267">
            <v>72.031999999999996</v>
          </cell>
          <cell r="I267">
            <v>1103.2061189999999</v>
          </cell>
        </row>
        <row r="268">
          <cell r="A268" t="str">
            <v>63130-BF_1.1.3.2.3</v>
          </cell>
          <cell r="B268" t="str">
            <v>QUINDIO</v>
          </cell>
          <cell r="C268">
            <v>63130</v>
          </cell>
          <cell r="D268" t="str">
            <v>CALARCÁ</v>
          </cell>
          <cell r="E268">
            <v>39</v>
          </cell>
          <cell r="F268" t="str">
            <v>BF_1.1.3.2.3</v>
          </cell>
          <cell r="G268" t="str">
            <v xml:space="preserve">                 Del Nivel Municipal</v>
          </cell>
          <cell r="H268">
            <v>16.829999999999998</v>
          </cell>
          <cell r="I268">
            <v>23.109998000000001</v>
          </cell>
        </row>
        <row r="269">
          <cell r="A269" t="str">
            <v>63130-BF_1.1.3.2.6</v>
          </cell>
          <cell r="B269" t="str">
            <v>QUINDIO</v>
          </cell>
          <cell r="C269">
            <v>63130</v>
          </cell>
          <cell r="D269" t="str">
            <v>CALARCÁ</v>
          </cell>
          <cell r="E269">
            <v>42</v>
          </cell>
          <cell r="F269" t="str">
            <v>BF_1.1.3.2.6</v>
          </cell>
          <cell r="G269" t="str">
            <v xml:space="preserve">                 Otras Transferencias para Inversión</v>
          </cell>
          <cell r="H269">
            <v>14.093999999999999</v>
          </cell>
          <cell r="I269">
            <v>14.472068999999999</v>
          </cell>
        </row>
        <row r="270">
          <cell r="A270" t="str">
            <v>63130-BF_2</v>
          </cell>
          <cell r="B270" t="str">
            <v>QUINDIO</v>
          </cell>
          <cell r="C270">
            <v>63130</v>
          </cell>
          <cell r="D270" t="str">
            <v>CALARCÁ</v>
          </cell>
          <cell r="E270">
            <v>43</v>
          </cell>
          <cell r="F270" t="str">
            <v>BF_2</v>
          </cell>
          <cell r="G270" t="str">
            <v>GASTOS  TOTALES</v>
          </cell>
          <cell r="H270">
            <v>50830.517999999996</v>
          </cell>
          <cell r="I270">
            <v>57797.970031999997</v>
          </cell>
        </row>
        <row r="271">
          <cell r="A271" t="str">
            <v>63130-BF_2.1</v>
          </cell>
          <cell r="B271" t="str">
            <v>QUINDIO</v>
          </cell>
          <cell r="C271">
            <v>63130</v>
          </cell>
          <cell r="D271" t="str">
            <v>CALARCÁ</v>
          </cell>
          <cell r="E271">
            <v>44</v>
          </cell>
          <cell r="F271" t="str">
            <v>BF_2.1</v>
          </cell>
          <cell r="G271" t="str">
            <v xml:space="preserve">    GASTOS CORRIENTES</v>
          </cell>
          <cell r="H271">
            <v>42602.991000000002</v>
          </cell>
          <cell r="I271">
            <v>50898.619198</v>
          </cell>
        </row>
        <row r="272">
          <cell r="A272" t="str">
            <v>63130-BF_2.1.1</v>
          </cell>
          <cell r="B272" t="str">
            <v>QUINDIO</v>
          </cell>
          <cell r="C272">
            <v>63130</v>
          </cell>
          <cell r="D272" t="str">
            <v>CALARCÁ</v>
          </cell>
          <cell r="E272">
            <v>45</v>
          </cell>
          <cell r="F272" t="str">
            <v>BF_2.1.1</v>
          </cell>
          <cell r="G272" t="str">
            <v xml:space="preserve">        FUNCIONAMIENTO</v>
          </cell>
          <cell r="H272">
            <v>8695.3250000000007</v>
          </cell>
          <cell r="I272">
            <v>9802.3014210000001</v>
          </cell>
        </row>
        <row r="273">
          <cell r="A273" t="str">
            <v>63130-BF_2.1.1.1</v>
          </cell>
          <cell r="B273" t="str">
            <v>QUINDIO</v>
          </cell>
          <cell r="C273">
            <v>63130</v>
          </cell>
          <cell r="D273" t="str">
            <v>CALARCÁ</v>
          </cell>
          <cell r="E273">
            <v>46</v>
          </cell>
          <cell r="F273" t="str">
            <v>BF_2.1.1.1</v>
          </cell>
          <cell r="G273" t="str">
            <v xml:space="preserve">             Gastos de Personal  </v>
          </cell>
          <cell r="H273">
            <v>4409.9920000000002</v>
          </cell>
          <cell r="I273">
            <v>4756.2954900000004</v>
          </cell>
        </row>
        <row r="274">
          <cell r="A274" t="str">
            <v>63130-BF_2.1.1.2</v>
          </cell>
          <cell r="B274" t="str">
            <v>QUINDIO</v>
          </cell>
          <cell r="C274">
            <v>63130</v>
          </cell>
          <cell r="D274" t="str">
            <v>CALARCÁ</v>
          </cell>
          <cell r="E274">
            <v>47</v>
          </cell>
          <cell r="F274" t="str">
            <v>BF_2.1.1.2</v>
          </cell>
          <cell r="G274" t="str">
            <v xml:space="preserve">             Gastos Generales</v>
          </cell>
          <cell r="H274">
            <v>2210.9630000000002</v>
          </cell>
          <cell r="I274">
            <v>2480.706158</v>
          </cell>
        </row>
        <row r="275">
          <cell r="A275" t="str">
            <v>63130-BF_2.1.1.3</v>
          </cell>
          <cell r="B275" t="str">
            <v>QUINDIO</v>
          </cell>
          <cell r="C275">
            <v>63130</v>
          </cell>
          <cell r="D275" t="str">
            <v>CALARCÁ</v>
          </cell>
          <cell r="E275">
            <v>48</v>
          </cell>
          <cell r="F275" t="str">
            <v>BF_2.1.1.3</v>
          </cell>
          <cell r="G275" t="str">
            <v xml:space="preserve">             Transferencias</v>
          </cell>
          <cell r="H275">
            <v>2074.37</v>
          </cell>
          <cell r="I275">
            <v>2565.2997730000002</v>
          </cell>
        </row>
        <row r="276">
          <cell r="A276" t="str">
            <v>63130-BF_2.1.1.3.1</v>
          </cell>
          <cell r="B276" t="str">
            <v>QUINDIO</v>
          </cell>
          <cell r="C276">
            <v>63130</v>
          </cell>
          <cell r="D276" t="str">
            <v>CALARCÁ</v>
          </cell>
          <cell r="E276">
            <v>49</v>
          </cell>
          <cell r="F276" t="str">
            <v>BF_2.1.1.3.1</v>
          </cell>
          <cell r="G276" t="str">
            <v xml:space="preserve">                 Pensiones</v>
          </cell>
          <cell r="H276">
            <v>1337.2049999999999</v>
          </cell>
          <cell r="I276">
            <v>1404.193892</v>
          </cell>
        </row>
        <row r="277">
          <cell r="A277" t="str">
            <v>63130-BF_2.1.1.3.4</v>
          </cell>
          <cell r="B277" t="str">
            <v>QUINDIO</v>
          </cell>
          <cell r="C277">
            <v>63130</v>
          </cell>
          <cell r="D277" t="str">
            <v>CALARCÁ</v>
          </cell>
          <cell r="E277">
            <v>52</v>
          </cell>
          <cell r="F277" t="str">
            <v>BF_2.1.1.3.4</v>
          </cell>
          <cell r="G277" t="str">
            <v xml:space="preserve">                 A Organismos de Control</v>
          </cell>
          <cell r="H277">
            <v>505.56799999999998</v>
          </cell>
          <cell r="I277">
            <v>551.764905</v>
          </cell>
        </row>
        <row r="278">
          <cell r="A278" t="str">
            <v>63130-BF_2.1.1.3.6</v>
          </cell>
          <cell r="B278" t="str">
            <v>QUINDIO</v>
          </cell>
          <cell r="C278">
            <v>63130</v>
          </cell>
          <cell r="D278" t="str">
            <v>CALARCÁ</v>
          </cell>
          <cell r="E278">
            <v>54</v>
          </cell>
          <cell r="F278" t="str">
            <v>BF_2.1.1.3.6</v>
          </cell>
          <cell r="G278" t="str">
            <v xml:space="preserve">                 Sentencias y Conciliaciones</v>
          </cell>
          <cell r="H278">
            <v>226.42599999999999</v>
          </cell>
          <cell r="I278">
            <v>603.80809799999997</v>
          </cell>
        </row>
        <row r="279">
          <cell r="A279" t="str">
            <v>63130-BF_2.1.1.3.7</v>
          </cell>
          <cell r="B279" t="str">
            <v>QUINDIO</v>
          </cell>
          <cell r="C279">
            <v>63130</v>
          </cell>
          <cell r="D279" t="str">
            <v>CALARCÁ</v>
          </cell>
          <cell r="E279">
            <v>55</v>
          </cell>
          <cell r="F279" t="str">
            <v>BF_2.1.1.3.7</v>
          </cell>
          <cell r="G279" t="str">
            <v xml:space="preserve">                 Otras Transferencias</v>
          </cell>
          <cell r="H279">
            <v>5.1710000000000003</v>
          </cell>
          <cell r="I279">
            <v>5.5328780000000002</v>
          </cell>
        </row>
        <row r="280">
          <cell r="A280" t="str">
            <v>63130-BF_2.1.2</v>
          </cell>
          <cell r="B280" t="str">
            <v>QUINDIO</v>
          </cell>
          <cell r="C280">
            <v>63130</v>
          </cell>
          <cell r="D280" t="str">
            <v>CALARCÁ</v>
          </cell>
          <cell r="E280">
            <v>59</v>
          </cell>
          <cell r="F280" t="str">
            <v>BF_2.1.2</v>
          </cell>
          <cell r="G280" t="str">
            <v xml:space="preserve">        PAGO DE BONOS PENSIONALES Y CUOTAS PARTES DE BONO PENSIONAL</v>
          </cell>
          <cell r="H280">
            <v>155.30000000000001</v>
          </cell>
          <cell r="I280">
            <v>292.50566800000001</v>
          </cell>
        </row>
        <row r="281">
          <cell r="A281" t="str">
            <v>63130-BF_2.1.4</v>
          </cell>
          <cell r="B281" t="str">
            <v>QUINDIO</v>
          </cell>
          <cell r="C281">
            <v>63130</v>
          </cell>
          <cell r="D281" t="str">
            <v>CALARCÁ</v>
          </cell>
          <cell r="E281">
            <v>61</v>
          </cell>
          <cell r="F281" t="str">
            <v>BF_2.1.4</v>
          </cell>
          <cell r="G281" t="str">
            <v xml:space="preserve">        GASTOS OPERATIVOS EN SECTORES SOCIALES (Remuneración al Trabajo, Prestaciones, y Subsidios en Sectores de Inversión)</v>
          </cell>
          <cell r="H281">
            <v>33142.137000000002</v>
          </cell>
          <cell r="I281">
            <v>40098.499940000002</v>
          </cell>
        </row>
        <row r="282">
          <cell r="A282" t="str">
            <v>63130-BF_2.1.4.1</v>
          </cell>
          <cell r="B282" t="str">
            <v>QUINDIO</v>
          </cell>
          <cell r="C282">
            <v>63130</v>
          </cell>
          <cell r="D282" t="str">
            <v>CALARCÁ</v>
          </cell>
          <cell r="E282">
            <v>62</v>
          </cell>
          <cell r="F282" t="str">
            <v>BF_2.1.4.1</v>
          </cell>
          <cell r="G282" t="str">
            <v xml:space="preserve">             Educación</v>
          </cell>
          <cell r="H282">
            <v>2710.4969999999998</v>
          </cell>
          <cell r="I282">
            <v>2511.2863969999999</v>
          </cell>
        </row>
        <row r="283">
          <cell r="A283" t="str">
            <v>63130-BF_2.1.4.2</v>
          </cell>
          <cell r="B283" t="str">
            <v>QUINDIO</v>
          </cell>
          <cell r="C283">
            <v>63130</v>
          </cell>
          <cell r="D283" t="str">
            <v>CALARCÁ</v>
          </cell>
          <cell r="E283">
            <v>63</v>
          </cell>
          <cell r="F283" t="str">
            <v>BF_2.1.4.2</v>
          </cell>
          <cell r="G283" t="str">
            <v xml:space="preserve">             Salud</v>
          </cell>
          <cell r="H283">
            <v>27345.335999999999</v>
          </cell>
          <cell r="I283">
            <v>28209.287079000002</v>
          </cell>
        </row>
        <row r="284">
          <cell r="A284" t="str">
            <v>63130-BF_2.1.4.3</v>
          </cell>
          <cell r="B284" t="str">
            <v>QUINDIO</v>
          </cell>
          <cell r="C284">
            <v>63130</v>
          </cell>
          <cell r="D284" t="str">
            <v>CALARCÁ</v>
          </cell>
          <cell r="E284">
            <v>64</v>
          </cell>
          <cell r="F284" t="str">
            <v>BF_2.1.4.3</v>
          </cell>
          <cell r="G284" t="str">
            <v xml:space="preserve">             Agua Potable y Saneamiento Básico</v>
          </cell>
          <cell r="H284">
            <v>1304.8399999999999</v>
          </cell>
          <cell r="I284">
            <v>1379.7254559999999</v>
          </cell>
        </row>
        <row r="285">
          <cell r="A285" t="str">
            <v>63130-BF_2.1.4.5</v>
          </cell>
          <cell r="B285" t="str">
            <v>QUINDIO</v>
          </cell>
          <cell r="C285">
            <v>63130</v>
          </cell>
          <cell r="D285" t="str">
            <v>CALARCÁ</v>
          </cell>
          <cell r="E285">
            <v>66</v>
          </cell>
          <cell r="F285" t="str">
            <v>BF_2.1.4.5</v>
          </cell>
          <cell r="G285" t="str">
            <v xml:space="preserve">             Otros Sectores</v>
          </cell>
          <cell r="H285">
            <v>1781.4639999999999</v>
          </cell>
          <cell r="I285">
            <v>7998.201008</v>
          </cell>
        </row>
        <row r="286">
          <cell r="A286" t="str">
            <v>63130-BF_2.1.5</v>
          </cell>
          <cell r="B286" t="str">
            <v>QUINDIO</v>
          </cell>
          <cell r="C286">
            <v>63130</v>
          </cell>
          <cell r="D286" t="str">
            <v>CALARCÁ</v>
          </cell>
          <cell r="E286">
            <v>67</v>
          </cell>
          <cell r="F286" t="str">
            <v>BF_2.1.5</v>
          </cell>
          <cell r="G286" t="str">
            <v xml:space="preserve">        INTERESES Y COMISIONES DE LA DEUDA</v>
          </cell>
          <cell r="H286">
            <v>610.22900000000004</v>
          </cell>
          <cell r="I286">
            <v>705.31216900000004</v>
          </cell>
        </row>
        <row r="287">
          <cell r="A287" t="str">
            <v>63130-BF_2.1.5.1</v>
          </cell>
          <cell r="B287" t="str">
            <v>QUINDIO</v>
          </cell>
          <cell r="C287">
            <v>63130</v>
          </cell>
          <cell r="D287" t="str">
            <v>CALARCÁ</v>
          </cell>
          <cell r="E287">
            <v>68</v>
          </cell>
          <cell r="F287" t="str">
            <v>BF_2.1.5.1</v>
          </cell>
          <cell r="G287" t="str">
            <v xml:space="preserve">             Interna</v>
          </cell>
          <cell r="H287">
            <v>610.22900000000004</v>
          </cell>
          <cell r="I287">
            <v>705.31216900000004</v>
          </cell>
        </row>
        <row r="288">
          <cell r="A288" t="str">
            <v>63130-BF_3</v>
          </cell>
          <cell r="B288" t="str">
            <v>QUINDIO</v>
          </cell>
          <cell r="C288">
            <v>63130</v>
          </cell>
          <cell r="D288" t="str">
            <v>CALARCÁ</v>
          </cell>
          <cell r="E288">
            <v>70</v>
          </cell>
          <cell r="F288" t="str">
            <v>BF_3</v>
          </cell>
          <cell r="G288" t="str">
            <v>DÉFICIT O AHORRO CORRIENTE</v>
          </cell>
          <cell r="H288">
            <v>3402.8380000000002</v>
          </cell>
          <cell r="I288">
            <v>-2357.347342</v>
          </cell>
        </row>
        <row r="289">
          <cell r="A289" t="str">
            <v>63130-BF_4</v>
          </cell>
          <cell r="B289" t="str">
            <v>QUINDIO</v>
          </cell>
          <cell r="C289">
            <v>63130</v>
          </cell>
          <cell r="D289" t="str">
            <v>CALARCÁ</v>
          </cell>
          <cell r="E289">
            <v>71</v>
          </cell>
          <cell r="F289" t="str">
            <v>BF_4</v>
          </cell>
          <cell r="G289" t="str">
            <v>INGRESOS DE CAPITAL</v>
          </cell>
          <cell r="H289">
            <v>4380.5789999999997</v>
          </cell>
          <cell r="I289">
            <v>6783.1252720000002</v>
          </cell>
        </row>
        <row r="290">
          <cell r="A290" t="str">
            <v>63130-BF_4.1</v>
          </cell>
          <cell r="B290" t="str">
            <v>QUINDIO</v>
          </cell>
          <cell r="C290">
            <v>63130</v>
          </cell>
          <cell r="D290" t="str">
            <v>CALARCÁ</v>
          </cell>
          <cell r="E290">
            <v>72</v>
          </cell>
          <cell r="F290" t="str">
            <v>BF_4.1</v>
          </cell>
          <cell r="G290" t="str">
            <v xml:space="preserve">    Cofinanciación</v>
          </cell>
          <cell r="H290">
            <v>2475.5949999999998</v>
          </cell>
          <cell r="I290">
            <v>0</v>
          </cell>
        </row>
        <row r="291">
          <cell r="A291" t="str">
            <v>63130-BF_4.2</v>
          </cell>
          <cell r="B291" t="str">
            <v>QUINDIO</v>
          </cell>
          <cell r="C291">
            <v>63130</v>
          </cell>
          <cell r="D291" t="str">
            <v>CALARCÁ</v>
          </cell>
          <cell r="E291">
            <v>73</v>
          </cell>
          <cell r="F291" t="str">
            <v>BF_4.2</v>
          </cell>
          <cell r="G291" t="str">
            <v xml:space="preserve">    Regalías y Compensaciones</v>
          </cell>
          <cell r="H291">
            <v>158.95500000000001</v>
          </cell>
          <cell r="I291">
            <v>0</v>
          </cell>
        </row>
        <row r="292">
          <cell r="A292" t="str">
            <v>63130-BF_4.4</v>
          </cell>
          <cell r="B292" t="str">
            <v>QUINDIO</v>
          </cell>
          <cell r="C292">
            <v>63130</v>
          </cell>
          <cell r="D292" t="str">
            <v>CALARCÁ</v>
          </cell>
          <cell r="E292">
            <v>75</v>
          </cell>
          <cell r="F292" t="str">
            <v>BF_4.4</v>
          </cell>
          <cell r="G292" t="str">
            <v xml:space="preserve">    Rendimientos Financieros</v>
          </cell>
          <cell r="H292">
            <v>45.319000000000003</v>
          </cell>
          <cell r="I292">
            <v>85.507450000000006</v>
          </cell>
        </row>
        <row r="293">
          <cell r="A293" t="str">
            <v>63130-BF_4.6</v>
          </cell>
          <cell r="B293" t="str">
            <v>QUINDIO</v>
          </cell>
          <cell r="C293">
            <v>63130</v>
          </cell>
          <cell r="D293" t="str">
            <v>CALARCÁ</v>
          </cell>
          <cell r="E293">
            <v>77</v>
          </cell>
          <cell r="F293" t="str">
            <v>BF_4.6</v>
          </cell>
          <cell r="G293" t="str">
            <v xml:space="preserve">    Desahorro FONPET</v>
          </cell>
          <cell r="H293">
            <v>1654.4010000000001</v>
          </cell>
          <cell r="I293">
            <v>6594.7974809999996</v>
          </cell>
        </row>
        <row r="294">
          <cell r="A294" t="str">
            <v>63130-BF_4.6.4</v>
          </cell>
          <cell r="B294" t="str">
            <v>QUINDIO</v>
          </cell>
          <cell r="C294">
            <v>63130</v>
          </cell>
          <cell r="D294" t="str">
            <v>CALARCÁ</v>
          </cell>
          <cell r="E294">
            <v>81</v>
          </cell>
          <cell r="F294" t="str">
            <v>BF_4.6.4</v>
          </cell>
          <cell r="G294" t="str">
            <v xml:space="preserve">    Otros Desahorros y Retiros (Cuotas partes, Bonos y Devoluciones)</v>
          </cell>
          <cell r="H294">
            <v>1654.4010000000001</v>
          </cell>
          <cell r="I294">
            <v>6594.7974809999996</v>
          </cell>
        </row>
        <row r="295">
          <cell r="A295" t="str">
            <v>63130-BF_4.7</v>
          </cell>
          <cell r="B295" t="str">
            <v>QUINDIO</v>
          </cell>
          <cell r="C295">
            <v>63130</v>
          </cell>
          <cell r="D295" t="str">
            <v>CALARCÁ</v>
          </cell>
          <cell r="E295">
            <v>82</v>
          </cell>
          <cell r="F295" t="str">
            <v>BF_4.7</v>
          </cell>
          <cell r="G295" t="str">
            <v xml:space="preserve">    Otros Recursos de Capital (Donaciones, Aprovechamientos y Otros)</v>
          </cell>
          <cell r="H295">
            <v>46.308999999999997</v>
          </cell>
          <cell r="I295">
            <v>102.820341</v>
          </cell>
        </row>
        <row r="296">
          <cell r="A296" t="str">
            <v>63130-BF_5</v>
          </cell>
          <cell r="B296" t="str">
            <v>QUINDIO</v>
          </cell>
          <cell r="C296">
            <v>63130</v>
          </cell>
          <cell r="D296" t="str">
            <v>CALARCÁ</v>
          </cell>
          <cell r="E296">
            <v>83</v>
          </cell>
          <cell r="F296" t="str">
            <v>BF_5</v>
          </cell>
          <cell r="G296" t="str">
            <v>GASTOS DE CAPITAL</v>
          </cell>
          <cell r="H296">
            <v>8227.527</v>
          </cell>
          <cell r="I296">
            <v>6899.3508339999998</v>
          </cell>
        </row>
        <row r="297">
          <cell r="A297" t="str">
            <v>63130-BF_5.1</v>
          </cell>
          <cell r="B297" t="str">
            <v>QUINDIO</v>
          </cell>
          <cell r="C297">
            <v>63130</v>
          </cell>
          <cell r="D297" t="str">
            <v>CALARCÁ</v>
          </cell>
          <cell r="E297">
            <v>84</v>
          </cell>
          <cell r="F297" t="str">
            <v>BF_5.1</v>
          </cell>
          <cell r="G297" t="str">
            <v xml:space="preserve">    Formación Bruta de Capital (Construcción, Reparación, Mantenimiento, Preinversión, Otros)</v>
          </cell>
          <cell r="H297">
            <v>8227.527</v>
          </cell>
          <cell r="I297">
            <v>6899.3508339999998</v>
          </cell>
        </row>
        <row r="298">
          <cell r="A298" t="str">
            <v>63130-BF_5.1.1</v>
          </cell>
          <cell r="B298" t="str">
            <v>QUINDIO</v>
          </cell>
          <cell r="C298">
            <v>63130</v>
          </cell>
          <cell r="D298" t="str">
            <v>CALARCÁ</v>
          </cell>
          <cell r="E298">
            <v>85</v>
          </cell>
          <cell r="F298" t="str">
            <v>BF_5.1.1</v>
          </cell>
          <cell r="G298" t="str">
            <v xml:space="preserve">        Educación</v>
          </cell>
          <cell r="H298">
            <v>165.26400000000001</v>
          </cell>
          <cell r="I298">
            <v>169.24508599999999</v>
          </cell>
        </row>
        <row r="299">
          <cell r="A299" t="str">
            <v>63130-BF_5.1.2</v>
          </cell>
          <cell r="B299" t="str">
            <v>QUINDIO</v>
          </cell>
          <cell r="C299">
            <v>63130</v>
          </cell>
          <cell r="D299" t="str">
            <v>CALARCÁ</v>
          </cell>
          <cell r="E299">
            <v>86</v>
          </cell>
          <cell r="F299" t="str">
            <v>BF_5.1.2</v>
          </cell>
          <cell r="G299" t="str">
            <v xml:space="preserve">        Salud</v>
          </cell>
          <cell r="H299">
            <v>0</v>
          </cell>
          <cell r="I299">
            <v>10.702640000000001</v>
          </cell>
        </row>
        <row r="300">
          <cell r="A300" t="str">
            <v>63130-BF_5.1.3</v>
          </cell>
          <cell r="B300" t="str">
            <v>QUINDIO</v>
          </cell>
          <cell r="C300">
            <v>63130</v>
          </cell>
          <cell r="D300" t="str">
            <v>CALARCÁ</v>
          </cell>
          <cell r="E300">
            <v>87</v>
          </cell>
          <cell r="F300" t="str">
            <v>BF_5.1.3</v>
          </cell>
          <cell r="G300" t="str">
            <v xml:space="preserve">        Agua Potable</v>
          </cell>
          <cell r="H300">
            <v>929.495</v>
          </cell>
          <cell r="I300">
            <v>1248.068943</v>
          </cell>
        </row>
        <row r="301">
          <cell r="A301" t="str">
            <v>63130-BF_5.1.4</v>
          </cell>
          <cell r="B301" t="str">
            <v>QUINDIO</v>
          </cell>
          <cell r="C301">
            <v>63130</v>
          </cell>
          <cell r="D301" t="str">
            <v>CALARCÁ</v>
          </cell>
          <cell r="E301">
            <v>88</v>
          </cell>
          <cell r="F301" t="str">
            <v>BF_5.1.4</v>
          </cell>
          <cell r="G301" t="str">
            <v xml:space="preserve">        Vivienda</v>
          </cell>
          <cell r="H301">
            <v>225.24299999999999</v>
          </cell>
          <cell r="I301">
            <v>70.367999999999995</v>
          </cell>
        </row>
        <row r="302">
          <cell r="A302" t="str">
            <v>63130-BF_5.1.5</v>
          </cell>
          <cell r="B302" t="str">
            <v>QUINDIO</v>
          </cell>
          <cell r="C302">
            <v>63130</v>
          </cell>
          <cell r="D302" t="str">
            <v>CALARCÁ</v>
          </cell>
          <cell r="E302">
            <v>89</v>
          </cell>
          <cell r="F302" t="str">
            <v>BF_5.1.5</v>
          </cell>
          <cell r="G302" t="str">
            <v xml:space="preserve">        Vías</v>
          </cell>
          <cell r="H302">
            <v>1536.874</v>
          </cell>
          <cell r="I302">
            <v>3429.0643799999998</v>
          </cell>
        </row>
        <row r="303">
          <cell r="A303" t="str">
            <v>63130-BF_5.1.6</v>
          </cell>
          <cell r="B303" t="str">
            <v>QUINDIO</v>
          </cell>
          <cell r="C303">
            <v>63130</v>
          </cell>
          <cell r="D303" t="str">
            <v>CALARCÁ</v>
          </cell>
          <cell r="E303">
            <v>90</v>
          </cell>
          <cell r="F303" t="str">
            <v>BF_5.1.6</v>
          </cell>
          <cell r="G303" t="str">
            <v xml:space="preserve">        Otros Sectores</v>
          </cell>
          <cell r="H303">
            <v>5370.6509999999998</v>
          </cell>
          <cell r="I303">
            <v>1971.901785</v>
          </cell>
        </row>
        <row r="304">
          <cell r="A304" t="str">
            <v>63130-BF_6</v>
          </cell>
          <cell r="B304" t="str">
            <v>QUINDIO</v>
          </cell>
          <cell r="C304">
            <v>63130</v>
          </cell>
          <cell r="D304" t="str">
            <v>CALARCÁ</v>
          </cell>
          <cell r="E304">
            <v>92</v>
          </cell>
          <cell r="F304" t="str">
            <v>BF_6</v>
          </cell>
          <cell r="G304" t="str">
            <v>DÉFICIT O SUPERÁVIT DE CAPITAL</v>
          </cell>
          <cell r="H304">
            <v>-3846.9479999999999</v>
          </cell>
          <cell r="I304">
            <v>-116.225562</v>
          </cell>
        </row>
        <row r="305">
          <cell r="A305" t="str">
            <v>63130-BF_7</v>
          </cell>
          <cell r="B305" t="str">
            <v>QUINDIO</v>
          </cell>
          <cell r="C305">
            <v>63130</v>
          </cell>
          <cell r="D305" t="str">
            <v>CALARCÁ</v>
          </cell>
          <cell r="E305">
            <v>93</v>
          </cell>
          <cell r="F305" t="str">
            <v>BF_7</v>
          </cell>
          <cell r="G305" t="str">
            <v>DÉFICIT O SUPERÁVIT TOTAL</v>
          </cell>
          <cell r="H305">
            <v>-444.11</v>
          </cell>
          <cell r="I305">
            <v>-2473.5729040000001</v>
          </cell>
        </row>
        <row r="306">
          <cell r="A306" t="str">
            <v>63130-BF_8</v>
          </cell>
          <cell r="B306" t="str">
            <v>QUINDIO</v>
          </cell>
          <cell r="C306">
            <v>63130</v>
          </cell>
          <cell r="D306" t="str">
            <v>CALARCÁ</v>
          </cell>
          <cell r="E306">
            <v>94</v>
          </cell>
          <cell r="F306" t="str">
            <v>BF_8</v>
          </cell>
          <cell r="G306" t="str">
            <v>FINANCIACIÓN</v>
          </cell>
          <cell r="H306">
            <v>4170.1040000000003</v>
          </cell>
          <cell r="I306">
            <v>8003.0363619999998</v>
          </cell>
        </row>
        <row r="307">
          <cell r="A307" t="str">
            <v>63130-BF_8.1</v>
          </cell>
          <cell r="B307" t="str">
            <v>QUINDIO</v>
          </cell>
          <cell r="C307">
            <v>63130</v>
          </cell>
          <cell r="D307" t="str">
            <v>CALARCÁ</v>
          </cell>
          <cell r="E307">
            <v>95</v>
          </cell>
          <cell r="F307" t="str">
            <v>BF_8.1</v>
          </cell>
          <cell r="G307" t="str">
            <v xml:space="preserve">    RECURSOS DEL CRÉDITO</v>
          </cell>
          <cell r="H307">
            <v>-855.41499999999996</v>
          </cell>
          <cell r="I307">
            <v>-1093.871566</v>
          </cell>
        </row>
        <row r="308">
          <cell r="A308" t="str">
            <v>63130-BF_8.1.1</v>
          </cell>
          <cell r="B308" t="str">
            <v>QUINDIO</v>
          </cell>
          <cell r="C308">
            <v>63130</v>
          </cell>
          <cell r="D308" t="str">
            <v>CALARCÁ</v>
          </cell>
          <cell r="E308">
            <v>96</v>
          </cell>
          <cell r="F308" t="str">
            <v>BF_8.1.1</v>
          </cell>
          <cell r="G308" t="str">
            <v xml:space="preserve">        Interno</v>
          </cell>
          <cell r="H308">
            <v>-855.41499999999996</v>
          </cell>
          <cell r="I308">
            <v>-1093.871566</v>
          </cell>
        </row>
        <row r="309">
          <cell r="A309" t="str">
            <v>63130-BF_8.1.1.1</v>
          </cell>
          <cell r="B309" t="str">
            <v>QUINDIO</v>
          </cell>
          <cell r="C309">
            <v>63130</v>
          </cell>
          <cell r="D309" t="str">
            <v>CALARCÁ</v>
          </cell>
          <cell r="E309">
            <v>97</v>
          </cell>
          <cell r="F309" t="str">
            <v>BF_8.1.1.1</v>
          </cell>
          <cell r="G309" t="str">
            <v xml:space="preserve">             Desembolsos</v>
          </cell>
          <cell r="H309">
            <v>296</v>
          </cell>
          <cell r="I309">
            <v>0</v>
          </cell>
        </row>
        <row r="310">
          <cell r="A310" t="str">
            <v>63130-BF_8.1.1.2</v>
          </cell>
          <cell r="B310" t="str">
            <v>QUINDIO</v>
          </cell>
          <cell r="C310">
            <v>63130</v>
          </cell>
          <cell r="D310" t="str">
            <v>CALARCÁ</v>
          </cell>
          <cell r="E310">
            <v>98</v>
          </cell>
          <cell r="F310" t="str">
            <v>BF_8.1.1.2</v>
          </cell>
          <cell r="G310" t="str">
            <v xml:space="preserve">             Amortizaciones</v>
          </cell>
          <cell r="H310">
            <v>1151.415</v>
          </cell>
          <cell r="I310">
            <v>1093.871566</v>
          </cell>
        </row>
        <row r="311">
          <cell r="A311" t="str">
            <v>63130-BF_8.2</v>
          </cell>
          <cell r="B311" t="str">
            <v>QUINDIO</v>
          </cell>
          <cell r="C311">
            <v>63130</v>
          </cell>
          <cell r="D311" t="str">
            <v>CALARCÁ</v>
          </cell>
          <cell r="E311">
            <v>102</v>
          </cell>
          <cell r="F311" t="str">
            <v>BF_8.2</v>
          </cell>
          <cell r="G311" t="str">
            <v xml:space="preserve">    Recursos del Balance (Superávit Fiscal, Cancelación de Reservas)</v>
          </cell>
          <cell r="H311">
            <v>5025.5190000000002</v>
          </cell>
          <cell r="I311">
            <v>9096.9079280000005</v>
          </cell>
        </row>
        <row r="312">
          <cell r="A312" t="str">
            <v>63130-BF_9.1</v>
          </cell>
          <cell r="B312" t="str">
            <v>QUINDIO</v>
          </cell>
          <cell r="C312">
            <v>63130</v>
          </cell>
          <cell r="D312" t="str">
            <v>CALARCÁ</v>
          </cell>
          <cell r="E312">
            <v>107</v>
          </cell>
          <cell r="F312" t="str">
            <v>BF_9.1</v>
          </cell>
          <cell r="G312" t="str">
            <v xml:space="preserve">    DÉFICIT O SUPERÁVIT PRIMARIO</v>
          </cell>
          <cell r="H312">
            <v>5191.6379999999999</v>
          </cell>
          <cell r="I312">
            <v>7328.6471929999998</v>
          </cell>
        </row>
        <row r="313">
          <cell r="A313" t="str">
            <v>63130-BF_9.2</v>
          </cell>
          <cell r="B313" t="str">
            <v>QUINDIO</v>
          </cell>
          <cell r="C313">
            <v>63130</v>
          </cell>
          <cell r="D313" t="str">
            <v>CALARCÁ</v>
          </cell>
          <cell r="E313">
            <v>108</v>
          </cell>
          <cell r="F313" t="str">
            <v>BF_9.2</v>
          </cell>
          <cell r="G313" t="str">
            <v xml:space="preserve">    DÉFICIT O SUPERÁVIT PRIMARIO/INTERESES</v>
          </cell>
          <cell r="H313">
            <v>8.5079999999999991</v>
          </cell>
          <cell r="I313">
            <v>10.390643342000001</v>
          </cell>
        </row>
        <row r="314">
          <cell r="A314" t="str">
            <v>63130-BF_10.1</v>
          </cell>
          <cell r="B314" t="str">
            <v>QUINDIO</v>
          </cell>
          <cell r="C314">
            <v>63130</v>
          </cell>
          <cell r="D314" t="str">
            <v>CALARCÁ</v>
          </cell>
          <cell r="E314">
            <v>110</v>
          </cell>
          <cell r="F314" t="str">
            <v>BF_10.1</v>
          </cell>
          <cell r="G314" t="str">
            <v xml:space="preserve">    INGRESOS TOTALES SIN INCLUIR RECURSOS PARA RESERVAS PRESUPUESTALES</v>
          </cell>
          <cell r="H314">
            <v>55707.927000000003</v>
          </cell>
          <cell r="I314">
            <v>64421.305055999997</v>
          </cell>
        </row>
        <row r="315">
          <cell r="A315" t="str">
            <v>63130-BF_10.2</v>
          </cell>
          <cell r="B315" t="str">
            <v>QUINDIO</v>
          </cell>
          <cell r="C315">
            <v>63130</v>
          </cell>
          <cell r="D315" t="str">
            <v>CALARCÁ</v>
          </cell>
          <cell r="E315">
            <v>111</v>
          </cell>
          <cell r="F315" t="str">
            <v>BF_10.2</v>
          </cell>
          <cell r="G315" t="str">
            <v xml:space="preserve">    GASTOS TOTALES SIN INCLUIR GASTOS POR RESERVAS PRESUPUESTALES</v>
          </cell>
          <cell r="H315">
            <v>51981.932999999997</v>
          </cell>
          <cell r="I315">
            <v>58891.841597999999</v>
          </cell>
        </row>
        <row r="316">
          <cell r="A316" t="str">
            <v>63130-BF_10.3</v>
          </cell>
          <cell r="B316" t="str">
            <v>QUINDIO</v>
          </cell>
          <cell r="C316">
            <v>63130</v>
          </cell>
          <cell r="D316" t="str">
            <v>CALARCÁ</v>
          </cell>
          <cell r="E316">
            <v>112</v>
          </cell>
          <cell r="F316" t="str">
            <v>BF_10.3</v>
          </cell>
          <cell r="G316" t="str">
            <v xml:space="preserve">    DÉFICIT O SUPERÁVIT PRESUPUESTAL SIN INCLUIR RESERVAS PRESUPUESTALES</v>
          </cell>
          <cell r="H316">
            <v>3725.9940000000001</v>
          </cell>
          <cell r="I316">
            <v>5529.4634580000002</v>
          </cell>
        </row>
        <row r="317">
          <cell r="A317" t="str">
            <v>63130-BF_12.1</v>
          </cell>
          <cell r="B317" t="str">
            <v>QUINDIO</v>
          </cell>
          <cell r="C317">
            <v>63130</v>
          </cell>
          <cell r="D317" t="str">
            <v>CALARCÁ</v>
          </cell>
          <cell r="E317">
            <v>114</v>
          </cell>
          <cell r="F317" t="str">
            <v>BF_12.1</v>
          </cell>
          <cell r="G317" t="str">
            <v xml:space="preserve">    INGRESOS TOTALES</v>
          </cell>
          <cell r="H317">
            <v>57322.182000000001</v>
          </cell>
          <cell r="I317">
            <v>66499.353176000004</v>
          </cell>
        </row>
        <row r="318">
          <cell r="A318" t="str">
            <v>63130-BF_12.2</v>
          </cell>
          <cell r="B318" t="str">
            <v>QUINDIO</v>
          </cell>
          <cell r="C318">
            <v>63130</v>
          </cell>
          <cell r="D318" t="str">
            <v>CALARCÁ</v>
          </cell>
          <cell r="E318">
            <v>115</v>
          </cell>
          <cell r="F318" t="str">
            <v>BF_12.2</v>
          </cell>
          <cell r="G318" t="str">
            <v xml:space="preserve">    GASTOS TOTALES</v>
          </cell>
          <cell r="H318">
            <v>53596.184999999998</v>
          </cell>
          <cell r="I318">
            <v>60996.306753999997</v>
          </cell>
        </row>
        <row r="319">
          <cell r="A319" t="str">
            <v>63130-BF_12.3</v>
          </cell>
          <cell r="B319" t="str">
            <v>QUINDIO</v>
          </cell>
          <cell r="C319">
            <v>63130</v>
          </cell>
          <cell r="D319" t="str">
            <v>CALARCÁ</v>
          </cell>
          <cell r="E319">
            <v>116</v>
          </cell>
          <cell r="F319" t="str">
            <v>BF_12.3</v>
          </cell>
          <cell r="G319" t="str">
            <v xml:space="preserve">    DÉFICIT O SUPERÁVIT PRESUPUESTAL</v>
          </cell>
          <cell r="H319">
            <v>3725.9969999999998</v>
          </cell>
          <cell r="I319">
            <v>5503.0464220000003</v>
          </cell>
        </row>
        <row r="320">
          <cell r="A320" t="str">
            <v>63130-BF_13.1</v>
          </cell>
          <cell r="B320" t="str">
            <v>QUINDIO</v>
          </cell>
          <cell r="C320">
            <v>63130</v>
          </cell>
          <cell r="D320" t="str">
            <v>CALARCÁ</v>
          </cell>
          <cell r="E320">
            <v>118</v>
          </cell>
          <cell r="F320" t="str">
            <v>BF_13.1</v>
          </cell>
          <cell r="G320" t="str">
            <v xml:space="preserve">    Recursos que Financian Reservas Presupuestales Excepcionales (Ley 819/2003)</v>
          </cell>
          <cell r="H320">
            <v>1614.2550000000001</v>
          </cell>
          <cell r="I320">
            <v>2078.0481199999999</v>
          </cell>
        </row>
        <row r="321">
          <cell r="A321" t="str">
            <v>63130-BF_13.2</v>
          </cell>
          <cell r="B321" t="str">
            <v>QUINDIO</v>
          </cell>
          <cell r="C321">
            <v>63130</v>
          </cell>
          <cell r="D321" t="str">
            <v>CALARCÁ</v>
          </cell>
          <cell r="E321">
            <v>119</v>
          </cell>
          <cell r="F321" t="str">
            <v>BF_13.2</v>
          </cell>
          <cell r="G321" t="str">
            <v xml:space="preserve">    Reservas Presupuestales de Funcionamiento Vigencia Anterior</v>
          </cell>
          <cell r="H321">
            <v>44.408999999999999</v>
          </cell>
          <cell r="I321">
            <v>26.417036</v>
          </cell>
        </row>
        <row r="322">
          <cell r="A322" t="str">
            <v>63130-BF_13.3</v>
          </cell>
          <cell r="B322" t="str">
            <v>QUINDIO</v>
          </cell>
          <cell r="C322">
            <v>63130</v>
          </cell>
          <cell r="D322" t="str">
            <v>CALARCÁ</v>
          </cell>
          <cell r="E322">
            <v>120</v>
          </cell>
          <cell r="F322" t="str">
            <v>BF_13.3</v>
          </cell>
          <cell r="G322" t="str">
            <v xml:space="preserve">    Reservas Presupuestales de Inversión Vigencia Anterior</v>
          </cell>
          <cell r="H322">
            <v>1569.8420000000001</v>
          </cell>
          <cell r="I322">
            <v>2078.0481199999999</v>
          </cell>
        </row>
        <row r="323">
          <cell r="A323" t="str">
            <v>63130-BF_13.4</v>
          </cell>
          <cell r="B323" t="str">
            <v>QUINDIO</v>
          </cell>
          <cell r="C323">
            <v>63130</v>
          </cell>
          <cell r="D323" t="str">
            <v>CALARCÁ</v>
          </cell>
          <cell r="E323">
            <v>121</v>
          </cell>
          <cell r="F323" t="str">
            <v>BF_13.4</v>
          </cell>
          <cell r="G323" t="str">
            <v xml:space="preserve">    DEFICIT O SUPERAVIT RESERVAS PRESUPUESTALES</v>
          </cell>
          <cell r="H323">
            <v>4.0000000000000001E-3</v>
          </cell>
          <cell r="I323">
            <v>-26.417036</v>
          </cell>
        </row>
        <row r="324">
          <cell r="A324" t="str">
            <v>63190-BF_1</v>
          </cell>
          <cell r="B324" t="str">
            <v>QUINDIO</v>
          </cell>
          <cell r="C324">
            <v>63190</v>
          </cell>
          <cell r="D324" t="str">
            <v>CIRCASIA</v>
          </cell>
          <cell r="E324">
            <v>1</v>
          </cell>
          <cell r="F324" t="str">
            <v>BF_1</v>
          </cell>
          <cell r="G324" t="str">
            <v>INGRESOS TOTALES</v>
          </cell>
          <cell r="H324">
            <v>30537.552</v>
          </cell>
          <cell r="I324">
            <v>21870.801094999999</v>
          </cell>
        </row>
        <row r="325">
          <cell r="A325" t="str">
            <v>63190-BF_1.1</v>
          </cell>
          <cell r="B325" t="str">
            <v>QUINDIO</v>
          </cell>
          <cell r="C325">
            <v>63190</v>
          </cell>
          <cell r="D325" t="str">
            <v>CIRCASIA</v>
          </cell>
          <cell r="E325">
            <v>2</v>
          </cell>
          <cell r="F325" t="str">
            <v>BF_1.1</v>
          </cell>
          <cell r="G325" t="str">
            <v xml:space="preserve">    INGRESOS CORRIENTES</v>
          </cell>
          <cell r="H325">
            <v>28537.460999999999</v>
          </cell>
          <cell r="I325">
            <v>20227.411467000002</v>
          </cell>
        </row>
        <row r="326">
          <cell r="A326" t="str">
            <v>63190-BF_1.1.1</v>
          </cell>
          <cell r="B326" t="str">
            <v>QUINDIO</v>
          </cell>
          <cell r="C326">
            <v>63190</v>
          </cell>
          <cell r="D326" t="str">
            <v>CIRCASIA</v>
          </cell>
          <cell r="E326">
            <v>3</v>
          </cell>
          <cell r="F326" t="str">
            <v>BF_1.1.1</v>
          </cell>
          <cell r="G326" t="str">
            <v xml:space="preserve">        TRIBUTARIOS</v>
          </cell>
          <cell r="H326">
            <v>4515.5770000000002</v>
          </cell>
          <cell r="I326">
            <v>5065.1812200000004</v>
          </cell>
        </row>
        <row r="327">
          <cell r="A327" t="str">
            <v>63190-BF_1.1.1.2</v>
          </cell>
          <cell r="B327" t="str">
            <v>QUINDIO</v>
          </cell>
          <cell r="C327">
            <v>63190</v>
          </cell>
          <cell r="D327" t="str">
            <v>CIRCASIA</v>
          </cell>
          <cell r="E327">
            <v>5</v>
          </cell>
          <cell r="F327" t="str">
            <v>BF_1.1.1.2</v>
          </cell>
          <cell r="G327" t="str">
            <v xml:space="preserve">             Impuesto Predial Unificado</v>
          </cell>
          <cell r="H327">
            <v>1503.816</v>
          </cell>
          <cell r="I327">
            <v>1527.2728059999999</v>
          </cell>
        </row>
        <row r="328">
          <cell r="A328" t="str">
            <v>63190-BF_1.1.1.3</v>
          </cell>
          <cell r="B328" t="str">
            <v>QUINDIO</v>
          </cell>
          <cell r="C328">
            <v>63190</v>
          </cell>
          <cell r="D328" t="str">
            <v>CIRCASIA</v>
          </cell>
          <cell r="E328">
            <v>6</v>
          </cell>
          <cell r="F328" t="str">
            <v>BF_1.1.1.3</v>
          </cell>
          <cell r="G328" t="str">
            <v xml:space="preserve">             Impuesto de Industria y Comercio</v>
          </cell>
          <cell r="H328">
            <v>696.40499999999997</v>
          </cell>
          <cell r="I328">
            <v>867.93124399999999</v>
          </cell>
        </row>
        <row r="329">
          <cell r="A329" t="str">
            <v>63190-BF_1.1.1.8</v>
          </cell>
          <cell r="B329" t="str">
            <v>QUINDIO</v>
          </cell>
          <cell r="C329">
            <v>63190</v>
          </cell>
          <cell r="D329" t="str">
            <v>CIRCASIA</v>
          </cell>
          <cell r="E329">
            <v>11</v>
          </cell>
          <cell r="F329" t="str">
            <v>BF_1.1.1.8</v>
          </cell>
          <cell r="G329" t="str">
            <v xml:space="preserve">             Sobretasa Consumo Gasolina Motor</v>
          </cell>
          <cell r="H329">
            <v>288.77499999999998</v>
          </cell>
          <cell r="I329">
            <v>333.28300000000002</v>
          </cell>
        </row>
        <row r="330">
          <cell r="A330" t="str">
            <v>63190-BF_1.1.1.9</v>
          </cell>
          <cell r="B330" t="str">
            <v>QUINDIO</v>
          </cell>
          <cell r="C330">
            <v>63190</v>
          </cell>
          <cell r="D330" t="str">
            <v>CIRCASIA</v>
          </cell>
          <cell r="E330">
            <v>12</v>
          </cell>
          <cell r="F330" t="str">
            <v>BF_1.1.1.9</v>
          </cell>
          <cell r="G330" t="str">
            <v xml:space="preserve">             Estampillas</v>
          </cell>
          <cell r="H330">
            <v>334.72300000000001</v>
          </cell>
          <cell r="I330">
            <v>583.52219100000002</v>
          </cell>
        </row>
        <row r="331">
          <cell r="A331" t="str">
            <v>63190-BF_1.1.1.12</v>
          </cell>
          <cell r="B331" t="str">
            <v>QUINDIO</v>
          </cell>
          <cell r="C331">
            <v>63190</v>
          </cell>
          <cell r="D331" t="str">
            <v>CIRCASIA</v>
          </cell>
          <cell r="E331">
            <v>15</v>
          </cell>
          <cell r="F331" t="str">
            <v>BF_1.1.1.12</v>
          </cell>
          <cell r="G331" t="str">
            <v xml:space="preserve">             Otros Ingresos Tributarios</v>
          </cell>
          <cell r="H331">
            <v>1691.8579999999999</v>
          </cell>
          <cell r="I331">
            <v>1753.171979</v>
          </cell>
        </row>
        <row r="332">
          <cell r="A332" t="str">
            <v>63190-BF_1.1.2</v>
          </cell>
          <cell r="B332" t="str">
            <v>QUINDIO</v>
          </cell>
          <cell r="C332">
            <v>63190</v>
          </cell>
          <cell r="D332" t="str">
            <v>CIRCASIA</v>
          </cell>
          <cell r="E332">
            <v>16</v>
          </cell>
          <cell r="F332" t="str">
            <v>BF_1.1.2</v>
          </cell>
          <cell r="G332" t="str">
            <v xml:space="preserve">        NO TRIBUTARIOS</v>
          </cell>
          <cell r="H332">
            <v>375.22500000000002</v>
          </cell>
          <cell r="I332">
            <v>384.08760899999999</v>
          </cell>
        </row>
        <row r="333">
          <cell r="A333" t="str">
            <v>63190-BF_1.1.2.1</v>
          </cell>
          <cell r="B333" t="str">
            <v>QUINDIO</v>
          </cell>
          <cell r="C333">
            <v>63190</v>
          </cell>
          <cell r="D333" t="str">
            <v>CIRCASIA</v>
          </cell>
          <cell r="E333">
            <v>17</v>
          </cell>
          <cell r="F333" t="str">
            <v>BF_1.1.2.1</v>
          </cell>
          <cell r="G333" t="str">
            <v xml:space="preserve">             Ingresos de la Propiedad: Tasas, Derechos, Multas y Sanciones</v>
          </cell>
          <cell r="H333">
            <v>331.01600000000002</v>
          </cell>
          <cell r="I333">
            <v>367.832628</v>
          </cell>
        </row>
        <row r="334">
          <cell r="A334" t="str">
            <v>63190-BF_1.1.2.2</v>
          </cell>
          <cell r="B334" t="str">
            <v>QUINDIO</v>
          </cell>
          <cell r="C334">
            <v>63190</v>
          </cell>
          <cell r="D334" t="str">
            <v>CIRCASIA</v>
          </cell>
          <cell r="E334">
            <v>18</v>
          </cell>
          <cell r="F334" t="str">
            <v>BF_1.1.2.2</v>
          </cell>
          <cell r="G334" t="str">
            <v xml:space="preserve">             Otros No Tributarios</v>
          </cell>
          <cell r="H334">
            <v>44.209000000000003</v>
          </cell>
          <cell r="I334">
            <v>16.254981000000001</v>
          </cell>
        </row>
        <row r="335">
          <cell r="A335" t="str">
            <v>63190-BF_1.1.3</v>
          </cell>
          <cell r="B335" t="str">
            <v>QUINDIO</v>
          </cell>
          <cell r="C335">
            <v>63190</v>
          </cell>
          <cell r="D335" t="str">
            <v>CIRCASIA</v>
          </cell>
          <cell r="E335">
            <v>19</v>
          </cell>
          <cell r="F335" t="str">
            <v>BF_1.1.3</v>
          </cell>
          <cell r="G335" t="str">
            <v xml:space="preserve">        TRANSFERENCIAS</v>
          </cell>
          <cell r="H335">
            <v>23646.659</v>
          </cell>
          <cell r="I335">
            <v>14778.142637999999</v>
          </cell>
        </row>
        <row r="336">
          <cell r="A336" t="str">
            <v>63190-BF_1.1.3.1</v>
          </cell>
          <cell r="B336" t="str">
            <v>QUINDIO</v>
          </cell>
          <cell r="C336">
            <v>63190</v>
          </cell>
          <cell r="D336" t="str">
            <v>CIRCASIA</v>
          </cell>
          <cell r="E336">
            <v>20</v>
          </cell>
          <cell r="F336" t="str">
            <v>BF_1.1.3.1</v>
          </cell>
          <cell r="G336" t="str">
            <v xml:space="preserve">             Transferencias Para Funcionamiento</v>
          </cell>
          <cell r="H336">
            <v>795.94799999999998</v>
          </cell>
          <cell r="I336">
            <v>1056.9559870000001</v>
          </cell>
        </row>
        <row r="337">
          <cell r="A337" t="str">
            <v>63190-BF_1.1.3.1.1</v>
          </cell>
          <cell r="B337" t="str">
            <v>QUINDIO</v>
          </cell>
          <cell r="C337">
            <v>63190</v>
          </cell>
          <cell r="D337" t="str">
            <v>CIRCASIA</v>
          </cell>
          <cell r="E337">
            <v>21</v>
          </cell>
          <cell r="F337" t="str">
            <v>BF_1.1.3.1.1</v>
          </cell>
          <cell r="G337" t="str">
            <v xml:space="preserve">                 Del Nivel Nacional</v>
          </cell>
          <cell r="H337">
            <v>682.87</v>
          </cell>
          <cell r="I337">
            <v>941.400035</v>
          </cell>
        </row>
        <row r="338">
          <cell r="A338" t="str">
            <v>63190-BF_1.1.3.1.1.1</v>
          </cell>
          <cell r="B338" t="str">
            <v>QUINDIO</v>
          </cell>
          <cell r="C338">
            <v>63190</v>
          </cell>
          <cell r="D338" t="str">
            <v>CIRCASIA</v>
          </cell>
          <cell r="E338">
            <v>22</v>
          </cell>
          <cell r="F338" t="str">
            <v>BF_1.1.3.1.1.1</v>
          </cell>
          <cell r="G338" t="str">
            <v xml:space="preserve">                     Sistema General de Participaciones - Propósito General - Libre destinación - Municipios categorías 4, 5 y 6</v>
          </cell>
          <cell r="H338">
            <v>682.87</v>
          </cell>
          <cell r="I338">
            <v>941.400035</v>
          </cell>
        </row>
        <row r="339">
          <cell r="A339" t="str">
            <v>63190-BF_1.1.3.1.2</v>
          </cell>
          <cell r="B339" t="str">
            <v>QUINDIO</v>
          </cell>
          <cell r="C339">
            <v>63190</v>
          </cell>
          <cell r="D339" t="str">
            <v>CIRCASIA</v>
          </cell>
          <cell r="E339">
            <v>24</v>
          </cell>
          <cell r="F339" t="str">
            <v>BF_1.1.3.1.2</v>
          </cell>
          <cell r="G339" t="str">
            <v xml:space="preserve">                 Del Nivel Departamental</v>
          </cell>
          <cell r="H339">
            <v>113.078</v>
          </cell>
          <cell r="I339">
            <v>115.555952</v>
          </cell>
        </row>
        <row r="340">
          <cell r="A340" t="str">
            <v>63190-BF_1.1.3.1.2.1</v>
          </cell>
          <cell r="B340" t="str">
            <v>QUINDIO</v>
          </cell>
          <cell r="C340">
            <v>63190</v>
          </cell>
          <cell r="D340" t="str">
            <v>CIRCASIA</v>
          </cell>
          <cell r="E340">
            <v>25</v>
          </cell>
          <cell r="F340" t="str">
            <v>BF_1.1.3.1.2.1</v>
          </cell>
          <cell r="G340" t="str">
            <v xml:space="preserve">                     De Vehículos Automotores</v>
          </cell>
          <cell r="H340">
            <v>113.078</v>
          </cell>
          <cell r="I340">
            <v>115.555952</v>
          </cell>
        </row>
        <row r="341">
          <cell r="A341" t="str">
            <v>63190-BF_1.1.3.2</v>
          </cell>
          <cell r="B341" t="str">
            <v>QUINDIO</v>
          </cell>
          <cell r="C341">
            <v>63190</v>
          </cell>
          <cell r="D341" t="str">
            <v>CIRCASIA</v>
          </cell>
          <cell r="E341">
            <v>28</v>
          </cell>
          <cell r="F341" t="str">
            <v>BF_1.1.3.2</v>
          </cell>
          <cell r="G341" t="str">
            <v xml:space="preserve">             Transferencias Para Inversión</v>
          </cell>
          <cell r="H341">
            <v>22850.710999999999</v>
          </cell>
          <cell r="I341">
            <v>13721.186651</v>
          </cell>
        </row>
        <row r="342">
          <cell r="A342" t="str">
            <v>63190-BF_1.1.3.2.1</v>
          </cell>
          <cell r="B342" t="str">
            <v>QUINDIO</v>
          </cell>
          <cell r="C342">
            <v>63190</v>
          </cell>
          <cell r="D342" t="str">
            <v>CIRCASIA</v>
          </cell>
          <cell r="E342">
            <v>29</v>
          </cell>
          <cell r="F342" t="str">
            <v>BF_1.1.3.2.1</v>
          </cell>
          <cell r="G342" t="str">
            <v xml:space="preserve">                 Del Nivel Nacional</v>
          </cell>
          <cell r="H342">
            <v>21974.898000000001</v>
          </cell>
          <cell r="I342">
            <v>12611.907985</v>
          </cell>
        </row>
        <row r="343">
          <cell r="A343" t="str">
            <v>63190-BF_1.1.3.2.1.1</v>
          </cell>
          <cell r="B343" t="str">
            <v>QUINDIO</v>
          </cell>
          <cell r="C343">
            <v>63190</v>
          </cell>
          <cell r="D343" t="str">
            <v>CIRCASIA</v>
          </cell>
          <cell r="E343">
            <v>30</v>
          </cell>
          <cell r="F343" t="str">
            <v>BF_1.1.3.2.1.1</v>
          </cell>
          <cell r="G343" t="str">
            <v xml:space="preserve">                     Sistema General de Participaciones</v>
          </cell>
          <cell r="H343">
            <v>6906.576</v>
          </cell>
          <cell r="I343">
            <v>7236.8592989999997</v>
          </cell>
        </row>
        <row r="344">
          <cell r="A344" t="str">
            <v>63190-BF_1.1.3.2.1.1.1</v>
          </cell>
          <cell r="B344" t="str">
            <v>QUINDIO</v>
          </cell>
          <cell r="C344">
            <v>63190</v>
          </cell>
          <cell r="D344" t="str">
            <v>CIRCASIA</v>
          </cell>
          <cell r="E344">
            <v>31</v>
          </cell>
          <cell r="F344" t="str">
            <v>BF_1.1.3.2.1.1.1</v>
          </cell>
          <cell r="G344" t="str">
            <v xml:space="preserve">                         Sistema General de Participaciones - Educación</v>
          </cell>
          <cell r="H344">
            <v>760.27700000000004</v>
          </cell>
          <cell r="I344">
            <v>731.55107799999996</v>
          </cell>
        </row>
        <row r="345">
          <cell r="A345" t="str">
            <v>63190-BF_1.1.3.2.1.1.2</v>
          </cell>
          <cell r="B345" t="str">
            <v>QUINDIO</v>
          </cell>
          <cell r="C345">
            <v>63190</v>
          </cell>
          <cell r="D345" t="str">
            <v>CIRCASIA</v>
          </cell>
          <cell r="E345">
            <v>32</v>
          </cell>
          <cell r="F345" t="str">
            <v>BF_1.1.3.2.1.1.2</v>
          </cell>
          <cell r="G345" t="str">
            <v xml:space="preserve">                         Sistema General de Participaciones - Salud</v>
          </cell>
          <cell r="H345">
            <v>4354.96</v>
          </cell>
          <cell r="I345">
            <v>4275.0574660000002</v>
          </cell>
        </row>
        <row r="346">
          <cell r="A346" t="str">
            <v>63190-BF_1.1.3.2.1.1.3</v>
          </cell>
          <cell r="B346" t="str">
            <v>QUINDIO</v>
          </cell>
          <cell r="C346">
            <v>63190</v>
          </cell>
          <cell r="D346" t="str">
            <v>CIRCASIA</v>
          </cell>
          <cell r="E346">
            <v>33</v>
          </cell>
          <cell r="F346" t="str">
            <v>BF_1.1.3.2.1.1.3</v>
          </cell>
          <cell r="G346" t="str">
            <v xml:space="preserve">                         Sistema General de Participaciones - Agua Potable y Saneamiento Básico</v>
          </cell>
          <cell r="H346">
            <v>831.69399999999996</v>
          </cell>
          <cell r="I346">
            <v>870.61676399999999</v>
          </cell>
        </row>
        <row r="347">
          <cell r="A347" t="str">
            <v>63190-BF_1.1.3.2.1.1.4</v>
          </cell>
          <cell r="B347" t="str">
            <v>QUINDIO</v>
          </cell>
          <cell r="C347">
            <v>63190</v>
          </cell>
          <cell r="D347" t="str">
            <v>CIRCASIA</v>
          </cell>
          <cell r="E347">
            <v>34</v>
          </cell>
          <cell r="F347" t="str">
            <v>BF_1.1.3.2.1.1.4</v>
          </cell>
          <cell r="G347" t="str">
            <v xml:space="preserve">                         Sistema General de Participaciones - Propósito General - Forzosa Inversión</v>
          </cell>
          <cell r="H347">
            <v>848.75199999999995</v>
          </cell>
          <cell r="I347">
            <v>1300.0286140000001</v>
          </cell>
        </row>
        <row r="348">
          <cell r="A348" t="str">
            <v>63190-BF_1.1.3.2.1.1.5</v>
          </cell>
          <cell r="B348" t="str">
            <v>QUINDIO</v>
          </cell>
          <cell r="C348">
            <v>63190</v>
          </cell>
          <cell r="D348" t="str">
            <v>CIRCASIA</v>
          </cell>
          <cell r="E348">
            <v>35</v>
          </cell>
          <cell r="F348" t="str">
            <v>BF_1.1.3.2.1.1.5</v>
          </cell>
          <cell r="G348" t="str">
            <v xml:space="preserve">                         Otras del Sistema General de Participaciones</v>
          </cell>
          <cell r="H348">
            <v>110.893</v>
          </cell>
          <cell r="I348">
            <v>59.605376999999997</v>
          </cell>
        </row>
        <row r="349">
          <cell r="A349" t="str">
            <v>63190-BF_1.1.3.2.1.2</v>
          </cell>
          <cell r="B349" t="str">
            <v>QUINDIO</v>
          </cell>
          <cell r="C349">
            <v>63190</v>
          </cell>
          <cell r="D349" t="str">
            <v>CIRCASIA</v>
          </cell>
          <cell r="E349">
            <v>36</v>
          </cell>
          <cell r="F349" t="str">
            <v>BF_1.1.3.2.1.2</v>
          </cell>
          <cell r="G349" t="str">
            <v xml:space="preserve">                     FOSYGA y COLJUEGOS</v>
          </cell>
          <cell r="H349">
            <v>5670.3220000000001</v>
          </cell>
          <cell r="I349">
            <v>5342.7186250000004</v>
          </cell>
        </row>
        <row r="350">
          <cell r="A350" t="str">
            <v>63190-BF_1.1.3.2.1.3</v>
          </cell>
          <cell r="B350" t="str">
            <v>QUINDIO</v>
          </cell>
          <cell r="C350">
            <v>63190</v>
          </cell>
          <cell r="D350" t="str">
            <v>CIRCASIA</v>
          </cell>
          <cell r="E350">
            <v>37</v>
          </cell>
          <cell r="F350" t="str">
            <v>BF_1.1.3.2.1.3</v>
          </cell>
          <cell r="G350" t="str">
            <v xml:space="preserve">                     Otras Transferencias de la Nación</v>
          </cell>
          <cell r="H350">
            <v>9398</v>
          </cell>
          <cell r="I350">
            <v>32.330061000000001</v>
          </cell>
        </row>
        <row r="351">
          <cell r="A351" t="str">
            <v>63190-BF_1.1.3.2.2</v>
          </cell>
          <cell r="B351" t="str">
            <v>QUINDIO</v>
          </cell>
          <cell r="C351">
            <v>63190</v>
          </cell>
          <cell r="D351" t="str">
            <v>CIRCASIA</v>
          </cell>
          <cell r="E351">
            <v>38</v>
          </cell>
          <cell r="F351" t="str">
            <v>BF_1.1.3.2.2</v>
          </cell>
          <cell r="G351" t="str">
            <v xml:space="preserve">                 Del Nivel Departamental</v>
          </cell>
          <cell r="H351">
            <v>875.81299999999999</v>
          </cell>
          <cell r="I351">
            <v>1109.2786659999999</v>
          </cell>
        </row>
        <row r="352">
          <cell r="A352" t="str">
            <v>63190-BF_2</v>
          </cell>
          <cell r="B352" t="str">
            <v>QUINDIO</v>
          </cell>
          <cell r="C352">
            <v>63190</v>
          </cell>
          <cell r="D352" t="str">
            <v>CIRCASIA</v>
          </cell>
          <cell r="E352">
            <v>43</v>
          </cell>
          <cell r="F352" t="str">
            <v>BF_2</v>
          </cell>
          <cell r="G352" t="str">
            <v>GASTOS  TOTALES</v>
          </cell>
          <cell r="H352">
            <v>28863.546999999999</v>
          </cell>
          <cell r="I352">
            <v>31689.991674000001</v>
          </cell>
        </row>
        <row r="353">
          <cell r="A353" t="str">
            <v>63190-BF_2.1</v>
          </cell>
          <cell r="B353" t="str">
            <v>QUINDIO</v>
          </cell>
          <cell r="C353">
            <v>63190</v>
          </cell>
          <cell r="D353" t="str">
            <v>CIRCASIA</v>
          </cell>
          <cell r="E353">
            <v>44</v>
          </cell>
          <cell r="F353" t="str">
            <v>BF_2.1</v>
          </cell>
          <cell r="G353" t="str">
            <v xml:space="preserve">    GASTOS CORRIENTES</v>
          </cell>
          <cell r="H353">
            <v>25080.981</v>
          </cell>
          <cell r="I353">
            <v>19552.139220000001</v>
          </cell>
        </row>
        <row r="354">
          <cell r="A354" t="str">
            <v>63190-BF_2.1.1</v>
          </cell>
          <cell r="B354" t="str">
            <v>QUINDIO</v>
          </cell>
          <cell r="C354">
            <v>63190</v>
          </cell>
          <cell r="D354" t="str">
            <v>CIRCASIA</v>
          </cell>
          <cell r="E354">
            <v>45</v>
          </cell>
          <cell r="F354" t="str">
            <v>BF_2.1.1</v>
          </cell>
          <cell r="G354" t="str">
            <v xml:space="preserve">        FUNCIONAMIENTO</v>
          </cell>
          <cell r="H354">
            <v>3007.1849999999999</v>
          </cell>
          <cell r="I354">
            <v>3024.320162</v>
          </cell>
        </row>
        <row r="355">
          <cell r="A355" t="str">
            <v>63190-BF_2.1.1.1</v>
          </cell>
          <cell r="B355" t="str">
            <v>QUINDIO</v>
          </cell>
          <cell r="C355">
            <v>63190</v>
          </cell>
          <cell r="D355" t="str">
            <v>CIRCASIA</v>
          </cell>
          <cell r="E355">
            <v>46</v>
          </cell>
          <cell r="F355" t="str">
            <v>BF_2.1.1.1</v>
          </cell>
          <cell r="G355" t="str">
            <v xml:space="preserve">             Gastos de Personal  </v>
          </cell>
          <cell r="H355">
            <v>1676.6220000000001</v>
          </cell>
          <cell r="I355">
            <v>1765.7496599999999</v>
          </cell>
        </row>
        <row r="356">
          <cell r="A356" t="str">
            <v>63190-BF_2.1.1.2</v>
          </cell>
          <cell r="B356" t="str">
            <v>QUINDIO</v>
          </cell>
          <cell r="C356">
            <v>63190</v>
          </cell>
          <cell r="D356" t="str">
            <v>CIRCASIA</v>
          </cell>
          <cell r="E356">
            <v>47</v>
          </cell>
          <cell r="F356" t="str">
            <v>BF_2.1.1.2</v>
          </cell>
          <cell r="G356" t="str">
            <v xml:space="preserve">             Gastos Generales</v>
          </cell>
          <cell r="H356">
            <v>514.34100000000001</v>
          </cell>
          <cell r="I356">
            <v>493.64921299999997</v>
          </cell>
        </row>
        <row r="357">
          <cell r="A357" t="str">
            <v>63190-BF_2.1.1.3</v>
          </cell>
          <cell r="B357" t="str">
            <v>QUINDIO</v>
          </cell>
          <cell r="C357">
            <v>63190</v>
          </cell>
          <cell r="D357" t="str">
            <v>CIRCASIA</v>
          </cell>
          <cell r="E357">
            <v>48</v>
          </cell>
          <cell r="F357" t="str">
            <v>BF_2.1.1.3</v>
          </cell>
          <cell r="G357" t="str">
            <v xml:space="preserve">             Transferencias</v>
          </cell>
          <cell r="H357">
            <v>816.22199999999998</v>
          </cell>
          <cell r="I357">
            <v>764.921289</v>
          </cell>
        </row>
        <row r="358">
          <cell r="A358" t="str">
            <v>63190-BF_2.1.1.3.1</v>
          </cell>
          <cell r="B358" t="str">
            <v>QUINDIO</v>
          </cell>
          <cell r="C358">
            <v>63190</v>
          </cell>
          <cell r="D358" t="str">
            <v>CIRCASIA</v>
          </cell>
          <cell r="E358">
            <v>49</v>
          </cell>
          <cell r="F358" t="str">
            <v>BF_2.1.1.3.1</v>
          </cell>
          <cell r="G358" t="str">
            <v xml:space="preserve">                 Pensiones</v>
          </cell>
          <cell r="H358">
            <v>76.483999999999995</v>
          </cell>
          <cell r="I358">
            <v>31.496376999999999</v>
          </cell>
        </row>
        <row r="359">
          <cell r="A359" t="str">
            <v>63190-BF_2.1.1.3.2</v>
          </cell>
          <cell r="B359" t="str">
            <v>QUINDIO</v>
          </cell>
          <cell r="C359">
            <v>63190</v>
          </cell>
          <cell r="D359" t="str">
            <v>CIRCASIA</v>
          </cell>
          <cell r="E359">
            <v>50</v>
          </cell>
          <cell r="F359" t="str">
            <v>BF_2.1.1.3.2</v>
          </cell>
          <cell r="G359" t="str">
            <v xml:space="preserve">                 A Fonpet</v>
          </cell>
          <cell r="H359">
            <v>29.85</v>
          </cell>
          <cell r="I359">
            <v>91.405314000000004</v>
          </cell>
        </row>
        <row r="360">
          <cell r="A360" t="str">
            <v>63190-BF_2.1.1.3.4</v>
          </cell>
          <cell r="B360" t="str">
            <v>QUINDIO</v>
          </cell>
          <cell r="C360">
            <v>63190</v>
          </cell>
          <cell r="D360" t="str">
            <v>CIRCASIA</v>
          </cell>
          <cell r="E360">
            <v>52</v>
          </cell>
          <cell r="F360" t="str">
            <v>BF_2.1.1.3.4</v>
          </cell>
          <cell r="G360" t="str">
            <v xml:space="preserve">                 A Organismos de Control</v>
          </cell>
          <cell r="H360">
            <v>300.45499999999998</v>
          </cell>
          <cell r="I360">
            <v>314.34142200000002</v>
          </cell>
        </row>
        <row r="361">
          <cell r="A361" t="str">
            <v>63190-BF_2.1.1.3.6</v>
          </cell>
          <cell r="B361" t="str">
            <v>QUINDIO</v>
          </cell>
          <cell r="C361">
            <v>63190</v>
          </cell>
          <cell r="D361" t="str">
            <v>CIRCASIA</v>
          </cell>
          <cell r="E361">
            <v>54</v>
          </cell>
          <cell r="F361" t="str">
            <v>BF_2.1.1.3.6</v>
          </cell>
          <cell r="G361" t="str">
            <v xml:space="preserve">                 Sentencias y Conciliaciones</v>
          </cell>
          <cell r="H361">
            <v>401.952</v>
          </cell>
          <cell r="I361">
            <v>323.62073199999998</v>
          </cell>
        </row>
        <row r="362">
          <cell r="A362" t="str">
            <v>63190-BF_2.1.1.3.7</v>
          </cell>
          <cell r="B362" t="str">
            <v>QUINDIO</v>
          </cell>
          <cell r="C362">
            <v>63190</v>
          </cell>
          <cell r="D362" t="str">
            <v>CIRCASIA</v>
          </cell>
          <cell r="E362">
            <v>55</v>
          </cell>
          <cell r="F362" t="str">
            <v>BF_2.1.1.3.7</v>
          </cell>
          <cell r="G362" t="str">
            <v xml:space="preserve">                 Otras Transferencias</v>
          </cell>
          <cell r="H362">
            <v>7.4809999999999999</v>
          </cell>
          <cell r="I362">
            <v>4.0574440000000003</v>
          </cell>
        </row>
        <row r="363">
          <cell r="A363" t="str">
            <v>63190-BF_2.1.4</v>
          </cell>
          <cell r="B363" t="str">
            <v>QUINDIO</v>
          </cell>
          <cell r="C363">
            <v>63190</v>
          </cell>
          <cell r="D363" t="str">
            <v>CIRCASIA</v>
          </cell>
          <cell r="E363">
            <v>61</v>
          </cell>
          <cell r="F363" t="str">
            <v>BF_2.1.4</v>
          </cell>
          <cell r="G363" t="str">
            <v xml:space="preserve">        GASTOS OPERATIVOS EN SECTORES SOCIALES (Remuneración al Trabajo, Prestaciones, y Subsidios en Sectores de Inversión)</v>
          </cell>
          <cell r="H363">
            <v>21924.516</v>
          </cell>
          <cell r="I363">
            <v>16432.812182000001</v>
          </cell>
        </row>
        <row r="364">
          <cell r="A364" t="str">
            <v>63190-BF_2.1.4.1</v>
          </cell>
          <cell r="B364" t="str">
            <v>QUINDIO</v>
          </cell>
          <cell r="C364">
            <v>63190</v>
          </cell>
          <cell r="D364" t="str">
            <v>CIRCASIA</v>
          </cell>
          <cell r="E364">
            <v>62</v>
          </cell>
          <cell r="F364" t="str">
            <v>BF_2.1.4.1</v>
          </cell>
          <cell r="G364" t="str">
            <v xml:space="preserve">             Educación</v>
          </cell>
          <cell r="H364">
            <v>941.91200000000003</v>
          </cell>
          <cell r="I364">
            <v>860.21367299999997</v>
          </cell>
        </row>
        <row r="365">
          <cell r="A365" t="str">
            <v>63190-BF_2.1.4.2</v>
          </cell>
          <cell r="B365" t="str">
            <v>QUINDIO</v>
          </cell>
          <cell r="C365">
            <v>63190</v>
          </cell>
          <cell r="D365" t="str">
            <v>CIRCASIA</v>
          </cell>
          <cell r="E365">
            <v>63</v>
          </cell>
          <cell r="F365" t="str">
            <v>BF_2.1.4.2</v>
          </cell>
          <cell r="G365" t="str">
            <v xml:space="preserve">             Salud</v>
          </cell>
          <cell r="H365">
            <v>20231.968000000001</v>
          </cell>
          <cell r="I365">
            <v>12176.748912999999</v>
          </cell>
        </row>
        <row r="366">
          <cell r="A366" t="str">
            <v>63190-BF_2.1.4.3</v>
          </cell>
          <cell r="B366" t="str">
            <v>QUINDIO</v>
          </cell>
          <cell r="C366">
            <v>63190</v>
          </cell>
          <cell r="D366" t="str">
            <v>CIRCASIA</v>
          </cell>
          <cell r="E366">
            <v>64</v>
          </cell>
          <cell r="F366" t="str">
            <v>BF_2.1.4.3</v>
          </cell>
          <cell r="G366" t="str">
            <v xml:space="preserve">             Agua Potable y Saneamiento Básico</v>
          </cell>
          <cell r="H366">
            <v>718.11</v>
          </cell>
          <cell r="I366">
            <v>727.20065599999998</v>
          </cell>
        </row>
        <row r="367">
          <cell r="A367" t="str">
            <v>63190-BF_2.1.4.5</v>
          </cell>
          <cell r="B367" t="str">
            <v>QUINDIO</v>
          </cell>
          <cell r="C367">
            <v>63190</v>
          </cell>
          <cell r="D367" t="str">
            <v>CIRCASIA</v>
          </cell>
          <cell r="E367">
            <v>66</v>
          </cell>
          <cell r="F367" t="str">
            <v>BF_2.1.4.5</v>
          </cell>
          <cell r="G367" t="str">
            <v xml:space="preserve">             Otros Sectores</v>
          </cell>
          <cell r="H367">
            <v>32.526000000000003</v>
          </cell>
          <cell r="I367">
            <v>2668.64894</v>
          </cell>
        </row>
        <row r="368">
          <cell r="A368" t="str">
            <v>63190-BF_2.1.5</v>
          </cell>
          <cell r="B368" t="str">
            <v>QUINDIO</v>
          </cell>
          <cell r="C368">
            <v>63190</v>
          </cell>
          <cell r="D368" t="str">
            <v>CIRCASIA</v>
          </cell>
          <cell r="E368">
            <v>67</v>
          </cell>
          <cell r="F368" t="str">
            <v>BF_2.1.5</v>
          </cell>
          <cell r="G368" t="str">
            <v xml:space="preserve">        INTERESES Y COMISIONES DE LA DEUDA</v>
          </cell>
          <cell r="H368">
            <v>149.28</v>
          </cell>
          <cell r="I368">
            <v>95.006876000000005</v>
          </cell>
        </row>
        <row r="369">
          <cell r="A369" t="str">
            <v>63190-BF_2.1.5.1</v>
          </cell>
          <cell r="B369" t="str">
            <v>QUINDIO</v>
          </cell>
          <cell r="C369">
            <v>63190</v>
          </cell>
          <cell r="D369" t="str">
            <v>CIRCASIA</v>
          </cell>
          <cell r="E369">
            <v>68</v>
          </cell>
          <cell r="F369" t="str">
            <v>BF_2.1.5.1</v>
          </cell>
          <cell r="G369" t="str">
            <v xml:space="preserve">             Interna</v>
          </cell>
          <cell r="H369">
            <v>149.28</v>
          </cell>
          <cell r="I369">
            <v>95.006876000000005</v>
          </cell>
        </row>
        <row r="370">
          <cell r="A370" t="str">
            <v>63190-BF_3</v>
          </cell>
          <cell r="B370" t="str">
            <v>QUINDIO</v>
          </cell>
          <cell r="C370">
            <v>63190</v>
          </cell>
          <cell r="D370" t="str">
            <v>CIRCASIA</v>
          </cell>
          <cell r="E370">
            <v>70</v>
          </cell>
          <cell r="F370" t="str">
            <v>BF_3</v>
          </cell>
          <cell r="G370" t="str">
            <v>DÉFICIT O AHORRO CORRIENTE</v>
          </cell>
          <cell r="H370">
            <v>3456.48</v>
          </cell>
          <cell r="I370">
            <v>675.27224699999999</v>
          </cell>
        </row>
        <row r="371">
          <cell r="A371" t="str">
            <v>63190-BF_4</v>
          </cell>
          <cell r="B371" t="str">
            <v>QUINDIO</v>
          </cell>
          <cell r="C371">
            <v>63190</v>
          </cell>
          <cell r="D371" t="str">
            <v>CIRCASIA</v>
          </cell>
          <cell r="E371">
            <v>71</v>
          </cell>
          <cell r="F371" t="str">
            <v>BF_4</v>
          </cell>
          <cell r="G371" t="str">
            <v>INGRESOS DE CAPITAL</v>
          </cell>
          <cell r="H371">
            <v>2000.0909999999999</v>
          </cell>
          <cell r="I371">
            <v>1643.3896279999999</v>
          </cell>
        </row>
        <row r="372">
          <cell r="A372" t="str">
            <v>63190-BF_4.1</v>
          </cell>
          <cell r="B372" t="str">
            <v>QUINDIO</v>
          </cell>
          <cell r="C372">
            <v>63190</v>
          </cell>
          <cell r="D372" t="str">
            <v>CIRCASIA</v>
          </cell>
          <cell r="E372">
            <v>72</v>
          </cell>
          <cell r="F372" t="str">
            <v>BF_4.1</v>
          </cell>
          <cell r="G372" t="str">
            <v xml:space="preserve">    Cofinanciación</v>
          </cell>
          <cell r="H372">
            <v>1955.357</v>
          </cell>
          <cell r="I372">
            <v>0</v>
          </cell>
        </row>
        <row r="373">
          <cell r="A373" t="str">
            <v>63190-BF_4.4</v>
          </cell>
          <cell r="B373" t="str">
            <v>QUINDIO</v>
          </cell>
          <cell r="C373">
            <v>63190</v>
          </cell>
          <cell r="D373" t="str">
            <v>CIRCASIA</v>
          </cell>
          <cell r="E373">
            <v>75</v>
          </cell>
          <cell r="F373" t="str">
            <v>BF_4.4</v>
          </cell>
          <cell r="G373" t="str">
            <v xml:space="preserve">    Rendimientos Financieros</v>
          </cell>
          <cell r="H373">
            <v>44.734000000000002</v>
          </cell>
          <cell r="I373">
            <v>45.143971000000001</v>
          </cell>
        </row>
        <row r="374">
          <cell r="A374" t="str">
            <v>63190-BF_4.6</v>
          </cell>
          <cell r="B374" t="str">
            <v>QUINDIO</v>
          </cell>
          <cell r="C374">
            <v>63190</v>
          </cell>
          <cell r="D374" t="str">
            <v>CIRCASIA</v>
          </cell>
          <cell r="E374">
            <v>77</v>
          </cell>
          <cell r="F374" t="str">
            <v>BF_4.6</v>
          </cell>
          <cell r="G374" t="str">
            <v xml:space="preserve">    Desahorro FONPET</v>
          </cell>
          <cell r="H374">
            <v>0</v>
          </cell>
          <cell r="I374">
            <v>1598.2456569999999</v>
          </cell>
        </row>
        <row r="375">
          <cell r="A375" t="str">
            <v>63190-BF_4.6.1</v>
          </cell>
          <cell r="B375" t="str">
            <v>QUINDIO</v>
          </cell>
          <cell r="C375">
            <v>63190</v>
          </cell>
          <cell r="D375" t="str">
            <v>CIRCASIA</v>
          </cell>
          <cell r="E375">
            <v>78</v>
          </cell>
          <cell r="F375" t="str">
            <v>BF_4.6.1</v>
          </cell>
          <cell r="G375" t="str">
            <v xml:space="preserve">    Salud</v>
          </cell>
          <cell r="H375">
            <v>0</v>
          </cell>
          <cell r="I375">
            <v>1598.2456569999999</v>
          </cell>
        </row>
        <row r="376">
          <cell r="A376" t="str">
            <v>63190-BF_5</v>
          </cell>
          <cell r="B376" t="str">
            <v>QUINDIO</v>
          </cell>
          <cell r="C376">
            <v>63190</v>
          </cell>
          <cell r="D376" t="str">
            <v>CIRCASIA</v>
          </cell>
          <cell r="E376">
            <v>83</v>
          </cell>
          <cell r="F376" t="str">
            <v>BF_5</v>
          </cell>
          <cell r="G376" t="str">
            <v>GASTOS DE CAPITAL</v>
          </cell>
          <cell r="H376">
            <v>3782.5659999999998</v>
          </cell>
          <cell r="I376">
            <v>12137.852454</v>
          </cell>
        </row>
        <row r="377">
          <cell r="A377" t="str">
            <v>63190-BF_5.1</v>
          </cell>
          <cell r="B377" t="str">
            <v>QUINDIO</v>
          </cell>
          <cell r="C377">
            <v>63190</v>
          </cell>
          <cell r="D377" t="str">
            <v>CIRCASIA</v>
          </cell>
          <cell r="E377">
            <v>84</v>
          </cell>
          <cell r="F377" t="str">
            <v>BF_5.1</v>
          </cell>
          <cell r="G377" t="str">
            <v xml:space="preserve">    Formación Bruta de Capital (Construcción, Reparación, Mantenimiento, Preinversión, Otros)</v>
          </cell>
          <cell r="H377">
            <v>3782.5659999999998</v>
          </cell>
          <cell r="I377">
            <v>12137.852454</v>
          </cell>
        </row>
        <row r="378">
          <cell r="A378" t="str">
            <v>63190-BF_5.1.1</v>
          </cell>
          <cell r="B378" t="str">
            <v>QUINDIO</v>
          </cell>
          <cell r="C378">
            <v>63190</v>
          </cell>
          <cell r="D378" t="str">
            <v>CIRCASIA</v>
          </cell>
          <cell r="E378">
            <v>85</v>
          </cell>
          <cell r="F378" t="str">
            <v>BF_5.1.1</v>
          </cell>
          <cell r="G378" t="str">
            <v xml:space="preserve">        Educación</v>
          </cell>
          <cell r="H378">
            <v>32.46</v>
          </cell>
          <cell r="I378">
            <v>42.375717999999999</v>
          </cell>
        </row>
        <row r="379">
          <cell r="A379" t="str">
            <v>63190-BF_5.1.2</v>
          </cell>
          <cell r="B379" t="str">
            <v>QUINDIO</v>
          </cell>
          <cell r="C379">
            <v>63190</v>
          </cell>
          <cell r="D379" t="str">
            <v>CIRCASIA</v>
          </cell>
          <cell r="E379">
            <v>86</v>
          </cell>
          <cell r="F379" t="str">
            <v>BF_5.1.2</v>
          </cell>
          <cell r="G379" t="str">
            <v xml:space="preserve">        Salud</v>
          </cell>
          <cell r="H379">
            <v>52.774000000000001</v>
          </cell>
          <cell r="I379">
            <v>9395.916851</v>
          </cell>
        </row>
        <row r="380">
          <cell r="A380" t="str">
            <v>63190-BF_5.1.3</v>
          </cell>
          <cell r="B380" t="str">
            <v>QUINDIO</v>
          </cell>
          <cell r="C380">
            <v>63190</v>
          </cell>
          <cell r="D380" t="str">
            <v>CIRCASIA</v>
          </cell>
          <cell r="E380">
            <v>87</v>
          </cell>
          <cell r="F380" t="str">
            <v>BF_5.1.3</v>
          </cell>
          <cell r="G380" t="str">
            <v xml:space="preserve">        Agua Potable</v>
          </cell>
          <cell r="H380">
            <v>171.87200000000001</v>
          </cell>
          <cell r="I380">
            <v>428.248221</v>
          </cell>
        </row>
        <row r="381">
          <cell r="A381" t="str">
            <v>63190-BF_5.1.5</v>
          </cell>
          <cell r="B381" t="str">
            <v>QUINDIO</v>
          </cell>
          <cell r="C381">
            <v>63190</v>
          </cell>
          <cell r="D381" t="str">
            <v>CIRCASIA</v>
          </cell>
          <cell r="E381">
            <v>89</v>
          </cell>
          <cell r="F381" t="str">
            <v>BF_5.1.5</v>
          </cell>
          <cell r="G381" t="str">
            <v xml:space="preserve">        Vías</v>
          </cell>
          <cell r="H381">
            <v>313.54500000000002</v>
          </cell>
          <cell r="I381">
            <v>1713.9187930000001</v>
          </cell>
        </row>
        <row r="382">
          <cell r="A382" t="str">
            <v>63190-BF_5.1.6</v>
          </cell>
          <cell r="B382" t="str">
            <v>QUINDIO</v>
          </cell>
          <cell r="C382">
            <v>63190</v>
          </cell>
          <cell r="D382" t="str">
            <v>CIRCASIA</v>
          </cell>
          <cell r="E382">
            <v>90</v>
          </cell>
          <cell r="F382" t="str">
            <v>BF_5.1.6</v>
          </cell>
          <cell r="G382" t="str">
            <v xml:space="preserve">        Otros Sectores</v>
          </cell>
          <cell r="H382">
            <v>3211.915</v>
          </cell>
          <cell r="I382">
            <v>557.39287100000001</v>
          </cell>
        </row>
        <row r="383">
          <cell r="A383" t="str">
            <v>63190-BF_6</v>
          </cell>
          <cell r="B383" t="str">
            <v>QUINDIO</v>
          </cell>
          <cell r="C383">
            <v>63190</v>
          </cell>
          <cell r="D383" t="str">
            <v>CIRCASIA</v>
          </cell>
          <cell r="E383">
            <v>92</v>
          </cell>
          <cell r="F383" t="str">
            <v>BF_6</v>
          </cell>
          <cell r="G383" t="str">
            <v>DÉFICIT O SUPERÁVIT DE CAPITAL</v>
          </cell>
          <cell r="H383">
            <v>-1782.4749999999999</v>
          </cell>
          <cell r="I383">
            <v>-10494.462826000001</v>
          </cell>
        </row>
        <row r="384">
          <cell r="A384" t="str">
            <v>63190-BF_7</v>
          </cell>
          <cell r="B384" t="str">
            <v>QUINDIO</v>
          </cell>
          <cell r="C384">
            <v>63190</v>
          </cell>
          <cell r="D384" t="str">
            <v>CIRCASIA</v>
          </cell>
          <cell r="E384">
            <v>93</v>
          </cell>
          <cell r="F384" t="str">
            <v>BF_7</v>
          </cell>
          <cell r="G384" t="str">
            <v>DÉFICIT O SUPERÁVIT TOTAL</v>
          </cell>
          <cell r="H384">
            <v>1674.0050000000001</v>
          </cell>
          <cell r="I384">
            <v>-9819.1905790000001</v>
          </cell>
        </row>
        <row r="385">
          <cell r="A385" t="str">
            <v>63190-BF_8</v>
          </cell>
          <cell r="B385" t="str">
            <v>QUINDIO</v>
          </cell>
          <cell r="C385">
            <v>63190</v>
          </cell>
          <cell r="D385" t="str">
            <v>CIRCASIA</v>
          </cell>
          <cell r="E385">
            <v>94</v>
          </cell>
          <cell r="F385" t="str">
            <v>BF_8</v>
          </cell>
          <cell r="G385" t="str">
            <v>FINANCIACIÓN</v>
          </cell>
          <cell r="H385">
            <v>1652.58</v>
          </cell>
          <cell r="I385">
            <v>12449.915085000001</v>
          </cell>
        </row>
        <row r="386">
          <cell r="A386" t="str">
            <v>63190-BF_8.1</v>
          </cell>
          <cell r="B386" t="str">
            <v>QUINDIO</v>
          </cell>
          <cell r="C386">
            <v>63190</v>
          </cell>
          <cell r="D386" t="str">
            <v>CIRCASIA</v>
          </cell>
          <cell r="E386">
            <v>95</v>
          </cell>
          <cell r="F386" t="str">
            <v>BF_8.1</v>
          </cell>
          <cell r="G386" t="str">
            <v xml:space="preserve">    RECURSOS DEL CRÉDITO</v>
          </cell>
          <cell r="H386">
            <v>-340.76600000000002</v>
          </cell>
          <cell r="I386">
            <v>-340.76564300000001</v>
          </cell>
        </row>
        <row r="387">
          <cell r="A387" t="str">
            <v>63190-BF_8.1.1</v>
          </cell>
          <cell r="B387" t="str">
            <v>QUINDIO</v>
          </cell>
          <cell r="C387">
            <v>63190</v>
          </cell>
          <cell r="D387" t="str">
            <v>CIRCASIA</v>
          </cell>
          <cell r="E387">
            <v>96</v>
          </cell>
          <cell r="F387" t="str">
            <v>BF_8.1.1</v>
          </cell>
          <cell r="G387" t="str">
            <v xml:space="preserve">        Interno</v>
          </cell>
          <cell r="H387">
            <v>-340.76600000000002</v>
          </cell>
          <cell r="I387">
            <v>-340.76564300000001</v>
          </cell>
        </row>
        <row r="388">
          <cell r="A388" t="str">
            <v>63190-BF_8.1.1.2</v>
          </cell>
          <cell r="B388" t="str">
            <v>QUINDIO</v>
          </cell>
          <cell r="C388">
            <v>63190</v>
          </cell>
          <cell r="D388" t="str">
            <v>CIRCASIA</v>
          </cell>
          <cell r="E388">
            <v>98</v>
          </cell>
          <cell r="F388" t="str">
            <v>BF_8.1.1.2</v>
          </cell>
          <cell r="G388" t="str">
            <v xml:space="preserve">             Amortizaciones</v>
          </cell>
          <cell r="H388">
            <v>340.76600000000002</v>
          </cell>
          <cell r="I388">
            <v>340.76564300000001</v>
          </cell>
        </row>
        <row r="389">
          <cell r="A389" t="str">
            <v>63190-BF_8.2</v>
          </cell>
          <cell r="B389" t="str">
            <v>QUINDIO</v>
          </cell>
          <cell r="C389">
            <v>63190</v>
          </cell>
          <cell r="D389" t="str">
            <v>CIRCASIA</v>
          </cell>
          <cell r="E389">
            <v>102</v>
          </cell>
          <cell r="F389" t="str">
            <v>BF_8.2</v>
          </cell>
          <cell r="G389" t="str">
            <v xml:space="preserve">    Recursos del Balance (Superávit Fiscal, Cancelación de Reservas)</v>
          </cell>
          <cell r="H389">
            <v>1993.346</v>
          </cell>
          <cell r="I389">
            <v>12790.680727999999</v>
          </cell>
        </row>
        <row r="390">
          <cell r="A390" t="str">
            <v>63190-BF_9.1</v>
          </cell>
          <cell r="B390" t="str">
            <v>QUINDIO</v>
          </cell>
          <cell r="C390">
            <v>63190</v>
          </cell>
          <cell r="D390" t="str">
            <v>CIRCASIA</v>
          </cell>
          <cell r="E390">
            <v>107</v>
          </cell>
          <cell r="F390" t="str">
            <v>BF_9.1</v>
          </cell>
          <cell r="G390" t="str">
            <v xml:space="preserve">    DÉFICIT O SUPERÁVIT PRIMARIO</v>
          </cell>
          <cell r="H390">
            <v>3816.6309999999999</v>
          </cell>
          <cell r="I390">
            <v>3066.4970250000001</v>
          </cell>
        </row>
        <row r="391">
          <cell r="A391" t="str">
            <v>63190-BF_9.2</v>
          </cell>
          <cell r="B391" t="str">
            <v>QUINDIO</v>
          </cell>
          <cell r="C391">
            <v>63190</v>
          </cell>
          <cell r="D391" t="str">
            <v>CIRCASIA</v>
          </cell>
          <cell r="E391">
            <v>108</v>
          </cell>
          <cell r="F391" t="str">
            <v>BF_9.2</v>
          </cell>
          <cell r="G391" t="str">
            <v xml:space="preserve">    DÉFICIT O SUPERÁVIT PRIMARIO/INTERESES</v>
          </cell>
          <cell r="H391">
            <v>25.567</v>
          </cell>
          <cell r="I391">
            <v>32.276579908000002</v>
          </cell>
        </row>
        <row r="392">
          <cell r="A392" t="str">
            <v>63190-BF_10.1</v>
          </cell>
          <cell r="B392" t="str">
            <v>QUINDIO</v>
          </cell>
          <cell r="C392">
            <v>63190</v>
          </cell>
          <cell r="D392" t="str">
            <v>CIRCASIA</v>
          </cell>
          <cell r="E392">
            <v>110</v>
          </cell>
          <cell r="F392" t="str">
            <v>BF_10.1</v>
          </cell>
          <cell r="G392" t="str">
            <v xml:space="preserve">    INGRESOS TOTALES SIN INCLUIR RECURSOS PARA RESERVAS PRESUPUESTALES</v>
          </cell>
          <cell r="H392">
            <v>32530.898000000001</v>
          </cell>
          <cell r="I392">
            <v>34661.481823000002</v>
          </cell>
        </row>
        <row r="393">
          <cell r="A393" t="str">
            <v>63190-BF_10.2</v>
          </cell>
          <cell r="B393" t="str">
            <v>QUINDIO</v>
          </cell>
          <cell r="C393">
            <v>63190</v>
          </cell>
          <cell r="D393" t="str">
            <v>CIRCASIA</v>
          </cell>
          <cell r="E393">
            <v>111</v>
          </cell>
          <cell r="F393" t="str">
            <v>BF_10.2</v>
          </cell>
          <cell r="G393" t="str">
            <v xml:space="preserve">    GASTOS TOTALES SIN INCLUIR GASTOS POR RESERVAS PRESUPUESTALES</v>
          </cell>
          <cell r="H393">
            <v>29204.312999999998</v>
          </cell>
          <cell r="I393">
            <v>32030.757317</v>
          </cell>
        </row>
        <row r="394">
          <cell r="A394" t="str">
            <v>63190-BF_10.3</v>
          </cell>
          <cell r="B394" t="str">
            <v>QUINDIO</v>
          </cell>
          <cell r="C394">
            <v>63190</v>
          </cell>
          <cell r="D394" t="str">
            <v>CIRCASIA</v>
          </cell>
          <cell r="E394">
            <v>112</v>
          </cell>
          <cell r="F394" t="str">
            <v>BF_10.3</v>
          </cell>
          <cell r="G394" t="str">
            <v xml:space="preserve">    DÉFICIT O SUPERÁVIT PRESUPUESTAL SIN INCLUIR RESERVAS PRESUPUESTALES</v>
          </cell>
          <cell r="H394">
            <v>3326.585</v>
          </cell>
          <cell r="I394">
            <v>2630.724506</v>
          </cell>
        </row>
        <row r="395">
          <cell r="A395" t="str">
            <v>63190-BF_12.1</v>
          </cell>
          <cell r="B395" t="str">
            <v>QUINDIO</v>
          </cell>
          <cell r="C395">
            <v>63190</v>
          </cell>
          <cell r="D395" t="str">
            <v>CIRCASIA</v>
          </cell>
          <cell r="E395">
            <v>114</v>
          </cell>
          <cell r="F395" t="str">
            <v>BF_12.1</v>
          </cell>
          <cell r="G395" t="str">
            <v xml:space="preserve">    INGRESOS TOTALES</v>
          </cell>
          <cell r="H395">
            <v>32547.096000000001</v>
          </cell>
          <cell r="I395">
            <v>34677.679644000003</v>
          </cell>
        </row>
        <row r="396">
          <cell r="A396" t="str">
            <v>63190-BF_12.2</v>
          </cell>
          <cell r="B396" t="str">
            <v>QUINDIO</v>
          </cell>
          <cell r="C396">
            <v>63190</v>
          </cell>
          <cell r="D396" t="str">
            <v>CIRCASIA</v>
          </cell>
          <cell r="E396">
            <v>115</v>
          </cell>
          <cell r="F396" t="str">
            <v>BF_12.2</v>
          </cell>
          <cell r="G396" t="str">
            <v xml:space="preserve">    GASTOS TOTALES</v>
          </cell>
          <cell r="H396">
            <v>29204.312999999998</v>
          </cell>
          <cell r="I396">
            <v>32046.955138000001</v>
          </cell>
        </row>
        <row r="397">
          <cell r="A397" t="str">
            <v>63190-BF_12.3</v>
          </cell>
          <cell r="B397" t="str">
            <v>QUINDIO</v>
          </cell>
          <cell r="C397">
            <v>63190</v>
          </cell>
          <cell r="D397" t="str">
            <v>CIRCASIA</v>
          </cell>
          <cell r="E397">
            <v>116</v>
          </cell>
          <cell r="F397" t="str">
            <v>BF_12.3</v>
          </cell>
          <cell r="G397" t="str">
            <v xml:space="preserve">    DÉFICIT O SUPERÁVIT PRESUPUESTAL</v>
          </cell>
          <cell r="H397">
            <v>3342.7829999999999</v>
          </cell>
          <cell r="I397">
            <v>2630.724506</v>
          </cell>
        </row>
        <row r="398">
          <cell r="A398" t="str">
            <v>63190-BF_13.1</v>
          </cell>
          <cell r="B398" t="str">
            <v>QUINDIO</v>
          </cell>
          <cell r="C398">
            <v>63190</v>
          </cell>
          <cell r="D398" t="str">
            <v>CIRCASIA</v>
          </cell>
          <cell r="E398">
            <v>118</v>
          </cell>
          <cell r="F398" t="str">
            <v>BF_13.1</v>
          </cell>
          <cell r="G398" t="str">
            <v xml:space="preserve">    Recursos que Financian Reservas Presupuestales Excepcionales (Ley 819/2003)</v>
          </cell>
          <cell r="H398">
            <v>16.198</v>
          </cell>
          <cell r="I398">
            <v>16.197821000000001</v>
          </cell>
        </row>
        <row r="399">
          <cell r="A399" t="str">
            <v>63190-BF_13.3</v>
          </cell>
          <cell r="B399" t="str">
            <v>QUINDIO</v>
          </cell>
          <cell r="C399">
            <v>63190</v>
          </cell>
          <cell r="D399" t="str">
            <v>CIRCASIA</v>
          </cell>
          <cell r="E399">
            <v>120</v>
          </cell>
          <cell r="F399" t="str">
            <v>BF_13.3</v>
          </cell>
          <cell r="G399" t="str">
            <v xml:space="preserve">    Reservas Presupuestales de Inversión Vigencia Anterior</v>
          </cell>
          <cell r="H399">
            <v>0</v>
          </cell>
          <cell r="I399">
            <v>16.197821000000001</v>
          </cell>
        </row>
        <row r="400">
          <cell r="A400" t="str">
            <v>63190-BF_13.4</v>
          </cell>
          <cell r="B400" t="str">
            <v>QUINDIO</v>
          </cell>
          <cell r="C400">
            <v>63190</v>
          </cell>
          <cell r="D400" t="str">
            <v>CIRCASIA</v>
          </cell>
          <cell r="E400">
            <v>121</v>
          </cell>
          <cell r="F400" t="str">
            <v>BF_13.4</v>
          </cell>
          <cell r="G400" t="str">
            <v xml:space="preserve">    DEFICIT O SUPERAVIT RESERVAS PRESUPUESTALES</v>
          </cell>
          <cell r="H400">
            <v>16.198</v>
          </cell>
          <cell r="I400">
            <v>0</v>
          </cell>
        </row>
        <row r="401">
          <cell r="A401" t="str">
            <v>63212-BF_1</v>
          </cell>
          <cell r="B401" t="str">
            <v>QUINDIO</v>
          </cell>
          <cell r="C401">
            <v>63212</v>
          </cell>
          <cell r="D401" t="str">
            <v>CÓRDOBA - QUINDIO</v>
          </cell>
          <cell r="E401">
            <v>1</v>
          </cell>
          <cell r="F401" t="str">
            <v>BF_1</v>
          </cell>
          <cell r="G401" t="str">
            <v>INGRESOS TOTALES</v>
          </cell>
          <cell r="H401">
            <v>14513.598</v>
          </cell>
          <cell r="I401">
            <v>6228.8424199999999</v>
          </cell>
        </row>
        <row r="402">
          <cell r="A402" t="str">
            <v>63212-BF_1.1</v>
          </cell>
          <cell r="B402" t="str">
            <v>QUINDIO</v>
          </cell>
          <cell r="C402">
            <v>63212</v>
          </cell>
          <cell r="D402" t="str">
            <v>CÓRDOBA - QUINDIO</v>
          </cell>
          <cell r="E402">
            <v>2</v>
          </cell>
          <cell r="F402" t="str">
            <v>BF_1.1</v>
          </cell>
          <cell r="G402" t="str">
            <v xml:space="preserve">    INGRESOS CORRIENTES</v>
          </cell>
          <cell r="H402">
            <v>11799.264999999999</v>
          </cell>
          <cell r="I402">
            <v>6067.978529</v>
          </cell>
        </row>
        <row r="403">
          <cell r="A403" t="str">
            <v>63212-BF_1.1.1</v>
          </cell>
          <cell r="B403" t="str">
            <v>QUINDIO</v>
          </cell>
          <cell r="C403">
            <v>63212</v>
          </cell>
          <cell r="D403" t="str">
            <v>CÓRDOBA - QUINDIO</v>
          </cell>
          <cell r="E403">
            <v>3</v>
          </cell>
          <cell r="F403" t="str">
            <v>BF_1.1.1</v>
          </cell>
          <cell r="G403" t="str">
            <v xml:space="preserve">        TRIBUTARIOS</v>
          </cell>
          <cell r="H403">
            <v>1064.5129999999999</v>
          </cell>
          <cell r="I403">
            <v>735.57772899999998</v>
          </cell>
        </row>
        <row r="404">
          <cell r="A404" t="str">
            <v>63212-BF_1.1.1.2</v>
          </cell>
          <cell r="B404" t="str">
            <v>QUINDIO</v>
          </cell>
          <cell r="C404">
            <v>63212</v>
          </cell>
          <cell r="D404" t="str">
            <v>CÓRDOBA - QUINDIO</v>
          </cell>
          <cell r="E404">
            <v>5</v>
          </cell>
          <cell r="F404" t="str">
            <v>BF_1.1.1.2</v>
          </cell>
          <cell r="G404" t="str">
            <v xml:space="preserve">             Impuesto Predial Unificado</v>
          </cell>
          <cell r="H404">
            <v>166.75899999999999</v>
          </cell>
          <cell r="I404">
            <v>195.81395000000001</v>
          </cell>
        </row>
        <row r="405">
          <cell r="A405" t="str">
            <v>63212-BF_1.1.1.3</v>
          </cell>
          <cell r="B405" t="str">
            <v>QUINDIO</v>
          </cell>
          <cell r="C405">
            <v>63212</v>
          </cell>
          <cell r="D405" t="str">
            <v>CÓRDOBA - QUINDIO</v>
          </cell>
          <cell r="E405">
            <v>6</v>
          </cell>
          <cell r="F405" t="str">
            <v>BF_1.1.1.3</v>
          </cell>
          <cell r="G405" t="str">
            <v xml:space="preserve">             Impuesto de Industria y Comercio</v>
          </cell>
          <cell r="H405">
            <v>47.405000000000001</v>
          </cell>
          <cell r="I405">
            <v>44.654755999999999</v>
          </cell>
        </row>
        <row r="406">
          <cell r="A406" t="str">
            <v>63212-BF_1.1.1.8</v>
          </cell>
          <cell r="B406" t="str">
            <v>QUINDIO</v>
          </cell>
          <cell r="C406">
            <v>63212</v>
          </cell>
          <cell r="D406" t="str">
            <v>CÓRDOBA - QUINDIO</v>
          </cell>
          <cell r="E406">
            <v>11</v>
          </cell>
          <cell r="F406" t="str">
            <v>BF_1.1.1.8</v>
          </cell>
          <cell r="G406" t="str">
            <v xml:space="preserve">             Sobretasa Consumo Gasolina Motor</v>
          </cell>
          <cell r="H406">
            <v>29.178999999999998</v>
          </cell>
          <cell r="I406">
            <v>30.954000000000001</v>
          </cell>
        </row>
        <row r="407">
          <cell r="A407" t="str">
            <v>63212-BF_1.1.1.9</v>
          </cell>
          <cell r="B407" t="str">
            <v>QUINDIO</v>
          </cell>
          <cell r="C407">
            <v>63212</v>
          </cell>
          <cell r="D407" t="str">
            <v>CÓRDOBA - QUINDIO</v>
          </cell>
          <cell r="E407">
            <v>12</v>
          </cell>
          <cell r="F407" t="str">
            <v>BF_1.1.1.9</v>
          </cell>
          <cell r="G407" t="str">
            <v xml:space="preserve">             Estampillas</v>
          </cell>
          <cell r="H407">
            <v>413.15100000000001</v>
          </cell>
          <cell r="I407">
            <v>182.90799999999999</v>
          </cell>
        </row>
        <row r="408">
          <cell r="A408" t="str">
            <v>63212-BF_1.1.1.12</v>
          </cell>
          <cell r="B408" t="str">
            <v>QUINDIO</v>
          </cell>
          <cell r="C408">
            <v>63212</v>
          </cell>
          <cell r="D408" t="str">
            <v>CÓRDOBA - QUINDIO</v>
          </cell>
          <cell r="E408">
            <v>15</v>
          </cell>
          <cell r="F408" t="str">
            <v>BF_1.1.1.12</v>
          </cell>
          <cell r="G408" t="str">
            <v xml:space="preserve">             Otros Ingresos Tributarios</v>
          </cell>
          <cell r="H408">
            <v>408.01900000000001</v>
          </cell>
          <cell r="I408">
            <v>281.24702300000001</v>
          </cell>
        </row>
        <row r="409">
          <cell r="A409" t="str">
            <v>63212-BF_1.1.2</v>
          </cell>
          <cell r="B409" t="str">
            <v>QUINDIO</v>
          </cell>
          <cell r="C409">
            <v>63212</v>
          </cell>
          <cell r="D409" t="str">
            <v>CÓRDOBA - QUINDIO</v>
          </cell>
          <cell r="E409">
            <v>16</v>
          </cell>
          <cell r="F409" t="str">
            <v>BF_1.1.2</v>
          </cell>
          <cell r="G409" t="str">
            <v xml:space="preserve">        NO TRIBUTARIOS</v>
          </cell>
          <cell r="H409">
            <v>153.31899999999999</v>
          </cell>
          <cell r="I409">
            <v>93.166628000000003</v>
          </cell>
        </row>
        <row r="410">
          <cell r="A410" t="str">
            <v>63212-BF_1.1.2.1</v>
          </cell>
          <cell r="B410" t="str">
            <v>QUINDIO</v>
          </cell>
          <cell r="C410">
            <v>63212</v>
          </cell>
          <cell r="D410" t="str">
            <v>CÓRDOBA - QUINDIO</v>
          </cell>
          <cell r="E410">
            <v>17</v>
          </cell>
          <cell r="F410" t="str">
            <v>BF_1.1.2.1</v>
          </cell>
          <cell r="G410" t="str">
            <v xml:space="preserve">             Ingresos de la Propiedad: Tasas, Derechos, Multas y Sanciones</v>
          </cell>
          <cell r="H410">
            <v>149.30699999999999</v>
          </cell>
          <cell r="I410">
            <v>88.651050999999995</v>
          </cell>
        </row>
        <row r="411">
          <cell r="A411" t="str">
            <v>63212-BF_1.1.2.2</v>
          </cell>
          <cell r="B411" t="str">
            <v>QUINDIO</v>
          </cell>
          <cell r="C411">
            <v>63212</v>
          </cell>
          <cell r="D411" t="str">
            <v>CÓRDOBA - QUINDIO</v>
          </cell>
          <cell r="E411">
            <v>18</v>
          </cell>
          <cell r="F411" t="str">
            <v>BF_1.1.2.2</v>
          </cell>
          <cell r="G411" t="str">
            <v xml:space="preserve">             Otros No Tributarios</v>
          </cell>
          <cell r="H411">
            <v>4.0119999999999996</v>
          </cell>
          <cell r="I411">
            <v>4.5155770000000004</v>
          </cell>
        </row>
        <row r="412">
          <cell r="A412" t="str">
            <v>63212-BF_1.1.3</v>
          </cell>
          <cell r="B412" t="str">
            <v>QUINDIO</v>
          </cell>
          <cell r="C412">
            <v>63212</v>
          </cell>
          <cell r="D412" t="str">
            <v>CÓRDOBA - QUINDIO</v>
          </cell>
          <cell r="E412">
            <v>19</v>
          </cell>
          <cell r="F412" t="str">
            <v>BF_1.1.3</v>
          </cell>
          <cell r="G412" t="str">
            <v xml:space="preserve">        TRANSFERENCIAS</v>
          </cell>
          <cell r="H412">
            <v>10581.433000000001</v>
          </cell>
          <cell r="I412">
            <v>5239.2341720000004</v>
          </cell>
        </row>
        <row r="413">
          <cell r="A413" t="str">
            <v>63212-BF_1.1.3.1</v>
          </cell>
          <cell r="B413" t="str">
            <v>QUINDIO</v>
          </cell>
          <cell r="C413">
            <v>63212</v>
          </cell>
          <cell r="D413" t="str">
            <v>CÓRDOBA - QUINDIO</v>
          </cell>
          <cell r="E413">
            <v>20</v>
          </cell>
          <cell r="F413" t="str">
            <v>BF_1.1.3.1</v>
          </cell>
          <cell r="G413" t="str">
            <v xml:space="preserve">             Transferencias Para Funcionamiento</v>
          </cell>
          <cell r="H413">
            <v>647.40700000000004</v>
          </cell>
          <cell r="I413">
            <v>605.226855</v>
          </cell>
        </row>
        <row r="414">
          <cell r="A414" t="str">
            <v>63212-BF_1.1.3.1.1</v>
          </cell>
          <cell r="B414" t="str">
            <v>QUINDIO</v>
          </cell>
          <cell r="C414">
            <v>63212</v>
          </cell>
          <cell r="D414" t="str">
            <v>CÓRDOBA - QUINDIO</v>
          </cell>
          <cell r="E414">
            <v>21</v>
          </cell>
          <cell r="F414" t="str">
            <v>BF_1.1.3.1.1</v>
          </cell>
          <cell r="G414" t="str">
            <v xml:space="preserve">                 Del Nivel Nacional</v>
          </cell>
          <cell r="H414">
            <v>642.36699999999996</v>
          </cell>
          <cell r="I414">
            <v>599.25628099999994</v>
          </cell>
        </row>
        <row r="415">
          <cell r="A415" t="str">
            <v>63212-BF_1.1.3.1.1.1</v>
          </cell>
          <cell r="B415" t="str">
            <v>QUINDIO</v>
          </cell>
          <cell r="C415">
            <v>63212</v>
          </cell>
          <cell r="D415" t="str">
            <v>CÓRDOBA - QUINDIO</v>
          </cell>
          <cell r="E415">
            <v>22</v>
          </cell>
          <cell r="F415" t="str">
            <v>BF_1.1.3.1.1.1</v>
          </cell>
          <cell r="G415" t="str">
            <v xml:space="preserve">                     Sistema General de Participaciones - Propósito General - Libre destinación - Municipios categorías 4, 5 y 6</v>
          </cell>
          <cell r="H415">
            <v>642.36699999999996</v>
          </cell>
          <cell r="I415">
            <v>599.25628099999994</v>
          </cell>
        </row>
        <row r="416">
          <cell r="A416" t="str">
            <v>63212-BF_1.1.3.1.2</v>
          </cell>
          <cell r="B416" t="str">
            <v>QUINDIO</v>
          </cell>
          <cell r="C416">
            <v>63212</v>
          </cell>
          <cell r="D416" t="str">
            <v>CÓRDOBA - QUINDIO</v>
          </cell>
          <cell r="E416">
            <v>24</v>
          </cell>
          <cell r="F416" t="str">
            <v>BF_1.1.3.1.2</v>
          </cell>
          <cell r="G416" t="str">
            <v xml:space="preserve">                 Del Nivel Departamental</v>
          </cell>
          <cell r="H416">
            <v>5.04</v>
          </cell>
          <cell r="I416">
            <v>5.970574</v>
          </cell>
        </row>
        <row r="417">
          <cell r="A417" t="str">
            <v>63212-BF_1.1.3.1.2.1</v>
          </cell>
          <cell r="B417" t="str">
            <v>QUINDIO</v>
          </cell>
          <cell r="C417">
            <v>63212</v>
          </cell>
          <cell r="D417" t="str">
            <v>CÓRDOBA - QUINDIO</v>
          </cell>
          <cell r="E417">
            <v>25</v>
          </cell>
          <cell r="F417" t="str">
            <v>BF_1.1.3.1.2.1</v>
          </cell>
          <cell r="G417" t="str">
            <v xml:space="preserve">                     De Vehículos Automotores</v>
          </cell>
          <cell r="H417">
            <v>5.04</v>
          </cell>
          <cell r="I417">
            <v>5.970574</v>
          </cell>
        </row>
        <row r="418">
          <cell r="A418" t="str">
            <v>63212-BF_1.1.3.2</v>
          </cell>
          <cell r="B418" t="str">
            <v>QUINDIO</v>
          </cell>
          <cell r="C418">
            <v>63212</v>
          </cell>
          <cell r="D418" t="str">
            <v>CÓRDOBA - QUINDIO</v>
          </cell>
          <cell r="E418">
            <v>28</v>
          </cell>
          <cell r="F418" t="str">
            <v>BF_1.1.3.2</v>
          </cell>
          <cell r="G418" t="str">
            <v xml:space="preserve">             Transferencias Para Inversión</v>
          </cell>
          <cell r="H418">
            <v>9934.0259999999998</v>
          </cell>
          <cell r="I418">
            <v>4634.0073169999996</v>
          </cell>
        </row>
        <row r="419">
          <cell r="A419" t="str">
            <v>63212-BF_1.1.3.2.1</v>
          </cell>
          <cell r="B419" t="str">
            <v>QUINDIO</v>
          </cell>
          <cell r="C419">
            <v>63212</v>
          </cell>
          <cell r="D419" t="str">
            <v>CÓRDOBA - QUINDIO</v>
          </cell>
          <cell r="E419">
            <v>29</v>
          </cell>
          <cell r="F419" t="str">
            <v>BF_1.1.3.2.1</v>
          </cell>
          <cell r="G419" t="str">
            <v xml:space="preserve">                 Del Nivel Nacional</v>
          </cell>
          <cell r="H419">
            <v>9458.4009999999998</v>
          </cell>
          <cell r="I419">
            <v>4353.3070530000005</v>
          </cell>
        </row>
        <row r="420">
          <cell r="A420" t="str">
            <v>63212-BF_1.1.3.2.1.1</v>
          </cell>
          <cell r="B420" t="str">
            <v>QUINDIO</v>
          </cell>
          <cell r="C420">
            <v>63212</v>
          </cell>
          <cell r="D420" t="str">
            <v>CÓRDOBA - QUINDIO</v>
          </cell>
          <cell r="E420">
            <v>30</v>
          </cell>
          <cell r="F420" t="str">
            <v>BF_1.1.3.2.1.1</v>
          </cell>
          <cell r="G420" t="str">
            <v xml:space="preserve">                     Sistema General de Participaciones</v>
          </cell>
          <cell r="H420">
            <v>2637.942</v>
          </cell>
          <cell r="I420">
            <v>2558.5446849999998</v>
          </cell>
        </row>
        <row r="421">
          <cell r="A421" t="str">
            <v>63212-BF_1.1.3.2.1.1.1</v>
          </cell>
          <cell r="B421" t="str">
            <v>QUINDIO</v>
          </cell>
          <cell r="C421">
            <v>63212</v>
          </cell>
          <cell r="D421" t="str">
            <v>CÓRDOBA - QUINDIO</v>
          </cell>
          <cell r="E421">
            <v>31</v>
          </cell>
          <cell r="F421" t="str">
            <v>BF_1.1.3.2.1.1.1</v>
          </cell>
          <cell r="G421" t="str">
            <v xml:space="preserve">                         Sistema General de Participaciones - Educación</v>
          </cell>
          <cell r="H421">
            <v>173.61799999999999</v>
          </cell>
          <cell r="I421">
            <v>168.02945500000001</v>
          </cell>
        </row>
        <row r="422">
          <cell r="A422" t="str">
            <v>63212-BF_1.1.3.2.1.1.2</v>
          </cell>
          <cell r="B422" t="str">
            <v>QUINDIO</v>
          </cell>
          <cell r="C422">
            <v>63212</v>
          </cell>
          <cell r="D422" t="str">
            <v>CÓRDOBA - QUINDIO</v>
          </cell>
          <cell r="E422">
            <v>32</v>
          </cell>
          <cell r="F422" t="str">
            <v>BF_1.1.3.2.1.1.2</v>
          </cell>
          <cell r="G422" t="str">
            <v xml:space="preserve">                         Sistema General de Participaciones - Salud</v>
          </cell>
          <cell r="H422">
            <v>1211.8969999999999</v>
          </cell>
          <cell r="I422">
            <v>1216.5002360000001</v>
          </cell>
        </row>
        <row r="423">
          <cell r="A423" t="str">
            <v>63212-BF_1.1.3.2.1.1.3</v>
          </cell>
          <cell r="B423" t="str">
            <v>QUINDIO</v>
          </cell>
          <cell r="C423">
            <v>63212</v>
          </cell>
          <cell r="D423" t="str">
            <v>CÓRDOBA - QUINDIO</v>
          </cell>
          <cell r="E423">
            <v>33</v>
          </cell>
          <cell r="F423" t="str">
            <v>BF_1.1.3.2.1.1.3</v>
          </cell>
          <cell r="G423" t="str">
            <v xml:space="preserve">                         Sistema General de Participaciones - Agua Potable y Saneamiento Básico</v>
          </cell>
          <cell r="H423">
            <v>336.03500000000003</v>
          </cell>
          <cell r="I423">
            <v>327.58806900000002</v>
          </cell>
        </row>
        <row r="424">
          <cell r="A424" t="str">
            <v>63212-BF_1.1.3.2.1.1.4</v>
          </cell>
          <cell r="B424" t="str">
            <v>QUINDIO</v>
          </cell>
          <cell r="C424">
            <v>63212</v>
          </cell>
          <cell r="D424" t="str">
            <v>CÓRDOBA - QUINDIO</v>
          </cell>
          <cell r="E424">
            <v>34</v>
          </cell>
          <cell r="F424" t="str">
            <v>BF_1.1.3.2.1.1.4</v>
          </cell>
          <cell r="G424" t="str">
            <v xml:space="preserve">                         Sistema General de Participaciones - Propósito General - Forzosa Inversión</v>
          </cell>
          <cell r="H424">
            <v>886.72</v>
          </cell>
          <cell r="I424">
            <v>827.54438500000003</v>
          </cell>
        </row>
        <row r="425">
          <cell r="A425" t="str">
            <v>63212-BF_1.1.3.2.1.1.5</v>
          </cell>
          <cell r="B425" t="str">
            <v>QUINDIO</v>
          </cell>
          <cell r="C425">
            <v>63212</v>
          </cell>
          <cell r="D425" t="str">
            <v>CÓRDOBA - QUINDIO</v>
          </cell>
          <cell r="E425">
            <v>35</v>
          </cell>
          <cell r="F425" t="str">
            <v>BF_1.1.3.2.1.1.5</v>
          </cell>
          <cell r="G425" t="str">
            <v xml:space="preserve">                         Otras del Sistema General de Participaciones</v>
          </cell>
          <cell r="H425">
            <v>29.672000000000001</v>
          </cell>
          <cell r="I425">
            <v>18.882539999999999</v>
          </cell>
        </row>
        <row r="426">
          <cell r="A426" t="str">
            <v>63212-BF_1.1.3.2.1.2</v>
          </cell>
          <cell r="B426" t="str">
            <v>QUINDIO</v>
          </cell>
          <cell r="C426">
            <v>63212</v>
          </cell>
          <cell r="D426" t="str">
            <v>CÓRDOBA - QUINDIO</v>
          </cell>
          <cell r="E426">
            <v>36</v>
          </cell>
          <cell r="F426" t="str">
            <v>BF_1.1.3.2.1.2</v>
          </cell>
          <cell r="G426" t="str">
            <v xml:space="preserve">                     FOSYGA y COLJUEGOS</v>
          </cell>
          <cell r="H426">
            <v>1238.144</v>
          </cell>
          <cell r="I426">
            <v>1486.299368</v>
          </cell>
        </row>
        <row r="427">
          <cell r="A427" t="str">
            <v>63212-BF_1.1.3.2.1.3</v>
          </cell>
          <cell r="B427" t="str">
            <v>QUINDIO</v>
          </cell>
          <cell r="C427">
            <v>63212</v>
          </cell>
          <cell r="D427" t="str">
            <v>CÓRDOBA - QUINDIO</v>
          </cell>
          <cell r="E427">
            <v>37</v>
          </cell>
          <cell r="F427" t="str">
            <v>BF_1.1.3.2.1.3</v>
          </cell>
          <cell r="G427" t="str">
            <v xml:space="preserve">                     Otras Transferencias de la Nación</v>
          </cell>
          <cell r="H427">
            <v>5582.3149999999996</v>
          </cell>
          <cell r="I427">
            <v>308.46300000000002</v>
          </cell>
        </row>
        <row r="428">
          <cell r="A428" t="str">
            <v>63212-BF_1.1.3.2.2</v>
          </cell>
          <cell r="B428" t="str">
            <v>QUINDIO</v>
          </cell>
          <cell r="C428">
            <v>63212</v>
          </cell>
          <cell r="D428" t="str">
            <v>CÓRDOBA - QUINDIO</v>
          </cell>
          <cell r="E428">
            <v>38</v>
          </cell>
          <cell r="F428" t="str">
            <v>BF_1.1.3.2.2</v>
          </cell>
          <cell r="G428" t="str">
            <v xml:space="preserve">                 Del Nivel Departamental</v>
          </cell>
          <cell r="H428">
            <v>475.625</v>
          </cell>
          <cell r="I428">
            <v>280.700264</v>
          </cell>
        </row>
        <row r="429">
          <cell r="A429" t="str">
            <v>63212-BF_2</v>
          </cell>
          <cell r="B429" t="str">
            <v>QUINDIO</v>
          </cell>
          <cell r="C429">
            <v>63212</v>
          </cell>
          <cell r="D429" t="str">
            <v>CÓRDOBA - QUINDIO</v>
          </cell>
          <cell r="E429">
            <v>43</v>
          </cell>
          <cell r="F429" t="str">
            <v>BF_2</v>
          </cell>
          <cell r="G429" t="str">
            <v>GASTOS  TOTALES</v>
          </cell>
          <cell r="H429">
            <v>12807.901</v>
          </cell>
          <cell r="I429">
            <v>8015.5928028600001</v>
          </cell>
        </row>
        <row r="430">
          <cell r="A430" t="str">
            <v>63212-BF_2.1</v>
          </cell>
          <cell r="B430" t="str">
            <v>QUINDIO</v>
          </cell>
          <cell r="C430">
            <v>63212</v>
          </cell>
          <cell r="D430" t="str">
            <v>CÓRDOBA - QUINDIO</v>
          </cell>
          <cell r="E430">
            <v>44</v>
          </cell>
          <cell r="F430" t="str">
            <v>BF_2.1</v>
          </cell>
          <cell r="G430" t="str">
            <v xml:space="preserve">    GASTOS CORRIENTES</v>
          </cell>
          <cell r="H430">
            <v>4722.6009999999997</v>
          </cell>
          <cell r="I430">
            <v>7087.3504701600004</v>
          </cell>
        </row>
        <row r="431">
          <cell r="A431" t="str">
            <v>63212-BF_2.1.1</v>
          </cell>
          <cell r="B431" t="str">
            <v>QUINDIO</v>
          </cell>
          <cell r="C431">
            <v>63212</v>
          </cell>
          <cell r="D431" t="str">
            <v>CÓRDOBA - QUINDIO</v>
          </cell>
          <cell r="E431">
            <v>45</v>
          </cell>
          <cell r="F431" t="str">
            <v>BF_2.1.1</v>
          </cell>
          <cell r="G431" t="str">
            <v xml:space="preserve">        FUNCIONAMIENTO</v>
          </cell>
          <cell r="H431">
            <v>995.37</v>
          </cell>
          <cell r="I431">
            <v>944.16231816000004</v>
          </cell>
        </row>
        <row r="432">
          <cell r="A432" t="str">
            <v>63212-BF_2.1.1.1</v>
          </cell>
          <cell r="B432" t="str">
            <v>QUINDIO</v>
          </cell>
          <cell r="C432">
            <v>63212</v>
          </cell>
          <cell r="D432" t="str">
            <v>CÓRDOBA - QUINDIO</v>
          </cell>
          <cell r="E432">
            <v>46</v>
          </cell>
          <cell r="F432" t="str">
            <v>BF_2.1.1.1</v>
          </cell>
          <cell r="G432" t="str">
            <v xml:space="preserve">             Gastos de Personal  </v>
          </cell>
          <cell r="H432">
            <v>465.233</v>
          </cell>
          <cell r="I432">
            <v>486.42481400000003</v>
          </cell>
        </row>
        <row r="433">
          <cell r="A433" t="str">
            <v>63212-BF_2.1.1.2</v>
          </cell>
          <cell r="B433" t="str">
            <v>QUINDIO</v>
          </cell>
          <cell r="C433">
            <v>63212</v>
          </cell>
          <cell r="D433" t="str">
            <v>CÓRDOBA - QUINDIO</v>
          </cell>
          <cell r="E433">
            <v>47</v>
          </cell>
          <cell r="F433" t="str">
            <v>BF_2.1.1.2</v>
          </cell>
          <cell r="G433" t="str">
            <v xml:space="preserve">             Gastos Generales</v>
          </cell>
          <cell r="H433">
            <v>169.744</v>
          </cell>
          <cell r="I433">
            <v>121.19021116</v>
          </cell>
        </row>
        <row r="434">
          <cell r="A434" t="str">
            <v>63212-BF_2.1.1.3</v>
          </cell>
          <cell r="B434" t="str">
            <v>QUINDIO</v>
          </cell>
          <cell r="C434">
            <v>63212</v>
          </cell>
          <cell r="D434" t="str">
            <v>CÓRDOBA - QUINDIO</v>
          </cell>
          <cell r="E434">
            <v>48</v>
          </cell>
          <cell r="F434" t="str">
            <v>BF_2.1.1.3</v>
          </cell>
          <cell r="G434" t="str">
            <v xml:space="preserve">             Transferencias</v>
          </cell>
          <cell r="H434">
            <v>360.39299999999997</v>
          </cell>
          <cell r="I434">
            <v>336.54729300000002</v>
          </cell>
        </row>
        <row r="435">
          <cell r="A435" t="str">
            <v>63212-BF_2.1.1.3.1</v>
          </cell>
          <cell r="B435" t="str">
            <v>QUINDIO</v>
          </cell>
          <cell r="C435">
            <v>63212</v>
          </cell>
          <cell r="D435" t="str">
            <v>CÓRDOBA - QUINDIO</v>
          </cell>
          <cell r="E435">
            <v>49</v>
          </cell>
          <cell r="F435" t="str">
            <v>BF_2.1.1.3.1</v>
          </cell>
          <cell r="G435" t="str">
            <v xml:space="preserve">                 Pensiones</v>
          </cell>
          <cell r="H435">
            <v>46.976999999999997</v>
          </cell>
          <cell r="I435">
            <v>0</v>
          </cell>
        </row>
        <row r="436">
          <cell r="A436" t="str">
            <v>63212-BF_2.1.1.3.3</v>
          </cell>
          <cell r="B436" t="str">
            <v>QUINDIO</v>
          </cell>
          <cell r="C436">
            <v>63212</v>
          </cell>
          <cell r="D436" t="str">
            <v>CÓRDOBA - QUINDIO</v>
          </cell>
          <cell r="E436">
            <v>51</v>
          </cell>
          <cell r="F436" t="str">
            <v>BF_2.1.1.3.3</v>
          </cell>
          <cell r="G436" t="str">
            <v xml:space="preserve">                 A Patrimonios Autónomos para Provisión de Pensiones</v>
          </cell>
          <cell r="H436">
            <v>0</v>
          </cell>
          <cell r="I436">
            <v>47.726063000000003</v>
          </cell>
        </row>
        <row r="437">
          <cell r="A437" t="str">
            <v>63212-BF_2.1.1.3.4</v>
          </cell>
          <cell r="B437" t="str">
            <v>QUINDIO</v>
          </cell>
          <cell r="C437">
            <v>63212</v>
          </cell>
          <cell r="D437" t="str">
            <v>CÓRDOBA - QUINDIO</v>
          </cell>
          <cell r="E437">
            <v>52</v>
          </cell>
          <cell r="F437" t="str">
            <v>BF_2.1.1.3.4</v>
          </cell>
          <cell r="G437" t="str">
            <v xml:space="preserve">                 A Organismos de Control</v>
          </cell>
          <cell r="H437">
            <v>226.52199999999999</v>
          </cell>
          <cell r="I437">
            <v>246.877589</v>
          </cell>
        </row>
        <row r="438">
          <cell r="A438" t="str">
            <v>63212-BF_2.1.1.3.7</v>
          </cell>
          <cell r="B438" t="str">
            <v>QUINDIO</v>
          </cell>
          <cell r="C438">
            <v>63212</v>
          </cell>
          <cell r="D438" t="str">
            <v>CÓRDOBA - QUINDIO</v>
          </cell>
          <cell r="E438">
            <v>55</v>
          </cell>
          <cell r="F438" t="str">
            <v>BF_2.1.1.3.7</v>
          </cell>
          <cell r="G438" t="str">
            <v xml:space="preserve">                 Otras Transferencias</v>
          </cell>
          <cell r="H438">
            <v>86.894000000000005</v>
          </cell>
          <cell r="I438">
            <v>41.943641</v>
          </cell>
        </row>
        <row r="439">
          <cell r="A439" t="str">
            <v>63212-BF_2.1.4</v>
          </cell>
          <cell r="B439" t="str">
            <v>QUINDIO</v>
          </cell>
          <cell r="C439">
            <v>63212</v>
          </cell>
          <cell r="D439" t="str">
            <v>CÓRDOBA - QUINDIO</v>
          </cell>
          <cell r="E439">
            <v>61</v>
          </cell>
          <cell r="F439" t="str">
            <v>BF_2.1.4</v>
          </cell>
          <cell r="G439" t="str">
            <v xml:space="preserve">        GASTOS OPERATIVOS EN SECTORES SOCIALES (Remuneración al Trabajo, Prestaciones, y Subsidios en Sectores de Inversión)</v>
          </cell>
          <cell r="H439">
            <v>3718.866</v>
          </cell>
          <cell r="I439">
            <v>6138.6412719999998</v>
          </cell>
        </row>
        <row r="440">
          <cell r="A440" t="str">
            <v>63212-BF_2.1.4.1</v>
          </cell>
          <cell r="B440" t="str">
            <v>QUINDIO</v>
          </cell>
          <cell r="C440">
            <v>63212</v>
          </cell>
          <cell r="D440" t="str">
            <v>CÓRDOBA - QUINDIO</v>
          </cell>
          <cell r="E440">
            <v>62</v>
          </cell>
          <cell r="F440" t="str">
            <v>BF_2.1.4.1</v>
          </cell>
          <cell r="G440" t="str">
            <v xml:space="preserve">             Educación</v>
          </cell>
          <cell r="H440">
            <v>271.62299999999999</v>
          </cell>
          <cell r="I440">
            <v>273.18539199999998</v>
          </cell>
        </row>
        <row r="441">
          <cell r="A441" t="str">
            <v>63212-BF_2.1.4.2</v>
          </cell>
          <cell r="B441" t="str">
            <v>QUINDIO</v>
          </cell>
          <cell r="C441">
            <v>63212</v>
          </cell>
          <cell r="D441" t="str">
            <v>CÓRDOBA - QUINDIO</v>
          </cell>
          <cell r="E441">
            <v>63</v>
          </cell>
          <cell r="F441" t="str">
            <v>BF_2.1.4.2</v>
          </cell>
          <cell r="G441" t="str">
            <v xml:space="preserve">             Salud</v>
          </cell>
          <cell r="H441">
            <v>2952.8220000000001</v>
          </cell>
          <cell r="I441">
            <v>3489.6324709999999</v>
          </cell>
        </row>
        <row r="442">
          <cell r="A442" t="str">
            <v>63212-BF_2.1.4.3</v>
          </cell>
          <cell r="B442" t="str">
            <v>QUINDIO</v>
          </cell>
          <cell r="C442">
            <v>63212</v>
          </cell>
          <cell r="D442" t="str">
            <v>CÓRDOBA - QUINDIO</v>
          </cell>
          <cell r="E442">
            <v>64</v>
          </cell>
          <cell r="F442" t="str">
            <v>BF_2.1.4.3</v>
          </cell>
          <cell r="G442" t="str">
            <v xml:space="preserve">             Agua Potable y Saneamiento Básico</v>
          </cell>
          <cell r="H442">
            <v>185.58600000000001</v>
          </cell>
          <cell r="I442">
            <v>182.102056</v>
          </cell>
        </row>
        <row r="443">
          <cell r="A443" t="str">
            <v>63212-BF_2.1.4.5</v>
          </cell>
          <cell r="B443" t="str">
            <v>QUINDIO</v>
          </cell>
          <cell r="C443">
            <v>63212</v>
          </cell>
          <cell r="D443" t="str">
            <v>CÓRDOBA - QUINDIO</v>
          </cell>
          <cell r="E443">
            <v>66</v>
          </cell>
          <cell r="F443" t="str">
            <v>BF_2.1.4.5</v>
          </cell>
          <cell r="G443" t="str">
            <v xml:space="preserve">             Otros Sectores</v>
          </cell>
          <cell r="H443">
            <v>308.83499999999998</v>
          </cell>
          <cell r="I443">
            <v>2193.7213529999999</v>
          </cell>
        </row>
        <row r="444">
          <cell r="A444" t="str">
            <v>63212-BF_2.1.5</v>
          </cell>
          <cell r="B444" t="str">
            <v>QUINDIO</v>
          </cell>
          <cell r="C444">
            <v>63212</v>
          </cell>
          <cell r="D444" t="str">
            <v>CÓRDOBA - QUINDIO</v>
          </cell>
          <cell r="E444">
            <v>67</v>
          </cell>
          <cell r="F444" t="str">
            <v>BF_2.1.5</v>
          </cell>
          <cell r="G444" t="str">
            <v xml:space="preserve">        INTERESES Y COMISIONES DE LA DEUDA</v>
          </cell>
          <cell r="H444">
            <v>8.3650000000000002</v>
          </cell>
          <cell r="I444">
            <v>4.5468799999999998</v>
          </cell>
        </row>
        <row r="445">
          <cell r="A445" t="str">
            <v>63212-BF_2.1.5.1</v>
          </cell>
          <cell r="B445" t="str">
            <v>QUINDIO</v>
          </cell>
          <cell r="C445">
            <v>63212</v>
          </cell>
          <cell r="D445" t="str">
            <v>CÓRDOBA - QUINDIO</v>
          </cell>
          <cell r="E445">
            <v>68</v>
          </cell>
          <cell r="F445" t="str">
            <v>BF_2.1.5.1</v>
          </cell>
          <cell r="G445" t="str">
            <v xml:space="preserve">             Interna</v>
          </cell>
          <cell r="H445">
            <v>8.3650000000000002</v>
          </cell>
          <cell r="I445">
            <v>4.5468799999999998</v>
          </cell>
        </row>
        <row r="446">
          <cell r="A446" t="str">
            <v>63212-BF_3</v>
          </cell>
          <cell r="B446" t="str">
            <v>QUINDIO</v>
          </cell>
          <cell r="C446">
            <v>63212</v>
          </cell>
          <cell r="D446" t="str">
            <v>CÓRDOBA - QUINDIO</v>
          </cell>
          <cell r="E446">
            <v>70</v>
          </cell>
          <cell r="F446" t="str">
            <v>BF_3</v>
          </cell>
          <cell r="G446" t="str">
            <v>DÉFICIT O AHORRO CORRIENTE</v>
          </cell>
          <cell r="H446">
            <v>7076.6639999999998</v>
          </cell>
          <cell r="I446">
            <v>-1019.37194116</v>
          </cell>
        </row>
        <row r="447">
          <cell r="A447" t="str">
            <v>63212-BF_4</v>
          </cell>
          <cell r="B447" t="str">
            <v>QUINDIO</v>
          </cell>
          <cell r="C447">
            <v>63212</v>
          </cell>
          <cell r="D447" t="str">
            <v>CÓRDOBA - QUINDIO</v>
          </cell>
          <cell r="E447">
            <v>71</v>
          </cell>
          <cell r="F447" t="str">
            <v>BF_4</v>
          </cell>
          <cell r="G447" t="str">
            <v>INGRESOS DE CAPITAL</v>
          </cell>
          <cell r="H447">
            <v>2714.3330000000001</v>
          </cell>
          <cell r="I447">
            <v>160.863891</v>
          </cell>
        </row>
        <row r="448">
          <cell r="A448" t="str">
            <v>63212-BF_4.1</v>
          </cell>
          <cell r="B448" t="str">
            <v>QUINDIO</v>
          </cell>
          <cell r="C448">
            <v>63212</v>
          </cell>
          <cell r="D448" t="str">
            <v>CÓRDOBA - QUINDIO</v>
          </cell>
          <cell r="E448">
            <v>72</v>
          </cell>
          <cell r="F448" t="str">
            <v>BF_4.1</v>
          </cell>
          <cell r="G448" t="str">
            <v xml:space="preserve">    Cofinanciación</v>
          </cell>
          <cell r="H448">
            <v>0</v>
          </cell>
          <cell r="I448">
            <v>116.38113300000001</v>
          </cell>
        </row>
        <row r="449">
          <cell r="A449" t="str">
            <v>63212-BF_4.4</v>
          </cell>
          <cell r="B449" t="str">
            <v>QUINDIO</v>
          </cell>
          <cell r="C449">
            <v>63212</v>
          </cell>
          <cell r="D449" t="str">
            <v>CÓRDOBA - QUINDIO</v>
          </cell>
          <cell r="E449">
            <v>75</v>
          </cell>
          <cell r="F449" t="str">
            <v>BF_4.4</v>
          </cell>
          <cell r="G449" t="str">
            <v xml:space="preserve">    Rendimientos Financieros</v>
          </cell>
          <cell r="H449">
            <v>45.661000000000001</v>
          </cell>
          <cell r="I449">
            <v>41.912036000000001</v>
          </cell>
        </row>
        <row r="450">
          <cell r="A450" t="str">
            <v>63212-BF_4.6</v>
          </cell>
          <cell r="B450" t="str">
            <v>QUINDIO</v>
          </cell>
          <cell r="C450">
            <v>63212</v>
          </cell>
          <cell r="D450" t="str">
            <v>CÓRDOBA - QUINDIO</v>
          </cell>
          <cell r="E450">
            <v>77</v>
          </cell>
          <cell r="F450" t="str">
            <v>BF_4.6</v>
          </cell>
          <cell r="G450" t="str">
            <v xml:space="preserve">    Desahorro FONPET</v>
          </cell>
          <cell r="H450">
            <v>2661.5149999999999</v>
          </cell>
          <cell r="I450">
            <v>0</v>
          </cell>
        </row>
        <row r="451">
          <cell r="A451" t="str">
            <v>63212-BF_4.6.3</v>
          </cell>
          <cell r="B451" t="str">
            <v>QUINDIO</v>
          </cell>
          <cell r="C451">
            <v>63212</v>
          </cell>
          <cell r="D451" t="str">
            <v>CÓRDOBA - QUINDIO</v>
          </cell>
          <cell r="E451">
            <v>80</v>
          </cell>
          <cell r="F451" t="str">
            <v>BF_4.6.3</v>
          </cell>
          <cell r="G451" t="str">
            <v xml:space="preserve">    Propósito General</v>
          </cell>
          <cell r="H451">
            <v>2661.5149999999999</v>
          </cell>
          <cell r="I451">
            <v>0</v>
          </cell>
        </row>
        <row r="452">
          <cell r="A452" t="str">
            <v>63212-BF_4.7</v>
          </cell>
          <cell r="B452" t="str">
            <v>QUINDIO</v>
          </cell>
          <cell r="C452">
            <v>63212</v>
          </cell>
          <cell r="D452" t="str">
            <v>CÓRDOBA - QUINDIO</v>
          </cell>
          <cell r="E452">
            <v>82</v>
          </cell>
          <cell r="F452" t="str">
            <v>BF_4.7</v>
          </cell>
          <cell r="G452" t="str">
            <v xml:space="preserve">    Otros Recursos de Capital (Donaciones, Aprovechamientos y Otros)</v>
          </cell>
          <cell r="H452">
            <v>7.157</v>
          </cell>
          <cell r="I452">
            <v>2.570722</v>
          </cell>
        </row>
        <row r="453">
          <cell r="A453" t="str">
            <v>63212-BF_5</v>
          </cell>
          <cell r="B453" t="str">
            <v>QUINDIO</v>
          </cell>
          <cell r="C453">
            <v>63212</v>
          </cell>
          <cell r="D453" t="str">
            <v>CÓRDOBA - QUINDIO</v>
          </cell>
          <cell r="E453">
            <v>83</v>
          </cell>
          <cell r="F453" t="str">
            <v>BF_5</v>
          </cell>
          <cell r="G453" t="str">
            <v>GASTOS DE CAPITAL</v>
          </cell>
          <cell r="H453">
            <v>8085.3</v>
          </cell>
          <cell r="I453">
            <v>928.24233270000002</v>
          </cell>
        </row>
        <row r="454">
          <cell r="A454" t="str">
            <v>63212-BF_5.1</v>
          </cell>
          <cell r="B454" t="str">
            <v>QUINDIO</v>
          </cell>
          <cell r="C454">
            <v>63212</v>
          </cell>
          <cell r="D454" t="str">
            <v>CÓRDOBA - QUINDIO</v>
          </cell>
          <cell r="E454">
            <v>84</v>
          </cell>
          <cell r="F454" t="str">
            <v>BF_5.1</v>
          </cell>
          <cell r="G454" t="str">
            <v xml:space="preserve">    Formación Bruta de Capital (Construcción, Reparación, Mantenimiento, Preinversión, Otros)</v>
          </cell>
          <cell r="H454">
            <v>8061.8</v>
          </cell>
          <cell r="I454">
            <v>908.24233270000002</v>
          </cell>
        </row>
        <row r="455">
          <cell r="A455" t="str">
            <v>63212-BF_5.1.3</v>
          </cell>
          <cell r="B455" t="str">
            <v>QUINDIO</v>
          </cell>
          <cell r="C455">
            <v>63212</v>
          </cell>
          <cell r="D455" t="str">
            <v>CÓRDOBA - QUINDIO</v>
          </cell>
          <cell r="E455">
            <v>87</v>
          </cell>
          <cell r="F455" t="str">
            <v>BF_5.1.3</v>
          </cell>
          <cell r="G455" t="str">
            <v xml:space="preserve">        Agua Potable</v>
          </cell>
          <cell r="H455">
            <v>935.74400000000003</v>
          </cell>
          <cell r="I455">
            <v>117.066095</v>
          </cell>
        </row>
        <row r="456">
          <cell r="A456" t="str">
            <v>63212-BF_5.1.4</v>
          </cell>
          <cell r="B456" t="str">
            <v>QUINDIO</v>
          </cell>
          <cell r="C456">
            <v>63212</v>
          </cell>
          <cell r="D456" t="str">
            <v>CÓRDOBA - QUINDIO</v>
          </cell>
          <cell r="E456">
            <v>88</v>
          </cell>
          <cell r="F456" t="str">
            <v>BF_5.1.4</v>
          </cell>
          <cell r="G456" t="str">
            <v xml:space="preserve">        Vivienda</v>
          </cell>
          <cell r="H456">
            <v>0.55000000000000004</v>
          </cell>
          <cell r="I456">
            <v>0</v>
          </cell>
        </row>
        <row r="457">
          <cell r="A457" t="str">
            <v>63212-BF_5.1.5</v>
          </cell>
          <cell r="B457" t="str">
            <v>QUINDIO</v>
          </cell>
          <cell r="C457">
            <v>63212</v>
          </cell>
          <cell r="D457" t="str">
            <v>CÓRDOBA - QUINDIO</v>
          </cell>
          <cell r="E457">
            <v>89</v>
          </cell>
          <cell r="F457" t="str">
            <v>BF_5.1.5</v>
          </cell>
          <cell r="G457" t="str">
            <v xml:space="preserve">        Vías</v>
          </cell>
          <cell r="H457">
            <v>5579.5190000000002</v>
          </cell>
          <cell r="I457">
            <v>192.12345569999999</v>
          </cell>
        </row>
        <row r="458">
          <cell r="A458" t="str">
            <v>63212-BF_5.1.6</v>
          </cell>
          <cell r="B458" t="str">
            <v>QUINDIO</v>
          </cell>
          <cell r="C458">
            <v>63212</v>
          </cell>
          <cell r="D458" t="str">
            <v>CÓRDOBA - QUINDIO</v>
          </cell>
          <cell r="E458">
            <v>90</v>
          </cell>
          <cell r="F458" t="str">
            <v>BF_5.1.6</v>
          </cell>
          <cell r="G458" t="str">
            <v xml:space="preserve">        Otros Sectores</v>
          </cell>
          <cell r="H458">
            <v>1545.9870000000001</v>
          </cell>
          <cell r="I458">
            <v>599.05278199999998</v>
          </cell>
        </row>
        <row r="459">
          <cell r="A459" t="str">
            <v>63212-BF_5.2</v>
          </cell>
          <cell r="B459" t="str">
            <v>QUINDIO</v>
          </cell>
          <cell r="C459">
            <v>63212</v>
          </cell>
          <cell r="D459" t="str">
            <v>CÓRDOBA - QUINDIO</v>
          </cell>
          <cell r="E459">
            <v>91</v>
          </cell>
          <cell r="F459" t="str">
            <v>BF_5.2</v>
          </cell>
          <cell r="G459" t="str">
            <v xml:space="preserve">    Déficit Fiscal de Vigencias Anteriores por Inversión</v>
          </cell>
          <cell r="H459">
            <v>23.5</v>
          </cell>
          <cell r="I459">
            <v>20</v>
          </cell>
        </row>
        <row r="460">
          <cell r="A460" t="str">
            <v>63212-BF_6</v>
          </cell>
          <cell r="B460" t="str">
            <v>QUINDIO</v>
          </cell>
          <cell r="C460">
            <v>63212</v>
          </cell>
          <cell r="D460" t="str">
            <v>CÓRDOBA - QUINDIO</v>
          </cell>
          <cell r="E460">
            <v>92</v>
          </cell>
          <cell r="F460" t="str">
            <v>BF_6</v>
          </cell>
          <cell r="G460" t="str">
            <v>DÉFICIT O SUPERÁVIT DE CAPITAL</v>
          </cell>
          <cell r="H460">
            <v>-5370.9669999999996</v>
          </cell>
          <cell r="I460">
            <v>-767.37844170000005</v>
          </cell>
        </row>
        <row r="461">
          <cell r="A461" t="str">
            <v>63212-BF_7</v>
          </cell>
          <cell r="B461" t="str">
            <v>QUINDIO</v>
          </cell>
          <cell r="C461">
            <v>63212</v>
          </cell>
          <cell r="D461" t="str">
            <v>CÓRDOBA - QUINDIO</v>
          </cell>
          <cell r="E461">
            <v>93</v>
          </cell>
          <cell r="F461" t="str">
            <v>BF_7</v>
          </cell>
          <cell r="G461" t="str">
            <v>DÉFICIT O SUPERÁVIT TOTAL</v>
          </cell>
          <cell r="H461">
            <v>1705.6969999999999</v>
          </cell>
          <cell r="I461">
            <v>-1786.7503828599999</v>
          </cell>
        </row>
        <row r="462">
          <cell r="A462" t="str">
            <v>63212-BF_8</v>
          </cell>
          <cell r="B462" t="str">
            <v>QUINDIO</v>
          </cell>
          <cell r="C462">
            <v>63212</v>
          </cell>
          <cell r="D462" t="str">
            <v>CÓRDOBA - QUINDIO</v>
          </cell>
          <cell r="E462">
            <v>94</v>
          </cell>
          <cell r="F462" t="str">
            <v>BF_8</v>
          </cell>
          <cell r="G462" t="str">
            <v>FINANCIACIÓN</v>
          </cell>
          <cell r="H462">
            <v>1587.4349999999999</v>
          </cell>
          <cell r="I462">
            <v>3217.899109</v>
          </cell>
        </row>
        <row r="463">
          <cell r="A463" t="str">
            <v>63212-BF_8.1</v>
          </cell>
          <cell r="B463" t="str">
            <v>QUINDIO</v>
          </cell>
          <cell r="C463">
            <v>63212</v>
          </cell>
          <cell r="D463" t="str">
            <v>CÓRDOBA - QUINDIO</v>
          </cell>
          <cell r="E463">
            <v>95</v>
          </cell>
          <cell r="F463" t="str">
            <v>BF_8.1</v>
          </cell>
          <cell r="G463" t="str">
            <v xml:space="preserve">    RECURSOS DEL CRÉDITO</v>
          </cell>
          <cell r="H463">
            <v>-30</v>
          </cell>
          <cell r="I463">
            <v>-30</v>
          </cell>
        </row>
        <row r="464">
          <cell r="A464" t="str">
            <v>63212-BF_8.1.1</v>
          </cell>
          <cell r="B464" t="str">
            <v>QUINDIO</v>
          </cell>
          <cell r="C464">
            <v>63212</v>
          </cell>
          <cell r="D464" t="str">
            <v>CÓRDOBA - QUINDIO</v>
          </cell>
          <cell r="E464">
            <v>96</v>
          </cell>
          <cell r="F464" t="str">
            <v>BF_8.1.1</v>
          </cell>
          <cell r="G464" t="str">
            <v xml:space="preserve">        Interno</v>
          </cell>
          <cell r="H464">
            <v>-30</v>
          </cell>
          <cell r="I464">
            <v>-30</v>
          </cell>
        </row>
        <row r="465">
          <cell r="A465" t="str">
            <v>63212-BF_8.1.1.2</v>
          </cell>
          <cell r="B465" t="str">
            <v>QUINDIO</v>
          </cell>
          <cell r="C465">
            <v>63212</v>
          </cell>
          <cell r="D465" t="str">
            <v>CÓRDOBA - QUINDIO</v>
          </cell>
          <cell r="E465">
            <v>98</v>
          </cell>
          <cell r="F465" t="str">
            <v>BF_8.1.1.2</v>
          </cell>
          <cell r="G465" t="str">
            <v xml:space="preserve">             Amortizaciones</v>
          </cell>
          <cell r="H465">
            <v>30</v>
          </cell>
          <cell r="I465">
            <v>30</v>
          </cell>
        </row>
        <row r="466">
          <cell r="A466" t="str">
            <v>63212-BF_8.2</v>
          </cell>
          <cell r="B466" t="str">
            <v>QUINDIO</v>
          </cell>
          <cell r="C466">
            <v>63212</v>
          </cell>
          <cell r="D466" t="str">
            <v>CÓRDOBA - QUINDIO</v>
          </cell>
          <cell r="E466">
            <v>102</v>
          </cell>
          <cell r="F466" t="str">
            <v>BF_8.2</v>
          </cell>
          <cell r="G466" t="str">
            <v xml:space="preserve">    Recursos del Balance (Superávit Fiscal, Cancelación de Reservas)</v>
          </cell>
          <cell r="H466">
            <v>1617.4349999999999</v>
          </cell>
          <cell r="I466">
            <v>3247.899109</v>
          </cell>
        </row>
        <row r="467">
          <cell r="A467" t="str">
            <v>63212-BF_9.1</v>
          </cell>
          <cell r="B467" t="str">
            <v>QUINDIO</v>
          </cell>
          <cell r="C467">
            <v>63212</v>
          </cell>
          <cell r="D467" t="str">
            <v>CÓRDOBA - QUINDIO</v>
          </cell>
          <cell r="E467">
            <v>107</v>
          </cell>
          <cell r="F467" t="str">
            <v>BF_9.1</v>
          </cell>
          <cell r="G467" t="str">
            <v xml:space="preserve">    DÉFICIT O SUPERÁVIT PRIMARIO</v>
          </cell>
          <cell r="H467">
            <v>3331.4969999999998</v>
          </cell>
          <cell r="I467">
            <v>1465.6956061400001</v>
          </cell>
        </row>
        <row r="468">
          <cell r="A468" t="str">
            <v>63212-BF_9.2</v>
          </cell>
          <cell r="B468" t="str">
            <v>QUINDIO</v>
          </cell>
          <cell r="C468">
            <v>63212</v>
          </cell>
          <cell r="D468" t="str">
            <v>CÓRDOBA - QUINDIO</v>
          </cell>
          <cell r="E468">
            <v>108</v>
          </cell>
          <cell r="F468" t="str">
            <v>BF_9.2</v>
          </cell>
          <cell r="G468" t="str">
            <v xml:space="preserve">    DÉFICIT O SUPERÁVIT PRIMARIO/INTERESES</v>
          </cell>
          <cell r="H468">
            <v>398.26600000000002</v>
          </cell>
          <cell r="I468">
            <v>322.35194378099999</v>
          </cell>
        </row>
        <row r="469">
          <cell r="A469" t="str">
            <v>63212-BF_10.1</v>
          </cell>
          <cell r="B469" t="str">
            <v>QUINDIO</v>
          </cell>
          <cell r="C469">
            <v>63212</v>
          </cell>
          <cell r="D469" t="str">
            <v>CÓRDOBA - QUINDIO</v>
          </cell>
          <cell r="E469">
            <v>110</v>
          </cell>
          <cell r="F469" t="str">
            <v>BF_10.1</v>
          </cell>
          <cell r="G469" t="str">
            <v xml:space="preserve">    INGRESOS TOTALES SIN INCLUIR RECURSOS PARA RESERVAS PRESUPUESTALES</v>
          </cell>
          <cell r="H469">
            <v>16131.032999999999</v>
          </cell>
          <cell r="I469">
            <v>9476.7415290000008</v>
          </cell>
        </row>
        <row r="470">
          <cell r="A470" t="str">
            <v>63212-BF_10.2</v>
          </cell>
          <cell r="B470" t="str">
            <v>QUINDIO</v>
          </cell>
          <cell r="C470">
            <v>63212</v>
          </cell>
          <cell r="D470" t="str">
            <v>CÓRDOBA - QUINDIO</v>
          </cell>
          <cell r="E470">
            <v>111</v>
          </cell>
          <cell r="F470" t="str">
            <v>BF_10.2</v>
          </cell>
          <cell r="G470" t="str">
            <v xml:space="preserve">    GASTOS TOTALES SIN INCLUIR GASTOS POR RESERVAS PRESUPUESTALES</v>
          </cell>
          <cell r="H470">
            <v>12837.901</v>
          </cell>
          <cell r="I470">
            <v>8045.5928028600001</v>
          </cell>
        </row>
        <row r="471">
          <cell r="A471" t="str">
            <v>63212-BF_10.3</v>
          </cell>
          <cell r="B471" t="str">
            <v>QUINDIO</v>
          </cell>
          <cell r="C471">
            <v>63212</v>
          </cell>
          <cell r="D471" t="str">
            <v>CÓRDOBA - QUINDIO</v>
          </cell>
          <cell r="E471">
            <v>112</v>
          </cell>
          <cell r="F471" t="str">
            <v>BF_10.3</v>
          </cell>
          <cell r="G471" t="str">
            <v xml:space="preserve">    DÉFICIT O SUPERÁVIT PRESUPUESTAL SIN INCLUIR RESERVAS PRESUPUESTALES</v>
          </cell>
          <cell r="H471">
            <v>3293.1320000000001</v>
          </cell>
          <cell r="I471">
            <v>1431.14872614</v>
          </cell>
        </row>
        <row r="472">
          <cell r="A472" t="str">
            <v>63212-BF_12.1</v>
          </cell>
          <cell r="B472" t="str">
            <v>QUINDIO</v>
          </cell>
          <cell r="C472">
            <v>63212</v>
          </cell>
          <cell r="D472" t="str">
            <v>CÓRDOBA - QUINDIO</v>
          </cell>
          <cell r="E472">
            <v>114</v>
          </cell>
          <cell r="F472" t="str">
            <v>BF_12.1</v>
          </cell>
          <cell r="G472" t="str">
            <v xml:space="preserve">    INGRESOS TOTALES</v>
          </cell>
          <cell r="H472">
            <v>16131.032999999999</v>
          </cell>
          <cell r="I472">
            <v>9493.8036229999998</v>
          </cell>
        </row>
        <row r="473">
          <cell r="A473" t="str">
            <v>63212-BF_12.2</v>
          </cell>
          <cell r="B473" t="str">
            <v>QUINDIO</v>
          </cell>
          <cell r="C473">
            <v>63212</v>
          </cell>
          <cell r="D473" t="str">
            <v>CÓRDOBA - QUINDIO</v>
          </cell>
          <cell r="E473">
            <v>115</v>
          </cell>
          <cell r="F473" t="str">
            <v>BF_12.2</v>
          </cell>
          <cell r="G473" t="str">
            <v xml:space="preserve">    GASTOS TOTALES</v>
          </cell>
          <cell r="H473">
            <v>12837.901</v>
          </cell>
          <cell r="I473">
            <v>8062.65489686</v>
          </cell>
        </row>
        <row r="474">
          <cell r="A474" t="str">
            <v>63212-BF_12.3</v>
          </cell>
          <cell r="B474" t="str">
            <v>QUINDIO</v>
          </cell>
          <cell r="C474">
            <v>63212</v>
          </cell>
          <cell r="D474" t="str">
            <v>CÓRDOBA - QUINDIO</v>
          </cell>
          <cell r="E474">
            <v>116</v>
          </cell>
          <cell r="F474" t="str">
            <v>BF_12.3</v>
          </cell>
          <cell r="G474" t="str">
            <v xml:space="preserve">    DÉFICIT O SUPERÁVIT PRESUPUESTAL</v>
          </cell>
          <cell r="H474">
            <v>3293.1320000000001</v>
          </cell>
          <cell r="I474">
            <v>1431.14872614</v>
          </cell>
        </row>
        <row r="475">
          <cell r="A475" t="str">
            <v>63212-BF_13.1</v>
          </cell>
          <cell r="B475" t="str">
            <v>QUINDIO</v>
          </cell>
          <cell r="C475">
            <v>63212</v>
          </cell>
          <cell r="D475" t="str">
            <v>CÓRDOBA - QUINDIO</v>
          </cell>
          <cell r="E475">
            <v>118</v>
          </cell>
          <cell r="F475" t="str">
            <v>BF_13.1</v>
          </cell>
          <cell r="G475" t="str">
            <v xml:space="preserve">    Recursos que Financian Reservas Presupuestales Excepcionales (Ley 819/2003)</v>
          </cell>
          <cell r="H475">
            <v>0</v>
          </cell>
          <cell r="I475">
            <v>17.062093999999998</v>
          </cell>
        </row>
        <row r="476">
          <cell r="A476" t="str">
            <v>63212-BF_13.3</v>
          </cell>
          <cell r="B476" t="str">
            <v>QUINDIO</v>
          </cell>
          <cell r="C476">
            <v>63212</v>
          </cell>
          <cell r="D476" t="str">
            <v>CÓRDOBA - QUINDIO</v>
          </cell>
          <cell r="E476">
            <v>120</v>
          </cell>
          <cell r="F476" t="str">
            <v>BF_13.3</v>
          </cell>
          <cell r="G476" t="str">
            <v xml:space="preserve">    Reservas Presupuestales de Inversión Vigencia Anterior</v>
          </cell>
          <cell r="H476">
            <v>0</v>
          </cell>
          <cell r="I476">
            <v>17.062093999999998</v>
          </cell>
        </row>
        <row r="477">
          <cell r="A477" t="str">
            <v>63272-BF_1</v>
          </cell>
          <cell r="B477" t="str">
            <v>QUINDIO</v>
          </cell>
          <cell r="C477">
            <v>63272</v>
          </cell>
          <cell r="D477" t="str">
            <v>FILANDIA</v>
          </cell>
          <cell r="E477">
            <v>1</v>
          </cell>
          <cell r="F477" t="str">
            <v>BF_1</v>
          </cell>
          <cell r="G477" t="str">
            <v>INGRESOS TOTALES</v>
          </cell>
          <cell r="H477">
            <v>14255.191000000001</v>
          </cell>
          <cell r="I477">
            <v>15545.889364000001</v>
          </cell>
        </row>
        <row r="478">
          <cell r="A478" t="str">
            <v>63272-BF_1.1</v>
          </cell>
          <cell r="B478" t="str">
            <v>QUINDIO</v>
          </cell>
          <cell r="C478">
            <v>63272</v>
          </cell>
          <cell r="D478" t="str">
            <v>FILANDIA</v>
          </cell>
          <cell r="E478">
            <v>2</v>
          </cell>
          <cell r="F478" t="str">
            <v>BF_1.1</v>
          </cell>
          <cell r="G478" t="str">
            <v xml:space="preserve">    INGRESOS CORRIENTES</v>
          </cell>
          <cell r="H478">
            <v>12377.344999999999</v>
          </cell>
          <cell r="I478">
            <v>12434.175475</v>
          </cell>
        </row>
        <row r="479">
          <cell r="A479" t="str">
            <v>63272-BF_1.1.1</v>
          </cell>
          <cell r="B479" t="str">
            <v>QUINDIO</v>
          </cell>
          <cell r="C479">
            <v>63272</v>
          </cell>
          <cell r="D479" t="str">
            <v>FILANDIA</v>
          </cell>
          <cell r="E479">
            <v>3</v>
          </cell>
          <cell r="F479" t="str">
            <v>BF_1.1.1</v>
          </cell>
          <cell r="G479" t="str">
            <v xml:space="preserve">        TRIBUTARIOS</v>
          </cell>
          <cell r="H479">
            <v>3098.357</v>
          </cell>
          <cell r="I479">
            <v>3137.0620399999998</v>
          </cell>
        </row>
        <row r="480">
          <cell r="A480" t="str">
            <v>63272-BF_1.1.1.2</v>
          </cell>
          <cell r="B480" t="str">
            <v>QUINDIO</v>
          </cell>
          <cell r="C480">
            <v>63272</v>
          </cell>
          <cell r="D480" t="str">
            <v>FILANDIA</v>
          </cell>
          <cell r="E480">
            <v>5</v>
          </cell>
          <cell r="F480" t="str">
            <v>BF_1.1.1.2</v>
          </cell>
          <cell r="G480" t="str">
            <v xml:space="preserve">             Impuesto Predial Unificado</v>
          </cell>
          <cell r="H480">
            <v>1171.8779999999999</v>
          </cell>
          <cell r="I480">
            <v>1013.741532</v>
          </cell>
        </row>
        <row r="481">
          <cell r="A481" t="str">
            <v>63272-BF_1.1.1.3</v>
          </cell>
          <cell r="B481" t="str">
            <v>QUINDIO</v>
          </cell>
          <cell r="C481">
            <v>63272</v>
          </cell>
          <cell r="D481" t="str">
            <v>FILANDIA</v>
          </cell>
          <cell r="E481">
            <v>6</v>
          </cell>
          <cell r="F481" t="str">
            <v>BF_1.1.1.3</v>
          </cell>
          <cell r="G481" t="str">
            <v xml:space="preserve">             Impuesto de Industria y Comercio</v>
          </cell>
          <cell r="H481">
            <v>349.166</v>
          </cell>
          <cell r="I481">
            <v>368.96194200000002</v>
          </cell>
        </row>
        <row r="482">
          <cell r="A482" t="str">
            <v>63272-BF_1.1.1.8</v>
          </cell>
          <cell r="B482" t="str">
            <v>QUINDIO</v>
          </cell>
          <cell r="C482">
            <v>63272</v>
          </cell>
          <cell r="D482" t="str">
            <v>FILANDIA</v>
          </cell>
          <cell r="E482">
            <v>11</v>
          </cell>
          <cell r="F482" t="str">
            <v>BF_1.1.1.8</v>
          </cell>
          <cell r="G482" t="str">
            <v xml:space="preserve">             Sobretasa Consumo Gasolina Motor</v>
          </cell>
          <cell r="H482">
            <v>275.15600000000001</v>
          </cell>
          <cell r="I482">
            <v>288.10599999999999</v>
          </cell>
        </row>
        <row r="483">
          <cell r="A483" t="str">
            <v>63272-BF_1.1.1.9</v>
          </cell>
          <cell r="B483" t="str">
            <v>QUINDIO</v>
          </cell>
          <cell r="C483">
            <v>63272</v>
          </cell>
          <cell r="D483" t="str">
            <v>FILANDIA</v>
          </cell>
          <cell r="E483">
            <v>12</v>
          </cell>
          <cell r="F483" t="str">
            <v>BF_1.1.1.9</v>
          </cell>
          <cell r="G483" t="str">
            <v xml:space="preserve">             Estampillas</v>
          </cell>
          <cell r="H483">
            <v>206.82</v>
          </cell>
          <cell r="I483">
            <v>317.58049999999997</v>
          </cell>
        </row>
        <row r="484">
          <cell r="A484" t="str">
            <v>63272-BF_1.1.1.10</v>
          </cell>
          <cell r="B484" t="str">
            <v>QUINDIO</v>
          </cell>
          <cell r="C484">
            <v>63272</v>
          </cell>
          <cell r="D484" t="str">
            <v>FILANDIA</v>
          </cell>
          <cell r="E484">
            <v>13</v>
          </cell>
          <cell r="F484" t="str">
            <v>BF_1.1.1.10</v>
          </cell>
          <cell r="G484" t="str">
            <v xml:space="preserve">             Impuesto de Transporte por Oleoductos y Gasoductos</v>
          </cell>
          <cell r="H484">
            <v>0</v>
          </cell>
          <cell r="I484">
            <v>136.52951999999999</v>
          </cell>
        </row>
        <row r="485">
          <cell r="A485" t="str">
            <v>63272-BF_1.1.1.12</v>
          </cell>
          <cell r="B485" t="str">
            <v>QUINDIO</v>
          </cell>
          <cell r="C485">
            <v>63272</v>
          </cell>
          <cell r="D485" t="str">
            <v>FILANDIA</v>
          </cell>
          <cell r="E485">
            <v>15</v>
          </cell>
          <cell r="F485" t="str">
            <v>BF_1.1.1.12</v>
          </cell>
          <cell r="G485" t="str">
            <v xml:space="preserve">             Otros Ingresos Tributarios</v>
          </cell>
          <cell r="H485">
            <v>1095.337</v>
          </cell>
          <cell r="I485">
            <v>1012.142546</v>
          </cell>
        </row>
        <row r="486">
          <cell r="A486" t="str">
            <v>63272-BF_1.1.2</v>
          </cell>
          <cell r="B486" t="str">
            <v>QUINDIO</v>
          </cell>
          <cell r="C486">
            <v>63272</v>
          </cell>
          <cell r="D486" t="str">
            <v>FILANDIA</v>
          </cell>
          <cell r="E486">
            <v>16</v>
          </cell>
          <cell r="F486" t="str">
            <v>BF_1.1.2</v>
          </cell>
          <cell r="G486" t="str">
            <v xml:space="preserve">        NO TRIBUTARIOS</v>
          </cell>
          <cell r="H486">
            <v>1028.7280000000001</v>
          </cell>
          <cell r="I486">
            <v>1069.5898380000001</v>
          </cell>
        </row>
        <row r="487">
          <cell r="A487" t="str">
            <v>63272-BF_1.1.2.1</v>
          </cell>
          <cell r="B487" t="str">
            <v>QUINDIO</v>
          </cell>
          <cell r="C487">
            <v>63272</v>
          </cell>
          <cell r="D487" t="str">
            <v>FILANDIA</v>
          </cell>
          <cell r="E487">
            <v>17</v>
          </cell>
          <cell r="F487" t="str">
            <v>BF_1.1.2.1</v>
          </cell>
          <cell r="G487" t="str">
            <v xml:space="preserve">             Ingresos de la Propiedad: Tasas, Derechos, Multas y Sanciones</v>
          </cell>
          <cell r="H487">
            <v>1015.074</v>
          </cell>
          <cell r="I487">
            <v>1069.5898380000001</v>
          </cell>
        </row>
        <row r="488">
          <cell r="A488" t="str">
            <v>63272-BF_1.1.2.2</v>
          </cell>
          <cell r="B488" t="str">
            <v>QUINDIO</v>
          </cell>
          <cell r="C488">
            <v>63272</v>
          </cell>
          <cell r="D488" t="str">
            <v>FILANDIA</v>
          </cell>
          <cell r="E488">
            <v>18</v>
          </cell>
          <cell r="F488" t="str">
            <v>BF_1.1.2.2</v>
          </cell>
          <cell r="G488" t="str">
            <v xml:space="preserve">             Otros No Tributarios</v>
          </cell>
          <cell r="H488">
            <v>13.654</v>
          </cell>
          <cell r="I488">
            <v>0</v>
          </cell>
        </row>
        <row r="489">
          <cell r="A489" t="str">
            <v>63272-BF_1.1.3</v>
          </cell>
          <cell r="B489" t="str">
            <v>QUINDIO</v>
          </cell>
          <cell r="C489">
            <v>63272</v>
          </cell>
          <cell r="D489" t="str">
            <v>FILANDIA</v>
          </cell>
          <cell r="E489">
            <v>19</v>
          </cell>
          <cell r="F489" t="str">
            <v>BF_1.1.3</v>
          </cell>
          <cell r="G489" t="str">
            <v xml:space="preserve">        TRANSFERENCIAS</v>
          </cell>
          <cell r="H489">
            <v>8250.26</v>
          </cell>
          <cell r="I489">
            <v>8227.5235969999994</v>
          </cell>
        </row>
        <row r="490">
          <cell r="A490" t="str">
            <v>63272-BF_1.1.3.1</v>
          </cell>
          <cell r="B490" t="str">
            <v>QUINDIO</v>
          </cell>
          <cell r="C490">
            <v>63272</v>
          </cell>
          <cell r="D490" t="str">
            <v>FILANDIA</v>
          </cell>
          <cell r="E490">
            <v>20</v>
          </cell>
          <cell r="F490" t="str">
            <v>BF_1.1.3.1</v>
          </cell>
          <cell r="G490" t="str">
            <v xml:space="preserve">             Transferencias Para Funcionamiento</v>
          </cell>
          <cell r="H490">
            <v>857.89599999999996</v>
          </cell>
          <cell r="I490">
            <v>1034.0324189999999</v>
          </cell>
        </row>
        <row r="491">
          <cell r="A491" t="str">
            <v>63272-BF_1.1.3.1.1</v>
          </cell>
          <cell r="B491" t="str">
            <v>QUINDIO</v>
          </cell>
          <cell r="C491">
            <v>63272</v>
          </cell>
          <cell r="D491" t="str">
            <v>FILANDIA</v>
          </cell>
          <cell r="E491">
            <v>21</v>
          </cell>
          <cell r="F491" t="str">
            <v>BF_1.1.3.1.1</v>
          </cell>
          <cell r="G491" t="str">
            <v xml:space="preserve">                 Del Nivel Nacional</v>
          </cell>
          <cell r="H491">
            <v>822.58299999999997</v>
          </cell>
          <cell r="I491">
            <v>1004.263453</v>
          </cell>
        </row>
        <row r="492">
          <cell r="A492" t="str">
            <v>63272-BF_1.1.3.1.1.1</v>
          </cell>
          <cell r="B492" t="str">
            <v>QUINDIO</v>
          </cell>
          <cell r="C492">
            <v>63272</v>
          </cell>
          <cell r="D492" t="str">
            <v>FILANDIA</v>
          </cell>
          <cell r="E492">
            <v>22</v>
          </cell>
          <cell r="F492" t="str">
            <v>BF_1.1.3.1.1.1</v>
          </cell>
          <cell r="G492" t="str">
            <v xml:space="preserve">                     Sistema General de Participaciones - Propósito General - Libre destinación - Municipios categorías 4, 5 y 6</v>
          </cell>
          <cell r="H492">
            <v>822.58299999999997</v>
          </cell>
          <cell r="I492">
            <v>1004.263453</v>
          </cell>
        </row>
        <row r="493">
          <cell r="A493" t="str">
            <v>63272-BF_1.1.3.1.2</v>
          </cell>
          <cell r="B493" t="str">
            <v>QUINDIO</v>
          </cell>
          <cell r="C493">
            <v>63272</v>
          </cell>
          <cell r="D493" t="str">
            <v>FILANDIA</v>
          </cell>
          <cell r="E493">
            <v>24</v>
          </cell>
          <cell r="F493" t="str">
            <v>BF_1.1.3.1.2</v>
          </cell>
          <cell r="G493" t="str">
            <v xml:space="preserve">                 Del Nivel Departamental</v>
          </cell>
          <cell r="H493">
            <v>35.313000000000002</v>
          </cell>
          <cell r="I493">
            <v>29.768965999999999</v>
          </cell>
        </row>
        <row r="494">
          <cell r="A494" t="str">
            <v>63272-BF_1.1.3.1.2.1</v>
          </cell>
          <cell r="B494" t="str">
            <v>QUINDIO</v>
          </cell>
          <cell r="C494">
            <v>63272</v>
          </cell>
          <cell r="D494" t="str">
            <v>FILANDIA</v>
          </cell>
          <cell r="E494">
            <v>25</v>
          </cell>
          <cell r="F494" t="str">
            <v>BF_1.1.3.1.2.1</v>
          </cell>
          <cell r="G494" t="str">
            <v xml:space="preserve">                     De Vehículos Automotores</v>
          </cell>
          <cell r="H494">
            <v>35.313000000000002</v>
          </cell>
          <cell r="I494">
            <v>29.768965999999999</v>
          </cell>
        </row>
        <row r="495">
          <cell r="A495" t="str">
            <v>63272-BF_1.1.3.2</v>
          </cell>
          <cell r="B495" t="str">
            <v>QUINDIO</v>
          </cell>
          <cell r="C495">
            <v>63272</v>
          </cell>
          <cell r="D495" t="str">
            <v>FILANDIA</v>
          </cell>
          <cell r="E495">
            <v>28</v>
          </cell>
          <cell r="F495" t="str">
            <v>BF_1.1.3.2</v>
          </cell>
          <cell r="G495" t="str">
            <v xml:space="preserve">             Transferencias Para Inversión</v>
          </cell>
          <cell r="H495">
            <v>7392.3639999999996</v>
          </cell>
          <cell r="I495">
            <v>7193.4911780000002</v>
          </cell>
        </row>
        <row r="496">
          <cell r="A496" t="str">
            <v>63272-BF_1.1.3.2.1</v>
          </cell>
          <cell r="B496" t="str">
            <v>QUINDIO</v>
          </cell>
          <cell r="C496">
            <v>63272</v>
          </cell>
          <cell r="D496" t="str">
            <v>FILANDIA</v>
          </cell>
          <cell r="E496">
            <v>29</v>
          </cell>
          <cell r="F496" t="str">
            <v>BF_1.1.3.2.1</v>
          </cell>
          <cell r="G496" t="str">
            <v xml:space="preserve">                 Del Nivel Nacional</v>
          </cell>
          <cell r="H496">
            <v>6875.6620000000003</v>
          </cell>
          <cell r="I496">
            <v>6697.2684959999997</v>
          </cell>
        </row>
        <row r="497">
          <cell r="A497" t="str">
            <v>63272-BF_1.1.3.2.1.1</v>
          </cell>
          <cell r="B497" t="str">
            <v>QUINDIO</v>
          </cell>
          <cell r="C497">
            <v>63272</v>
          </cell>
          <cell r="D497" t="str">
            <v>FILANDIA</v>
          </cell>
          <cell r="E497">
            <v>30</v>
          </cell>
          <cell r="F497" t="str">
            <v>BF_1.1.3.2.1.1</v>
          </cell>
          <cell r="G497" t="str">
            <v xml:space="preserve">                     Sistema General de Participaciones</v>
          </cell>
          <cell r="H497">
            <v>4267.5950000000003</v>
          </cell>
          <cell r="I497">
            <v>4393.4173840000003</v>
          </cell>
        </row>
        <row r="498">
          <cell r="A498" t="str">
            <v>63272-BF_1.1.3.2.1.1.1</v>
          </cell>
          <cell r="B498" t="str">
            <v>QUINDIO</v>
          </cell>
          <cell r="C498">
            <v>63272</v>
          </cell>
          <cell r="D498" t="str">
            <v>FILANDIA</v>
          </cell>
          <cell r="E498">
            <v>31</v>
          </cell>
          <cell r="F498" t="str">
            <v>BF_1.1.3.2.1.1.1</v>
          </cell>
          <cell r="G498" t="str">
            <v xml:space="preserve">                         Sistema General de Participaciones - Educación</v>
          </cell>
          <cell r="H498">
            <v>323.31200000000001</v>
          </cell>
          <cell r="I498">
            <v>312.07675899999998</v>
          </cell>
        </row>
        <row r="499">
          <cell r="A499" t="str">
            <v>63272-BF_1.1.3.2.1.1.2</v>
          </cell>
          <cell r="B499" t="str">
            <v>QUINDIO</v>
          </cell>
          <cell r="C499">
            <v>63272</v>
          </cell>
          <cell r="D499" t="str">
            <v>FILANDIA</v>
          </cell>
          <cell r="E499">
            <v>32</v>
          </cell>
          <cell r="F499" t="str">
            <v>BF_1.1.3.2.1.1.2</v>
          </cell>
          <cell r="G499" t="str">
            <v xml:space="preserve">                         Sistema General de Participaciones - Salud</v>
          </cell>
          <cell r="H499">
            <v>2313.7669999999998</v>
          </cell>
          <cell r="I499">
            <v>2300.1962960000001</v>
          </cell>
        </row>
        <row r="500">
          <cell r="A500" t="str">
            <v>63272-BF_1.1.3.2.1.1.3</v>
          </cell>
          <cell r="B500" t="str">
            <v>QUINDIO</v>
          </cell>
          <cell r="C500">
            <v>63272</v>
          </cell>
          <cell r="D500" t="str">
            <v>FILANDIA</v>
          </cell>
          <cell r="E500">
            <v>33</v>
          </cell>
          <cell r="F500" t="str">
            <v>BF_1.1.3.2.1.1.3</v>
          </cell>
          <cell r="G500" t="str">
            <v xml:space="preserve">                         Sistema General de Participaciones - Agua Potable y Saneamiento Básico</v>
          </cell>
          <cell r="H500">
            <v>456.59800000000001</v>
          </cell>
          <cell r="I500">
            <v>428.655306</v>
          </cell>
        </row>
        <row r="501">
          <cell r="A501" t="str">
            <v>63272-BF_1.1.3.2.1.1.4</v>
          </cell>
          <cell r="B501" t="str">
            <v>QUINDIO</v>
          </cell>
          <cell r="C501">
            <v>63272</v>
          </cell>
          <cell r="D501" t="str">
            <v>FILANDIA</v>
          </cell>
          <cell r="E501">
            <v>34</v>
          </cell>
          <cell r="F501" t="str">
            <v>BF_1.1.3.2.1.1.4</v>
          </cell>
          <cell r="G501" t="str">
            <v xml:space="preserve">                         Sistema General de Participaciones - Propósito General - Forzosa Inversión</v>
          </cell>
          <cell r="H501">
            <v>1112.798</v>
          </cell>
          <cell r="I501">
            <v>1318.172018</v>
          </cell>
        </row>
        <row r="502">
          <cell r="A502" t="str">
            <v>63272-BF_1.1.3.2.1.1.5</v>
          </cell>
          <cell r="B502" t="str">
            <v>QUINDIO</v>
          </cell>
          <cell r="C502">
            <v>63272</v>
          </cell>
          <cell r="D502" t="str">
            <v>FILANDIA</v>
          </cell>
          <cell r="E502">
            <v>35</v>
          </cell>
          <cell r="F502" t="str">
            <v>BF_1.1.3.2.1.1.5</v>
          </cell>
          <cell r="G502" t="str">
            <v xml:space="preserve">                         Otras del Sistema General de Participaciones</v>
          </cell>
          <cell r="H502">
            <v>61.12</v>
          </cell>
          <cell r="I502">
            <v>34.317005000000002</v>
          </cell>
        </row>
        <row r="503">
          <cell r="A503" t="str">
            <v>63272-BF_1.1.3.2.1.2</v>
          </cell>
          <cell r="B503" t="str">
            <v>QUINDIO</v>
          </cell>
          <cell r="C503">
            <v>63272</v>
          </cell>
          <cell r="D503" t="str">
            <v>FILANDIA</v>
          </cell>
          <cell r="E503">
            <v>36</v>
          </cell>
          <cell r="F503" t="str">
            <v>BF_1.1.3.2.1.2</v>
          </cell>
          <cell r="G503" t="str">
            <v xml:space="preserve">                     FOSYGA y COLJUEGOS</v>
          </cell>
          <cell r="H503">
            <v>2608.067</v>
          </cell>
          <cell r="I503">
            <v>2303.8511119999998</v>
          </cell>
        </row>
        <row r="504">
          <cell r="A504" t="str">
            <v>63272-BF_1.1.3.2.2</v>
          </cell>
          <cell r="B504" t="str">
            <v>QUINDIO</v>
          </cell>
          <cell r="C504">
            <v>63272</v>
          </cell>
          <cell r="D504" t="str">
            <v>FILANDIA</v>
          </cell>
          <cell r="E504">
            <v>38</v>
          </cell>
          <cell r="F504" t="str">
            <v>BF_1.1.3.2.2</v>
          </cell>
          <cell r="G504" t="str">
            <v xml:space="preserve">                 Del Nivel Departamental</v>
          </cell>
          <cell r="H504">
            <v>516.702</v>
          </cell>
          <cell r="I504">
            <v>496.22268200000002</v>
          </cell>
        </row>
        <row r="505">
          <cell r="A505" t="str">
            <v>63272-BF_2</v>
          </cell>
          <cell r="B505" t="str">
            <v>QUINDIO</v>
          </cell>
          <cell r="C505">
            <v>63272</v>
          </cell>
          <cell r="D505" t="str">
            <v>FILANDIA</v>
          </cell>
          <cell r="E505">
            <v>43</v>
          </cell>
          <cell r="F505" t="str">
            <v>BF_2</v>
          </cell>
          <cell r="G505" t="str">
            <v>GASTOS  TOTALES</v>
          </cell>
          <cell r="H505">
            <v>13711.655000000001</v>
          </cell>
          <cell r="I505">
            <v>15362.8468882</v>
          </cell>
        </row>
        <row r="506">
          <cell r="A506" t="str">
            <v>63272-BF_2.1</v>
          </cell>
          <cell r="B506" t="str">
            <v>QUINDIO</v>
          </cell>
          <cell r="C506">
            <v>63272</v>
          </cell>
          <cell r="D506" t="str">
            <v>FILANDIA</v>
          </cell>
          <cell r="E506">
            <v>44</v>
          </cell>
          <cell r="F506" t="str">
            <v>BF_2.1</v>
          </cell>
          <cell r="G506" t="str">
            <v xml:space="preserve">    GASTOS CORRIENTES</v>
          </cell>
          <cell r="H506">
            <v>9246.3860000000004</v>
          </cell>
          <cell r="I506">
            <v>12609.8442228</v>
          </cell>
        </row>
        <row r="507">
          <cell r="A507" t="str">
            <v>63272-BF_2.1.1</v>
          </cell>
          <cell r="B507" t="str">
            <v>QUINDIO</v>
          </cell>
          <cell r="C507">
            <v>63272</v>
          </cell>
          <cell r="D507" t="str">
            <v>FILANDIA</v>
          </cell>
          <cell r="E507">
            <v>45</v>
          </cell>
          <cell r="F507" t="str">
            <v>BF_2.1.1</v>
          </cell>
          <cell r="G507" t="str">
            <v xml:space="preserve">        FUNCIONAMIENTO</v>
          </cell>
          <cell r="H507">
            <v>2211.9209999999998</v>
          </cell>
          <cell r="I507">
            <v>2846.9145640000002</v>
          </cell>
        </row>
        <row r="508">
          <cell r="A508" t="str">
            <v>63272-BF_2.1.1.1</v>
          </cell>
          <cell r="B508" t="str">
            <v>QUINDIO</v>
          </cell>
          <cell r="C508">
            <v>63272</v>
          </cell>
          <cell r="D508" t="str">
            <v>FILANDIA</v>
          </cell>
          <cell r="E508">
            <v>46</v>
          </cell>
          <cell r="F508" t="str">
            <v>BF_2.1.1.1</v>
          </cell>
          <cell r="G508" t="str">
            <v xml:space="preserve">             Gastos de Personal  </v>
          </cell>
          <cell r="H508">
            <v>1044.74</v>
          </cell>
          <cell r="I508">
            <v>1232.46169622</v>
          </cell>
        </row>
        <row r="509">
          <cell r="A509" t="str">
            <v>63272-BF_2.1.1.2</v>
          </cell>
          <cell r="B509" t="str">
            <v>QUINDIO</v>
          </cell>
          <cell r="C509">
            <v>63272</v>
          </cell>
          <cell r="D509" t="str">
            <v>FILANDIA</v>
          </cell>
          <cell r="E509">
            <v>47</v>
          </cell>
          <cell r="F509" t="str">
            <v>BF_2.1.1.2</v>
          </cell>
          <cell r="G509" t="str">
            <v xml:space="preserve">             Gastos Generales</v>
          </cell>
          <cell r="H509">
            <v>452.512</v>
          </cell>
          <cell r="I509">
            <v>551.64015479</v>
          </cell>
        </row>
        <row r="510">
          <cell r="A510" t="str">
            <v>63272-BF_2.1.1.3</v>
          </cell>
          <cell r="B510" t="str">
            <v>QUINDIO</v>
          </cell>
          <cell r="C510">
            <v>63272</v>
          </cell>
          <cell r="D510" t="str">
            <v>FILANDIA</v>
          </cell>
          <cell r="E510">
            <v>48</v>
          </cell>
          <cell r="F510" t="str">
            <v>BF_2.1.1.3</v>
          </cell>
          <cell r="G510" t="str">
            <v xml:space="preserve">             Transferencias</v>
          </cell>
          <cell r="H510">
            <v>712.197</v>
          </cell>
          <cell r="I510">
            <v>1062.8127129899999</v>
          </cell>
        </row>
        <row r="511">
          <cell r="A511" t="str">
            <v>63272-BF_2.1.1.3.1</v>
          </cell>
          <cell r="B511" t="str">
            <v>QUINDIO</v>
          </cell>
          <cell r="C511">
            <v>63272</v>
          </cell>
          <cell r="D511" t="str">
            <v>FILANDIA</v>
          </cell>
          <cell r="E511">
            <v>49</v>
          </cell>
          <cell r="F511" t="str">
            <v>BF_2.1.1.3.1</v>
          </cell>
          <cell r="G511" t="str">
            <v xml:space="preserve">                 Pensiones</v>
          </cell>
          <cell r="H511">
            <v>170.87899999999999</v>
          </cell>
          <cell r="I511">
            <v>163.87262179000001</v>
          </cell>
        </row>
        <row r="512">
          <cell r="A512" t="str">
            <v>63272-BF_2.1.1.3.4</v>
          </cell>
          <cell r="B512" t="str">
            <v>QUINDIO</v>
          </cell>
          <cell r="C512">
            <v>63272</v>
          </cell>
          <cell r="D512" t="str">
            <v>FILANDIA</v>
          </cell>
          <cell r="E512">
            <v>52</v>
          </cell>
          <cell r="F512" t="str">
            <v>BF_2.1.1.3.4</v>
          </cell>
          <cell r="G512" t="str">
            <v xml:space="preserve">                 A Organismos de Control</v>
          </cell>
          <cell r="H512">
            <v>251.345</v>
          </cell>
          <cell r="I512">
            <v>275.46059697999999</v>
          </cell>
        </row>
        <row r="513">
          <cell r="A513" t="str">
            <v>63272-BF_2.1.1.3.5</v>
          </cell>
          <cell r="B513" t="str">
            <v>QUINDIO</v>
          </cell>
          <cell r="C513">
            <v>63272</v>
          </cell>
          <cell r="D513" t="str">
            <v>FILANDIA</v>
          </cell>
          <cell r="E513">
            <v>53</v>
          </cell>
          <cell r="F513" t="str">
            <v>BF_2.1.1.3.5</v>
          </cell>
          <cell r="G513" t="str">
            <v xml:space="preserve">                 A Establecimientos Públicos y Entidades Descentralizadas - Nivel Territorial</v>
          </cell>
          <cell r="H513">
            <v>280.58800000000002</v>
          </cell>
          <cell r="I513">
            <v>0</v>
          </cell>
        </row>
        <row r="514">
          <cell r="A514" t="str">
            <v>63272-BF_2.1.1.3.6</v>
          </cell>
          <cell r="B514" t="str">
            <v>QUINDIO</v>
          </cell>
          <cell r="C514">
            <v>63272</v>
          </cell>
          <cell r="D514" t="str">
            <v>FILANDIA</v>
          </cell>
          <cell r="E514">
            <v>54</v>
          </cell>
          <cell r="F514" t="str">
            <v>BF_2.1.1.3.6</v>
          </cell>
          <cell r="G514" t="str">
            <v xml:space="preserve">                 Sentencias y Conciliaciones</v>
          </cell>
          <cell r="H514">
            <v>9.0229999999999997</v>
          </cell>
          <cell r="I514">
            <v>0</v>
          </cell>
        </row>
        <row r="515">
          <cell r="A515" t="str">
            <v>63272-BF_2.1.1.3.7</v>
          </cell>
          <cell r="B515" t="str">
            <v>QUINDIO</v>
          </cell>
          <cell r="C515">
            <v>63272</v>
          </cell>
          <cell r="D515" t="str">
            <v>FILANDIA</v>
          </cell>
          <cell r="E515">
            <v>55</v>
          </cell>
          <cell r="F515" t="str">
            <v>BF_2.1.1.3.7</v>
          </cell>
          <cell r="G515" t="str">
            <v xml:space="preserve">                 Otras Transferencias</v>
          </cell>
          <cell r="H515">
            <v>0.36199999999999999</v>
          </cell>
          <cell r="I515">
            <v>623.47949421999999</v>
          </cell>
        </row>
        <row r="516">
          <cell r="A516" t="str">
            <v>63272-BF_2.1.1.6</v>
          </cell>
          <cell r="B516" t="str">
            <v>QUINDIO</v>
          </cell>
          <cell r="C516">
            <v>63272</v>
          </cell>
          <cell r="D516" t="str">
            <v>FILANDIA</v>
          </cell>
          <cell r="E516">
            <v>58</v>
          </cell>
          <cell r="F516" t="str">
            <v>BF_2.1.1.6</v>
          </cell>
          <cell r="G516" t="str">
            <v xml:space="preserve">             Otros Gastos de Funcionamiento</v>
          </cell>
          <cell r="H516">
            <v>2.472</v>
          </cell>
          <cell r="I516">
            <v>0</v>
          </cell>
        </row>
        <row r="517">
          <cell r="A517" t="str">
            <v>63272-BF_2.1.4</v>
          </cell>
          <cell r="B517" t="str">
            <v>QUINDIO</v>
          </cell>
          <cell r="C517">
            <v>63272</v>
          </cell>
          <cell r="D517" t="str">
            <v>FILANDIA</v>
          </cell>
          <cell r="E517">
            <v>61</v>
          </cell>
          <cell r="F517" t="str">
            <v>BF_2.1.4</v>
          </cell>
          <cell r="G517" t="str">
            <v xml:space="preserve">        GASTOS OPERATIVOS EN SECTORES SOCIALES (Remuneración al Trabajo, Prestaciones, y Subsidios en Sectores de Inversión)</v>
          </cell>
          <cell r="H517">
            <v>7034.4650000000001</v>
          </cell>
          <cell r="I517">
            <v>9762.9296587999997</v>
          </cell>
        </row>
        <row r="518">
          <cell r="A518" t="str">
            <v>63272-BF_2.1.4.1</v>
          </cell>
          <cell r="B518" t="str">
            <v>QUINDIO</v>
          </cell>
          <cell r="C518">
            <v>63272</v>
          </cell>
          <cell r="D518" t="str">
            <v>FILANDIA</v>
          </cell>
          <cell r="E518">
            <v>62</v>
          </cell>
          <cell r="F518" t="str">
            <v>BF_2.1.4.1</v>
          </cell>
          <cell r="G518" t="str">
            <v xml:space="preserve">             Educación</v>
          </cell>
          <cell r="H518">
            <v>679.15200000000004</v>
          </cell>
          <cell r="I518">
            <v>764.54578100000003</v>
          </cell>
        </row>
        <row r="519">
          <cell r="A519" t="str">
            <v>63272-BF_2.1.4.2</v>
          </cell>
          <cell r="B519" t="str">
            <v>QUINDIO</v>
          </cell>
          <cell r="C519">
            <v>63272</v>
          </cell>
          <cell r="D519" t="str">
            <v>FILANDIA</v>
          </cell>
          <cell r="E519">
            <v>63</v>
          </cell>
          <cell r="F519" t="str">
            <v>BF_2.1.4.2</v>
          </cell>
          <cell r="G519" t="str">
            <v xml:space="preserve">             Salud</v>
          </cell>
          <cell r="H519">
            <v>5860.8389999999999</v>
          </cell>
          <cell r="I519">
            <v>6367.0363470000002</v>
          </cell>
        </row>
        <row r="520">
          <cell r="A520" t="str">
            <v>63272-BF_2.1.4.3</v>
          </cell>
          <cell r="B520" t="str">
            <v>QUINDIO</v>
          </cell>
          <cell r="C520">
            <v>63272</v>
          </cell>
          <cell r="D520" t="str">
            <v>FILANDIA</v>
          </cell>
          <cell r="E520">
            <v>64</v>
          </cell>
          <cell r="F520" t="str">
            <v>BF_2.1.4.3</v>
          </cell>
          <cell r="G520" t="str">
            <v xml:space="preserve">             Agua Potable y Saneamiento Básico</v>
          </cell>
          <cell r="H520">
            <v>308.51</v>
          </cell>
          <cell r="I520">
            <v>329.40157572999999</v>
          </cell>
        </row>
        <row r="521">
          <cell r="A521" t="str">
            <v>63272-BF_2.1.4.4</v>
          </cell>
          <cell r="B521" t="str">
            <v>QUINDIO</v>
          </cell>
          <cell r="C521">
            <v>63272</v>
          </cell>
          <cell r="D521" t="str">
            <v>FILANDIA</v>
          </cell>
          <cell r="E521">
            <v>65</v>
          </cell>
          <cell r="F521" t="str">
            <v>BF_2.1.4.4</v>
          </cell>
          <cell r="G521" t="str">
            <v xml:space="preserve">             Vivienda</v>
          </cell>
          <cell r="H521">
            <v>5.5259999999999998</v>
          </cell>
          <cell r="I521">
            <v>22.392959999999999</v>
          </cell>
        </row>
        <row r="522">
          <cell r="A522" t="str">
            <v>63272-BF_2.1.4.5</v>
          </cell>
          <cell r="B522" t="str">
            <v>QUINDIO</v>
          </cell>
          <cell r="C522">
            <v>63272</v>
          </cell>
          <cell r="D522" t="str">
            <v>FILANDIA</v>
          </cell>
          <cell r="E522">
            <v>66</v>
          </cell>
          <cell r="F522" t="str">
            <v>BF_2.1.4.5</v>
          </cell>
          <cell r="G522" t="str">
            <v xml:space="preserve">             Otros Sectores</v>
          </cell>
          <cell r="H522">
            <v>180.43799999999999</v>
          </cell>
          <cell r="I522">
            <v>2279.5529950700002</v>
          </cell>
        </row>
        <row r="523">
          <cell r="A523" t="str">
            <v>63272-BF_3</v>
          </cell>
          <cell r="B523" t="str">
            <v>QUINDIO</v>
          </cell>
          <cell r="C523">
            <v>63272</v>
          </cell>
          <cell r="D523" t="str">
            <v>FILANDIA</v>
          </cell>
          <cell r="E523">
            <v>70</v>
          </cell>
          <cell r="F523" t="str">
            <v>BF_3</v>
          </cell>
          <cell r="G523" t="str">
            <v>DÉFICIT O AHORRO CORRIENTE</v>
          </cell>
          <cell r="H523">
            <v>3130.9589999999998</v>
          </cell>
          <cell r="I523">
            <v>-175.66874780000001</v>
          </cell>
        </row>
        <row r="524">
          <cell r="A524" t="str">
            <v>63272-BF_4</v>
          </cell>
          <cell r="B524" t="str">
            <v>QUINDIO</v>
          </cell>
          <cell r="C524">
            <v>63272</v>
          </cell>
          <cell r="D524" t="str">
            <v>FILANDIA</v>
          </cell>
          <cell r="E524">
            <v>71</v>
          </cell>
          <cell r="F524" t="str">
            <v>BF_4</v>
          </cell>
          <cell r="G524" t="str">
            <v>INGRESOS DE CAPITAL</v>
          </cell>
          <cell r="H524">
            <v>1877.846</v>
          </cell>
          <cell r="I524">
            <v>3111.7138890000001</v>
          </cell>
        </row>
        <row r="525">
          <cell r="A525" t="str">
            <v>63272-BF_4.1</v>
          </cell>
          <cell r="B525" t="str">
            <v>QUINDIO</v>
          </cell>
          <cell r="C525">
            <v>63272</v>
          </cell>
          <cell r="D525" t="str">
            <v>FILANDIA</v>
          </cell>
          <cell r="E525">
            <v>72</v>
          </cell>
          <cell r="F525" t="str">
            <v>BF_4.1</v>
          </cell>
          <cell r="G525" t="str">
            <v xml:space="preserve">    Cofinanciación</v>
          </cell>
          <cell r="H525">
            <v>1375.242</v>
          </cell>
          <cell r="I525">
            <v>954.82590800000003</v>
          </cell>
        </row>
        <row r="526">
          <cell r="A526" t="str">
            <v>63272-BF_4.4</v>
          </cell>
          <cell r="B526" t="str">
            <v>QUINDIO</v>
          </cell>
          <cell r="C526">
            <v>63272</v>
          </cell>
          <cell r="D526" t="str">
            <v>FILANDIA</v>
          </cell>
          <cell r="E526">
            <v>75</v>
          </cell>
          <cell r="F526" t="str">
            <v>BF_4.4</v>
          </cell>
          <cell r="G526" t="str">
            <v xml:space="preserve">    Rendimientos Financieros</v>
          </cell>
          <cell r="H526">
            <v>121.90300000000001</v>
          </cell>
          <cell r="I526">
            <v>105.040997</v>
          </cell>
        </row>
        <row r="527">
          <cell r="A527" t="str">
            <v>63272-BF_4.6</v>
          </cell>
          <cell r="B527" t="str">
            <v>QUINDIO</v>
          </cell>
          <cell r="C527">
            <v>63272</v>
          </cell>
          <cell r="D527" t="str">
            <v>FILANDIA</v>
          </cell>
          <cell r="E527">
            <v>77</v>
          </cell>
          <cell r="F527" t="str">
            <v>BF_4.6</v>
          </cell>
          <cell r="G527" t="str">
            <v xml:space="preserve">    Desahorro FONPET</v>
          </cell>
          <cell r="H527">
            <v>369.46</v>
          </cell>
          <cell r="I527">
            <v>2045.304261</v>
          </cell>
        </row>
        <row r="528">
          <cell r="A528" t="str">
            <v>63272-BF_4.6.1</v>
          </cell>
          <cell r="B528" t="str">
            <v>QUINDIO</v>
          </cell>
          <cell r="C528">
            <v>63272</v>
          </cell>
          <cell r="D528" t="str">
            <v>FILANDIA</v>
          </cell>
          <cell r="E528">
            <v>78</v>
          </cell>
          <cell r="F528" t="str">
            <v>BF_4.6.1</v>
          </cell>
          <cell r="G528" t="str">
            <v xml:space="preserve">    Salud</v>
          </cell>
          <cell r="H528">
            <v>369.46</v>
          </cell>
          <cell r="I528">
            <v>1278.7760000000001</v>
          </cell>
        </row>
        <row r="529">
          <cell r="A529" t="str">
            <v>63272-BF_4.6.3</v>
          </cell>
          <cell r="B529" t="str">
            <v>QUINDIO</v>
          </cell>
          <cell r="C529">
            <v>63272</v>
          </cell>
          <cell r="D529" t="str">
            <v>FILANDIA</v>
          </cell>
          <cell r="E529">
            <v>80</v>
          </cell>
          <cell r="F529" t="str">
            <v>BF_4.6.3</v>
          </cell>
          <cell r="G529" t="str">
            <v xml:space="preserve">    Propósito General</v>
          </cell>
          <cell r="H529">
            <v>0</v>
          </cell>
          <cell r="I529">
            <v>352.26797299999998</v>
          </cell>
        </row>
        <row r="530">
          <cell r="A530" t="str">
            <v>63272-BF_4.6.4</v>
          </cell>
          <cell r="B530" t="str">
            <v>QUINDIO</v>
          </cell>
          <cell r="C530">
            <v>63272</v>
          </cell>
          <cell r="D530" t="str">
            <v>FILANDIA</v>
          </cell>
          <cell r="E530">
            <v>81</v>
          </cell>
          <cell r="F530" t="str">
            <v>BF_4.6.4</v>
          </cell>
          <cell r="G530" t="str">
            <v xml:space="preserve">    Otros Desahorros y Retiros (Cuotas partes, Bonos y Devoluciones)</v>
          </cell>
          <cell r="H530">
            <v>0</v>
          </cell>
          <cell r="I530">
            <v>414.260288</v>
          </cell>
        </row>
        <row r="531">
          <cell r="A531" t="str">
            <v>63272-BF_4.7</v>
          </cell>
          <cell r="B531" t="str">
            <v>QUINDIO</v>
          </cell>
          <cell r="C531">
            <v>63272</v>
          </cell>
          <cell r="D531" t="str">
            <v>FILANDIA</v>
          </cell>
          <cell r="E531">
            <v>82</v>
          </cell>
          <cell r="F531" t="str">
            <v>BF_4.7</v>
          </cell>
          <cell r="G531" t="str">
            <v xml:space="preserve">    Otros Recursos de Capital (Donaciones, Aprovechamientos y Otros)</v>
          </cell>
          <cell r="H531">
            <v>11.241</v>
          </cell>
          <cell r="I531">
            <v>6.5427229999999996</v>
          </cell>
        </row>
        <row r="532">
          <cell r="A532" t="str">
            <v>63272-BF_5</v>
          </cell>
          <cell r="B532" t="str">
            <v>QUINDIO</v>
          </cell>
          <cell r="C532">
            <v>63272</v>
          </cell>
          <cell r="D532" t="str">
            <v>FILANDIA</v>
          </cell>
          <cell r="E532">
            <v>83</v>
          </cell>
          <cell r="F532" t="str">
            <v>BF_5</v>
          </cell>
          <cell r="G532" t="str">
            <v>GASTOS DE CAPITAL</v>
          </cell>
          <cell r="H532">
            <v>4465.2690000000002</v>
          </cell>
          <cell r="I532">
            <v>2753.0026653999998</v>
          </cell>
        </row>
        <row r="533">
          <cell r="A533" t="str">
            <v>63272-BF_5.1</v>
          </cell>
          <cell r="B533" t="str">
            <v>QUINDIO</v>
          </cell>
          <cell r="C533">
            <v>63272</v>
          </cell>
          <cell r="D533" t="str">
            <v>FILANDIA</v>
          </cell>
          <cell r="E533">
            <v>84</v>
          </cell>
          <cell r="F533" t="str">
            <v>BF_5.1</v>
          </cell>
          <cell r="G533" t="str">
            <v xml:space="preserve">    Formación Bruta de Capital (Construcción, Reparación, Mantenimiento, Preinversión, Otros)</v>
          </cell>
          <cell r="H533">
            <v>4465.2690000000002</v>
          </cell>
          <cell r="I533">
            <v>2753.0026653999998</v>
          </cell>
        </row>
        <row r="534">
          <cell r="A534" t="str">
            <v>63272-BF_5.1.1</v>
          </cell>
          <cell r="B534" t="str">
            <v>QUINDIO</v>
          </cell>
          <cell r="C534">
            <v>63272</v>
          </cell>
          <cell r="D534" t="str">
            <v>FILANDIA</v>
          </cell>
          <cell r="E534">
            <v>85</v>
          </cell>
          <cell r="F534" t="str">
            <v>BF_5.1.1</v>
          </cell>
          <cell r="G534" t="str">
            <v xml:space="preserve">        Educación</v>
          </cell>
          <cell r="H534">
            <v>19.510000000000002</v>
          </cell>
          <cell r="I534">
            <v>29.474851999999998</v>
          </cell>
        </row>
        <row r="535">
          <cell r="A535" t="str">
            <v>63272-BF_5.1.2</v>
          </cell>
          <cell r="B535" t="str">
            <v>QUINDIO</v>
          </cell>
          <cell r="C535">
            <v>63272</v>
          </cell>
          <cell r="D535" t="str">
            <v>FILANDIA</v>
          </cell>
          <cell r="E535">
            <v>86</v>
          </cell>
          <cell r="F535" t="str">
            <v>BF_5.1.2</v>
          </cell>
          <cell r="G535" t="str">
            <v xml:space="preserve">        Salud</v>
          </cell>
          <cell r="H535">
            <v>0</v>
          </cell>
          <cell r="I535">
            <v>141.959</v>
          </cell>
        </row>
        <row r="536">
          <cell r="A536" t="str">
            <v>63272-BF_5.1.3</v>
          </cell>
          <cell r="B536" t="str">
            <v>QUINDIO</v>
          </cell>
          <cell r="C536">
            <v>63272</v>
          </cell>
          <cell r="D536" t="str">
            <v>FILANDIA</v>
          </cell>
          <cell r="E536">
            <v>87</v>
          </cell>
          <cell r="F536" t="str">
            <v>BF_5.1.3</v>
          </cell>
          <cell r="G536" t="str">
            <v xml:space="preserve">        Agua Potable</v>
          </cell>
          <cell r="H536">
            <v>324.88799999999998</v>
          </cell>
          <cell r="I536">
            <v>279.34557551</v>
          </cell>
        </row>
        <row r="537">
          <cell r="A537" t="str">
            <v>63272-BF_5.1.4</v>
          </cell>
          <cell r="B537" t="str">
            <v>QUINDIO</v>
          </cell>
          <cell r="C537">
            <v>63272</v>
          </cell>
          <cell r="D537" t="str">
            <v>FILANDIA</v>
          </cell>
          <cell r="E537">
            <v>88</v>
          </cell>
          <cell r="F537" t="str">
            <v>BF_5.1.4</v>
          </cell>
          <cell r="G537" t="str">
            <v xml:space="preserve">        Vivienda</v>
          </cell>
          <cell r="H537">
            <v>79.022000000000006</v>
          </cell>
          <cell r="I537">
            <v>255.24131700000001</v>
          </cell>
        </row>
        <row r="538">
          <cell r="A538" t="str">
            <v>63272-BF_5.1.5</v>
          </cell>
          <cell r="B538" t="str">
            <v>QUINDIO</v>
          </cell>
          <cell r="C538">
            <v>63272</v>
          </cell>
          <cell r="D538" t="str">
            <v>FILANDIA</v>
          </cell>
          <cell r="E538">
            <v>89</v>
          </cell>
          <cell r="F538" t="str">
            <v>BF_5.1.5</v>
          </cell>
          <cell r="G538" t="str">
            <v xml:space="preserve">        Vías</v>
          </cell>
          <cell r="H538">
            <v>1085.8969999999999</v>
          </cell>
          <cell r="I538">
            <v>842.38176139999996</v>
          </cell>
        </row>
        <row r="539">
          <cell r="A539" t="str">
            <v>63272-BF_5.1.6</v>
          </cell>
          <cell r="B539" t="str">
            <v>QUINDIO</v>
          </cell>
          <cell r="C539">
            <v>63272</v>
          </cell>
          <cell r="D539" t="str">
            <v>FILANDIA</v>
          </cell>
          <cell r="E539">
            <v>90</v>
          </cell>
          <cell r="F539" t="str">
            <v>BF_5.1.6</v>
          </cell>
          <cell r="G539" t="str">
            <v xml:space="preserve">        Otros Sectores</v>
          </cell>
          <cell r="H539">
            <v>2955.9520000000002</v>
          </cell>
          <cell r="I539">
            <v>1204.6001594899999</v>
          </cell>
        </row>
        <row r="540">
          <cell r="A540" t="str">
            <v>63272-BF_6</v>
          </cell>
          <cell r="B540" t="str">
            <v>QUINDIO</v>
          </cell>
          <cell r="C540">
            <v>63272</v>
          </cell>
          <cell r="D540" t="str">
            <v>FILANDIA</v>
          </cell>
          <cell r="E540">
            <v>92</v>
          </cell>
          <cell r="F540" t="str">
            <v>BF_6</v>
          </cell>
          <cell r="G540" t="str">
            <v>DÉFICIT O SUPERÁVIT DE CAPITAL</v>
          </cell>
          <cell r="H540">
            <v>-2587.4229999999998</v>
          </cell>
          <cell r="I540">
            <v>358.71122359999998</v>
          </cell>
        </row>
        <row r="541">
          <cell r="A541" t="str">
            <v>63272-BF_7</v>
          </cell>
          <cell r="B541" t="str">
            <v>QUINDIO</v>
          </cell>
          <cell r="C541">
            <v>63272</v>
          </cell>
          <cell r="D541" t="str">
            <v>FILANDIA</v>
          </cell>
          <cell r="E541">
            <v>93</v>
          </cell>
          <cell r="F541" t="str">
            <v>BF_7</v>
          </cell>
          <cell r="G541" t="str">
            <v>DÉFICIT O SUPERÁVIT TOTAL</v>
          </cell>
          <cell r="H541">
            <v>543.53599999999994</v>
          </cell>
          <cell r="I541">
            <v>183.04247580000001</v>
          </cell>
        </row>
        <row r="542">
          <cell r="A542" t="str">
            <v>63272-BF_8</v>
          </cell>
          <cell r="B542" t="str">
            <v>QUINDIO</v>
          </cell>
          <cell r="C542">
            <v>63272</v>
          </cell>
          <cell r="D542" t="str">
            <v>FILANDIA</v>
          </cell>
          <cell r="E542">
            <v>94</v>
          </cell>
          <cell r="F542" t="str">
            <v>BF_8</v>
          </cell>
          <cell r="G542" t="str">
            <v>FINANCIACIÓN</v>
          </cell>
          <cell r="H542">
            <v>2746.9949999999999</v>
          </cell>
          <cell r="I542">
            <v>3299.4678509999999</v>
          </cell>
        </row>
        <row r="543">
          <cell r="A543" t="str">
            <v>63272-BF_8.2</v>
          </cell>
          <cell r="B543" t="str">
            <v>QUINDIO</v>
          </cell>
          <cell r="C543">
            <v>63272</v>
          </cell>
          <cell r="D543" t="str">
            <v>FILANDIA</v>
          </cell>
          <cell r="E543">
            <v>102</v>
          </cell>
          <cell r="F543" t="str">
            <v>BF_8.2</v>
          </cell>
          <cell r="G543" t="str">
            <v xml:space="preserve">    Recursos del Balance (Superávit Fiscal, Cancelación de Reservas)</v>
          </cell>
          <cell r="H543">
            <v>2746.9949999999999</v>
          </cell>
          <cell r="I543">
            <v>3288.0418690000001</v>
          </cell>
        </row>
        <row r="544">
          <cell r="A544" t="str">
            <v>63272-BF_8.3</v>
          </cell>
          <cell r="B544" t="str">
            <v>QUINDIO</v>
          </cell>
          <cell r="C544">
            <v>63272</v>
          </cell>
          <cell r="D544" t="str">
            <v>FILANDIA</v>
          </cell>
          <cell r="E544">
            <v>103</v>
          </cell>
          <cell r="F544" t="str">
            <v>BF_8.3</v>
          </cell>
          <cell r="G544" t="str">
            <v xml:space="preserve">    Venta de Activos</v>
          </cell>
          <cell r="H544">
            <v>0</v>
          </cell>
          <cell r="I544">
            <v>11.425981999999999</v>
          </cell>
        </row>
        <row r="545">
          <cell r="A545" t="str">
            <v>63272-BF_9.1</v>
          </cell>
          <cell r="B545" t="str">
            <v>QUINDIO</v>
          </cell>
          <cell r="C545">
            <v>63272</v>
          </cell>
          <cell r="D545" t="str">
            <v>FILANDIA</v>
          </cell>
          <cell r="E545">
            <v>107</v>
          </cell>
          <cell r="F545" t="str">
            <v>BF_9.1</v>
          </cell>
          <cell r="G545" t="str">
            <v xml:space="preserve">    DÉFICIT O SUPERÁVIT PRIMARIO</v>
          </cell>
          <cell r="H545">
            <v>3290.5309999999999</v>
          </cell>
          <cell r="I545">
            <v>3471.0843448000001</v>
          </cell>
        </row>
        <row r="546">
          <cell r="A546" t="str">
            <v>63272-BF_10.1</v>
          </cell>
          <cell r="B546" t="str">
            <v>QUINDIO</v>
          </cell>
          <cell r="C546">
            <v>63272</v>
          </cell>
          <cell r="D546" t="str">
            <v>FILANDIA</v>
          </cell>
          <cell r="E546">
            <v>110</v>
          </cell>
          <cell r="F546" t="str">
            <v>BF_10.1</v>
          </cell>
          <cell r="G546" t="str">
            <v xml:space="preserve">    INGRESOS TOTALES SIN INCLUIR RECURSOS PARA RESERVAS PRESUPUESTALES</v>
          </cell>
          <cell r="H546">
            <v>17002.186000000002</v>
          </cell>
          <cell r="I546">
            <v>18845.357215</v>
          </cell>
        </row>
        <row r="547">
          <cell r="A547" t="str">
            <v>63272-BF_10.2</v>
          </cell>
          <cell r="B547" t="str">
            <v>QUINDIO</v>
          </cell>
          <cell r="C547">
            <v>63272</v>
          </cell>
          <cell r="D547" t="str">
            <v>FILANDIA</v>
          </cell>
          <cell r="E547">
            <v>111</v>
          </cell>
          <cell r="F547" t="str">
            <v>BF_10.2</v>
          </cell>
          <cell r="G547" t="str">
            <v xml:space="preserve">    GASTOS TOTALES SIN INCLUIR GASTOS POR RESERVAS PRESUPUESTALES</v>
          </cell>
          <cell r="H547">
            <v>13711.655000000001</v>
          </cell>
          <cell r="I547">
            <v>15362.8468882</v>
          </cell>
        </row>
        <row r="548">
          <cell r="A548" t="str">
            <v>63272-BF_10.3</v>
          </cell>
          <cell r="B548" t="str">
            <v>QUINDIO</v>
          </cell>
          <cell r="C548">
            <v>63272</v>
          </cell>
          <cell r="D548" t="str">
            <v>FILANDIA</v>
          </cell>
          <cell r="E548">
            <v>112</v>
          </cell>
          <cell r="F548" t="str">
            <v>BF_10.3</v>
          </cell>
          <cell r="G548" t="str">
            <v xml:space="preserve">    DÉFICIT O SUPERÁVIT PRESUPUESTAL SIN INCLUIR RESERVAS PRESUPUESTALES</v>
          </cell>
          <cell r="H548">
            <v>3290.5309999999999</v>
          </cell>
          <cell r="I548">
            <v>3482.5103267999998</v>
          </cell>
        </row>
        <row r="549">
          <cell r="A549" t="str">
            <v>63272-BF_12.1</v>
          </cell>
          <cell r="B549" t="str">
            <v>QUINDIO</v>
          </cell>
          <cell r="C549">
            <v>63272</v>
          </cell>
          <cell r="D549" t="str">
            <v>FILANDIA</v>
          </cell>
          <cell r="E549">
            <v>114</v>
          </cell>
          <cell r="F549" t="str">
            <v>BF_12.1</v>
          </cell>
          <cell r="G549" t="str">
            <v xml:space="preserve">    INGRESOS TOTALES</v>
          </cell>
          <cell r="H549">
            <v>17082.357</v>
          </cell>
          <cell r="I549">
            <v>19528.731534999999</v>
          </cell>
        </row>
        <row r="550">
          <cell r="A550" t="str">
            <v>63272-BF_12.2</v>
          </cell>
          <cell r="B550" t="str">
            <v>QUINDIO</v>
          </cell>
          <cell r="C550">
            <v>63272</v>
          </cell>
          <cell r="D550" t="str">
            <v>FILANDIA</v>
          </cell>
          <cell r="E550">
            <v>115</v>
          </cell>
          <cell r="F550" t="str">
            <v>BF_12.2</v>
          </cell>
          <cell r="G550" t="str">
            <v xml:space="preserve">    GASTOS TOTALES</v>
          </cell>
          <cell r="H550">
            <v>13791.825999999999</v>
          </cell>
          <cell r="I550">
            <v>16035.4589232</v>
          </cell>
        </row>
        <row r="551">
          <cell r="A551" t="str">
            <v>63272-BF_12.3</v>
          </cell>
          <cell r="B551" t="str">
            <v>QUINDIO</v>
          </cell>
          <cell r="C551">
            <v>63272</v>
          </cell>
          <cell r="D551" t="str">
            <v>FILANDIA</v>
          </cell>
          <cell r="E551">
            <v>116</v>
          </cell>
          <cell r="F551" t="str">
            <v>BF_12.3</v>
          </cell>
          <cell r="G551" t="str">
            <v xml:space="preserve">    DÉFICIT O SUPERÁVIT PRESUPUESTAL</v>
          </cell>
          <cell r="H551">
            <v>3290.5309999999999</v>
          </cell>
          <cell r="I551">
            <v>3493.2726118</v>
          </cell>
        </row>
        <row r="552">
          <cell r="A552" t="str">
            <v>63272-BF_13.1</v>
          </cell>
          <cell r="B552" t="str">
            <v>QUINDIO</v>
          </cell>
          <cell r="C552">
            <v>63272</v>
          </cell>
          <cell r="D552" t="str">
            <v>FILANDIA</v>
          </cell>
          <cell r="E552">
            <v>118</v>
          </cell>
          <cell r="F552" t="str">
            <v>BF_13.1</v>
          </cell>
          <cell r="G552" t="str">
            <v xml:space="preserve">    Recursos que Financian Reservas Presupuestales Excepcionales (Ley 819/2003)</v>
          </cell>
          <cell r="H552">
            <v>80.171000000000006</v>
          </cell>
          <cell r="I552">
            <v>683.37432000000001</v>
          </cell>
        </row>
        <row r="553">
          <cell r="A553" t="str">
            <v>63272-BF_13.2</v>
          </cell>
          <cell r="B553" t="str">
            <v>QUINDIO</v>
          </cell>
          <cell r="C553">
            <v>63272</v>
          </cell>
          <cell r="D553" t="str">
            <v>FILANDIA</v>
          </cell>
          <cell r="E553">
            <v>119</v>
          </cell>
          <cell r="F553" t="str">
            <v>BF_13.2</v>
          </cell>
          <cell r="G553" t="str">
            <v xml:space="preserve">    Reservas Presupuestales de Funcionamiento Vigencia Anterior</v>
          </cell>
          <cell r="H553">
            <v>0</v>
          </cell>
          <cell r="I553">
            <v>6.4</v>
          </cell>
        </row>
        <row r="554">
          <cell r="A554" t="str">
            <v>63272-BF_13.3</v>
          </cell>
          <cell r="B554" t="str">
            <v>QUINDIO</v>
          </cell>
          <cell r="C554">
            <v>63272</v>
          </cell>
          <cell r="D554" t="str">
            <v>FILANDIA</v>
          </cell>
          <cell r="E554">
            <v>120</v>
          </cell>
          <cell r="F554" t="str">
            <v>BF_13.3</v>
          </cell>
          <cell r="G554" t="str">
            <v xml:space="preserve">    Reservas Presupuestales de Inversión Vigencia Anterior</v>
          </cell>
          <cell r="H554">
            <v>80.171000000000006</v>
          </cell>
          <cell r="I554">
            <v>666.21203500000001</v>
          </cell>
        </row>
        <row r="555">
          <cell r="A555" t="str">
            <v>63272-BF_13.4</v>
          </cell>
          <cell r="B555" t="str">
            <v>QUINDIO</v>
          </cell>
          <cell r="C555">
            <v>63272</v>
          </cell>
          <cell r="D555" t="str">
            <v>FILANDIA</v>
          </cell>
          <cell r="E555">
            <v>121</v>
          </cell>
          <cell r="F555" t="str">
            <v>BF_13.4</v>
          </cell>
          <cell r="G555" t="str">
            <v xml:space="preserve">    DEFICIT O SUPERAVIT RESERVAS PRESUPUESTALES</v>
          </cell>
          <cell r="H555">
            <v>0</v>
          </cell>
          <cell r="I555">
            <v>10.762285</v>
          </cell>
        </row>
        <row r="556">
          <cell r="A556" t="str">
            <v>63302-BF_1</v>
          </cell>
          <cell r="B556" t="str">
            <v>QUINDIO</v>
          </cell>
          <cell r="C556">
            <v>63302</v>
          </cell>
          <cell r="D556" t="str">
            <v>GÉNOVA</v>
          </cell>
          <cell r="E556">
            <v>1</v>
          </cell>
          <cell r="F556" t="str">
            <v>BF_1</v>
          </cell>
          <cell r="G556" t="str">
            <v>INGRESOS TOTALES</v>
          </cell>
          <cell r="H556">
            <v>9390.5450000000001</v>
          </cell>
          <cell r="I556">
            <v>9669.2762949999997</v>
          </cell>
        </row>
        <row r="557">
          <cell r="A557" t="str">
            <v>63302-BF_1.1</v>
          </cell>
          <cell r="B557" t="str">
            <v>QUINDIO</v>
          </cell>
          <cell r="C557">
            <v>63302</v>
          </cell>
          <cell r="D557" t="str">
            <v>GÉNOVA</v>
          </cell>
          <cell r="E557">
            <v>2</v>
          </cell>
          <cell r="F557" t="str">
            <v>BF_1.1</v>
          </cell>
          <cell r="G557" t="str">
            <v xml:space="preserve">    INGRESOS CORRIENTES</v>
          </cell>
          <cell r="H557">
            <v>8334.8150000000005</v>
          </cell>
          <cell r="I557">
            <v>8529.6254929999996</v>
          </cell>
        </row>
        <row r="558">
          <cell r="A558" t="str">
            <v>63302-BF_1.1.1</v>
          </cell>
          <cell r="B558" t="str">
            <v>QUINDIO</v>
          </cell>
          <cell r="C558">
            <v>63302</v>
          </cell>
          <cell r="D558" t="str">
            <v>GÉNOVA</v>
          </cell>
          <cell r="E558">
            <v>3</v>
          </cell>
          <cell r="F558" t="str">
            <v>BF_1.1.1</v>
          </cell>
          <cell r="G558" t="str">
            <v xml:space="preserve">        TRIBUTARIOS</v>
          </cell>
          <cell r="H558">
            <v>1104.5709999999999</v>
          </cell>
          <cell r="I558">
            <v>1038.7516479999999</v>
          </cell>
        </row>
        <row r="559">
          <cell r="A559" t="str">
            <v>63302-BF_1.1.1.2</v>
          </cell>
          <cell r="B559" t="str">
            <v>QUINDIO</v>
          </cell>
          <cell r="C559">
            <v>63302</v>
          </cell>
          <cell r="D559" t="str">
            <v>GÉNOVA</v>
          </cell>
          <cell r="E559">
            <v>5</v>
          </cell>
          <cell r="F559" t="str">
            <v>BF_1.1.1.2</v>
          </cell>
          <cell r="G559" t="str">
            <v xml:space="preserve">             Impuesto Predial Unificado</v>
          </cell>
          <cell r="H559">
            <v>438.91</v>
          </cell>
          <cell r="I559">
            <v>426.02846399999999</v>
          </cell>
        </row>
        <row r="560">
          <cell r="A560" t="str">
            <v>63302-BF_1.1.1.3</v>
          </cell>
          <cell r="B560" t="str">
            <v>QUINDIO</v>
          </cell>
          <cell r="C560">
            <v>63302</v>
          </cell>
          <cell r="D560" t="str">
            <v>GÉNOVA</v>
          </cell>
          <cell r="E560">
            <v>6</v>
          </cell>
          <cell r="F560" t="str">
            <v>BF_1.1.1.3</v>
          </cell>
          <cell r="G560" t="str">
            <v xml:space="preserve">             Impuesto de Industria y Comercio</v>
          </cell>
          <cell r="H560">
            <v>105.54300000000001</v>
          </cell>
          <cell r="I560">
            <v>109.713853</v>
          </cell>
        </row>
        <row r="561">
          <cell r="A561" t="str">
            <v>63302-BF_1.1.1.8</v>
          </cell>
          <cell r="B561" t="str">
            <v>QUINDIO</v>
          </cell>
          <cell r="C561">
            <v>63302</v>
          </cell>
          <cell r="D561" t="str">
            <v>GÉNOVA</v>
          </cell>
          <cell r="E561">
            <v>11</v>
          </cell>
          <cell r="F561" t="str">
            <v>BF_1.1.1.8</v>
          </cell>
          <cell r="G561" t="str">
            <v xml:space="preserve">             Sobretasa Consumo Gasolina Motor</v>
          </cell>
          <cell r="H561">
            <v>107.288</v>
          </cell>
          <cell r="I561">
            <v>110.649</v>
          </cell>
        </row>
        <row r="562">
          <cell r="A562" t="str">
            <v>63302-BF_1.1.1.9</v>
          </cell>
          <cell r="B562" t="str">
            <v>QUINDIO</v>
          </cell>
          <cell r="C562">
            <v>63302</v>
          </cell>
          <cell r="D562" t="str">
            <v>GÉNOVA</v>
          </cell>
          <cell r="E562">
            <v>12</v>
          </cell>
          <cell r="F562" t="str">
            <v>BF_1.1.1.9</v>
          </cell>
          <cell r="G562" t="str">
            <v xml:space="preserve">             Estampillas</v>
          </cell>
          <cell r="H562">
            <v>134.67699999999999</v>
          </cell>
          <cell r="I562">
            <v>139.774</v>
          </cell>
        </row>
        <row r="563">
          <cell r="A563" t="str">
            <v>63302-BF_1.1.1.12</v>
          </cell>
          <cell r="B563" t="str">
            <v>QUINDIO</v>
          </cell>
          <cell r="C563">
            <v>63302</v>
          </cell>
          <cell r="D563" t="str">
            <v>GÉNOVA</v>
          </cell>
          <cell r="E563">
            <v>15</v>
          </cell>
          <cell r="F563" t="str">
            <v>BF_1.1.1.12</v>
          </cell>
          <cell r="G563" t="str">
            <v xml:space="preserve">             Otros Ingresos Tributarios</v>
          </cell>
          <cell r="H563">
            <v>318.15300000000002</v>
          </cell>
          <cell r="I563">
            <v>252.586331</v>
          </cell>
        </row>
        <row r="564">
          <cell r="A564" t="str">
            <v>63302-BF_1.1.2</v>
          </cell>
          <cell r="B564" t="str">
            <v>QUINDIO</v>
          </cell>
          <cell r="C564">
            <v>63302</v>
          </cell>
          <cell r="D564" t="str">
            <v>GÉNOVA</v>
          </cell>
          <cell r="E564">
            <v>16</v>
          </cell>
          <cell r="F564" t="str">
            <v>BF_1.1.2</v>
          </cell>
          <cell r="G564" t="str">
            <v xml:space="preserve">        NO TRIBUTARIOS</v>
          </cell>
          <cell r="H564">
            <v>133.35400000000001</v>
          </cell>
          <cell r="I564">
            <v>136.03554299999999</v>
          </cell>
        </row>
        <row r="565">
          <cell r="A565" t="str">
            <v>63302-BF_1.1.2.1</v>
          </cell>
          <cell r="B565" t="str">
            <v>QUINDIO</v>
          </cell>
          <cell r="C565">
            <v>63302</v>
          </cell>
          <cell r="D565" t="str">
            <v>GÉNOVA</v>
          </cell>
          <cell r="E565">
            <v>17</v>
          </cell>
          <cell r="F565" t="str">
            <v>BF_1.1.2.1</v>
          </cell>
          <cell r="G565" t="str">
            <v xml:space="preserve">             Ingresos de la Propiedad: Tasas, Derechos, Multas y Sanciones</v>
          </cell>
          <cell r="H565">
            <v>132.33799999999999</v>
          </cell>
          <cell r="I565">
            <v>133.03805199999999</v>
          </cell>
        </row>
        <row r="566">
          <cell r="A566" t="str">
            <v>63302-BF_1.1.2.2</v>
          </cell>
          <cell r="B566" t="str">
            <v>QUINDIO</v>
          </cell>
          <cell r="C566">
            <v>63302</v>
          </cell>
          <cell r="D566" t="str">
            <v>GÉNOVA</v>
          </cell>
          <cell r="E566">
            <v>18</v>
          </cell>
          <cell r="F566" t="str">
            <v>BF_1.1.2.2</v>
          </cell>
          <cell r="G566" t="str">
            <v xml:space="preserve">             Otros No Tributarios</v>
          </cell>
          <cell r="H566">
            <v>1.016</v>
          </cell>
          <cell r="I566">
            <v>2.9974910000000001</v>
          </cell>
        </row>
        <row r="567">
          <cell r="A567" t="str">
            <v>63302-BF_1.1.3</v>
          </cell>
          <cell r="B567" t="str">
            <v>QUINDIO</v>
          </cell>
          <cell r="C567">
            <v>63302</v>
          </cell>
          <cell r="D567" t="str">
            <v>GÉNOVA</v>
          </cell>
          <cell r="E567">
            <v>19</v>
          </cell>
          <cell r="F567" t="str">
            <v>BF_1.1.3</v>
          </cell>
          <cell r="G567" t="str">
            <v xml:space="preserve">        TRANSFERENCIAS</v>
          </cell>
          <cell r="H567">
            <v>7096.89</v>
          </cell>
          <cell r="I567">
            <v>7354.8383020000001</v>
          </cell>
        </row>
        <row r="568">
          <cell r="A568" t="str">
            <v>63302-BF_1.1.3.1</v>
          </cell>
          <cell r="B568" t="str">
            <v>QUINDIO</v>
          </cell>
          <cell r="C568">
            <v>63302</v>
          </cell>
          <cell r="D568" t="str">
            <v>GÉNOVA</v>
          </cell>
          <cell r="E568">
            <v>20</v>
          </cell>
          <cell r="F568" t="str">
            <v>BF_1.1.3.1</v>
          </cell>
          <cell r="G568" t="str">
            <v xml:space="preserve">             Transferencias Para Funcionamiento</v>
          </cell>
          <cell r="H568">
            <v>756.77300000000002</v>
          </cell>
          <cell r="I568">
            <v>893.89556200000004</v>
          </cell>
        </row>
        <row r="569">
          <cell r="A569" t="str">
            <v>63302-BF_1.1.3.1.1</v>
          </cell>
          <cell r="B569" t="str">
            <v>QUINDIO</v>
          </cell>
          <cell r="C569">
            <v>63302</v>
          </cell>
          <cell r="D569" t="str">
            <v>GÉNOVA</v>
          </cell>
          <cell r="E569">
            <v>21</v>
          </cell>
          <cell r="F569" t="str">
            <v>BF_1.1.3.1.1</v>
          </cell>
          <cell r="G569" t="str">
            <v xml:space="preserve">                 Del Nivel Nacional</v>
          </cell>
          <cell r="H569">
            <v>747.13900000000001</v>
          </cell>
          <cell r="I569">
            <v>883.95987400000001</v>
          </cell>
        </row>
        <row r="570">
          <cell r="A570" t="str">
            <v>63302-BF_1.1.3.1.1.1</v>
          </cell>
          <cell r="B570" t="str">
            <v>QUINDIO</v>
          </cell>
          <cell r="C570">
            <v>63302</v>
          </cell>
          <cell r="D570" t="str">
            <v>GÉNOVA</v>
          </cell>
          <cell r="E570">
            <v>22</v>
          </cell>
          <cell r="F570" t="str">
            <v>BF_1.1.3.1.1.1</v>
          </cell>
          <cell r="G570" t="str">
            <v xml:space="preserve">                     Sistema General de Participaciones - Propósito General - Libre destinación - Municipios categorías 4, 5 y 6</v>
          </cell>
          <cell r="H570">
            <v>747.13900000000001</v>
          </cell>
          <cell r="I570">
            <v>883.95987400000001</v>
          </cell>
        </row>
        <row r="571">
          <cell r="A571" t="str">
            <v>63302-BF_1.1.3.1.2</v>
          </cell>
          <cell r="B571" t="str">
            <v>QUINDIO</v>
          </cell>
          <cell r="C571">
            <v>63302</v>
          </cell>
          <cell r="D571" t="str">
            <v>GÉNOVA</v>
          </cell>
          <cell r="E571">
            <v>24</v>
          </cell>
          <cell r="F571" t="str">
            <v>BF_1.1.3.1.2</v>
          </cell>
          <cell r="G571" t="str">
            <v xml:space="preserve">                 Del Nivel Departamental</v>
          </cell>
          <cell r="H571">
            <v>9.6340000000000003</v>
          </cell>
          <cell r="I571">
            <v>9.9356880000000007</v>
          </cell>
        </row>
        <row r="572">
          <cell r="A572" t="str">
            <v>63302-BF_1.1.3.1.2.1</v>
          </cell>
          <cell r="B572" t="str">
            <v>QUINDIO</v>
          </cell>
          <cell r="C572">
            <v>63302</v>
          </cell>
          <cell r="D572" t="str">
            <v>GÉNOVA</v>
          </cell>
          <cell r="E572">
            <v>25</v>
          </cell>
          <cell r="F572" t="str">
            <v>BF_1.1.3.1.2.1</v>
          </cell>
          <cell r="G572" t="str">
            <v xml:space="preserve">                     De Vehículos Automotores</v>
          </cell>
          <cell r="H572">
            <v>9.6340000000000003</v>
          </cell>
          <cell r="I572">
            <v>9.9356880000000007</v>
          </cell>
        </row>
        <row r="573">
          <cell r="A573" t="str">
            <v>63302-BF_1.1.3.2</v>
          </cell>
          <cell r="B573" t="str">
            <v>QUINDIO</v>
          </cell>
          <cell r="C573">
            <v>63302</v>
          </cell>
          <cell r="D573" t="str">
            <v>GÉNOVA</v>
          </cell>
          <cell r="E573">
            <v>28</v>
          </cell>
          <cell r="F573" t="str">
            <v>BF_1.1.3.2</v>
          </cell>
          <cell r="G573" t="str">
            <v xml:space="preserve">             Transferencias Para Inversión</v>
          </cell>
          <cell r="H573">
            <v>6340.1170000000002</v>
          </cell>
          <cell r="I573">
            <v>6460.9427400000004</v>
          </cell>
        </row>
        <row r="574">
          <cell r="A574" t="str">
            <v>63302-BF_1.1.3.2.1</v>
          </cell>
          <cell r="B574" t="str">
            <v>QUINDIO</v>
          </cell>
          <cell r="C574">
            <v>63302</v>
          </cell>
          <cell r="D574" t="str">
            <v>GÉNOVA</v>
          </cell>
          <cell r="E574">
            <v>29</v>
          </cell>
          <cell r="F574" t="str">
            <v>BF_1.1.3.2.1</v>
          </cell>
          <cell r="G574" t="str">
            <v xml:space="preserve">                 Del Nivel Nacional</v>
          </cell>
          <cell r="H574">
            <v>6002.2259999999997</v>
          </cell>
          <cell r="I574">
            <v>6005.2276250000004</v>
          </cell>
        </row>
        <row r="575">
          <cell r="A575" t="str">
            <v>63302-BF_1.1.3.2.1.1</v>
          </cell>
          <cell r="B575" t="str">
            <v>QUINDIO</v>
          </cell>
          <cell r="C575">
            <v>63302</v>
          </cell>
          <cell r="D575" t="str">
            <v>GÉNOVA</v>
          </cell>
          <cell r="E575">
            <v>30</v>
          </cell>
          <cell r="F575" t="str">
            <v>BF_1.1.3.2.1.1</v>
          </cell>
          <cell r="G575" t="str">
            <v xml:space="preserve">                     Sistema General de Participaciones</v>
          </cell>
          <cell r="H575">
            <v>3693.047</v>
          </cell>
          <cell r="I575">
            <v>3873.7986719999999</v>
          </cell>
        </row>
        <row r="576">
          <cell r="A576" t="str">
            <v>63302-BF_1.1.3.2.1.1.1</v>
          </cell>
          <cell r="B576" t="str">
            <v>QUINDIO</v>
          </cell>
          <cell r="C576">
            <v>63302</v>
          </cell>
          <cell r="D576" t="str">
            <v>GÉNOVA</v>
          </cell>
          <cell r="E576">
            <v>31</v>
          </cell>
          <cell r="F576" t="str">
            <v>BF_1.1.3.2.1.1.1</v>
          </cell>
          <cell r="G576" t="str">
            <v xml:space="preserve">                         Sistema General de Participaciones - Educación</v>
          </cell>
          <cell r="H576">
            <v>266.39400000000001</v>
          </cell>
          <cell r="I576">
            <v>256.36716999999999</v>
          </cell>
        </row>
        <row r="577">
          <cell r="A577" t="str">
            <v>63302-BF_1.1.3.2.1.1.2</v>
          </cell>
          <cell r="B577" t="str">
            <v>QUINDIO</v>
          </cell>
          <cell r="C577">
            <v>63302</v>
          </cell>
          <cell r="D577" t="str">
            <v>GÉNOVA</v>
          </cell>
          <cell r="E577">
            <v>32</v>
          </cell>
          <cell r="F577" t="str">
            <v>BF_1.1.3.2.1.1.2</v>
          </cell>
          <cell r="G577" t="str">
            <v xml:space="preserve">                         Sistema General de Participaciones - Salud</v>
          </cell>
          <cell r="H577">
            <v>1985.0830000000001</v>
          </cell>
          <cell r="I577">
            <v>1976.2168119999999</v>
          </cell>
        </row>
        <row r="578">
          <cell r="A578" t="str">
            <v>63302-BF_1.1.3.2.1.1.3</v>
          </cell>
          <cell r="B578" t="str">
            <v>QUINDIO</v>
          </cell>
          <cell r="C578">
            <v>63302</v>
          </cell>
          <cell r="D578" t="str">
            <v>GÉNOVA</v>
          </cell>
          <cell r="E578">
            <v>33</v>
          </cell>
          <cell r="F578" t="str">
            <v>BF_1.1.3.2.1.1.3</v>
          </cell>
          <cell r="G578" t="str">
            <v xml:space="preserve">                         Sistema General de Participaciones - Agua Potable y Saneamiento Básico</v>
          </cell>
          <cell r="H578">
            <v>400.48200000000003</v>
          </cell>
          <cell r="I578">
            <v>389.69577399999997</v>
          </cell>
        </row>
        <row r="579">
          <cell r="A579" t="str">
            <v>63302-BF_1.1.3.2.1.1.4</v>
          </cell>
          <cell r="B579" t="str">
            <v>QUINDIO</v>
          </cell>
          <cell r="C579">
            <v>63302</v>
          </cell>
          <cell r="D579" t="str">
            <v>GÉNOVA</v>
          </cell>
          <cell r="E579">
            <v>34</v>
          </cell>
          <cell r="F579" t="str">
            <v>BF_1.1.3.2.1.1.4</v>
          </cell>
          <cell r="G579" t="str">
            <v xml:space="preserve">                         Sistema General de Participaciones - Propósito General - Forzosa Inversión</v>
          </cell>
          <cell r="H579">
            <v>996.89499999999998</v>
          </cell>
          <cell r="I579">
            <v>1223.499793</v>
          </cell>
        </row>
        <row r="580">
          <cell r="A580" t="str">
            <v>63302-BF_1.1.3.2.1.1.5</v>
          </cell>
          <cell r="B580" t="str">
            <v>QUINDIO</v>
          </cell>
          <cell r="C580">
            <v>63302</v>
          </cell>
          <cell r="D580" t="str">
            <v>GÉNOVA</v>
          </cell>
          <cell r="E580">
            <v>35</v>
          </cell>
          <cell r="F580" t="str">
            <v>BF_1.1.3.2.1.1.5</v>
          </cell>
          <cell r="G580" t="str">
            <v xml:space="preserve">                         Otras del Sistema General de Participaciones</v>
          </cell>
          <cell r="H580">
            <v>44.192999999999998</v>
          </cell>
          <cell r="I580">
            <v>28.019123</v>
          </cell>
        </row>
        <row r="581">
          <cell r="A581" t="str">
            <v>63302-BF_1.1.3.2.1.2</v>
          </cell>
          <cell r="B581" t="str">
            <v>QUINDIO</v>
          </cell>
          <cell r="C581">
            <v>63302</v>
          </cell>
          <cell r="D581" t="str">
            <v>GÉNOVA</v>
          </cell>
          <cell r="E581">
            <v>36</v>
          </cell>
          <cell r="F581" t="str">
            <v>BF_1.1.3.2.1.2</v>
          </cell>
          <cell r="G581" t="str">
            <v xml:space="preserve">                     FOSYGA y COLJUEGOS</v>
          </cell>
          <cell r="H581">
            <v>2269.998</v>
          </cell>
          <cell r="I581">
            <v>2046.6742879999999</v>
          </cell>
        </row>
        <row r="582">
          <cell r="A582" t="str">
            <v>63302-BF_1.1.3.2.1.3</v>
          </cell>
          <cell r="B582" t="str">
            <v>QUINDIO</v>
          </cell>
          <cell r="C582">
            <v>63302</v>
          </cell>
          <cell r="D582" t="str">
            <v>GÉNOVA</v>
          </cell>
          <cell r="E582">
            <v>37</v>
          </cell>
          <cell r="F582" t="str">
            <v>BF_1.1.3.2.1.3</v>
          </cell>
          <cell r="G582" t="str">
            <v xml:space="preserve">                     Otras Transferencias de la Nación</v>
          </cell>
          <cell r="H582">
            <v>39.180999999999997</v>
          </cell>
          <cell r="I582">
            <v>84.754665000000003</v>
          </cell>
        </row>
        <row r="583">
          <cell r="A583" t="str">
            <v>63302-BF_1.1.3.2.2</v>
          </cell>
          <cell r="B583" t="str">
            <v>QUINDIO</v>
          </cell>
          <cell r="C583">
            <v>63302</v>
          </cell>
          <cell r="D583" t="str">
            <v>GÉNOVA</v>
          </cell>
          <cell r="E583">
            <v>38</v>
          </cell>
          <cell r="F583" t="str">
            <v>BF_1.1.3.2.2</v>
          </cell>
          <cell r="G583" t="str">
            <v xml:space="preserve">                 Del Nivel Departamental</v>
          </cell>
          <cell r="H583">
            <v>337.89100000000002</v>
          </cell>
          <cell r="I583">
            <v>455.71511500000003</v>
          </cell>
        </row>
        <row r="584">
          <cell r="A584" t="str">
            <v>63302-BF_2</v>
          </cell>
          <cell r="B584" t="str">
            <v>QUINDIO</v>
          </cell>
          <cell r="C584">
            <v>63302</v>
          </cell>
          <cell r="D584" t="str">
            <v>GÉNOVA</v>
          </cell>
          <cell r="E584">
            <v>43</v>
          </cell>
          <cell r="F584" t="str">
            <v>BF_2</v>
          </cell>
          <cell r="G584" t="str">
            <v>GASTOS  TOTALES</v>
          </cell>
          <cell r="H584">
            <v>9150.1460000000006</v>
          </cell>
          <cell r="I584">
            <v>10174.30952576</v>
          </cell>
        </row>
        <row r="585">
          <cell r="A585" t="str">
            <v>63302-BF_2.1</v>
          </cell>
          <cell r="B585" t="str">
            <v>QUINDIO</v>
          </cell>
          <cell r="C585">
            <v>63302</v>
          </cell>
          <cell r="D585" t="str">
            <v>GÉNOVA</v>
          </cell>
          <cell r="E585">
            <v>44</v>
          </cell>
          <cell r="F585" t="str">
            <v>BF_2.1</v>
          </cell>
          <cell r="G585" t="str">
            <v xml:space="preserve">    GASTOS CORRIENTES</v>
          </cell>
          <cell r="H585">
            <v>7481.1509999999998</v>
          </cell>
          <cell r="I585">
            <v>8829.2173715900008</v>
          </cell>
        </row>
        <row r="586">
          <cell r="A586" t="str">
            <v>63302-BF_2.1.1</v>
          </cell>
          <cell r="B586" t="str">
            <v>QUINDIO</v>
          </cell>
          <cell r="C586">
            <v>63302</v>
          </cell>
          <cell r="D586" t="str">
            <v>GÉNOVA</v>
          </cell>
          <cell r="E586">
            <v>45</v>
          </cell>
          <cell r="F586" t="str">
            <v>BF_2.1.1</v>
          </cell>
          <cell r="G586" t="str">
            <v xml:space="preserve">        FUNCIONAMIENTO</v>
          </cell>
          <cell r="H586">
            <v>1317.1179999999999</v>
          </cell>
          <cell r="I586">
            <v>1524.35728503</v>
          </cell>
        </row>
        <row r="587">
          <cell r="A587" t="str">
            <v>63302-BF_2.1.1.1</v>
          </cell>
          <cell r="B587" t="str">
            <v>QUINDIO</v>
          </cell>
          <cell r="C587">
            <v>63302</v>
          </cell>
          <cell r="D587" t="str">
            <v>GÉNOVA</v>
          </cell>
          <cell r="E587">
            <v>46</v>
          </cell>
          <cell r="F587" t="str">
            <v>BF_2.1.1.1</v>
          </cell>
          <cell r="G587" t="str">
            <v xml:space="preserve">             Gastos de Personal  </v>
          </cell>
          <cell r="H587">
            <v>745.20600000000002</v>
          </cell>
          <cell r="I587">
            <v>859.63371594</v>
          </cell>
        </row>
        <row r="588">
          <cell r="A588" t="str">
            <v>63302-BF_2.1.1.2</v>
          </cell>
          <cell r="B588" t="str">
            <v>QUINDIO</v>
          </cell>
          <cell r="C588">
            <v>63302</v>
          </cell>
          <cell r="D588" t="str">
            <v>GÉNOVA</v>
          </cell>
          <cell r="E588">
            <v>47</v>
          </cell>
          <cell r="F588" t="str">
            <v>BF_2.1.1.2</v>
          </cell>
          <cell r="G588" t="str">
            <v xml:space="preserve">             Gastos Generales</v>
          </cell>
          <cell r="H588">
            <v>198.357</v>
          </cell>
          <cell r="I588">
            <v>178.33308602</v>
          </cell>
        </row>
        <row r="589">
          <cell r="A589" t="str">
            <v>63302-BF_2.1.1.3</v>
          </cell>
          <cell r="B589" t="str">
            <v>QUINDIO</v>
          </cell>
          <cell r="C589">
            <v>63302</v>
          </cell>
          <cell r="D589" t="str">
            <v>GÉNOVA</v>
          </cell>
          <cell r="E589">
            <v>48</v>
          </cell>
          <cell r="F589" t="str">
            <v>BF_2.1.1.3</v>
          </cell>
          <cell r="G589" t="str">
            <v xml:space="preserve">             Transferencias</v>
          </cell>
          <cell r="H589">
            <v>373.55500000000001</v>
          </cell>
          <cell r="I589">
            <v>474.39048307000002</v>
          </cell>
        </row>
        <row r="590">
          <cell r="A590" t="str">
            <v>63302-BF_2.1.1.3.1</v>
          </cell>
          <cell r="B590" t="str">
            <v>QUINDIO</v>
          </cell>
          <cell r="C590">
            <v>63302</v>
          </cell>
          <cell r="D590" t="str">
            <v>GÉNOVA</v>
          </cell>
          <cell r="E590">
            <v>49</v>
          </cell>
          <cell r="F590" t="str">
            <v>BF_2.1.1.3.1</v>
          </cell>
          <cell r="G590" t="str">
            <v xml:space="preserve">                 Pensiones</v>
          </cell>
          <cell r="H590">
            <v>153.553</v>
          </cell>
          <cell r="I590">
            <v>159.01605506999999</v>
          </cell>
        </row>
        <row r="591">
          <cell r="A591" t="str">
            <v>63302-BF_2.1.1.3.2</v>
          </cell>
          <cell r="B591" t="str">
            <v>QUINDIO</v>
          </cell>
          <cell r="C591">
            <v>63302</v>
          </cell>
          <cell r="D591" t="str">
            <v>GÉNOVA</v>
          </cell>
          <cell r="E591">
            <v>50</v>
          </cell>
          <cell r="F591" t="str">
            <v>BF_2.1.1.3.2</v>
          </cell>
          <cell r="G591" t="str">
            <v xml:space="preserve">                 A Fonpet</v>
          </cell>
          <cell r="H591">
            <v>0</v>
          </cell>
          <cell r="I591">
            <v>80.659000000000006</v>
          </cell>
        </row>
        <row r="592">
          <cell r="A592" t="str">
            <v>63302-BF_2.1.1.3.4</v>
          </cell>
          <cell r="B592" t="str">
            <v>QUINDIO</v>
          </cell>
          <cell r="C592">
            <v>63302</v>
          </cell>
          <cell r="D592" t="str">
            <v>GÉNOVA</v>
          </cell>
          <cell r="E592">
            <v>52</v>
          </cell>
          <cell r="F592" t="str">
            <v>BF_2.1.1.3.4</v>
          </cell>
          <cell r="G592" t="str">
            <v xml:space="preserve">                 A Organismos de Control</v>
          </cell>
          <cell r="H592">
            <v>220.00200000000001</v>
          </cell>
          <cell r="I592">
            <v>234.37168700000001</v>
          </cell>
        </row>
        <row r="593">
          <cell r="A593" t="str">
            <v>63302-BF_2.1.1.3.7</v>
          </cell>
          <cell r="B593" t="str">
            <v>QUINDIO</v>
          </cell>
          <cell r="C593">
            <v>63302</v>
          </cell>
          <cell r="D593" t="str">
            <v>GÉNOVA</v>
          </cell>
          <cell r="E593">
            <v>55</v>
          </cell>
          <cell r="F593" t="str">
            <v>BF_2.1.1.3.7</v>
          </cell>
          <cell r="G593" t="str">
            <v xml:space="preserve">                 Otras Transferencias</v>
          </cell>
          <cell r="H593">
            <v>0</v>
          </cell>
          <cell r="I593">
            <v>0.34374100000000002</v>
          </cell>
        </row>
        <row r="594">
          <cell r="A594" t="str">
            <v>63302-BF_2.1.1.6</v>
          </cell>
          <cell r="B594" t="str">
            <v>QUINDIO</v>
          </cell>
          <cell r="C594">
            <v>63302</v>
          </cell>
          <cell r="D594" t="str">
            <v>GÉNOVA</v>
          </cell>
          <cell r="E594">
            <v>58</v>
          </cell>
          <cell r="F594" t="str">
            <v>BF_2.1.1.6</v>
          </cell>
          <cell r="G594" t="str">
            <v xml:space="preserve">             Otros Gastos de Funcionamiento</v>
          </cell>
          <cell r="H594">
            <v>0</v>
          </cell>
          <cell r="I594">
            <v>12</v>
          </cell>
        </row>
        <row r="595">
          <cell r="A595" t="str">
            <v>63302-BF_2.1.4</v>
          </cell>
          <cell r="B595" t="str">
            <v>QUINDIO</v>
          </cell>
          <cell r="C595">
            <v>63302</v>
          </cell>
          <cell r="D595" t="str">
            <v>GÉNOVA</v>
          </cell>
          <cell r="E595">
            <v>61</v>
          </cell>
          <cell r="F595" t="str">
            <v>BF_2.1.4</v>
          </cell>
          <cell r="G595" t="str">
            <v xml:space="preserve">        GASTOS OPERATIVOS EN SECTORES SOCIALES (Remuneración al Trabajo, Prestaciones, y Subsidios en Sectores de Inversión)</v>
          </cell>
          <cell r="H595">
            <v>6113.616</v>
          </cell>
          <cell r="I595">
            <v>7209.0122975599998</v>
          </cell>
        </row>
        <row r="596">
          <cell r="A596" t="str">
            <v>63302-BF_2.1.4.1</v>
          </cell>
          <cell r="B596" t="str">
            <v>QUINDIO</v>
          </cell>
          <cell r="C596">
            <v>63302</v>
          </cell>
          <cell r="D596" t="str">
            <v>GÉNOVA</v>
          </cell>
          <cell r="E596">
            <v>62</v>
          </cell>
          <cell r="F596" t="str">
            <v>BF_2.1.4.1</v>
          </cell>
          <cell r="G596" t="str">
            <v xml:space="preserve">             Educación</v>
          </cell>
          <cell r="H596">
            <v>598.70500000000004</v>
          </cell>
          <cell r="I596">
            <v>577.43905900000004</v>
          </cell>
        </row>
        <row r="597">
          <cell r="A597" t="str">
            <v>63302-BF_2.1.4.2</v>
          </cell>
          <cell r="B597" t="str">
            <v>QUINDIO</v>
          </cell>
          <cell r="C597">
            <v>63302</v>
          </cell>
          <cell r="D597" t="str">
            <v>GÉNOVA</v>
          </cell>
          <cell r="E597">
            <v>63</v>
          </cell>
          <cell r="F597" t="str">
            <v>BF_2.1.4.2</v>
          </cell>
          <cell r="G597" t="str">
            <v xml:space="preserve">             Salud</v>
          </cell>
          <cell r="H597">
            <v>5082.7139999999999</v>
          </cell>
          <cell r="I597">
            <v>5250.7629619999998</v>
          </cell>
        </row>
        <row r="598">
          <cell r="A598" t="str">
            <v>63302-BF_2.1.4.3</v>
          </cell>
          <cell r="B598" t="str">
            <v>QUINDIO</v>
          </cell>
          <cell r="C598">
            <v>63302</v>
          </cell>
          <cell r="D598" t="str">
            <v>GÉNOVA</v>
          </cell>
          <cell r="E598">
            <v>64</v>
          </cell>
          <cell r="F598" t="str">
            <v>BF_2.1.4.3</v>
          </cell>
          <cell r="G598" t="str">
            <v xml:space="preserve">             Agua Potable y Saneamiento Básico</v>
          </cell>
          <cell r="H598">
            <v>157.529</v>
          </cell>
          <cell r="I598">
            <v>159.22780499999999</v>
          </cell>
        </row>
        <row r="599">
          <cell r="A599" t="str">
            <v>63302-BF_2.1.4.4</v>
          </cell>
          <cell r="B599" t="str">
            <v>QUINDIO</v>
          </cell>
          <cell r="C599">
            <v>63302</v>
          </cell>
          <cell r="D599" t="str">
            <v>GÉNOVA</v>
          </cell>
          <cell r="E599">
            <v>65</v>
          </cell>
          <cell r="F599" t="str">
            <v>BF_2.1.4.4</v>
          </cell>
          <cell r="G599" t="str">
            <v xml:space="preserve">             Vivienda</v>
          </cell>
          <cell r="H599">
            <v>4</v>
          </cell>
          <cell r="I599">
            <v>0</v>
          </cell>
        </row>
        <row r="600">
          <cell r="A600" t="str">
            <v>63302-BF_2.1.4.5</v>
          </cell>
          <cell r="B600" t="str">
            <v>QUINDIO</v>
          </cell>
          <cell r="C600">
            <v>63302</v>
          </cell>
          <cell r="D600" t="str">
            <v>GÉNOVA</v>
          </cell>
          <cell r="E600">
            <v>66</v>
          </cell>
          <cell r="F600" t="str">
            <v>BF_2.1.4.5</v>
          </cell>
          <cell r="G600" t="str">
            <v xml:space="preserve">             Otros Sectores</v>
          </cell>
          <cell r="H600">
            <v>270.66800000000001</v>
          </cell>
          <cell r="I600">
            <v>1221.5824715599999</v>
          </cell>
        </row>
        <row r="601">
          <cell r="A601" t="str">
            <v>63302-BF_2.1.5</v>
          </cell>
          <cell r="B601" t="str">
            <v>QUINDIO</v>
          </cell>
          <cell r="C601">
            <v>63302</v>
          </cell>
          <cell r="D601" t="str">
            <v>GÉNOVA</v>
          </cell>
          <cell r="E601">
            <v>67</v>
          </cell>
          <cell r="F601" t="str">
            <v>BF_2.1.5</v>
          </cell>
          <cell r="G601" t="str">
            <v xml:space="preserve">        INTERESES Y COMISIONES DE LA DEUDA</v>
          </cell>
          <cell r="H601">
            <v>50.417000000000002</v>
          </cell>
          <cell r="I601">
            <v>95.847789000000006</v>
          </cell>
        </row>
        <row r="602">
          <cell r="A602" t="str">
            <v>63302-BF_2.1.5.1</v>
          </cell>
          <cell r="B602" t="str">
            <v>QUINDIO</v>
          </cell>
          <cell r="C602">
            <v>63302</v>
          </cell>
          <cell r="D602" t="str">
            <v>GÉNOVA</v>
          </cell>
          <cell r="E602">
            <v>68</v>
          </cell>
          <cell r="F602" t="str">
            <v>BF_2.1.5.1</v>
          </cell>
          <cell r="G602" t="str">
            <v xml:space="preserve">             Interna</v>
          </cell>
          <cell r="H602">
            <v>50.417000000000002</v>
          </cell>
          <cell r="I602">
            <v>95.847789000000006</v>
          </cell>
        </row>
        <row r="603">
          <cell r="A603" t="str">
            <v>63302-BF_3</v>
          </cell>
          <cell r="B603" t="str">
            <v>QUINDIO</v>
          </cell>
          <cell r="C603">
            <v>63302</v>
          </cell>
          <cell r="D603" t="str">
            <v>GÉNOVA</v>
          </cell>
          <cell r="E603">
            <v>70</v>
          </cell>
          <cell r="F603" t="str">
            <v>BF_3</v>
          </cell>
          <cell r="G603" t="str">
            <v>DÉFICIT O AHORRO CORRIENTE</v>
          </cell>
          <cell r="H603">
            <v>853.66399999999999</v>
          </cell>
          <cell r="I603">
            <v>-299.59187859000002</v>
          </cell>
        </row>
        <row r="604">
          <cell r="A604" t="str">
            <v>63302-BF_4</v>
          </cell>
          <cell r="B604" t="str">
            <v>QUINDIO</v>
          </cell>
          <cell r="C604">
            <v>63302</v>
          </cell>
          <cell r="D604" t="str">
            <v>GÉNOVA</v>
          </cell>
          <cell r="E604">
            <v>71</v>
          </cell>
          <cell r="F604" t="str">
            <v>BF_4</v>
          </cell>
          <cell r="G604" t="str">
            <v>INGRESOS DE CAPITAL</v>
          </cell>
          <cell r="H604">
            <v>1055.73</v>
          </cell>
          <cell r="I604">
            <v>1139.6508020000001</v>
          </cell>
        </row>
        <row r="605">
          <cell r="A605" t="str">
            <v>63302-BF_4.1</v>
          </cell>
          <cell r="B605" t="str">
            <v>QUINDIO</v>
          </cell>
          <cell r="C605">
            <v>63302</v>
          </cell>
          <cell r="D605" t="str">
            <v>GÉNOVA</v>
          </cell>
          <cell r="E605">
            <v>72</v>
          </cell>
          <cell r="F605" t="str">
            <v>BF_4.1</v>
          </cell>
          <cell r="G605" t="str">
            <v xml:space="preserve">    Cofinanciación</v>
          </cell>
          <cell r="H605">
            <v>239.452</v>
          </cell>
          <cell r="I605">
            <v>236.93018799999999</v>
          </cell>
        </row>
        <row r="606">
          <cell r="A606" t="str">
            <v>63302-BF_4.4</v>
          </cell>
          <cell r="B606" t="str">
            <v>QUINDIO</v>
          </cell>
          <cell r="C606">
            <v>63302</v>
          </cell>
          <cell r="D606" t="str">
            <v>GÉNOVA</v>
          </cell>
          <cell r="E606">
            <v>75</v>
          </cell>
          <cell r="F606" t="str">
            <v>BF_4.4</v>
          </cell>
          <cell r="G606" t="str">
            <v xml:space="preserve">    Rendimientos Financieros</v>
          </cell>
          <cell r="H606">
            <v>20.992999999999999</v>
          </cell>
          <cell r="I606">
            <v>11.414859</v>
          </cell>
        </row>
        <row r="607">
          <cell r="A607" t="str">
            <v>63302-BF_4.6</v>
          </cell>
          <cell r="B607" t="str">
            <v>QUINDIO</v>
          </cell>
          <cell r="C607">
            <v>63302</v>
          </cell>
          <cell r="D607" t="str">
            <v>GÉNOVA</v>
          </cell>
          <cell r="E607">
            <v>77</v>
          </cell>
          <cell r="F607" t="str">
            <v>BF_4.6</v>
          </cell>
          <cell r="G607" t="str">
            <v xml:space="preserve">    Desahorro FONPET</v>
          </cell>
          <cell r="H607">
            <v>788.41</v>
          </cell>
          <cell r="I607">
            <v>886.87526800000001</v>
          </cell>
        </row>
        <row r="608">
          <cell r="A608" t="str">
            <v>63302-BF_4.6.1</v>
          </cell>
          <cell r="B608" t="str">
            <v>QUINDIO</v>
          </cell>
          <cell r="C608">
            <v>63302</v>
          </cell>
          <cell r="D608" t="str">
            <v>GÉNOVA</v>
          </cell>
          <cell r="E608">
            <v>78</v>
          </cell>
          <cell r="F608" t="str">
            <v>BF_4.6.1</v>
          </cell>
          <cell r="G608" t="str">
            <v xml:space="preserve">    Salud</v>
          </cell>
          <cell r="H608">
            <v>179.58500000000001</v>
          </cell>
          <cell r="I608">
            <v>685.90499999999997</v>
          </cell>
        </row>
        <row r="609">
          <cell r="A609" t="str">
            <v>63302-BF_4.6.3</v>
          </cell>
          <cell r="B609" t="str">
            <v>QUINDIO</v>
          </cell>
          <cell r="C609">
            <v>63302</v>
          </cell>
          <cell r="D609" t="str">
            <v>GÉNOVA</v>
          </cell>
          <cell r="E609">
            <v>80</v>
          </cell>
          <cell r="F609" t="str">
            <v>BF_4.6.3</v>
          </cell>
          <cell r="G609" t="str">
            <v xml:space="preserve">    Propósito General</v>
          </cell>
          <cell r="H609">
            <v>479.99700000000001</v>
          </cell>
          <cell r="I609">
            <v>0</v>
          </cell>
        </row>
        <row r="610">
          <cell r="A610" t="str">
            <v>63302-BF_4.6.4</v>
          </cell>
          <cell r="B610" t="str">
            <v>QUINDIO</v>
          </cell>
          <cell r="C610">
            <v>63302</v>
          </cell>
          <cell r="D610" t="str">
            <v>GÉNOVA</v>
          </cell>
          <cell r="E610">
            <v>81</v>
          </cell>
          <cell r="F610" t="str">
            <v>BF_4.6.4</v>
          </cell>
          <cell r="G610" t="str">
            <v xml:space="preserve">    Otros Desahorros y Retiros (Cuotas partes, Bonos y Devoluciones)</v>
          </cell>
          <cell r="H610">
            <v>128.828</v>
          </cell>
          <cell r="I610">
            <v>200.970268</v>
          </cell>
        </row>
        <row r="611">
          <cell r="A611" t="str">
            <v>63302-BF_4.7</v>
          </cell>
          <cell r="B611" t="str">
            <v>QUINDIO</v>
          </cell>
          <cell r="C611">
            <v>63302</v>
          </cell>
          <cell r="D611" t="str">
            <v>GÉNOVA</v>
          </cell>
          <cell r="E611">
            <v>82</v>
          </cell>
          <cell r="F611" t="str">
            <v>BF_4.7</v>
          </cell>
          <cell r="G611" t="str">
            <v xml:space="preserve">    Otros Recursos de Capital (Donaciones, Aprovechamientos y Otros)</v>
          </cell>
          <cell r="H611">
            <v>6.875</v>
          </cell>
          <cell r="I611">
            <v>4.4304870000000003</v>
          </cell>
        </row>
        <row r="612">
          <cell r="A612" t="str">
            <v>63302-BF_5</v>
          </cell>
          <cell r="B612" t="str">
            <v>QUINDIO</v>
          </cell>
          <cell r="C612">
            <v>63302</v>
          </cell>
          <cell r="D612" t="str">
            <v>GÉNOVA</v>
          </cell>
          <cell r="E612">
            <v>83</v>
          </cell>
          <cell r="F612" t="str">
            <v>BF_5</v>
          </cell>
          <cell r="G612" t="str">
            <v>GASTOS DE CAPITAL</v>
          </cell>
          <cell r="H612">
            <v>1668.9949999999999</v>
          </cell>
          <cell r="I612">
            <v>1345.09215417</v>
          </cell>
        </row>
        <row r="613">
          <cell r="A613" t="str">
            <v>63302-BF_5.1</v>
          </cell>
          <cell r="B613" t="str">
            <v>QUINDIO</v>
          </cell>
          <cell r="C613">
            <v>63302</v>
          </cell>
          <cell r="D613" t="str">
            <v>GÉNOVA</v>
          </cell>
          <cell r="E613">
            <v>84</v>
          </cell>
          <cell r="F613" t="str">
            <v>BF_5.1</v>
          </cell>
          <cell r="G613" t="str">
            <v xml:space="preserve">    Formación Bruta de Capital (Construcción, Reparación, Mantenimiento, Preinversión, Otros)</v>
          </cell>
          <cell r="H613">
            <v>1638.739</v>
          </cell>
          <cell r="I613">
            <v>1345.09215417</v>
          </cell>
        </row>
        <row r="614">
          <cell r="A614" t="str">
            <v>63302-BF_5.1.1</v>
          </cell>
          <cell r="B614" t="str">
            <v>QUINDIO</v>
          </cell>
          <cell r="C614">
            <v>63302</v>
          </cell>
          <cell r="D614" t="str">
            <v>GÉNOVA</v>
          </cell>
          <cell r="E614">
            <v>85</v>
          </cell>
          <cell r="F614" t="str">
            <v>BF_5.1.1</v>
          </cell>
          <cell r="G614" t="str">
            <v xml:space="preserve">        Educación</v>
          </cell>
          <cell r="H614">
            <v>20</v>
          </cell>
          <cell r="I614">
            <v>52.644661999999997</v>
          </cell>
        </row>
        <row r="615">
          <cell r="A615" t="str">
            <v>63302-BF_5.1.3</v>
          </cell>
          <cell r="B615" t="str">
            <v>QUINDIO</v>
          </cell>
          <cell r="C615">
            <v>63302</v>
          </cell>
          <cell r="D615" t="str">
            <v>GÉNOVA</v>
          </cell>
          <cell r="E615">
            <v>87</v>
          </cell>
          <cell r="F615" t="str">
            <v>BF_5.1.3</v>
          </cell>
          <cell r="G615" t="str">
            <v xml:space="preserve">        Agua Potable</v>
          </cell>
          <cell r="H615">
            <v>305.27199999999999</v>
          </cell>
          <cell r="I615">
            <v>270.60224499999998</v>
          </cell>
        </row>
        <row r="616">
          <cell r="A616" t="str">
            <v>63302-BF_5.1.4</v>
          </cell>
          <cell r="B616" t="str">
            <v>QUINDIO</v>
          </cell>
          <cell r="C616">
            <v>63302</v>
          </cell>
          <cell r="D616" t="str">
            <v>GÉNOVA</v>
          </cell>
          <cell r="E616">
            <v>88</v>
          </cell>
          <cell r="F616" t="str">
            <v>BF_5.1.4</v>
          </cell>
          <cell r="G616" t="str">
            <v xml:space="preserve">        Vivienda</v>
          </cell>
          <cell r="H616">
            <v>0</v>
          </cell>
          <cell r="I616">
            <v>21.77858968</v>
          </cell>
        </row>
        <row r="617">
          <cell r="A617" t="str">
            <v>63302-BF_5.1.5</v>
          </cell>
          <cell r="B617" t="str">
            <v>QUINDIO</v>
          </cell>
          <cell r="C617">
            <v>63302</v>
          </cell>
          <cell r="D617" t="str">
            <v>GÉNOVA</v>
          </cell>
          <cell r="E617">
            <v>89</v>
          </cell>
          <cell r="F617" t="str">
            <v>BF_5.1.5</v>
          </cell>
          <cell r="G617" t="str">
            <v xml:space="preserve">        Vías</v>
          </cell>
          <cell r="H617">
            <v>157.93700000000001</v>
          </cell>
          <cell r="I617">
            <v>270.61193749</v>
          </cell>
        </row>
        <row r="618">
          <cell r="A618" t="str">
            <v>63302-BF_5.1.6</v>
          </cell>
          <cell r="B618" t="str">
            <v>QUINDIO</v>
          </cell>
          <cell r="C618">
            <v>63302</v>
          </cell>
          <cell r="D618" t="str">
            <v>GÉNOVA</v>
          </cell>
          <cell r="E618">
            <v>90</v>
          </cell>
          <cell r="F618" t="str">
            <v>BF_5.1.6</v>
          </cell>
          <cell r="G618" t="str">
            <v xml:space="preserve">        Otros Sectores</v>
          </cell>
          <cell r="H618">
            <v>1155.53</v>
          </cell>
          <cell r="I618">
            <v>729.45471999999995</v>
          </cell>
        </row>
        <row r="619">
          <cell r="A619" t="str">
            <v>63302-BF_5.2</v>
          </cell>
          <cell r="B619" t="str">
            <v>QUINDIO</v>
          </cell>
          <cell r="C619">
            <v>63302</v>
          </cell>
          <cell r="D619" t="str">
            <v>GÉNOVA</v>
          </cell>
          <cell r="E619">
            <v>91</v>
          </cell>
          <cell r="F619" t="str">
            <v>BF_5.2</v>
          </cell>
          <cell r="G619" t="str">
            <v xml:space="preserve">    Déficit Fiscal de Vigencias Anteriores por Inversión</v>
          </cell>
          <cell r="H619">
            <v>30.256</v>
          </cell>
          <cell r="I619">
            <v>0</v>
          </cell>
        </row>
        <row r="620">
          <cell r="A620" t="str">
            <v>63302-BF_6</v>
          </cell>
          <cell r="B620" t="str">
            <v>QUINDIO</v>
          </cell>
          <cell r="C620">
            <v>63302</v>
          </cell>
          <cell r="D620" t="str">
            <v>GÉNOVA</v>
          </cell>
          <cell r="E620">
            <v>92</v>
          </cell>
          <cell r="F620" t="str">
            <v>BF_6</v>
          </cell>
          <cell r="G620" t="str">
            <v>DÉFICIT O SUPERÁVIT DE CAPITAL</v>
          </cell>
          <cell r="H620">
            <v>-613.26499999999999</v>
          </cell>
          <cell r="I620">
            <v>-205.44135216999999</v>
          </cell>
        </row>
        <row r="621">
          <cell r="A621" t="str">
            <v>63302-BF_7</v>
          </cell>
          <cell r="B621" t="str">
            <v>QUINDIO</v>
          </cell>
          <cell r="C621">
            <v>63302</v>
          </cell>
          <cell r="D621" t="str">
            <v>GÉNOVA</v>
          </cell>
          <cell r="E621">
            <v>93</v>
          </cell>
          <cell r="F621" t="str">
            <v>BF_7</v>
          </cell>
          <cell r="G621" t="str">
            <v>DÉFICIT O SUPERÁVIT TOTAL</v>
          </cell>
          <cell r="H621">
            <v>240.399</v>
          </cell>
          <cell r="I621">
            <v>-505.03323075999998</v>
          </cell>
        </row>
        <row r="622">
          <cell r="A622" t="str">
            <v>63302-BF_8</v>
          </cell>
          <cell r="B622" t="str">
            <v>QUINDIO</v>
          </cell>
          <cell r="C622">
            <v>63302</v>
          </cell>
          <cell r="D622" t="str">
            <v>GÉNOVA</v>
          </cell>
          <cell r="E622">
            <v>94</v>
          </cell>
          <cell r="F622" t="str">
            <v>BF_8</v>
          </cell>
          <cell r="G622" t="str">
            <v>FINANCIACIÓN</v>
          </cell>
          <cell r="H622">
            <v>922.35299999999995</v>
          </cell>
          <cell r="I622">
            <v>1076.59727</v>
          </cell>
        </row>
        <row r="623">
          <cell r="A623" t="str">
            <v>63302-BF_8.1</v>
          </cell>
          <cell r="B623" t="str">
            <v>QUINDIO</v>
          </cell>
          <cell r="C623">
            <v>63302</v>
          </cell>
          <cell r="D623" t="str">
            <v>GÉNOVA</v>
          </cell>
          <cell r="E623">
            <v>95</v>
          </cell>
          <cell r="F623" t="str">
            <v>BF_8.1</v>
          </cell>
          <cell r="G623" t="str">
            <v xml:space="preserve">    RECURSOS DEL CRÉDITO</v>
          </cell>
          <cell r="H623">
            <v>-99.986999999999995</v>
          </cell>
          <cell r="I623">
            <v>-74.377347999999998</v>
          </cell>
        </row>
        <row r="624">
          <cell r="A624" t="str">
            <v>63302-BF_8.1.1</v>
          </cell>
          <cell r="B624" t="str">
            <v>QUINDIO</v>
          </cell>
          <cell r="C624">
            <v>63302</v>
          </cell>
          <cell r="D624" t="str">
            <v>GÉNOVA</v>
          </cell>
          <cell r="E624">
            <v>96</v>
          </cell>
          <cell r="F624" t="str">
            <v>BF_8.1.1</v>
          </cell>
          <cell r="G624" t="str">
            <v xml:space="preserve">        Interno</v>
          </cell>
          <cell r="H624">
            <v>-99.986999999999995</v>
          </cell>
          <cell r="I624">
            <v>-74.377347999999998</v>
          </cell>
        </row>
        <row r="625">
          <cell r="A625" t="str">
            <v>63302-BF_8.1.1.2</v>
          </cell>
          <cell r="B625" t="str">
            <v>QUINDIO</v>
          </cell>
          <cell r="C625">
            <v>63302</v>
          </cell>
          <cell r="D625" t="str">
            <v>GÉNOVA</v>
          </cell>
          <cell r="E625">
            <v>98</v>
          </cell>
          <cell r="F625" t="str">
            <v>BF_8.1.1.2</v>
          </cell>
          <cell r="G625" t="str">
            <v xml:space="preserve">             Amortizaciones</v>
          </cell>
          <cell r="H625">
            <v>99.986999999999995</v>
          </cell>
          <cell r="I625">
            <v>74.377347999999998</v>
          </cell>
        </row>
        <row r="626">
          <cell r="A626" t="str">
            <v>63302-BF_8.2</v>
          </cell>
          <cell r="B626" t="str">
            <v>QUINDIO</v>
          </cell>
          <cell r="C626">
            <v>63302</v>
          </cell>
          <cell r="D626" t="str">
            <v>GÉNOVA</v>
          </cell>
          <cell r="E626">
            <v>102</v>
          </cell>
          <cell r="F626" t="str">
            <v>BF_8.2</v>
          </cell>
          <cell r="G626" t="str">
            <v xml:space="preserve">    Recursos del Balance (Superávit Fiscal, Cancelación de Reservas)</v>
          </cell>
          <cell r="H626">
            <v>1022.34</v>
          </cell>
          <cell r="I626">
            <v>1150.974618</v>
          </cell>
        </row>
        <row r="627">
          <cell r="A627" t="str">
            <v>63302-BF_9.1</v>
          </cell>
          <cell r="B627" t="str">
            <v>QUINDIO</v>
          </cell>
          <cell r="C627">
            <v>63302</v>
          </cell>
          <cell r="D627" t="str">
            <v>GÉNOVA</v>
          </cell>
          <cell r="E627">
            <v>107</v>
          </cell>
          <cell r="F627" t="str">
            <v>BF_9.1</v>
          </cell>
          <cell r="G627" t="str">
            <v xml:space="preserve">    DÉFICIT O SUPERÁVIT PRIMARIO</v>
          </cell>
          <cell r="H627">
            <v>1313.1559999999999</v>
          </cell>
          <cell r="I627">
            <v>741.78917623999996</v>
          </cell>
        </row>
        <row r="628">
          <cell r="A628" t="str">
            <v>63302-BF_9.2</v>
          </cell>
          <cell r="B628" t="str">
            <v>QUINDIO</v>
          </cell>
          <cell r="C628">
            <v>63302</v>
          </cell>
          <cell r="D628" t="str">
            <v>GÉNOVA</v>
          </cell>
          <cell r="E628">
            <v>108</v>
          </cell>
          <cell r="F628" t="str">
            <v>BF_9.2</v>
          </cell>
          <cell r="G628" t="str">
            <v xml:space="preserve">    DÉFICIT O SUPERÁVIT PRIMARIO/INTERESES</v>
          </cell>
          <cell r="H628">
            <v>26.045999999999999</v>
          </cell>
          <cell r="I628">
            <v>7.7392413949999996</v>
          </cell>
        </row>
        <row r="629">
          <cell r="A629" t="str">
            <v>63302-BF_10.1</v>
          </cell>
          <cell r="B629" t="str">
            <v>QUINDIO</v>
          </cell>
          <cell r="C629">
            <v>63302</v>
          </cell>
          <cell r="D629" t="str">
            <v>GÉNOVA</v>
          </cell>
          <cell r="E629">
            <v>110</v>
          </cell>
          <cell r="F629" t="str">
            <v>BF_10.1</v>
          </cell>
          <cell r="G629" t="str">
            <v xml:space="preserve">    INGRESOS TOTALES SIN INCLUIR RECURSOS PARA RESERVAS PRESUPUESTALES</v>
          </cell>
          <cell r="H629">
            <v>10412.885</v>
          </cell>
          <cell r="I629">
            <v>10820.250913</v>
          </cell>
        </row>
        <row r="630">
          <cell r="A630" t="str">
            <v>63302-BF_10.2</v>
          </cell>
          <cell r="B630" t="str">
            <v>QUINDIO</v>
          </cell>
          <cell r="C630">
            <v>63302</v>
          </cell>
          <cell r="D630" t="str">
            <v>GÉNOVA</v>
          </cell>
          <cell r="E630">
            <v>111</v>
          </cell>
          <cell r="F630" t="str">
            <v>BF_10.2</v>
          </cell>
          <cell r="G630" t="str">
            <v xml:space="preserve">    GASTOS TOTALES SIN INCLUIR GASTOS POR RESERVAS PRESUPUESTALES</v>
          </cell>
          <cell r="H630">
            <v>9250.1329999999998</v>
          </cell>
          <cell r="I630">
            <v>10248.68687376</v>
          </cell>
        </row>
        <row r="631">
          <cell r="A631" t="str">
            <v>63302-BF_10.3</v>
          </cell>
          <cell r="B631" t="str">
            <v>QUINDIO</v>
          </cell>
          <cell r="C631">
            <v>63302</v>
          </cell>
          <cell r="D631" t="str">
            <v>GÉNOVA</v>
          </cell>
          <cell r="E631">
            <v>112</v>
          </cell>
          <cell r="F631" t="str">
            <v>BF_10.3</v>
          </cell>
          <cell r="G631" t="str">
            <v xml:space="preserve">    DÉFICIT O SUPERÁVIT PRESUPUESTAL SIN INCLUIR RESERVAS PRESUPUESTALES</v>
          </cell>
          <cell r="H631">
            <v>1162.752</v>
          </cell>
          <cell r="I631">
            <v>571.56403924000006</v>
          </cell>
        </row>
        <row r="632">
          <cell r="A632" t="str">
            <v>63302-BF_12.1</v>
          </cell>
          <cell r="B632" t="str">
            <v>QUINDIO</v>
          </cell>
          <cell r="C632">
            <v>63302</v>
          </cell>
          <cell r="D632" t="str">
            <v>GÉNOVA</v>
          </cell>
          <cell r="E632">
            <v>114</v>
          </cell>
          <cell r="F632" t="str">
            <v>BF_12.1</v>
          </cell>
          <cell r="G632" t="str">
            <v xml:space="preserve">    INGRESOS TOTALES</v>
          </cell>
          <cell r="H632">
            <v>10577.803</v>
          </cell>
          <cell r="I632">
            <v>10833.370982</v>
          </cell>
        </row>
        <row r="633">
          <cell r="A633" t="str">
            <v>63302-BF_12.2</v>
          </cell>
          <cell r="B633" t="str">
            <v>QUINDIO</v>
          </cell>
          <cell r="C633">
            <v>63302</v>
          </cell>
          <cell r="D633" t="str">
            <v>GÉNOVA</v>
          </cell>
          <cell r="E633">
            <v>115</v>
          </cell>
          <cell r="F633" t="str">
            <v>BF_12.2</v>
          </cell>
          <cell r="G633" t="str">
            <v xml:space="preserve">    GASTOS TOTALES</v>
          </cell>
          <cell r="H633">
            <v>9411.9639999999999</v>
          </cell>
          <cell r="I633">
            <v>10261.653745760001</v>
          </cell>
        </row>
        <row r="634">
          <cell r="A634" t="str">
            <v>63302-BF_12.3</v>
          </cell>
          <cell r="B634" t="str">
            <v>QUINDIO</v>
          </cell>
          <cell r="C634">
            <v>63302</v>
          </cell>
          <cell r="D634" t="str">
            <v>GÉNOVA</v>
          </cell>
          <cell r="E634">
            <v>116</v>
          </cell>
          <cell r="F634" t="str">
            <v>BF_12.3</v>
          </cell>
          <cell r="G634" t="str">
            <v xml:space="preserve">    DÉFICIT O SUPERÁVIT PRESUPUESTAL</v>
          </cell>
          <cell r="H634">
            <v>1165.8389999999999</v>
          </cell>
          <cell r="I634">
            <v>571.71723624000003</v>
          </cell>
        </row>
        <row r="635">
          <cell r="A635" t="str">
            <v>63302-BF_13.1</v>
          </cell>
          <cell r="B635" t="str">
            <v>QUINDIO</v>
          </cell>
          <cell r="C635">
            <v>63302</v>
          </cell>
          <cell r="D635" t="str">
            <v>GÉNOVA</v>
          </cell>
          <cell r="E635">
            <v>118</v>
          </cell>
          <cell r="F635" t="str">
            <v>BF_13.1</v>
          </cell>
          <cell r="G635" t="str">
            <v xml:space="preserve">    Recursos que Financian Reservas Presupuestales Excepcionales (Ley 819/2003)</v>
          </cell>
          <cell r="H635">
            <v>164.91800000000001</v>
          </cell>
          <cell r="I635">
            <v>13.120069000000001</v>
          </cell>
        </row>
        <row r="636">
          <cell r="A636" t="str">
            <v>63302-BF_13.2</v>
          </cell>
          <cell r="B636" t="str">
            <v>QUINDIO</v>
          </cell>
          <cell r="C636">
            <v>63302</v>
          </cell>
          <cell r="D636" t="str">
            <v>GÉNOVA</v>
          </cell>
          <cell r="E636">
            <v>119</v>
          </cell>
          <cell r="F636" t="str">
            <v>BF_13.2</v>
          </cell>
          <cell r="G636" t="str">
            <v xml:space="preserve">    Reservas Presupuestales de Funcionamiento Vigencia Anterior</v>
          </cell>
          <cell r="H636">
            <v>2.335</v>
          </cell>
          <cell r="I636">
            <v>0</v>
          </cell>
        </row>
        <row r="637">
          <cell r="A637" t="str">
            <v>63302-BF_13.3</v>
          </cell>
          <cell r="B637" t="str">
            <v>QUINDIO</v>
          </cell>
          <cell r="C637">
            <v>63302</v>
          </cell>
          <cell r="D637" t="str">
            <v>GÉNOVA</v>
          </cell>
          <cell r="E637">
            <v>120</v>
          </cell>
          <cell r="F637" t="str">
            <v>BF_13.3</v>
          </cell>
          <cell r="G637" t="str">
            <v xml:space="preserve">    Reservas Presupuestales de Inversión Vigencia Anterior</v>
          </cell>
          <cell r="H637">
            <v>159.49600000000001</v>
          </cell>
          <cell r="I637">
            <v>12.966872</v>
          </cell>
        </row>
        <row r="638">
          <cell r="A638" t="str">
            <v>63302-BF_13.4</v>
          </cell>
          <cell r="B638" t="str">
            <v>QUINDIO</v>
          </cell>
          <cell r="C638">
            <v>63302</v>
          </cell>
          <cell r="D638" t="str">
            <v>GÉNOVA</v>
          </cell>
          <cell r="E638">
            <v>121</v>
          </cell>
          <cell r="F638" t="str">
            <v>BF_13.4</v>
          </cell>
          <cell r="G638" t="str">
            <v xml:space="preserve">    DEFICIT O SUPERAVIT RESERVAS PRESUPUESTALES</v>
          </cell>
          <cell r="H638">
            <v>3.0870000000000002</v>
          </cell>
          <cell r="I638">
            <v>0.153197</v>
          </cell>
        </row>
        <row r="639">
          <cell r="A639" t="str">
            <v>63401-BF_1</v>
          </cell>
          <cell r="B639" t="str">
            <v>QUINDIO</v>
          </cell>
          <cell r="C639">
            <v>63401</v>
          </cell>
          <cell r="D639" t="str">
            <v>LA TEBAIDA</v>
          </cell>
          <cell r="E639">
            <v>1</v>
          </cell>
          <cell r="F639" t="str">
            <v>BF_1</v>
          </cell>
          <cell r="G639" t="str">
            <v>INGRESOS TOTALES</v>
          </cell>
          <cell r="H639">
            <v>38398.767999999996</v>
          </cell>
          <cell r="I639">
            <v>34002.796489</v>
          </cell>
        </row>
        <row r="640">
          <cell r="A640" t="str">
            <v>63401-BF_1.1</v>
          </cell>
          <cell r="B640" t="str">
            <v>QUINDIO</v>
          </cell>
          <cell r="C640">
            <v>63401</v>
          </cell>
          <cell r="D640" t="str">
            <v>LA TEBAIDA</v>
          </cell>
          <cell r="E640">
            <v>2</v>
          </cell>
          <cell r="F640" t="str">
            <v>BF_1.1</v>
          </cell>
          <cell r="G640" t="str">
            <v xml:space="preserve">    INGRESOS CORRIENTES</v>
          </cell>
          <cell r="H640">
            <v>31399.587</v>
          </cell>
          <cell r="I640">
            <v>30614.387838999999</v>
          </cell>
        </row>
        <row r="641">
          <cell r="A641" t="str">
            <v>63401-BF_1.1.1</v>
          </cell>
          <cell r="B641" t="str">
            <v>QUINDIO</v>
          </cell>
          <cell r="C641">
            <v>63401</v>
          </cell>
          <cell r="D641" t="str">
            <v>LA TEBAIDA</v>
          </cell>
          <cell r="E641">
            <v>3</v>
          </cell>
          <cell r="F641" t="str">
            <v>BF_1.1.1</v>
          </cell>
          <cell r="G641" t="str">
            <v xml:space="preserve">        TRIBUTARIOS</v>
          </cell>
          <cell r="H641">
            <v>7838.6660000000002</v>
          </cell>
          <cell r="I641">
            <v>8339.8808009999993</v>
          </cell>
        </row>
        <row r="642">
          <cell r="A642" t="str">
            <v>63401-BF_1.1.1.2</v>
          </cell>
          <cell r="B642" t="str">
            <v>QUINDIO</v>
          </cell>
          <cell r="C642">
            <v>63401</v>
          </cell>
          <cell r="D642" t="str">
            <v>LA TEBAIDA</v>
          </cell>
          <cell r="E642">
            <v>5</v>
          </cell>
          <cell r="F642" t="str">
            <v>BF_1.1.1.2</v>
          </cell>
          <cell r="G642" t="str">
            <v xml:space="preserve">             Impuesto Predial Unificado</v>
          </cell>
          <cell r="H642">
            <v>2690.511</v>
          </cell>
          <cell r="I642">
            <v>2480.3630929999999</v>
          </cell>
        </row>
        <row r="643">
          <cell r="A643" t="str">
            <v>63401-BF_1.1.1.3</v>
          </cell>
          <cell r="B643" t="str">
            <v>QUINDIO</v>
          </cell>
          <cell r="C643">
            <v>63401</v>
          </cell>
          <cell r="D643" t="str">
            <v>LA TEBAIDA</v>
          </cell>
          <cell r="E643">
            <v>6</v>
          </cell>
          <cell r="F643" t="str">
            <v>BF_1.1.1.3</v>
          </cell>
          <cell r="G643" t="str">
            <v xml:space="preserve">             Impuesto de Industria y Comercio</v>
          </cell>
          <cell r="H643">
            <v>1017.412</v>
          </cell>
          <cell r="I643">
            <v>1384.7995679999999</v>
          </cell>
        </row>
        <row r="644">
          <cell r="A644" t="str">
            <v>63401-BF_1.1.1.8</v>
          </cell>
          <cell r="B644" t="str">
            <v>QUINDIO</v>
          </cell>
          <cell r="C644">
            <v>63401</v>
          </cell>
          <cell r="D644" t="str">
            <v>LA TEBAIDA</v>
          </cell>
          <cell r="E644">
            <v>11</v>
          </cell>
          <cell r="F644" t="str">
            <v>BF_1.1.1.8</v>
          </cell>
          <cell r="G644" t="str">
            <v xml:space="preserve">             Sobretasa Consumo Gasolina Motor</v>
          </cell>
          <cell r="H644">
            <v>1199.2439999999999</v>
          </cell>
          <cell r="I644">
            <v>1200.4670000000001</v>
          </cell>
        </row>
        <row r="645">
          <cell r="A645" t="str">
            <v>63401-BF_1.1.1.9</v>
          </cell>
          <cell r="B645" t="str">
            <v>QUINDIO</v>
          </cell>
          <cell r="C645">
            <v>63401</v>
          </cell>
          <cell r="D645" t="str">
            <v>LA TEBAIDA</v>
          </cell>
          <cell r="E645">
            <v>12</v>
          </cell>
          <cell r="F645" t="str">
            <v>BF_1.1.1.9</v>
          </cell>
          <cell r="G645" t="str">
            <v xml:space="preserve">             Estampillas</v>
          </cell>
          <cell r="H645">
            <v>343.22800000000001</v>
          </cell>
          <cell r="I645">
            <v>421.64335599999998</v>
          </cell>
        </row>
        <row r="646">
          <cell r="A646" t="str">
            <v>63401-BF_1.1.1.10</v>
          </cell>
          <cell r="B646" t="str">
            <v>QUINDIO</v>
          </cell>
          <cell r="C646">
            <v>63401</v>
          </cell>
          <cell r="D646" t="str">
            <v>LA TEBAIDA</v>
          </cell>
          <cell r="E646">
            <v>13</v>
          </cell>
          <cell r="F646" t="str">
            <v>BF_1.1.1.10</v>
          </cell>
          <cell r="G646" t="str">
            <v xml:space="preserve">             Impuesto de Transporte por Oleoductos y Gasoductos</v>
          </cell>
          <cell r="H646">
            <v>124.779</v>
          </cell>
          <cell r="I646">
            <v>15.735868</v>
          </cell>
        </row>
        <row r="647">
          <cell r="A647" t="str">
            <v>63401-BF_1.1.1.12</v>
          </cell>
          <cell r="B647" t="str">
            <v>QUINDIO</v>
          </cell>
          <cell r="C647">
            <v>63401</v>
          </cell>
          <cell r="D647" t="str">
            <v>LA TEBAIDA</v>
          </cell>
          <cell r="E647">
            <v>15</v>
          </cell>
          <cell r="F647" t="str">
            <v>BF_1.1.1.12</v>
          </cell>
          <cell r="G647" t="str">
            <v xml:space="preserve">             Otros Ingresos Tributarios</v>
          </cell>
          <cell r="H647">
            <v>2463.4920000000002</v>
          </cell>
          <cell r="I647">
            <v>2836.8719160000001</v>
          </cell>
        </row>
        <row r="648">
          <cell r="A648" t="str">
            <v>63401-BF_1.1.2</v>
          </cell>
          <cell r="B648" t="str">
            <v>QUINDIO</v>
          </cell>
          <cell r="C648">
            <v>63401</v>
          </cell>
          <cell r="D648" t="str">
            <v>LA TEBAIDA</v>
          </cell>
          <cell r="E648">
            <v>16</v>
          </cell>
          <cell r="F648" t="str">
            <v>BF_1.1.2</v>
          </cell>
          <cell r="G648" t="str">
            <v xml:space="preserve">        NO TRIBUTARIOS</v>
          </cell>
          <cell r="H648">
            <v>1198.6479999999999</v>
          </cell>
          <cell r="I648">
            <v>1135.2045290000001</v>
          </cell>
        </row>
        <row r="649">
          <cell r="A649" t="str">
            <v>63401-BF_1.1.2.1</v>
          </cell>
          <cell r="B649" t="str">
            <v>QUINDIO</v>
          </cell>
          <cell r="C649">
            <v>63401</v>
          </cell>
          <cell r="D649" t="str">
            <v>LA TEBAIDA</v>
          </cell>
          <cell r="E649">
            <v>17</v>
          </cell>
          <cell r="F649" t="str">
            <v>BF_1.1.2.1</v>
          </cell>
          <cell r="G649" t="str">
            <v xml:space="preserve">             Ingresos de la Propiedad: Tasas, Derechos, Multas y Sanciones</v>
          </cell>
          <cell r="H649">
            <v>1089.1869999999999</v>
          </cell>
          <cell r="I649">
            <v>942.45230400000003</v>
          </cell>
        </row>
        <row r="650">
          <cell r="A650" t="str">
            <v>63401-BF_1.1.2.2</v>
          </cell>
          <cell r="B650" t="str">
            <v>QUINDIO</v>
          </cell>
          <cell r="C650">
            <v>63401</v>
          </cell>
          <cell r="D650" t="str">
            <v>LA TEBAIDA</v>
          </cell>
          <cell r="E650">
            <v>18</v>
          </cell>
          <cell r="F650" t="str">
            <v>BF_1.1.2.2</v>
          </cell>
          <cell r="G650" t="str">
            <v xml:space="preserve">             Otros No Tributarios</v>
          </cell>
          <cell r="H650">
            <v>109.461</v>
          </cell>
          <cell r="I650">
            <v>192.75222500000001</v>
          </cell>
        </row>
        <row r="651">
          <cell r="A651" t="str">
            <v>63401-BF_1.1.3</v>
          </cell>
          <cell r="B651" t="str">
            <v>QUINDIO</v>
          </cell>
          <cell r="C651">
            <v>63401</v>
          </cell>
          <cell r="D651" t="str">
            <v>LA TEBAIDA</v>
          </cell>
          <cell r="E651">
            <v>19</v>
          </cell>
          <cell r="F651" t="str">
            <v>BF_1.1.3</v>
          </cell>
          <cell r="G651" t="str">
            <v xml:space="preserve">        TRANSFERENCIAS</v>
          </cell>
          <cell r="H651">
            <v>22362.273000000001</v>
          </cell>
          <cell r="I651">
            <v>21139.302509000001</v>
          </cell>
        </row>
        <row r="652">
          <cell r="A652" t="str">
            <v>63401-BF_1.1.3.1</v>
          </cell>
          <cell r="B652" t="str">
            <v>QUINDIO</v>
          </cell>
          <cell r="C652">
            <v>63401</v>
          </cell>
          <cell r="D652" t="str">
            <v>LA TEBAIDA</v>
          </cell>
          <cell r="E652">
            <v>20</v>
          </cell>
          <cell r="F652" t="str">
            <v>BF_1.1.3.1</v>
          </cell>
          <cell r="G652" t="str">
            <v xml:space="preserve">             Transferencias Para Funcionamiento</v>
          </cell>
          <cell r="H652">
            <v>1124.606</v>
          </cell>
          <cell r="I652">
            <v>1133.6683869999999</v>
          </cell>
        </row>
        <row r="653">
          <cell r="A653" t="str">
            <v>63401-BF_1.1.3.1.1</v>
          </cell>
          <cell r="B653" t="str">
            <v>QUINDIO</v>
          </cell>
          <cell r="C653">
            <v>63401</v>
          </cell>
          <cell r="D653" t="str">
            <v>LA TEBAIDA</v>
          </cell>
          <cell r="E653">
            <v>21</v>
          </cell>
          <cell r="F653" t="str">
            <v>BF_1.1.3.1.1</v>
          </cell>
          <cell r="G653" t="str">
            <v xml:space="preserve">                 Del Nivel Nacional</v>
          </cell>
          <cell r="H653">
            <v>1056.652</v>
          </cell>
          <cell r="I653">
            <v>1053.6919820000001</v>
          </cell>
        </row>
        <row r="654">
          <cell r="A654" t="str">
            <v>63401-BF_1.1.3.1.1.1</v>
          </cell>
          <cell r="B654" t="str">
            <v>QUINDIO</v>
          </cell>
          <cell r="C654">
            <v>63401</v>
          </cell>
          <cell r="D654" t="str">
            <v>LA TEBAIDA</v>
          </cell>
          <cell r="E654">
            <v>22</v>
          </cell>
          <cell r="F654" t="str">
            <v>BF_1.1.3.1.1.1</v>
          </cell>
          <cell r="G654" t="str">
            <v xml:space="preserve">                     Sistema General de Participaciones - Propósito General - Libre destinación - Municipios categorías 4, 5 y 6</v>
          </cell>
          <cell r="H654">
            <v>1056.652</v>
          </cell>
          <cell r="I654">
            <v>1053.6919820000001</v>
          </cell>
        </row>
        <row r="655">
          <cell r="A655" t="str">
            <v>63401-BF_1.1.3.1.2</v>
          </cell>
          <cell r="B655" t="str">
            <v>QUINDIO</v>
          </cell>
          <cell r="C655">
            <v>63401</v>
          </cell>
          <cell r="D655" t="str">
            <v>LA TEBAIDA</v>
          </cell>
          <cell r="E655">
            <v>24</v>
          </cell>
          <cell r="F655" t="str">
            <v>BF_1.1.3.1.2</v>
          </cell>
          <cell r="G655" t="str">
            <v xml:space="preserve">                 Del Nivel Departamental</v>
          </cell>
          <cell r="H655">
            <v>67.953999999999994</v>
          </cell>
          <cell r="I655">
            <v>79.976405</v>
          </cell>
        </row>
        <row r="656">
          <cell r="A656" t="str">
            <v>63401-BF_1.1.3.1.2.1</v>
          </cell>
          <cell r="B656" t="str">
            <v>QUINDIO</v>
          </cell>
          <cell r="C656">
            <v>63401</v>
          </cell>
          <cell r="D656" t="str">
            <v>LA TEBAIDA</v>
          </cell>
          <cell r="E656">
            <v>25</v>
          </cell>
          <cell r="F656" t="str">
            <v>BF_1.1.3.1.2.1</v>
          </cell>
          <cell r="G656" t="str">
            <v xml:space="preserve">                     De Vehículos Automotores</v>
          </cell>
          <cell r="H656">
            <v>67.953999999999994</v>
          </cell>
          <cell r="I656">
            <v>79.976405</v>
          </cell>
        </row>
        <row r="657">
          <cell r="A657" t="str">
            <v>63401-BF_1.1.3.2</v>
          </cell>
          <cell r="B657" t="str">
            <v>QUINDIO</v>
          </cell>
          <cell r="C657">
            <v>63401</v>
          </cell>
          <cell r="D657" t="str">
            <v>LA TEBAIDA</v>
          </cell>
          <cell r="E657">
            <v>28</v>
          </cell>
          <cell r="F657" t="str">
            <v>BF_1.1.3.2</v>
          </cell>
          <cell r="G657" t="str">
            <v xml:space="preserve">             Transferencias Para Inversión</v>
          </cell>
          <cell r="H657">
            <v>21237.667000000001</v>
          </cell>
          <cell r="I657">
            <v>20005.634121999999</v>
          </cell>
        </row>
        <row r="658">
          <cell r="A658" t="str">
            <v>63401-BF_1.1.3.2.1</v>
          </cell>
          <cell r="B658" t="str">
            <v>QUINDIO</v>
          </cell>
          <cell r="C658">
            <v>63401</v>
          </cell>
          <cell r="D658" t="str">
            <v>LA TEBAIDA</v>
          </cell>
          <cell r="E658">
            <v>29</v>
          </cell>
          <cell r="F658" t="str">
            <v>BF_1.1.3.2.1</v>
          </cell>
          <cell r="G658" t="str">
            <v xml:space="preserve">                 Del Nivel Nacional</v>
          </cell>
          <cell r="H658">
            <v>18972.092000000001</v>
          </cell>
          <cell r="I658">
            <v>17716.635074999998</v>
          </cell>
        </row>
        <row r="659">
          <cell r="A659" t="str">
            <v>63401-BF_1.1.3.2.1.1</v>
          </cell>
          <cell r="B659" t="str">
            <v>QUINDIO</v>
          </cell>
          <cell r="C659">
            <v>63401</v>
          </cell>
          <cell r="D659" t="str">
            <v>LA TEBAIDA</v>
          </cell>
          <cell r="E659">
            <v>30</v>
          </cell>
          <cell r="F659" t="str">
            <v>BF_1.1.3.2.1.1</v>
          </cell>
          <cell r="G659" t="str">
            <v xml:space="preserve">                     Sistema General de Participaciones</v>
          </cell>
          <cell r="H659">
            <v>10852.446</v>
          </cell>
          <cell r="I659">
            <v>10693.242963999999</v>
          </cell>
        </row>
        <row r="660">
          <cell r="A660" t="str">
            <v>63401-BF_1.1.3.2.1.1.1</v>
          </cell>
          <cell r="B660" t="str">
            <v>QUINDIO</v>
          </cell>
          <cell r="C660">
            <v>63401</v>
          </cell>
          <cell r="D660" t="str">
            <v>LA TEBAIDA</v>
          </cell>
          <cell r="E660">
            <v>31</v>
          </cell>
          <cell r="F660" t="str">
            <v>BF_1.1.3.2.1.1.1</v>
          </cell>
          <cell r="G660" t="str">
            <v xml:space="preserve">                         Sistema General de Participaciones - Educación</v>
          </cell>
          <cell r="H660">
            <v>1089.923</v>
          </cell>
          <cell r="I660">
            <v>1035.746065</v>
          </cell>
        </row>
        <row r="661">
          <cell r="A661" t="str">
            <v>63401-BF_1.1.3.2.1.1.2</v>
          </cell>
          <cell r="B661" t="str">
            <v>QUINDIO</v>
          </cell>
          <cell r="C661">
            <v>63401</v>
          </cell>
          <cell r="D661" t="str">
            <v>LA TEBAIDA</v>
          </cell>
          <cell r="E661">
            <v>32</v>
          </cell>
          <cell r="F661" t="str">
            <v>BF_1.1.3.2.1.1.2</v>
          </cell>
          <cell r="G661" t="str">
            <v xml:space="preserve">                         Sistema General de Participaciones - Salud</v>
          </cell>
          <cell r="H661">
            <v>6756.2449999999999</v>
          </cell>
          <cell r="I661">
            <v>6783.9298349999999</v>
          </cell>
        </row>
        <row r="662">
          <cell r="A662" t="str">
            <v>63401-BF_1.1.3.2.1.1.3</v>
          </cell>
          <cell r="B662" t="str">
            <v>QUINDIO</v>
          </cell>
          <cell r="C662">
            <v>63401</v>
          </cell>
          <cell r="D662" t="str">
            <v>LA TEBAIDA</v>
          </cell>
          <cell r="E662">
            <v>33</v>
          </cell>
          <cell r="F662" t="str">
            <v>BF_1.1.3.2.1.1.3</v>
          </cell>
          <cell r="G662" t="str">
            <v xml:space="preserve">                         Sistema General de Participaciones - Agua Potable y Saneamiento Básico</v>
          </cell>
          <cell r="H662">
            <v>1322.64</v>
          </cell>
          <cell r="I662">
            <v>1307.900899</v>
          </cell>
        </row>
        <row r="663">
          <cell r="A663" t="str">
            <v>63401-BF_1.1.3.2.1.1.4</v>
          </cell>
          <cell r="B663" t="str">
            <v>QUINDIO</v>
          </cell>
          <cell r="C663">
            <v>63401</v>
          </cell>
          <cell r="D663" t="str">
            <v>LA TEBAIDA</v>
          </cell>
          <cell r="E663">
            <v>34</v>
          </cell>
          <cell r="F663" t="str">
            <v>BF_1.1.3.2.1.1.4</v>
          </cell>
          <cell r="G663" t="str">
            <v xml:space="preserve">                         Sistema General de Participaciones - Propósito General - Forzosa Inversión</v>
          </cell>
          <cell r="H663">
            <v>1459.1869999999999</v>
          </cell>
          <cell r="I663">
            <v>1455.09845</v>
          </cell>
        </row>
        <row r="664">
          <cell r="A664" t="str">
            <v>63401-BF_1.1.3.2.1.1.5</v>
          </cell>
          <cell r="B664" t="str">
            <v>QUINDIO</v>
          </cell>
          <cell r="C664">
            <v>63401</v>
          </cell>
          <cell r="D664" t="str">
            <v>LA TEBAIDA</v>
          </cell>
          <cell r="E664">
            <v>35</v>
          </cell>
          <cell r="F664" t="str">
            <v>BF_1.1.3.2.1.1.5</v>
          </cell>
          <cell r="G664" t="str">
            <v xml:space="preserve">                         Otras del Sistema General de Participaciones</v>
          </cell>
          <cell r="H664">
            <v>224.45099999999999</v>
          </cell>
          <cell r="I664">
            <v>110.56771500000001</v>
          </cell>
        </row>
        <row r="665">
          <cell r="A665" t="str">
            <v>63401-BF_1.1.3.2.1.2</v>
          </cell>
          <cell r="B665" t="str">
            <v>QUINDIO</v>
          </cell>
          <cell r="C665">
            <v>63401</v>
          </cell>
          <cell r="D665" t="str">
            <v>LA TEBAIDA</v>
          </cell>
          <cell r="E665">
            <v>36</v>
          </cell>
          <cell r="F665" t="str">
            <v>BF_1.1.3.2.1.2</v>
          </cell>
          <cell r="G665" t="str">
            <v xml:space="preserve">                     FOSYGA y COLJUEGOS</v>
          </cell>
          <cell r="H665">
            <v>7505.107</v>
          </cell>
          <cell r="I665">
            <v>6991.8921110000001</v>
          </cell>
        </row>
        <row r="666">
          <cell r="A666" t="str">
            <v>63401-BF_1.1.3.2.1.3</v>
          </cell>
          <cell r="B666" t="str">
            <v>QUINDIO</v>
          </cell>
          <cell r="C666">
            <v>63401</v>
          </cell>
          <cell r="D666" t="str">
            <v>LA TEBAIDA</v>
          </cell>
          <cell r="E666">
            <v>37</v>
          </cell>
          <cell r="F666" t="str">
            <v>BF_1.1.3.2.1.3</v>
          </cell>
          <cell r="G666" t="str">
            <v xml:space="preserve">                     Otras Transferencias de la Nación</v>
          </cell>
          <cell r="H666">
            <v>614.53899999999999</v>
          </cell>
          <cell r="I666">
            <v>31.5</v>
          </cell>
        </row>
        <row r="667">
          <cell r="A667" t="str">
            <v>63401-BF_1.1.3.2.2</v>
          </cell>
          <cell r="B667" t="str">
            <v>QUINDIO</v>
          </cell>
          <cell r="C667">
            <v>63401</v>
          </cell>
          <cell r="D667" t="str">
            <v>LA TEBAIDA</v>
          </cell>
          <cell r="E667">
            <v>38</v>
          </cell>
          <cell r="F667" t="str">
            <v>BF_1.1.3.2.2</v>
          </cell>
          <cell r="G667" t="str">
            <v xml:space="preserve">                 Del Nivel Departamental</v>
          </cell>
          <cell r="H667">
            <v>2215.0050000000001</v>
          </cell>
          <cell r="I667">
            <v>2288.9990469999998</v>
          </cell>
        </row>
        <row r="668">
          <cell r="A668" t="str">
            <v>63401-BF_1.1.3.2.4</v>
          </cell>
          <cell r="B668" t="str">
            <v>QUINDIO</v>
          </cell>
          <cell r="C668">
            <v>63401</v>
          </cell>
          <cell r="D668" t="str">
            <v>LA TEBAIDA</v>
          </cell>
          <cell r="E668">
            <v>40</v>
          </cell>
          <cell r="F668" t="str">
            <v>BF_1.1.3.2.4</v>
          </cell>
          <cell r="G668" t="str">
            <v xml:space="preserve">                 Sector Descentralizado</v>
          </cell>
          <cell r="H668">
            <v>13.507</v>
          </cell>
          <cell r="I668">
            <v>0</v>
          </cell>
        </row>
        <row r="669">
          <cell r="A669" t="str">
            <v>63401-BF_1.1.3.2.5</v>
          </cell>
          <cell r="B669" t="str">
            <v>QUINDIO</v>
          </cell>
          <cell r="C669">
            <v>63401</v>
          </cell>
          <cell r="D669" t="str">
            <v>LA TEBAIDA</v>
          </cell>
          <cell r="E669">
            <v>41</v>
          </cell>
          <cell r="F669" t="str">
            <v>BF_1.1.3.2.5</v>
          </cell>
          <cell r="G669" t="str">
            <v xml:space="preserve">                 Sector Privado</v>
          </cell>
          <cell r="H669">
            <v>35.033999999999999</v>
          </cell>
          <cell r="I669">
            <v>0</v>
          </cell>
        </row>
        <row r="670">
          <cell r="A670" t="str">
            <v>63401-BF_1.1.3.2.6</v>
          </cell>
          <cell r="B670" t="str">
            <v>QUINDIO</v>
          </cell>
          <cell r="C670">
            <v>63401</v>
          </cell>
          <cell r="D670" t="str">
            <v>LA TEBAIDA</v>
          </cell>
          <cell r="E670">
            <v>42</v>
          </cell>
          <cell r="F670" t="str">
            <v>BF_1.1.3.2.6</v>
          </cell>
          <cell r="G670" t="str">
            <v xml:space="preserve">                 Otras Transferencias para Inversión</v>
          </cell>
          <cell r="H670">
            <v>2.0289999999999999</v>
          </cell>
          <cell r="I670">
            <v>0</v>
          </cell>
        </row>
        <row r="671">
          <cell r="A671" t="str">
            <v>63401-BF_2</v>
          </cell>
          <cell r="B671" t="str">
            <v>QUINDIO</v>
          </cell>
          <cell r="C671">
            <v>63401</v>
          </cell>
          <cell r="D671" t="str">
            <v>LA TEBAIDA</v>
          </cell>
          <cell r="E671">
            <v>43</v>
          </cell>
          <cell r="F671" t="str">
            <v>BF_2</v>
          </cell>
          <cell r="G671" t="str">
            <v>GASTOS  TOTALES</v>
          </cell>
          <cell r="H671">
            <v>33161.544999999998</v>
          </cell>
          <cell r="I671">
            <v>35544.106580469997</v>
          </cell>
        </row>
        <row r="672">
          <cell r="A672" t="str">
            <v>63401-BF_2.1</v>
          </cell>
          <cell r="B672" t="str">
            <v>QUINDIO</v>
          </cell>
          <cell r="C672">
            <v>63401</v>
          </cell>
          <cell r="D672" t="str">
            <v>LA TEBAIDA</v>
          </cell>
          <cell r="E672">
            <v>44</v>
          </cell>
          <cell r="F672" t="str">
            <v>BF_2.1</v>
          </cell>
          <cell r="G672" t="str">
            <v xml:space="preserve">    GASTOS CORRIENTES</v>
          </cell>
          <cell r="H672">
            <v>24473.922999999999</v>
          </cell>
          <cell r="I672">
            <v>30345.94251366</v>
          </cell>
        </row>
        <row r="673">
          <cell r="A673" t="str">
            <v>63401-BF_2.1.1</v>
          </cell>
          <cell r="B673" t="str">
            <v>QUINDIO</v>
          </cell>
          <cell r="C673">
            <v>63401</v>
          </cell>
          <cell r="D673" t="str">
            <v>LA TEBAIDA</v>
          </cell>
          <cell r="E673">
            <v>45</v>
          </cell>
          <cell r="F673" t="str">
            <v>BF_2.1.1</v>
          </cell>
          <cell r="G673" t="str">
            <v xml:space="preserve">        FUNCIONAMIENTO</v>
          </cell>
          <cell r="H673">
            <v>4642.9390000000003</v>
          </cell>
          <cell r="I673">
            <v>5231.0055871200002</v>
          </cell>
        </row>
        <row r="674">
          <cell r="A674" t="str">
            <v>63401-BF_2.1.1.1</v>
          </cell>
          <cell r="B674" t="str">
            <v>QUINDIO</v>
          </cell>
          <cell r="C674">
            <v>63401</v>
          </cell>
          <cell r="D674" t="str">
            <v>LA TEBAIDA</v>
          </cell>
          <cell r="E674">
            <v>46</v>
          </cell>
          <cell r="F674" t="str">
            <v>BF_2.1.1.1</v>
          </cell>
          <cell r="G674" t="str">
            <v xml:space="preserve">             Gastos de Personal  </v>
          </cell>
          <cell r="H674">
            <v>2506.8449999999998</v>
          </cell>
          <cell r="I674">
            <v>3153.1036789999998</v>
          </cell>
        </row>
        <row r="675">
          <cell r="A675" t="str">
            <v>63401-BF_2.1.1.2</v>
          </cell>
          <cell r="B675" t="str">
            <v>QUINDIO</v>
          </cell>
          <cell r="C675">
            <v>63401</v>
          </cell>
          <cell r="D675" t="str">
            <v>LA TEBAIDA</v>
          </cell>
          <cell r="E675">
            <v>47</v>
          </cell>
          <cell r="F675" t="str">
            <v>BF_2.1.1.2</v>
          </cell>
          <cell r="G675" t="str">
            <v xml:space="preserve">             Gastos Generales</v>
          </cell>
          <cell r="H675">
            <v>845.85400000000004</v>
          </cell>
          <cell r="I675">
            <v>684.57874537999999</v>
          </cell>
        </row>
        <row r="676">
          <cell r="A676" t="str">
            <v>63401-BF_2.1.1.3</v>
          </cell>
          <cell r="B676" t="str">
            <v>QUINDIO</v>
          </cell>
          <cell r="C676">
            <v>63401</v>
          </cell>
          <cell r="D676" t="str">
            <v>LA TEBAIDA</v>
          </cell>
          <cell r="E676">
            <v>48</v>
          </cell>
          <cell r="F676" t="str">
            <v>BF_2.1.1.3</v>
          </cell>
          <cell r="G676" t="str">
            <v xml:space="preserve">             Transferencias</v>
          </cell>
          <cell r="H676">
            <v>1289.0340000000001</v>
          </cell>
          <cell r="I676">
            <v>1392.2099077400001</v>
          </cell>
        </row>
        <row r="677">
          <cell r="A677" t="str">
            <v>63401-BF_2.1.1.3.1</v>
          </cell>
          <cell r="B677" t="str">
            <v>QUINDIO</v>
          </cell>
          <cell r="C677">
            <v>63401</v>
          </cell>
          <cell r="D677" t="str">
            <v>LA TEBAIDA</v>
          </cell>
          <cell r="E677">
            <v>49</v>
          </cell>
          <cell r="F677" t="str">
            <v>BF_2.1.1.3.1</v>
          </cell>
          <cell r="G677" t="str">
            <v xml:space="preserve">                 Pensiones</v>
          </cell>
          <cell r="H677">
            <v>192.02699999999999</v>
          </cell>
          <cell r="I677">
            <v>137.07182</v>
          </cell>
        </row>
        <row r="678">
          <cell r="A678" t="str">
            <v>63401-BF_2.1.1.3.4</v>
          </cell>
          <cell r="B678" t="str">
            <v>QUINDIO</v>
          </cell>
          <cell r="C678">
            <v>63401</v>
          </cell>
          <cell r="D678" t="str">
            <v>LA TEBAIDA</v>
          </cell>
          <cell r="E678">
            <v>52</v>
          </cell>
          <cell r="F678" t="str">
            <v>BF_2.1.1.3.4</v>
          </cell>
          <cell r="G678" t="str">
            <v xml:space="preserve">                 A Organismos de Control</v>
          </cell>
          <cell r="H678">
            <v>322.25400000000002</v>
          </cell>
          <cell r="I678">
            <v>320.41297900000001</v>
          </cell>
        </row>
        <row r="679">
          <cell r="A679" t="str">
            <v>63401-BF_2.1.1.3.6</v>
          </cell>
          <cell r="B679" t="str">
            <v>QUINDIO</v>
          </cell>
          <cell r="C679">
            <v>63401</v>
          </cell>
          <cell r="D679" t="str">
            <v>LA TEBAIDA</v>
          </cell>
          <cell r="E679">
            <v>54</v>
          </cell>
          <cell r="F679" t="str">
            <v>BF_2.1.1.3.6</v>
          </cell>
          <cell r="G679" t="str">
            <v xml:space="preserve">                 Sentencias y Conciliaciones</v>
          </cell>
          <cell r="H679">
            <v>251.86199999999999</v>
          </cell>
          <cell r="I679">
            <v>453.21353539</v>
          </cell>
        </row>
        <row r="680">
          <cell r="A680" t="str">
            <v>63401-BF_2.1.1.3.7</v>
          </cell>
          <cell r="B680" t="str">
            <v>QUINDIO</v>
          </cell>
          <cell r="C680">
            <v>63401</v>
          </cell>
          <cell r="D680" t="str">
            <v>LA TEBAIDA</v>
          </cell>
          <cell r="E680">
            <v>55</v>
          </cell>
          <cell r="F680" t="str">
            <v>BF_2.1.1.3.7</v>
          </cell>
          <cell r="G680" t="str">
            <v xml:space="preserve">                 Otras Transferencias</v>
          </cell>
          <cell r="H680">
            <v>522.89099999999996</v>
          </cell>
          <cell r="I680">
            <v>481.51157334999999</v>
          </cell>
        </row>
        <row r="681">
          <cell r="A681" t="str">
            <v>63401-BF_2.1.1.6</v>
          </cell>
          <cell r="B681" t="str">
            <v>QUINDIO</v>
          </cell>
          <cell r="C681">
            <v>63401</v>
          </cell>
          <cell r="D681" t="str">
            <v>LA TEBAIDA</v>
          </cell>
          <cell r="E681">
            <v>58</v>
          </cell>
          <cell r="F681" t="str">
            <v>BF_2.1.1.6</v>
          </cell>
          <cell r="G681" t="str">
            <v xml:space="preserve">             Otros Gastos de Funcionamiento</v>
          </cell>
          <cell r="H681">
            <v>1.206</v>
          </cell>
          <cell r="I681">
            <v>1.1132550000000001</v>
          </cell>
        </row>
        <row r="682">
          <cell r="A682" t="str">
            <v>63401-BF_2.1.4</v>
          </cell>
          <cell r="B682" t="str">
            <v>QUINDIO</v>
          </cell>
          <cell r="C682">
            <v>63401</v>
          </cell>
          <cell r="D682" t="str">
            <v>LA TEBAIDA</v>
          </cell>
          <cell r="E682">
            <v>61</v>
          </cell>
          <cell r="F682" t="str">
            <v>BF_2.1.4</v>
          </cell>
          <cell r="G682" t="str">
            <v xml:space="preserve">        GASTOS OPERATIVOS EN SECTORES SOCIALES (Remuneración al Trabajo, Prestaciones, y Subsidios en Sectores de Inversión)</v>
          </cell>
          <cell r="H682">
            <v>19675.272000000001</v>
          </cell>
          <cell r="I682">
            <v>24926.203231079999</v>
          </cell>
        </row>
        <row r="683">
          <cell r="A683" t="str">
            <v>63401-BF_2.1.4.1</v>
          </cell>
          <cell r="B683" t="str">
            <v>QUINDIO</v>
          </cell>
          <cell r="C683">
            <v>63401</v>
          </cell>
          <cell r="D683" t="str">
            <v>LA TEBAIDA</v>
          </cell>
          <cell r="E683">
            <v>62</v>
          </cell>
          <cell r="F683" t="str">
            <v>BF_2.1.4.1</v>
          </cell>
          <cell r="G683" t="str">
            <v xml:space="preserve">             Educación</v>
          </cell>
          <cell r="H683">
            <v>1496.8150000000001</v>
          </cell>
          <cell r="I683">
            <v>1562.680887</v>
          </cell>
        </row>
        <row r="684">
          <cell r="A684" t="str">
            <v>63401-BF_2.1.4.2</v>
          </cell>
          <cell r="B684" t="str">
            <v>QUINDIO</v>
          </cell>
          <cell r="C684">
            <v>63401</v>
          </cell>
          <cell r="D684" t="str">
            <v>LA TEBAIDA</v>
          </cell>
          <cell r="E684">
            <v>63</v>
          </cell>
          <cell r="F684" t="str">
            <v>BF_2.1.4.2</v>
          </cell>
          <cell r="G684" t="str">
            <v xml:space="preserve">             Salud</v>
          </cell>
          <cell r="H684">
            <v>16607.007000000001</v>
          </cell>
          <cell r="I684">
            <v>18099.11655264</v>
          </cell>
        </row>
        <row r="685">
          <cell r="A685" t="str">
            <v>63401-BF_2.1.4.3</v>
          </cell>
          <cell r="B685" t="str">
            <v>QUINDIO</v>
          </cell>
          <cell r="C685">
            <v>63401</v>
          </cell>
          <cell r="D685" t="str">
            <v>LA TEBAIDA</v>
          </cell>
          <cell r="E685">
            <v>64</v>
          </cell>
          <cell r="F685" t="str">
            <v>BF_2.1.4.3</v>
          </cell>
          <cell r="G685" t="str">
            <v xml:space="preserve">             Agua Potable y Saneamiento Básico</v>
          </cell>
          <cell r="H685">
            <v>1053.1880000000001</v>
          </cell>
          <cell r="I685">
            <v>1053.301616</v>
          </cell>
        </row>
        <row r="686">
          <cell r="A686" t="str">
            <v>63401-BF_2.1.4.5</v>
          </cell>
          <cell r="B686" t="str">
            <v>QUINDIO</v>
          </cell>
          <cell r="C686">
            <v>63401</v>
          </cell>
          <cell r="D686" t="str">
            <v>LA TEBAIDA</v>
          </cell>
          <cell r="E686">
            <v>66</v>
          </cell>
          <cell r="F686" t="str">
            <v>BF_2.1.4.5</v>
          </cell>
          <cell r="G686" t="str">
            <v xml:space="preserve">             Otros Sectores</v>
          </cell>
          <cell r="H686">
            <v>518.26199999999994</v>
          </cell>
          <cell r="I686">
            <v>4211.1041754400003</v>
          </cell>
        </row>
        <row r="687">
          <cell r="A687" t="str">
            <v>63401-BF_2.1.5</v>
          </cell>
          <cell r="B687" t="str">
            <v>QUINDIO</v>
          </cell>
          <cell r="C687">
            <v>63401</v>
          </cell>
          <cell r="D687" t="str">
            <v>LA TEBAIDA</v>
          </cell>
          <cell r="E687">
            <v>67</v>
          </cell>
          <cell r="F687" t="str">
            <v>BF_2.1.5</v>
          </cell>
          <cell r="G687" t="str">
            <v xml:space="preserve">        INTERESES Y COMISIONES DE LA DEUDA</v>
          </cell>
          <cell r="H687">
            <v>155.71199999999999</v>
          </cell>
          <cell r="I687">
            <v>188.73369546000001</v>
          </cell>
        </row>
        <row r="688">
          <cell r="A688" t="str">
            <v>63401-BF_2.1.5.1</v>
          </cell>
          <cell r="B688" t="str">
            <v>QUINDIO</v>
          </cell>
          <cell r="C688">
            <v>63401</v>
          </cell>
          <cell r="D688" t="str">
            <v>LA TEBAIDA</v>
          </cell>
          <cell r="E688">
            <v>68</v>
          </cell>
          <cell r="F688" t="str">
            <v>BF_2.1.5.1</v>
          </cell>
          <cell r="G688" t="str">
            <v xml:space="preserve">             Interna</v>
          </cell>
          <cell r="H688">
            <v>155.71199999999999</v>
          </cell>
          <cell r="I688">
            <v>188.73369546000001</v>
          </cell>
        </row>
        <row r="689">
          <cell r="A689" t="str">
            <v>63401-BF_3</v>
          </cell>
          <cell r="B689" t="str">
            <v>QUINDIO</v>
          </cell>
          <cell r="C689">
            <v>63401</v>
          </cell>
          <cell r="D689" t="str">
            <v>LA TEBAIDA</v>
          </cell>
          <cell r="E689">
            <v>70</v>
          </cell>
          <cell r="F689" t="str">
            <v>BF_3</v>
          </cell>
          <cell r="G689" t="str">
            <v>DÉFICIT O AHORRO CORRIENTE</v>
          </cell>
          <cell r="H689">
            <v>6925.6639999999998</v>
          </cell>
          <cell r="I689">
            <v>268.44532534000001</v>
          </cell>
        </row>
        <row r="690">
          <cell r="A690" t="str">
            <v>63401-BF_4</v>
          </cell>
          <cell r="B690" t="str">
            <v>QUINDIO</v>
          </cell>
          <cell r="C690">
            <v>63401</v>
          </cell>
          <cell r="D690" t="str">
            <v>LA TEBAIDA</v>
          </cell>
          <cell r="E690">
            <v>71</v>
          </cell>
          <cell r="F690" t="str">
            <v>BF_4</v>
          </cell>
          <cell r="G690" t="str">
            <v>INGRESOS DE CAPITAL</v>
          </cell>
          <cell r="H690">
            <v>6999.1809999999996</v>
          </cell>
          <cell r="I690">
            <v>3388.4086499999999</v>
          </cell>
        </row>
        <row r="691">
          <cell r="A691" t="str">
            <v>63401-BF_4.1</v>
          </cell>
          <cell r="B691" t="str">
            <v>QUINDIO</v>
          </cell>
          <cell r="C691">
            <v>63401</v>
          </cell>
          <cell r="D691" t="str">
            <v>LA TEBAIDA</v>
          </cell>
          <cell r="E691">
            <v>72</v>
          </cell>
          <cell r="F691" t="str">
            <v>BF_4.1</v>
          </cell>
          <cell r="G691" t="str">
            <v xml:space="preserve">    Cofinanciación</v>
          </cell>
          <cell r="H691">
            <v>229.624</v>
          </cell>
          <cell r="I691">
            <v>7.8900269999999999</v>
          </cell>
        </row>
        <row r="692">
          <cell r="A692" t="str">
            <v>63401-BF_4.4</v>
          </cell>
          <cell r="B692" t="str">
            <v>QUINDIO</v>
          </cell>
          <cell r="C692">
            <v>63401</v>
          </cell>
          <cell r="D692" t="str">
            <v>LA TEBAIDA</v>
          </cell>
          <cell r="E692">
            <v>75</v>
          </cell>
          <cell r="F692" t="str">
            <v>BF_4.4</v>
          </cell>
          <cell r="G692" t="str">
            <v xml:space="preserve">    Rendimientos Financieros</v>
          </cell>
          <cell r="H692">
            <v>112.423</v>
          </cell>
          <cell r="I692">
            <v>248.88264000000001</v>
          </cell>
        </row>
        <row r="693">
          <cell r="A693" t="str">
            <v>63401-BF_4.6</v>
          </cell>
          <cell r="B693" t="str">
            <v>QUINDIO</v>
          </cell>
          <cell r="C693">
            <v>63401</v>
          </cell>
          <cell r="D693" t="str">
            <v>LA TEBAIDA</v>
          </cell>
          <cell r="E693">
            <v>77</v>
          </cell>
          <cell r="F693" t="str">
            <v>BF_4.6</v>
          </cell>
          <cell r="G693" t="str">
            <v xml:space="preserve">    Desahorro FONPET</v>
          </cell>
          <cell r="H693">
            <v>6591.1909999999998</v>
          </cell>
          <cell r="I693">
            <v>3016.044578</v>
          </cell>
        </row>
        <row r="694">
          <cell r="A694" t="str">
            <v>63401-BF_4.6.1</v>
          </cell>
          <cell r="B694" t="str">
            <v>QUINDIO</v>
          </cell>
          <cell r="C694">
            <v>63401</v>
          </cell>
          <cell r="D694" t="str">
            <v>LA TEBAIDA</v>
          </cell>
          <cell r="E694">
            <v>78</v>
          </cell>
          <cell r="F694" t="str">
            <v>BF_4.6.1</v>
          </cell>
          <cell r="G694" t="str">
            <v xml:space="preserve">    Salud</v>
          </cell>
          <cell r="H694">
            <v>846.19399999999996</v>
          </cell>
          <cell r="I694">
            <v>2874.665</v>
          </cell>
        </row>
        <row r="695">
          <cell r="A695" t="str">
            <v>63401-BF_4.6.3</v>
          </cell>
          <cell r="B695" t="str">
            <v>QUINDIO</v>
          </cell>
          <cell r="C695">
            <v>63401</v>
          </cell>
          <cell r="D695" t="str">
            <v>LA TEBAIDA</v>
          </cell>
          <cell r="E695">
            <v>80</v>
          </cell>
          <cell r="F695" t="str">
            <v>BF_4.6.3</v>
          </cell>
          <cell r="G695" t="str">
            <v xml:space="preserve">    Propósito General</v>
          </cell>
          <cell r="H695">
            <v>5629.5720000000001</v>
          </cell>
          <cell r="I695">
            <v>0</v>
          </cell>
        </row>
        <row r="696">
          <cell r="A696" t="str">
            <v>63401-BF_4.6.4</v>
          </cell>
          <cell r="B696" t="str">
            <v>QUINDIO</v>
          </cell>
          <cell r="C696">
            <v>63401</v>
          </cell>
          <cell r="D696" t="str">
            <v>LA TEBAIDA</v>
          </cell>
          <cell r="E696">
            <v>81</v>
          </cell>
          <cell r="F696" t="str">
            <v>BF_4.6.4</v>
          </cell>
          <cell r="G696" t="str">
            <v xml:space="preserve">    Otros Desahorros y Retiros (Cuotas partes, Bonos y Devoluciones)</v>
          </cell>
          <cell r="H696">
            <v>115.425</v>
          </cell>
          <cell r="I696">
            <v>141.37957800000001</v>
          </cell>
        </row>
        <row r="697">
          <cell r="A697" t="str">
            <v>63401-BF_4.7</v>
          </cell>
          <cell r="B697" t="str">
            <v>QUINDIO</v>
          </cell>
          <cell r="C697">
            <v>63401</v>
          </cell>
          <cell r="D697" t="str">
            <v>LA TEBAIDA</v>
          </cell>
          <cell r="E697">
            <v>82</v>
          </cell>
          <cell r="F697" t="str">
            <v>BF_4.7</v>
          </cell>
          <cell r="G697" t="str">
            <v xml:space="preserve">    Otros Recursos de Capital (Donaciones, Aprovechamientos y Otros)</v>
          </cell>
          <cell r="H697">
            <v>65.942999999999998</v>
          </cell>
          <cell r="I697">
            <v>115.59140499999999</v>
          </cell>
        </row>
        <row r="698">
          <cell r="A698" t="str">
            <v>63401-BF_5</v>
          </cell>
          <cell r="B698" t="str">
            <v>QUINDIO</v>
          </cell>
          <cell r="C698">
            <v>63401</v>
          </cell>
          <cell r="D698" t="str">
            <v>LA TEBAIDA</v>
          </cell>
          <cell r="E698">
            <v>83</v>
          </cell>
          <cell r="F698" t="str">
            <v>BF_5</v>
          </cell>
          <cell r="G698" t="str">
            <v>GASTOS DE CAPITAL</v>
          </cell>
          <cell r="H698">
            <v>8687.6219999999994</v>
          </cell>
          <cell r="I698">
            <v>5198.1640668099999</v>
          </cell>
        </row>
        <row r="699">
          <cell r="A699" t="str">
            <v>63401-BF_5.1</v>
          </cell>
          <cell r="B699" t="str">
            <v>QUINDIO</v>
          </cell>
          <cell r="C699">
            <v>63401</v>
          </cell>
          <cell r="D699" t="str">
            <v>LA TEBAIDA</v>
          </cell>
          <cell r="E699">
            <v>84</v>
          </cell>
          <cell r="F699" t="str">
            <v>BF_5.1</v>
          </cell>
          <cell r="G699" t="str">
            <v xml:space="preserve">    Formación Bruta de Capital (Construcción, Reparación, Mantenimiento, Preinversión, Otros)</v>
          </cell>
          <cell r="H699">
            <v>8114.2079999999996</v>
          </cell>
          <cell r="I699">
            <v>5190.0396798100001</v>
          </cell>
        </row>
        <row r="700">
          <cell r="A700" t="str">
            <v>63401-BF_5.1.1</v>
          </cell>
          <cell r="B700" t="str">
            <v>QUINDIO</v>
          </cell>
          <cell r="C700">
            <v>63401</v>
          </cell>
          <cell r="D700" t="str">
            <v>LA TEBAIDA</v>
          </cell>
          <cell r="E700">
            <v>85</v>
          </cell>
          <cell r="F700" t="str">
            <v>BF_5.1.1</v>
          </cell>
          <cell r="G700" t="str">
            <v xml:space="preserve">        Educación</v>
          </cell>
          <cell r="H700">
            <v>140.38499999999999</v>
          </cell>
          <cell r="I700">
            <v>104.226354</v>
          </cell>
        </row>
        <row r="701">
          <cell r="A701" t="str">
            <v>63401-BF_5.1.2</v>
          </cell>
          <cell r="B701" t="str">
            <v>QUINDIO</v>
          </cell>
          <cell r="C701">
            <v>63401</v>
          </cell>
          <cell r="D701" t="str">
            <v>LA TEBAIDA</v>
          </cell>
          <cell r="E701">
            <v>86</v>
          </cell>
          <cell r="F701" t="str">
            <v>BF_5.1.2</v>
          </cell>
          <cell r="G701" t="str">
            <v xml:space="preserve">        Salud</v>
          </cell>
          <cell r="H701">
            <v>1210.635</v>
          </cell>
          <cell r="I701">
            <v>0.61151299999999997</v>
          </cell>
        </row>
        <row r="702">
          <cell r="A702" t="str">
            <v>63401-BF_5.1.3</v>
          </cell>
          <cell r="B702" t="str">
            <v>QUINDIO</v>
          </cell>
          <cell r="C702">
            <v>63401</v>
          </cell>
          <cell r="D702" t="str">
            <v>LA TEBAIDA</v>
          </cell>
          <cell r="E702">
            <v>87</v>
          </cell>
          <cell r="F702" t="str">
            <v>BF_5.1.3</v>
          </cell>
          <cell r="G702" t="str">
            <v xml:space="preserve">        Agua Potable</v>
          </cell>
          <cell r="H702">
            <v>1031.4949999999999</v>
          </cell>
          <cell r="I702">
            <v>1482.51894827</v>
          </cell>
        </row>
        <row r="703">
          <cell r="A703" t="str">
            <v>63401-BF_5.1.4</v>
          </cell>
          <cell r="B703" t="str">
            <v>QUINDIO</v>
          </cell>
          <cell r="C703">
            <v>63401</v>
          </cell>
          <cell r="D703" t="str">
            <v>LA TEBAIDA</v>
          </cell>
          <cell r="E703">
            <v>88</v>
          </cell>
          <cell r="F703" t="str">
            <v>BF_5.1.4</v>
          </cell>
          <cell r="G703" t="str">
            <v xml:space="preserve">        Vivienda</v>
          </cell>
          <cell r="H703">
            <v>2.4</v>
          </cell>
          <cell r="I703">
            <v>34.138080000000002</v>
          </cell>
        </row>
        <row r="704">
          <cell r="A704" t="str">
            <v>63401-BF_5.1.5</v>
          </cell>
          <cell r="B704" t="str">
            <v>QUINDIO</v>
          </cell>
          <cell r="C704">
            <v>63401</v>
          </cell>
          <cell r="D704" t="str">
            <v>LA TEBAIDA</v>
          </cell>
          <cell r="E704">
            <v>89</v>
          </cell>
          <cell r="F704" t="str">
            <v>BF_5.1.5</v>
          </cell>
          <cell r="G704" t="str">
            <v xml:space="preserve">        Vías</v>
          </cell>
          <cell r="H704">
            <v>307.11700000000002</v>
          </cell>
          <cell r="I704">
            <v>1613.931286</v>
          </cell>
        </row>
        <row r="705">
          <cell r="A705" t="str">
            <v>63401-BF_5.1.6</v>
          </cell>
          <cell r="B705" t="str">
            <v>QUINDIO</v>
          </cell>
          <cell r="C705">
            <v>63401</v>
          </cell>
          <cell r="D705" t="str">
            <v>LA TEBAIDA</v>
          </cell>
          <cell r="E705">
            <v>90</v>
          </cell>
          <cell r="F705" t="str">
            <v>BF_5.1.6</v>
          </cell>
          <cell r="G705" t="str">
            <v xml:space="preserve">        Otros Sectores</v>
          </cell>
          <cell r="H705">
            <v>5422.1760000000004</v>
          </cell>
          <cell r="I705">
            <v>1954.6134985399999</v>
          </cell>
        </row>
        <row r="706">
          <cell r="A706" t="str">
            <v>63401-BF_5.2</v>
          </cell>
          <cell r="B706" t="str">
            <v>QUINDIO</v>
          </cell>
          <cell r="C706">
            <v>63401</v>
          </cell>
          <cell r="D706" t="str">
            <v>LA TEBAIDA</v>
          </cell>
          <cell r="E706">
            <v>91</v>
          </cell>
          <cell r="F706" t="str">
            <v>BF_5.2</v>
          </cell>
          <cell r="G706" t="str">
            <v xml:space="preserve">    Déficit Fiscal de Vigencias Anteriores por Inversión</v>
          </cell>
          <cell r="H706">
            <v>573.41399999999999</v>
          </cell>
          <cell r="I706">
            <v>8.1243870000000005</v>
          </cell>
        </row>
        <row r="707">
          <cell r="A707" t="str">
            <v>63401-BF_6</v>
          </cell>
          <cell r="B707" t="str">
            <v>QUINDIO</v>
          </cell>
          <cell r="C707">
            <v>63401</v>
          </cell>
          <cell r="D707" t="str">
            <v>LA TEBAIDA</v>
          </cell>
          <cell r="E707">
            <v>92</v>
          </cell>
          <cell r="F707" t="str">
            <v>BF_6</v>
          </cell>
          <cell r="G707" t="str">
            <v>DÉFICIT O SUPERÁVIT DE CAPITAL</v>
          </cell>
          <cell r="H707">
            <v>-1688.441</v>
          </cell>
          <cell r="I707">
            <v>-1809.75541681</v>
          </cell>
        </row>
        <row r="708">
          <cell r="A708" t="str">
            <v>63401-BF_7</v>
          </cell>
          <cell r="B708" t="str">
            <v>QUINDIO</v>
          </cell>
          <cell r="C708">
            <v>63401</v>
          </cell>
          <cell r="D708" t="str">
            <v>LA TEBAIDA</v>
          </cell>
          <cell r="E708">
            <v>93</v>
          </cell>
          <cell r="F708" t="str">
            <v>BF_7</v>
          </cell>
          <cell r="G708" t="str">
            <v>DÉFICIT O SUPERÁVIT TOTAL</v>
          </cell>
          <cell r="H708">
            <v>5237.223</v>
          </cell>
          <cell r="I708">
            <v>-1541.3100914700001</v>
          </cell>
        </row>
        <row r="709">
          <cell r="A709" t="str">
            <v>63401-BF_8</v>
          </cell>
          <cell r="B709" t="str">
            <v>QUINDIO</v>
          </cell>
          <cell r="C709">
            <v>63401</v>
          </cell>
          <cell r="D709" t="str">
            <v>LA TEBAIDA</v>
          </cell>
          <cell r="E709">
            <v>94</v>
          </cell>
          <cell r="F709" t="str">
            <v>BF_8</v>
          </cell>
          <cell r="G709" t="str">
            <v>FINANCIACIÓN</v>
          </cell>
          <cell r="H709">
            <v>4063.1959999999999</v>
          </cell>
          <cell r="I709">
            <v>11625.11140946</v>
          </cell>
        </row>
        <row r="710">
          <cell r="A710" t="str">
            <v>63401-BF_8.1</v>
          </cell>
          <cell r="B710" t="str">
            <v>QUINDIO</v>
          </cell>
          <cell r="C710">
            <v>63401</v>
          </cell>
          <cell r="D710" t="str">
            <v>LA TEBAIDA</v>
          </cell>
          <cell r="E710">
            <v>95</v>
          </cell>
          <cell r="F710" t="str">
            <v>BF_8.1</v>
          </cell>
          <cell r="G710" t="str">
            <v xml:space="preserve">    RECURSOS DEL CRÉDITO</v>
          </cell>
          <cell r="H710">
            <v>-942.38699999999994</v>
          </cell>
          <cell r="I710">
            <v>2311.7359164600002</v>
          </cell>
        </row>
        <row r="711">
          <cell r="A711" t="str">
            <v>63401-BF_8.1.1</v>
          </cell>
          <cell r="B711" t="str">
            <v>QUINDIO</v>
          </cell>
          <cell r="C711">
            <v>63401</v>
          </cell>
          <cell r="D711" t="str">
            <v>LA TEBAIDA</v>
          </cell>
          <cell r="E711">
            <v>96</v>
          </cell>
          <cell r="F711" t="str">
            <v>BF_8.1.1</v>
          </cell>
          <cell r="G711" t="str">
            <v xml:space="preserve">        Interno</v>
          </cell>
          <cell r="H711">
            <v>-942.38699999999994</v>
          </cell>
          <cell r="I711">
            <v>2311.7359164600002</v>
          </cell>
        </row>
        <row r="712">
          <cell r="A712" t="str">
            <v>63401-BF_8.1.1.1</v>
          </cell>
          <cell r="B712" t="str">
            <v>QUINDIO</v>
          </cell>
          <cell r="C712">
            <v>63401</v>
          </cell>
          <cell r="D712" t="str">
            <v>LA TEBAIDA</v>
          </cell>
          <cell r="E712">
            <v>97</v>
          </cell>
          <cell r="F712" t="str">
            <v>BF_8.1.1.1</v>
          </cell>
          <cell r="G712" t="str">
            <v xml:space="preserve">             Desembolsos</v>
          </cell>
          <cell r="H712">
            <v>0</v>
          </cell>
          <cell r="I712">
            <v>2938.479288</v>
          </cell>
        </row>
        <row r="713">
          <cell r="A713" t="str">
            <v>63401-BF_8.1.1.2</v>
          </cell>
          <cell r="B713" t="str">
            <v>QUINDIO</v>
          </cell>
          <cell r="C713">
            <v>63401</v>
          </cell>
          <cell r="D713" t="str">
            <v>LA TEBAIDA</v>
          </cell>
          <cell r="E713">
            <v>98</v>
          </cell>
          <cell r="F713" t="str">
            <v>BF_8.1.1.2</v>
          </cell>
          <cell r="G713" t="str">
            <v xml:space="preserve">             Amortizaciones</v>
          </cell>
          <cell r="H713">
            <v>942.38699999999994</v>
          </cell>
          <cell r="I713">
            <v>626.74337154</v>
          </cell>
        </row>
        <row r="714">
          <cell r="A714" t="str">
            <v>63401-BF_8.2</v>
          </cell>
          <cell r="B714" t="str">
            <v>QUINDIO</v>
          </cell>
          <cell r="C714">
            <v>63401</v>
          </cell>
          <cell r="D714" t="str">
            <v>LA TEBAIDA</v>
          </cell>
          <cell r="E714">
            <v>102</v>
          </cell>
          <cell r="F714" t="str">
            <v>BF_8.2</v>
          </cell>
          <cell r="G714" t="str">
            <v xml:space="preserve">    Recursos del Balance (Superávit Fiscal, Cancelación de Reservas)</v>
          </cell>
          <cell r="H714">
            <v>5005.5829999999996</v>
          </cell>
          <cell r="I714">
            <v>9313.3754929999996</v>
          </cell>
        </row>
        <row r="715">
          <cell r="A715" t="str">
            <v>63401-BF_9.1</v>
          </cell>
          <cell r="B715" t="str">
            <v>QUINDIO</v>
          </cell>
          <cell r="C715">
            <v>63401</v>
          </cell>
          <cell r="D715" t="str">
            <v>LA TEBAIDA</v>
          </cell>
          <cell r="E715">
            <v>107</v>
          </cell>
          <cell r="F715" t="str">
            <v>BF_9.1</v>
          </cell>
          <cell r="G715" t="str">
            <v xml:space="preserve">    DÉFICIT O SUPERÁVIT PRIMARIO</v>
          </cell>
          <cell r="H715">
            <v>10398.518</v>
          </cell>
          <cell r="I715">
            <v>7960.7990969900002</v>
          </cell>
        </row>
        <row r="716">
          <cell r="A716" t="str">
            <v>63401-BF_9.2</v>
          </cell>
          <cell r="B716" t="str">
            <v>QUINDIO</v>
          </cell>
          <cell r="C716">
            <v>63401</v>
          </cell>
          <cell r="D716" t="str">
            <v>LA TEBAIDA</v>
          </cell>
          <cell r="E716">
            <v>108</v>
          </cell>
          <cell r="F716" t="str">
            <v>BF_9.2</v>
          </cell>
          <cell r="G716" t="str">
            <v xml:space="preserve">    DÉFICIT O SUPERÁVIT PRIMARIO/INTERESES</v>
          </cell>
          <cell r="H716">
            <v>66.78</v>
          </cell>
          <cell r="I716">
            <v>42.180062640999999</v>
          </cell>
        </row>
        <row r="717">
          <cell r="A717" t="str">
            <v>63401-BF_10.1</v>
          </cell>
          <cell r="B717" t="str">
            <v>QUINDIO</v>
          </cell>
          <cell r="C717">
            <v>63401</v>
          </cell>
          <cell r="D717" t="str">
            <v>LA TEBAIDA</v>
          </cell>
          <cell r="E717">
            <v>110</v>
          </cell>
          <cell r="F717" t="str">
            <v>BF_10.1</v>
          </cell>
          <cell r="G717" t="str">
            <v xml:space="preserve">    INGRESOS TOTALES SIN INCLUIR RECURSOS PARA RESERVAS PRESUPUESTALES</v>
          </cell>
          <cell r="H717">
            <v>43404.351000000002</v>
          </cell>
          <cell r="I717">
            <v>46254.651270000002</v>
          </cell>
        </row>
        <row r="718">
          <cell r="A718" t="str">
            <v>63401-BF_10.2</v>
          </cell>
          <cell r="B718" t="str">
            <v>QUINDIO</v>
          </cell>
          <cell r="C718">
            <v>63401</v>
          </cell>
          <cell r="D718" t="str">
            <v>LA TEBAIDA</v>
          </cell>
          <cell r="E718">
            <v>111</v>
          </cell>
          <cell r="F718" t="str">
            <v>BF_10.2</v>
          </cell>
          <cell r="G718" t="str">
            <v xml:space="preserve">    GASTOS TOTALES SIN INCLUIR GASTOS POR RESERVAS PRESUPUESTALES</v>
          </cell>
          <cell r="H718">
            <v>34103.932000000001</v>
          </cell>
          <cell r="I718">
            <v>36170.849952010001</v>
          </cell>
        </row>
        <row r="719">
          <cell r="A719" t="str">
            <v>63401-BF_10.3</v>
          </cell>
          <cell r="B719" t="str">
            <v>QUINDIO</v>
          </cell>
          <cell r="C719">
            <v>63401</v>
          </cell>
          <cell r="D719" t="str">
            <v>LA TEBAIDA</v>
          </cell>
          <cell r="E719">
            <v>112</v>
          </cell>
          <cell r="F719" t="str">
            <v>BF_10.3</v>
          </cell>
          <cell r="G719" t="str">
            <v xml:space="preserve">    DÉFICIT O SUPERÁVIT PRESUPUESTAL SIN INCLUIR RESERVAS PRESUPUESTALES</v>
          </cell>
          <cell r="H719">
            <v>9300.4189999999999</v>
          </cell>
          <cell r="I719">
            <v>10083.801317990001</v>
          </cell>
        </row>
        <row r="720">
          <cell r="A720" t="str">
            <v>63401-BF_12.1</v>
          </cell>
          <cell r="B720" t="str">
            <v>QUINDIO</v>
          </cell>
          <cell r="C720">
            <v>63401</v>
          </cell>
          <cell r="D720" t="str">
            <v>LA TEBAIDA</v>
          </cell>
          <cell r="E720">
            <v>114</v>
          </cell>
          <cell r="F720" t="str">
            <v>BF_12.1</v>
          </cell>
          <cell r="G720" t="str">
            <v xml:space="preserve">    INGRESOS TOTALES</v>
          </cell>
          <cell r="H720">
            <v>43935.701000000001</v>
          </cell>
          <cell r="I720">
            <v>46481.459745400003</v>
          </cell>
        </row>
        <row r="721">
          <cell r="A721" t="str">
            <v>63401-BF_12.2</v>
          </cell>
          <cell r="B721" t="str">
            <v>QUINDIO</v>
          </cell>
          <cell r="C721">
            <v>63401</v>
          </cell>
          <cell r="D721" t="str">
            <v>LA TEBAIDA</v>
          </cell>
          <cell r="E721">
            <v>115</v>
          </cell>
          <cell r="F721" t="str">
            <v>BF_12.2</v>
          </cell>
          <cell r="G721" t="str">
            <v xml:space="preserve">    GASTOS TOTALES</v>
          </cell>
          <cell r="H721">
            <v>34632.644999999997</v>
          </cell>
          <cell r="I721">
            <v>36382.844077970003</v>
          </cell>
        </row>
        <row r="722">
          <cell r="A722" t="str">
            <v>63401-BF_12.3</v>
          </cell>
          <cell r="B722" t="str">
            <v>QUINDIO</v>
          </cell>
          <cell r="C722">
            <v>63401</v>
          </cell>
          <cell r="D722" t="str">
            <v>LA TEBAIDA</v>
          </cell>
          <cell r="E722">
            <v>116</v>
          </cell>
          <cell r="F722" t="str">
            <v>BF_12.3</v>
          </cell>
          <cell r="G722" t="str">
            <v xml:space="preserve">    DÉFICIT O SUPERÁVIT PRESUPUESTAL</v>
          </cell>
          <cell r="H722">
            <v>9303.0560000000005</v>
          </cell>
          <cell r="I722">
            <v>10098.61566743</v>
          </cell>
        </row>
        <row r="723">
          <cell r="A723" t="str">
            <v>63401-BF_13.1</v>
          </cell>
          <cell r="B723" t="str">
            <v>QUINDIO</v>
          </cell>
          <cell r="C723">
            <v>63401</v>
          </cell>
          <cell r="D723" t="str">
            <v>LA TEBAIDA</v>
          </cell>
          <cell r="E723">
            <v>118</v>
          </cell>
          <cell r="F723" t="str">
            <v>BF_13.1</v>
          </cell>
          <cell r="G723" t="str">
            <v xml:space="preserve">    Recursos que Financian Reservas Presupuestales Excepcionales (Ley 819/2003)</v>
          </cell>
          <cell r="H723">
            <v>531.35</v>
          </cell>
          <cell r="I723">
            <v>226.80847539999999</v>
          </cell>
        </row>
        <row r="724">
          <cell r="A724" t="str">
            <v>63401-BF_13.2</v>
          </cell>
          <cell r="B724" t="str">
            <v>QUINDIO</v>
          </cell>
          <cell r="C724">
            <v>63401</v>
          </cell>
          <cell r="D724" t="str">
            <v>LA TEBAIDA</v>
          </cell>
          <cell r="E724">
            <v>119</v>
          </cell>
          <cell r="F724" t="str">
            <v>BF_13.2</v>
          </cell>
          <cell r="G724" t="str">
            <v xml:space="preserve">    Reservas Presupuestales de Funcionamiento Vigencia Anterior</v>
          </cell>
          <cell r="H724">
            <v>2.3519999999999999</v>
          </cell>
          <cell r="I724">
            <v>18.233035999999998</v>
          </cell>
        </row>
        <row r="725">
          <cell r="A725" t="str">
            <v>63401-BF_13.3</v>
          </cell>
          <cell r="B725" t="str">
            <v>QUINDIO</v>
          </cell>
          <cell r="C725">
            <v>63401</v>
          </cell>
          <cell r="D725" t="str">
            <v>LA TEBAIDA</v>
          </cell>
          <cell r="E725">
            <v>120</v>
          </cell>
          <cell r="F725" t="str">
            <v>BF_13.3</v>
          </cell>
          <cell r="G725" t="str">
            <v xml:space="preserve">    Reservas Presupuestales de Inversión Vigencia Anterior</v>
          </cell>
          <cell r="H725">
            <v>526.36099999999999</v>
          </cell>
          <cell r="I725">
            <v>193.76108995999999</v>
          </cell>
        </row>
        <row r="726">
          <cell r="A726" t="str">
            <v>63401-BF_13.4</v>
          </cell>
          <cell r="B726" t="str">
            <v>QUINDIO</v>
          </cell>
          <cell r="C726">
            <v>63401</v>
          </cell>
          <cell r="D726" t="str">
            <v>LA TEBAIDA</v>
          </cell>
          <cell r="E726">
            <v>121</v>
          </cell>
          <cell r="F726" t="str">
            <v>BF_13.4</v>
          </cell>
          <cell r="G726" t="str">
            <v xml:space="preserve">    DEFICIT O SUPERAVIT RESERVAS PRESUPUESTALES</v>
          </cell>
          <cell r="H726">
            <v>2.637</v>
          </cell>
          <cell r="I726">
            <v>14.814349440000001</v>
          </cell>
        </row>
        <row r="727">
          <cell r="A727" t="str">
            <v>63470-BF_1</v>
          </cell>
          <cell r="B727" t="str">
            <v>QUINDIO</v>
          </cell>
          <cell r="C727">
            <v>63470</v>
          </cell>
          <cell r="D727" t="str">
            <v>MONTENEGRO</v>
          </cell>
          <cell r="E727">
            <v>1</v>
          </cell>
          <cell r="F727" t="str">
            <v>BF_1</v>
          </cell>
          <cell r="G727" t="str">
            <v>INGRESOS TOTALES</v>
          </cell>
          <cell r="H727">
            <v>34831.332999999999</v>
          </cell>
          <cell r="I727">
            <v>37757.859476999998</v>
          </cell>
        </row>
        <row r="728">
          <cell r="A728" t="str">
            <v>63470-BF_1.1</v>
          </cell>
          <cell r="B728" t="str">
            <v>QUINDIO</v>
          </cell>
          <cell r="C728">
            <v>63470</v>
          </cell>
          <cell r="D728" t="str">
            <v>MONTENEGRO</v>
          </cell>
          <cell r="E728">
            <v>2</v>
          </cell>
          <cell r="F728" t="str">
            <v>BF_1.1</v>
          </cell>
          <cell r="G728" t="str">
            <v xml:space="preserve">    INGRESOS CORRIENTES</v>
          </cell>
          <cell r="H728">
            <v>32575.127</v>
          </cell>
          <cell r="I728">
            <v>33126.754760999997</v>
          </cell>
        </row>
        <row r="729">
          <cell r="A729" t="str">
            <v>63470-BF_1.1.1</v>
          </cell>
          <cell r="B729" t="str">
            <v>QUINDIO</v>
          </cell>
          <cell r="C729">
            <v>63470</v>
          </cell>
          <cell r="D729" t="str">
            <v>MONTENEGRO</v>
          </cell>
          <cell r="E729">
            <v>3</v>
          </cell>
          <cell r="F729" t="str">
            <v>BF_1.1.1</v>
          </cell>
          <cell r="G729" t="str">
            <v xml:space="preserve">        TRIBUTARIOS</v>
          </cell>
          <cell r="H729">
            <v>7291.4179999999997</v>
          </cell>
          <cell r="I729">
            <v>7310.1484259999997</v>
          </cell>
        </row>
        <row r="730">
          <cell r="A730" t="str">
            <v>63470-BF_1.1.1.2</v>
          </cell>
          <cell r="B730" t="str">
            <v>QUINDIO</v>
          </cell>
          <cell r="C730">
            <v>63470</v>
          </cell>
          <cell r="D730" t="str">
            <v>MONTENEGRO</v>
          </cell>
          <cell r="E730">
            <v>5</v>
          </cell>
          <cell r="F730" t="str">
            <v>BF_1.1.1.2</v>
          </cell>
          <cell r="G730" t="str">
            <v xml:space="preserve">             Impuesto Predial Unificado</v>
          </cell>
          <cell r="H730">
            <v>3080.0360000000001</v>
          </cell>
          <cell r="I730">
            <v>2665.1469959999999</v>
          </cell>
        </row>
        <row r="731">
          <cell r="A731" t="str">
            <v>63470-BF_1.1.1.3</v>
          </cell>
          <cell r="B731" t="str">
            <v>QUINDIO</v>
          </cell>
          <cell r="C731">
            <v>63470</v>
          </cell>
          <cell r="D731" t="str">
            <v>MONTENEGRO</v>
          </cell>
          <cell r="E731">
            <v>6</v>
          </cell>
          <cell r="F731" t="str">
            <v>BF_1.1.1.3</v>
          </cell>
          <cell r="G731" t="str">
            <v xml:space="preserve">             Impuesto de Industria y Comercio</v>
          </cell>
          <cell r="H731">
            <v>925.87199999999996</v>
          </cell>
          <cell r="I731">
            <v>1172.072813</v>
          </cell>
        </row>
        <row r="732">
          <cell r="A732" t="str">
            <v>63470-BF_1.1.1.8</v>
          </cell>
          <cell r="B732" t="str">
            <v>QUINDIO</v>
          </cell>
          <cell r="C732">
            <v>63470</v>
          </cell>
          <cell r="D732" t="str">
            <v>MONTENEGRO</v>
          </cell>
          <cell r="E732">
            <v>11</v>
          </cell>
          <cell r="F732" t="str">
            <v>BF_1.1.1.8</v>
          </cell>
          <cell r="G732" t="str">
            <v xml:space="preserve">             Sobretasa Consumo Gasolina Motor</v>
          </cell>
          <cell r="H732">
            <v>746.38099999999997</v>
          </cell>
          <cell r="I732">
            <v>805.774</v>
          </cell>
        </row>
        <row r="733">
          <cell r="A733" t="str">
            <v>63470-BF_1.1.1.9</v>
          </cell>
          <cell r="B733" t="str">
            <v>QUINDIO</v>
          </cell>
          <cell r="C733">
            <v>63470</v>
          </cell>
          <cell r="D733" t="str">
            <v>MONTENEGRO</v>
          </cell>
          <cell r="E733">
            <v>12</v>
          </cell>
          <cell r="F733" t="str">
            <v>BF_1.1.1.9</v>
          </cell>
          <cell r="G733" t="str">
            <v xml:space="preserve">             Estampillas</v>
          </cell>
          <cell r="H733">
            <v>221.041</v>
          </cell>
          <cell r="I733">
            <v>394.86093299999999</v>
          </cell>
        </row>
        <row r="734">
          <cell r="A734" t="str">
            <v>63470-BF_1.1.1.10</v>
          </cell>
          <cell r="B734" t="str">
            <v>QUINDIO</v>
          </cell>
          <cell r="C734">
            <v>63470</v>
          </cell>
          <cell r="D734" t="str">
            <v>MONTENEGRO</v>
          </cell>
          <cell r="E734">
            <v>13</v>
          </cell>
          <cell r="F734" t="str">
            <v>BF_1.1.1.10</v>
          </cell>
          <cell r="G734" t="str">
            <v xml:space="preserve">             Impuesto de Transporte por Oleoductos y Gasoductos</v>
          </cell>
          <cell r="H734">
            <v>0.99</v>
          </cell>
          <cell r="I734">
            <v>0.92211600000000005</v>
          </cell>
        </row>
        <row r="735">
          <cell r="A735" t="str">
            <v>63470-BF_1.1.1.12</v>
          </cell>
          <cell r="B735" t="str">
            <v>QUINDIO</v>
          </cell>
          <cell r="C735">
            <v>63470</v>
          </cell>
          <cell r="D735" t="str">
            <v>MONTENEGRO</v>
          </cell>
          <cell r="E735">
            <v>15</v>
          </cell>
          <cell r="F735" t="str">
            <v>BF_1.1.1.12</v>
          </cell>
          <cell r="G735" t="str">
            <v xml:space="preserve">             Otros Ingresos Tributarios</v>
          </cell>
          <cell r="H735">
            <v>2317.098</v>
          </cell>
          <cell r="I735">
            <v>2271.371568</v>
          </cell>
        </row>
        <row r="736">
          <cell r="A736" t="str">
            <v>63470-BF_1.1.2</v>
          </cell>
          <cell r="B736" t="str">
            <v>QUINDIO</v>
          </cell>
          <cell r="C736">
            <v>63470</v>
          </cell>
          <cell r="D736" t="str">
            <v>MONTENEGRO</v>
          </cell>
          <cell r="E736">
            <v>16</v>
          </cell>
          <cell r="F736" t="str">
            <v>BF_1.1.2</v>
          </cell>
          <cell r="G736" t="str">
            <v xml:space="preserve">        NO TRIBUTARIOS</v>
          </cell>
          <cell r="H736">
            <v>1108.57</v>
          </cell>
          <cell r="I736">
            <v>938.32062399999995</v>
          </cell>
        </row>
        <row r="737">
          <cell r="A737" t="str">
            <v>63470-BF_1.1.2.1</v>
          </cell>
          <cell r="B737" t="str">
            <v>QUINDIO</v>
          </cell>
          <cell r="C737">
            <v>63470</v>
          </cell>
          <cell r="D737" t="str">
            <v>MONTENEGRO</v>
          </cell>
          <cell r="E737">
            <v>17</v>
          </cell>
          <cell r="F737" t="str">
            <v>BF_1.1.2.1</v>
          </cell>
          <cell r="G737" t="str">
            <v xml:space="preserve">             Ingresos de la Propiedad: Tasas, Derechos, Multas y Sanciones</v>
          </cell>
          <cell r="H737">
            <v>823.07500000000005</v>
          </cell>
          <cell r="I737">
            <v>590.25134300000002</v>
          </cell>
        </row>
        <row r="738">
          <cell r="A738" t="str">
            <v>63470-BF_1.1.2.2</v>
          </cell>
          <cell r="B738" t="str">
            <v>QUINDIO</v>
          </cell>
          <cell r="C738">
            <v>63470</v>
          </cell>
          <cell r="D738" t="str">
            <v>MONTENEGRO</v>
          </cell>
          <cell r="E738">
            <v>18</v>
          </cell>
          <cell r="F738" t="str">
            <v>BF_1.1.2.2</v>
          </cell>
          <cell r="G738" t="str">
            <v xml:space="preserve">             Otros No Tributarios</v>
          </cell>
          <cell r="H738">
            <v>285.495</v>
          </cell>
          <cell r="I738">
            <v>348.06928099999999</v>
          </cell>
        </row>
        <row r="739">
          <cell r="A739" t="str">
            <v>63470-BF_1.1.3</v>
          </cell>
          <cell r="B739" t="str">
            <v>QUINDIO</v>
          </cell>
          <cell r="C739">
            <v>63470</v>
          </cell>
          <cell r="D739" t="str">
            <v>MONTENEGRO</v>
          </cell>
          <cell r="E739">
            <v>19</v>
          </cell>
          <cell r="F739" t="str">
            <v>BF_1.1.3</v>
          </cell>
          <cell r="G739" t="str">
            <v xml:space="preserve">        TRANSFERENCIAS</v>
          </cell>
          <cell r="H739">
            <v>24175.138999999999</v>
          </cell>
          <cell r="I739">
            <v>24878.285711</v>
          </cell>
        </row>
        <row r="740">
          <cell r="A740" t="str">
            <v>63470-BF_1.1.3.1</v>
          </cell>
          <cell r="B740" t="str">
            <v>QUINDIO</v>
          </cell>
          <cell r="C740">
            <v>63470</v>
          </cell>
          <cell r="D740" t="str">
            <v>MONTENEGRO</v>
          </cell>
          <cell r="E740">
            <v>20</v>
          </cell>
          <cell r="F740" t="str">
            <v>BF_1.1.3.1</v>
          </cell>
          <cell r="G740" t="str">
            <v xml:space="preserve">             Transferencias Para Funcionamiento</v>
          </cell>
          <cell r="H740">
            <v>980.61500000000001</v>
          </cell>
          <cell r="I740">
            <v>1133.7183849999999</v>
          </cell>
        </row>
        <row r="741">
          <cell r="A741" t="str">
            <v>63470-BF_1.1.3.1.1</v>
          </cell>
          <cell r="B741" t="str">
            <v>QUINDIO</v>
          </cell>
          <cell r="C741">
            <v>63470</v>
          </cell>
          <cell r="D741" t="str">
            <v>MONTENEGRO</v>
          </cell>
          <cell r="E741">
            <v>21</v>
          </cell>
          <cell r="F741" t="str">
            <v>BF_1.1.3.1.1</v>
          </cell>
          <cell r="G741" t="str">
            <v xml:space="preserve">                 Del Nivel Nacional</v>
          </cell>
          <cell r="H741">
            <v>904.52300000000002</v>
          </cell>
          <cell r="I741">
            <v>1048.9634470000001</v>
          </cell>
        </row>
        <row r="742">
          <cell r="A742" t="str">
            <v>63470-BF_1.1.3.1.1.1</v>
          </cell>
          <cell r="B742" t="str">
            <v>QUINDIO</v>
          </cell>
          <cell r="C742">
            <v>63470</v>
          </cell>
          <cell r="D742" t="str">
            <v>MONTENEGRO</v>
          </cell>
          <cell r="E742">
            <v>22</v>
          </cell>
          <cell r="F742" t="str">
            <v>BF_1.1.3.1.1.1</v>
          </cell>
          <cell r="G742" t="str">
            <v xml:space="preserve">                     Sistema General de Participaciones - Propósito General - Libre destinación - Municipios categorías 4, 5 y 6</v>
          </cell>
          <cell r="H742">
            <v>904.52300000000002</v>
          </cell>
          <cell r="I742">
            <v>1048.9634470000001</v>
          </cell>
        </row>
        <row r="743">
          <cell r="A743" t="str">
            <v>63470-BF_1.1.3.1.2</v>
          </cell>
          <cell r="B743" t="str">
            <v>QUINDIO</v>
          </cell>
          <cell r="C743">
            <v>63470</v>
          </cell>
          <cell r="D743" t="str">
            <v>MONTENEGRO</v>
          </cell>
          <cell r="E743">
            <v>24</v>
          </cell>
          <cell r="F743" t="str">
            <v>BF_1.1.3.1.2</v>
          </cell>
          <cell r="G743" t="str">
            <v xml:space="preserve">                 Del Nivel Departamental</v>
          </cell>
          <cell r="H743">
            <v>76.091999999999999</v>
          </cell>
          <cell r="I743">
            <v>84.754937999999996</v>
          </cell>
        </row>
        <row r="744">
          <cell r="A744" t="str">
            <v>63470-BF_1.1.3.1.2.1</v>
          </cell>
          <cell r="B744" t="str">
            <v>QUINDIO</v>
          </cell>
          <cell r="C744">
            <v>63470</v>
          </cell>
          <cell r="D744" t="str">
            <v>MONTENEGRO</v>
          </cell>
          <cell r="E744">
            <v>25</v>
          </cell>
          <cell r="F744" t="str">
            <v>BF_1.1.3.1.2.1</v>
          </cell>
          <cell r="G744" t="str">
            <v xml:space="preserve">                     De Vehículos Automotores</v>
          </cell>
          <cell r="H744">
            <v>76.091999999999999</v>
          </cell>
          <cell r="I744">
            <v>84.754937999999996</v>
          </cell>
        </row>
        <row r="745">
          <cell r="A745" t="str">
            <v>63470-BF_1.1.3.2</v>
          </cell>
          <cell r="B745" t="str">
            <v>QUINDIO</v>
          </cell>
          <cell r="C745">
            <v>63470</v>
          </cell>
          <cell r="D745" t="str">
            <v>MONTENEGRO</v>
          </cell>
          <cell r="E745">
            <v>28</v>
          </cell>
          <cell r="F745" t="str">
            <v>BF_1.1.3.2</v>
          </cell>
          <cell r="G745" t="str">
            <v xml:space="preserve">             Transferencias Para Inversión</v>
          </cell>
          <cell r="H745">
            <v>23194.524000000001</v>
          </cell>
          <cell r="I745">
            <v>23744.567326</v>
          </cell>
        </row>
        <row r="746">
          <cell r="A746" t="str">
            <v>63470-BF_1.1.3.2.1</v>
          </cell>
          <cell r="B746" t="str">
            <v>QUINDIO</v>
          </cell>
          <cell r="C746">
            <v>63470</v>
          </cell>
          <cell r="D746" t="str">
            <v>MONTENEGRO</v>
          </cell>
          <cell r="E746">
            <v>29</v>
          </cell>
          <cell r="F746" t="str">
            <v>BF_1.1.3.2.1</v>
          </cell>
          <cell r="G746" t="str">
            <v xml:space="preserve">                 Del Nivel Nacional</v>
          </cell>
          <cell r="H746">
            <v>21463.353999999999</v>
          </cell>
          <cell r="I746">
            <v>21850.123154000001</v>
          </cell>
        </row>
        <row r="747">
          <cell r="A747" t="str">
            <v>63470-BF_1.1.3.2.1.1</v>
          </cell>
          <cell r="B747" t="str">
            <v>QUINDIO</v>
          </cell>
          <cell r="C747">
            <v>63470</v>
          </cell>
          <cell r="D747" t="str">
            <v>MONTENEGRO</v>
          </cell>
          <cell r="E747">
            <v>30</v>
          </cell>
          <cell r="F747" t="str">
            <v>BF_1.1.3.2.1.1</v>
          </cell>
          <cell r="G747" t="str">
            <v xml:space="preserve">                     Sistema General de Participaciones</v>
          </cell>
          <cell r="H747">
            <v>11913.481</v>
          </cell>
          <cell r="I747">
            <v>11906.765583</v>
          </cell>
        </row>
        <row r="748">
          <cell r="A748" t="str">
            <v>63470-BF_1.1.3.2.1.1.1</v>
          </cell>
          <cell r="B748" t="str">
            <v>QUINDIO</v>
          </cell>
          <cell r="C748">
            <v>63470</v>
          </cell>
          <cell r="D748" t="str">
            <v>MONTENEGRO</v>
          </cell>
          <cell r="E748">
            <v>31</v>
          </cell>
          <cell r="F748" t="str">
            <v>BF_1.1.3.2.1.1.1</v>
          </cell>
          <cell r="G748" t="str">
            <v xml:space="preserve">                         Sistema General de Participaciones - Educación</v>
          </cell>
          <cell r="H748">
            <v>1190.5139999999999</v>
          </cell>
          <cell r="I748">
            <v>1155.8594390000001</v>
          </cell>
        </row>
        <row r="749">
          <cell r="A749" t="str">
            <v>63470-BF_1.1.3.2.1.1.2</v>
          </cell>
          <cell r="B749" t="str">
            <v>QUINDIO</v>
          </cell>
          <cell r="C749">
            <v>63470</v>
          </cell>
          <cell r="D749" t="str">
            <v>MONTENEGRO</v>
          </cell>
          <cell r="E749">
            <v>32</v>
          </cell>
          <cell r="F749" t="str">
            <v>BF_1.1.3.2.1.1.2</v>
          </cell>
          <cell r="G749" t="str">
            <v xml:space="preserve">                         Sistema General de Participaciones - Salud</v>
          </cell>
          <cell r="H749">
            <v>8218.7109999999993</v>
          </cell>
          <cell r="I749">
            <v>8187.4638169999998</v>
          </cell>
        </row>
        <row r="750">
          <cell r="A750" t="str">
            <v>63470-BF_1.1.3.2.1.1.3</v>
          </cell>
          <cell r="B750" t="str">
            <v>QUINDIO</v>
          </cell>
          <cell r="C750">
            <v>63470</v>
          </cell>
          <cell r="D750" t="str">
            <v>MONTENEGRO</v>
          </cell>
          <cell r="E750">
            <v>33</v>
          </cell>
          <cell r="F750" t="str">
            <v>BF_1.1.3.2.1.1.3</v>
          </cell>
          <cell r="G750" t="str">
            <v xml:space="preserve">                         Sistema General de Participaciones - Agua Potable y Saneamiento Básico</v>
          </cell>
          <cell r="H750">
            <v>1166.1980000000001</v>
          </cell>
          <cell r="I750">
            <v>1145.0140389999999</v>
          </cell>
        </row>
        <row r="751">
          <cell r="A751" t="str">
            <v>63470-BF_1.1.3.2.1.1.4</v>
          </cell>
          <cell r="B751" t="str">
            <v>QUINDIO</v>
          </cell>
          <cell r="C751">
            <v>63470</v>
          </cell>
          <cell r="D751" t="str">
            <v>MONTENEGRO</v>
          </cell>
          <cell r="E751">
            <v>34</v>
          </cell>
          <cell r="F751" t="str">
            <v>BF_1.1.3.2.1.1.4</v>
          </cell>
          <cell r="G751" t="str">
            <v xml:space="preserve">                         Sistema General de Participaciones - Propósito General - Forzosa Inversión</v>
          </cell>
          <cell r="H751">
            <v>1124.193</v>
          </cell>
          <cell r="I751">
            <v>1303.7117149999999</v>
          </cell>
        </row>
        <row r="752">
          <cell r="A752" t="str">
            <v>63470-BF_1.1.3.2.1.1.5</v>
          </cell>
          <cell r="B752" t="str">
            <v>QUINDIO</v>
          </cell>
          <cell r="C752">
            <v>63470</v>
          </cell>
          <cell r="D752" t="str">
            <v>MONTENEGRO</v>
          </cell>
          <cell r="E752">
            <v>35</v>
          </cell>
          <cell r="F752" t="str">
            <v>BF_1.1.3.2.1.1.5</v>
          </cell>
          <cell r="G752" t="str">
            <v xml:space="preserve">                         Otras del Sistema General de Participaciones</v>
          </cell>
          <cell r="H752">
            <v>213.86500000000001</v>
          </cell>
          <cell r="I752">
            <v>114.716573</v>
          </cell>
        </row>
        <row r="753">
          <cell r="A753" t="str">
            <v>63470-BF_1.1.3.2.1.2</v>
          </cell>
          <cell r="B753" t="str">
            <v>QUINDIO</v>
          </cell>
          <cell r="C753">
            <v>63470</v>
          </cell>
          <cell r="D753" t="str">
            <v>MONTENEGRO</v>
          </cell>
          <cell r="E753">
            <v>36</v>
          </cell>
          <cell r="F753" t="str">
            <v>BF_1.1.3.2.1.2</v>
          </cell>
          <cell r="G753" t="str">
            <v xml:space="preserve">                     FOSYGA y COLJUEGOS</v>
          </cell>
          <cell r="H753">
            <v>9549.8729999999996</v>
          </cell>
          <cell r="I753">
            <v>9943.3575710000005</v>
          </cell>
        </row>
        <row r="754">
          <cell r="A754" t="str">
            <v>63470-BF_1.1.3.2.2</v>
          </cell>
          <cell r="B754" t="str">
            <v>QUINDIO</v>
          </cell>
          <cell r="C754">
            <v>63470</v>
          </cell>
          <cell r="D754" t="str">
            <v>MONTENEGRO</v>
          </cell>
          <cell r="E754">
            <v>38</v>
          </cell>
          <cell r="F754" t="str">
            <v>BF_1.1.3.2.2</v>
          </cell>
          <cell r="G754" t="str">
            <v xml:space="preserve">                 Del Nivel Departamental</v>
          </cell>
          <cell r="H754">
            <v>1731.17</v>
          </cell>
          <cell r="I754">
            <v>1894.444172</v>
          </cell>
        </row>
        <row r="755">
          <cell r="A755" t="str">
            <v>63470-BF_2</v>
          </cell>
          <cell r="B755" t="str">
            <v>QUINDIO</v>
          </cell>
          <cell r="C755">
            <v>63470</v>
          </cell>
          <cell r="D755" t="str">
            <v>MONTENEGRO</v>
          </cell>
          <cell r="E755">
            <v>43</v>
          </cell>
          <cell r="F755" t="str">
            <v>BF_2</v>
          </cell>
          <cell r="G755" t="str">
            <v>GASTOS  TOTALES</v>
          </cell>
          <cell r="H755">
            <v>34717.292000000001</v>
          </cell>
          <cell r="I755">
            <v>41319.261890000002</v>
          </cell>
        </row>
        <row r="756">
          <cell r="A756" t="str">
            <v>63470-BF_2.1</v>
          </cell>
          <cell r="B756" t="str">
            <v>QUINDIO</v>
          </cell>
          <cell r="C756">
            <v>63470</v>
          </cell>
          <cell r="D756" t="str">
            <v>MONTENEGRO</v>
          </cell>
          <cell r="E756">
            <v>44</v>
          </cell>
          <cell r="F756" t="str">
            <v>BF_2.1</v>
          </cell>
          <cell r="G756" t="str">
            <v xml:space="preserve">    GASTOS CORRIENTES</v>
          </cell>
          <cell r="H756">
            <v>27769.093000000001</v>
          </cell>
          <cell r="I756">
            <v>34455.203657999999</v>
          </cell>
        </row>
        <row r="757">
          <cell r="A757" t="str">
            <v>63470-BF_2.1.1</v>
          </cell>
          <cell r="B757" t="str">
            <v>QUINDIO</v>
          </cell>
          <cell r="C757">
            <v>63470</v>
          </cell>
          <cell r="D757" t="str">
            <v>MONTENEGRO</v>
          </cell>
          <cell r="E757">
            <v>45</v>
          </cell>
          <cell r="F757" t="str">
            <v>BF_2.1.1</v>
          </cell>
          <cell r="G757" t="str">
            <v xml:space="preserve">        FUNCIONAMIENTO</v>
          </cell>
          <cell r="H757">
            <v>4689.808</v>
          </cell>
          <cell r="I757">
            <v>5476.1061110000001</v>
          </cell>
        </row>
        <row r="758">
          <cell r="A758" t="str">
            <v>63470-BF_2.1.1.1</v>
          </cell>
          <cell r="B758" t="str">
            <v>QUINDIO</v>
          </cell>
          <cell r="C758">
            <v>63470</v>
          </cell>
          <cell r="D758" t="str">
            <v>MONTENEGRO</v>
          </cell>
          <cell r="E758">
            <v>46</v>
          </cell>
          <cell r="F758" t="str">
            <v>BF_2.1.1.1</v>
          </cell>
          <cell r="G758" t="str">
            <v xml:space="preserve">             Gastos de Personal  </v>
          </cell>
          <cell r="H758">
            <v>1990.4159999999999</v>
          </cell>
          <cell r="I758">
            <v>2299.209237</v>
          </cell>
        </row>
        <row r="759">
          <cell r="A759" t="str">
            <v>63470-BF_2.1.1.2</v>
          </cell>
          <cell r="B759" t="str">
            <v>QUINDIO</v>
          </cell>
          <cell r="C759">
            <v>63470</v>
          </cell>
          <cell r="D759" t="str">
            <v>MONTENEGRO</v>
          </cell>
          <cell r="E759">
            <v>47</v>
          </cell>
          <cell r="F759" t="str">
            <v>BF_2.1.1.2</v>
          </cell>
          <cell r="G759" t="str">
            <v xml:space="preserve">             Gastos Generales</v>
          </cell>
          <cell r="H759">
            <v>552.27599999999995</v>
          </cell>
          <cell r="I759">
            <v>616.79099799999995</v>
          </cell>
        </row>
        <row r="760">
          <cell r="A760" t="str">
            <v>63470-BF_2.1.1.3</v>
          </cell>
          <cell r="B760" t="str">
            <v>QUINDIO</v>
          </cell>
          <cell r="C760">
            <v>63470</v>
          </cell>
          <cell r="D760" t="str">
            <v>MONTENEGRO</v>
          </cell>
          <cell r="E760">
            <v>48</v>
          </cell>
          <cell r="F760" t="str">
            <v>BF_2.1.1.3</v>
          </cell>
          <cell r="G760" t="str">
            <v xml:space="preserve">             Transferencias</v>
          </cell>
          <cell r="H760">
            <v>2147.116</v>
          </cell>
          <cell r="I760">
            <v>2556.199666</v>
          </cell>
        </row>
        <row r="761">
          <cell r="A761" t="str">
            <v>63470-BF_2.1.1.3.1</v>
          </cell>
          <cell r="B761" t="str">
            <v>QUINDIO</v>
          </cell>
          <cell r="C761">
            <v>63470</v>
          </cell>
          <cell r="D761" t="str">
            <v>MONTENEGRO</v>
          </cell>
          <cell r="E761">
            <v>49</v>
          </cell>
          <cell r="F761" t="str">
            <v>BF_2.1.1.3.1</v>
          </cell>
          <cell r="G761" t="str">
            <v xml:space="preserve">                 Pensiones</v>
          </cell>
          <cell r="H761">
            <v>653.64099999999996</v>
          </cell>
          <cell r="I761">
            <v>618.87024399999996</v>
          </cell>
        </row>
        <row r="762">
          <cell r="A762" t="str">
            <v>63470-BF_2.1.1.3.4</v>
          </cell>
          <cell r="B762" t="str">
            <v>QUINDIO</v>
          </cell>
          <cell r="C762">
            <v>63470</v>
          </cell>
          <cell r="D762" t="str">
            <v>MONTENEGRO</v>
          </cell>
          <cell r="E762">
            <v>52</v>
          </cell>
          <cell r="F762" t="str">
            <v>BF_2.1.1.3.4</v>
          </cell>
          <cell r="G762" t="str">
            <v xml:space="preserve">                 A Organismos de Control</v>
          </cell>
          <cell r="H762">
            <v>319.45800000000003</v>
          </cell>
          <cell r="I762">
            <v>351.51380699999999</v>
          </cell>
        </row>
        <row r="763">
          <cell r="A763" t="str">
            <v>63470-BF_2.1.1.3.6</v>
          </cell>
          <cell r="B763" t="str">
            <v>QUINDIO</v>
          </cell>
          <cell r="C763">
            <v>63470</v>
          </cell>
          <cell r="D763" t="str">
            <v>MONTENEGRO</v>
          </cell>
          <cell r="E763">
            <v>54</v>
          </cell>
          <cell r="F763" t="str">
            <v>BF_2.1.1.3.6</v>
          </cell>
          <cell r="G763" t="str">
            <v xml:space="preserve">                 Sentencias y Conciliaciones</v>
          </cell>
          <cell r="H763">
            <v>1170.2249999999999</v>
          </cell>
          <cell r="I763">
            <v>1114.9386870000001</v>
          </cell>
        </row>
        <row r="764">
          <cell r="A764" t="str">
            <v>63470-BF_2.1.1.3.7</v>
          </cell>
          <cell r="B764" t="str">
            <v>QUINDIO</v>
          </cell>
          <cell r="C764">
            <v>63470</v>
          </cell>
          <cell r="D764" t="str">
            <v>MONTENEGRO</v>
          </cell>
          <cell r="E764">
            <v>55</v>
          </cell>
          <cell r="F764" t="str">
            <v>BF_2.1.1.3.7</v>
          </cell>
          <cell r="G764" t="str">
            <v xml:space="preserve">                 Otras Transferencias</v>
          </cell>
          <cell r="H764">
            <v>3.7919999999999998</v>
          </cell>
          <cell r="I764">
            <v>470.87692800000002</v>
          </cell>
        </row>
        <row r="765">
          <cell r="A765" t="str">
            <v>63470-BF_2.1.1.6</v>
          </cell>
          <cell r="B765" t="str">
            <v>QUINDIO</v>
          </cell>
          <cell r="C765">
            <v>63470</v>
          </cell>
          <cell r="D765" t="str">
            <v>MONTENEGRO</v>
          </cell>
          <cell r="E765">
            <v>58</v>
          </cell>
          <cell r="F765" t="str">
            <v>BF_2.1.1.6</v>
          </cell>
          <cell r="G765" t="str">
            <v xml:space="preserve">             Otros Gastos de Funcionamiento</v>
          </cell>
          <cell r="H765">
            <v>0</v>
          </cell>
          <cell r="I765">
            <v>3.9062100000000002</v>
          </cell>
        </row>
        <row r="766">
          <cell r="A766" t="str">
            <v>63470-BF_2.1.2</v>
          </cell>
          <cell r="B766" t="str">
            <v>QUINDIO</v>
          </cell>
          <cell r="C766">
            <v>63470</v>
          </cell>
          <cell r="D766" t="str">
            <v>MONTENEGRO</v>
          </cell>
          <cell r="E766">
            <v>59</v>
          </cell>
          <cell r="F766" t="str">
            <v>BF_2.1.2</v>
          </cell>
          <cell r="G766" t="str">
            <v xml:space="preserve">        PAGO DE BONOS PENSIONALES Y CUOTAS PARTES DE BONO PENSIONAL</v>
          </cell>
          <cell r="H766">
            <v>102.05800000000001</v>
          </cell>
          <cell r="I766">
            <v>37.651000000000003</v>
          </cell>
        </row>
        <row r="767">
          <cell r="A767" t="str">
            <v>63470-BF_2.1.4</v>
          </cell>
          <cell r="B767" t="str">
            <v>QUINDIO</v>
          </cell>
          <cell r="C767">
            <v>63470</v>
          </cell>
          <cell r="D767" t="str">
            <v>MONTENEGRO</v>
          </cell>
          <cell r="E767">
            <v>61</v>
          </cell>
          <cell r="F767" t="str">
            <v>BF_2.1.4</v>
          </cell>
          <cell r="G767" t="str">
            <v xml:space="preserve">        GASTOS OPERATIVOS EN SECTORES SOCIALES (Remuneración al Trabajo, Prestaciones, y Subsidios en Sectores de Inversión)</v>
          </cell>
          <cell r="H767">
            <v>22833.409</v>
          </cell>
          <cell r="I767">
            <v>28861.265574000001</v>
          </cell>
        </row>
        <row r="768">
          <cell r="A768" t="str">
            <v>63470-BF_2.1.4.1</v>
          </cell>
          <cell r="B768" t="str">
            <v>QUINDIO</v>
          </cell>
          <cell r="C768">
            <v>63470</v>
          </cell>
          <cell r="D768" t="str">
            <v>MONTENEGRO</v>
          </cell>
          <cell r="E768">
            <v>62</v>
          </cell>
          <cell r="F768" t="str">
            <v>BF_2.1.4.1</v>
          </cell>
          <cell r="G768" t="str">
            <v xml:space="preserve">             Educación</v>
          </cell>
          <cell r="H768">
            <v>1550.671</v>
          </cell>
          <cell r="I768">
            <v>1436.2906190000001</v>
          </cell>
        </row>
        <row r="769">
          <cell r="A769" t="str">
            <v>63470-BF_2.1.4.2</v>
          </cell>
          <cell r="B769" t="str">
            <v>QUINDIO</v>
          </cell>
          <cell r="C769">
            <v>63470</v>
          </cell>
          <cell r="D769" t="str">
            <v>MONTENEGRO</v>
          </cell>
          <cell r="E769">
            <v>63</v>
          </cell>
          <cell r="F769" t="str">
            <v>BF_2.1.4.2</v>
          </cell>
          <cell r="G769" t="str">
            <v xml:space="preserve">             Salud</v>
          </cell>
          <cell r="H769">
            <v>20150.794000000002</v>
          </cell>
          <cell r="I769">
            <v>22605.198363</v>
          </cell>
        </row>
        <row r="770">
          <cell r="A770" t="str">
            <v>63470-BF_2.1.4.3</v>
          </cell>
          <cell r="B770" t="str">
            <v>QUINDIO</v>
          </cell>
          <cell r="C770">
            <v>63470</v>
          </cell>
          <cell r="D770" t="str">
            <v>MONTENEGRO</v>
          </cell>
          <cell r="E770">
            <v>64</v>
          </cell>
          <cell r="F770" t="str">
            <v>BF_2.1.4.3</v>
          </cell>
          <cell r="G770" t="str">
            <v xml:space="preserve">             Agua Potable y Saneamiento Básico</v>
          </cell>
          <cell r="H770">
            <v>692.32299999999998</v>
          </cell>
          <cell r="I770">
            <v>1081.5209170000001</v>
          </cell>
        </row>
        <row r="771">
          <cell r="A771" t="str">
            <v>63470-BF_2.1.4.4</v>
          </cell>
          <cell r="B771" t="str">
            <v>QUINDIO</v>
          </cell>
          <cell r="C771">
            <v>63470</v>
          </cell>
          <cell r="D771" t="str">
            <v>MONTENEGRO</v>
          </cell>
          <cell r="E771">
            <v>65</v>
          </cell>
          <cell r="F771" t="str">
            <v>BF_2.1.4.4</v>
          </cell>
          <cell r="G771" t="str">
            <v xml:space="preserve">             Vivienda</v>
          </cell>
          <cell r="H771">
            <v>0</v>
          </cell>
          <cell r="I771">
            <v>16.529667</v>
          </cell>
        </row>
        <row r="772">
          <cell r="A772" t="str">
            <v>63470-BF_2.1.4.5</v>
          </cell>
          <cell r="B772" t="str">
            <v>QUINDIO</v>
          </cell>
          <cell r="C772">
            <v>63470</v>
          </cell>
          <cell r="D772" t="str">
            <v>MONTENEGRO</v>
          </cell>
          <cell r="E772">
            <v>66</v>
          </cell>
          <cell r="F772" t="str">
            <v>BF_2.1.4.5</v>
          </cell>
          <cell r="G772" t="str">
            <v xml:space="preserve">             Otros Sectores</v>
          </cell>
          <cell r="H772">
            <v>439.62099999999998</v>
          </cell>
          <cell r="I772">
            <v>3721.7260080000001</v>
          </cell>
        </row>
        <row r="773">
          <cell r="A773" t="str">
            <v>63470-BF_2.1.5</v>
          </cell>
          <cell r="B773" t="str">
            <v>QUINDIO</v>
          </cell>
          <cell r="C773">
            <v>63470</v>
          </cell>
          <cell r="D773" t="str">
            <v>MONTENEGRO</v>
          </cell>
          <cell r="E773">
            <v>67</v>
          </cell>
          <cell r="F773" t="str">
            <v>BF_2.1.5</v>
          </cell>
          <cell r="G773" t="str">
            <v xml:space="preserve">        INTERESES Y COMISIONES DE LA DEUDA</v>
          </cell>
          <cell r="H773">
            <v>143.81800000000001</v>
          </cell>
          <cell r="I773">
            <v>80.180972999999994</v>
          </cell>
        </row>
        <row r="774">
          <cell r="A774" t="str">
            <v>63470-BF_2.1.5.1</v>
          </cell>
          <cell r="B774" t="str">
            <v>QUINDIO</v>
          </cell>
          <cell r="C774">
            <v>63470</v>
          </cell>
          <cell r="D774" t="str">
            <v>MONTENEGRO</v>
          </cell>
          <cell r="E774">
            <v>68</v>
          </cell>
          <cell r="F774" t="str">
            <v>BF_2.1.5.1</v>
          </cell>
          <cell r="G774" t="str">
            <v xml:space="preserve">             Interna</v>
          </cell>
          <cell r="H774">
            <v>143.81800000000001</v>
          </cell>
          <cell r="I774">
            <v>80.180972999999994</v>
          </cell>
        </row>
        <row r="775">
          <cell r="A775" t="str">
            <v>63470-BF_3</v>
          </cell>
          <cell r="B775" t="str">
            <v>QUINDIO</v>
          </cell>
          <cell r="C775">
            <v>63470</v>
          </cell>
          <cell r="D775" t="str">
            <v>MONTENEGRO</v>
          </cell>
          <cell r="E775">
            <v>70</v>
          </cell>
          <cell r="F775" t="str">
            <v>BF_3</v>
          </cell>
          <cell r="G775" t="str">
            <v>DÉFICIT O AHORRO CORRIENTE</v>
          </cell>
          <cell r="H775">
            <v>4806.0339999999997</v>
          </cell>
          <cell r="I775">
            <v>-1328.448897</v>
          </cell>
        </row>
        <row r="776">
          <cell r="A776" t="str">
            <v>63470-BF_4</v>
          </cell>
          <cell r="B776" t="str">
            <v>QUINDIO</v>
          </cell>
          <cell r="C776">
            <v>63470</v>
          </cell>
          <cell r="D776" t="str">
            <v>MONTENEGRO</v>
          </cell>
          <cell r="E776">
            <v>71</v>
          </cell>
          <cell r="F776" t="str">
            <v>BF_4</v>
          </cell>
          <cell r="G776" t="str">
            <v>INGRESOS DE CAPITAL</v>
          </cell>
          <cell r="H776">
            <v>2256.2060000000001</v>
          </cell>
          <cell r="I776">
            <v>4631.1047159999998</v>
          </cell>
        </row>
        <row r="777">
          <cell r="A777" t="str">
            <v>63470-BF_4.1</v>
          </cell>
          <cell r="B777" t="str">
            <v>QUINDIO</v>
          </cell>
          <cell r="C777">
            <v>63470</v>
          </cell>
          <cell r="D777" t="str">
            <v>MONTENEGRO</v>
          </cell>
          <cell r="E777">
            <v>72</v>
          </cell>
          <cell r="F777" t="str">
            <v>BF_4.1</v>
          </cell>
          <cell r="G777" t="str">
            <v xml:space="preserve">    Cofinanciación</v>
          </cell>
          <cell r="H777">
            <v>0</v>
          </cell>
          <cell r="I777">
            <v>736.04216599999995</v>
          </cell>
        </row>
        <row r="778">
          <cell r="A778" t="str">
            <v>63470-BF_4.4</v>
          </cell>
          <cell r="B778" t="str">
            <v>QUINDIO</v>
          </cell>
          <cell r="C778">
            <v>63470</v>
          </cell>
          <cell r="D778" t="str">
            <v>MONTENEGRO</v>
          </cell>
          <cell r="E778">
            <v>75</v>
          </cell>
          <cell r="F778" t="str">
            <v>BF_4.4</v>
          </cell>
          <cell r="G778" t="str">
            <v xml:space="preserve">    Rendimientos Financieros</v>
          </cell>
          <cell r="H778">
            <v>164.786</v>
          </cell>
          <cell r="I778">
            <v>126.095237</v>
          </cell>
        </row>
        <row r="779">
          <cell r="A779" t="str">
            <v>63470-BF_4.5</v>
          </cell>
          <cell r="B779" t="str">
            <v>QUINDIO</v>
          </cell>
          <cell r="C779">
            <v>63470</v>
          </cell>
          <cell r="D779" t="str">
            <v>MONTENEGRO</v>
          </cell>
          <cell r="E779">
            <v>76</v>
          </cell>
          <cell r="F779" t="str">
            <v>BF_4.5</v>
          </cell>
          <cell r="G779" t="str">
            <v xml:space="preserve">    Excedentes Financieros</v>
          </cell>
          <cell r="H779">
            <v>27.901</v>
          </cell>
          <cell r="I779">
            <v>40</v>
          </cell>
        </row>
        <row r="780">
          <cell r="A780" t="str">
            <v>63470-BF_4.6</v>
          </cell>
          <cell r="B780" t="str">
            <v>QUINDIO</v>
          </cell>
          <cell r="C780">
            <v>63470</v>
          </cell>
          <cell r="D780" t="str">
            <v>MONTENEGRO</v>
          </cell>
          <cell r="E780">
            <v>77</v>
          </cell>
          <cell r="F780" t="str">
            <v>BF_4.6</v>
          </cell>
          <cell r="G780" t="str">
            <v xml:space="preserve">    Desahorro FONPET</v>
          </cell>
          <cell r="H780">
            <v>1194.702</v>
          </cell>
          <cell r="I780">
            <v>3609.3037119999999</v>
          </cell>
        </row>
        <row r="781">
          <cell r="A781" t="str">
            <v>63470-BF_4.6.1</v>
          </cell>
          <cell r="B781" t="str">
            <v>QUINDIO</v>
          </cell>
          <cell r="C781">
            <v>63470</v>
          </cell>
          <cell r="D781" t="str">
            <v>MONTENEGRO</v>
          </cell>
          <cell r="E781">
            <v>78</v>
          </cell>
          <cell r="F781" t="str">
            <v>BF_4.6.1</v>
          </cell>
          <cell r="G781" t="str">
            <v xml:space="preserve">    Salud</v>
          </cell>
          <cell r="H781">
            <v>548.40099999999995</v>
          </cell>
          <cell r="I781">
            <v>2549.1819999999998</v>
          </cell>
        </row>
        <row r="782">
          <cell r="A782" t="str">
            <v>63470-BF_4.6.4</v>
          </cell>
          <cell r="B782" t="str">
            <v>QUINDIO</v>
          </cell>
          <cell r="C782">
            <v>63470</v>
          </cell>
          <cell r="D782" t="str">
            <v>MONTENEGRO</v>
          </cell>
          <cell r="E782">
            <v>81</v>
          </cell>
          <cell r="F782" t="str">
            <v>BF_4.6.4</v>
          </cell>
          <cell r="G782" t="str">
            <v xml:space="preserve">    Otros Desahorros y Retiros (Cuotas partes, Bonos y Devoluciones)</v>
          </cell>
          <cell r="H782">
            <v>646.30100000000004</v>
          </cell>
          <cell r="I782">
            <v>1060.1217119999999</v>
          </cell>
        </row>
        <row r="783">
          <cell r="A783" t="str">
            <v>63470-BF_4.7</v>
          </cell>
          <cell r="B783" t="str">
            <v>QUINDIO</v>
          </cell>
          <cell r="C783">
            <v>63470</v>
          </cell>
          <cell r="D783" t="str">
            <v>MONTENEGRO</v>
          </cell>
          <cell r="E783">
            <v>82</v>
          </cell>
          <cell r="F783" t="str">
            <v>BF_4.7</v>
          </cell>
          <cell r="G783" t="str">
            <v xml:space="preserve">    Otros Recursos de Capital (Donaciones, Aprovechamientos y Otros)</v>
          </cell>
          <cell r="H783">
            <v>868.81700000000001</v>
          </cell>
          <cell r="I783">
            <v>119.663601</v>
          </cell>
        </row>
        <row r="784">
          <cell r="A784" t="str">
            <v>63470-BF_5</v>
          </cell>
          <cell r="B784" t="str">
            <v>QUINDIO</v>
          </cell>
          <cell r="C784">
            <v>63470</v>
          </cell>
          <cell r="D784" t="str">
            <v>MONTENEGRO</v>
          </cell>
          <cell r="E784">
            <v>83</v>
          </cell>
          <cell r="F784" t="str">
            <v>BF_5</v>
          </cell>
          <cell r="G784" t="str">
            <v>GASTOS DE CAPITAL</v>
          </cell>
          <cell r="H784">
            <v>6948.1989999999996</v>
          </cell>
          <cell r="I784">
            <v>6864.0582320000003</v>
          </cell>
        </row>
        <row r="785">
          <cell r="A785" t="str">
            <v>63470-BF_5.1</v>
          </cell>
          <cell r="B785" t="str">
            <v>QUINDIO</v>
          </cell>
          <cell r="C785">
            <v>63470</v>
          </cell>
          <cell r="D785" t="str">
            <v>MONTENEGRO</v>
          </cell>
          <cell r="E785">
            <v>84</v>
          </cell>
          <cell r="F785" t="str">
            <v>BF_5.1</v>
          </cell>
          <cell r="G785" t="str">
            <v xml:space="preserve">    Formación Bruta de Capital (Construcción, Reparación, Mantenimiento, Preinversión, Otros)</v>
          </cell>
          <cell r="H785">
            <v>6948.1989999999996</v>
          </cell>
          <cell r="I785">
            <v>6864.0582320000003</v>
          </cell>
        </row>
        <row r="786">
          <cell r="A786" t="str">
            <v>63470-BF_5.1.1</v>
          </cell>
          <cell r="B786" t="str">
            <v>QUINDIO</v>
          </cell>
          <cell r="C786">
            <v>63470</v>
          </cell>
          <cell r="D786" t="str">
            <v>MONTENEGRO</v>
          </cell>
          <cell r="E786">
            <v>85</v>
          </cell>
          <cell r="F786" t="str">
            <v>BF_5.1.1</v>
          </cell>
          <cell r="G786" t="str">
            <v xml:space="preserve">        Educación</v>
          </cell>
          <cell r="H786">
            <v>161.952</v>
          </cell>
          <cell r="I786">
            <v>72.406899999999993</v>
          </cell>
        </row>
        <row r="787">
          <cell r="A787" t="str">
            <v>63470-BF_5.1.2</v>
          </cell>
          <cell r="B787" t="str">
            <v>QUINDIO</v>
          </cell>
          <cell r="C787">
            <v>63470</v>
          </cell>
          <cell r="D787" t="str">
            <v>MONTENEGRO</v>
          </cell>
          <cell r="E787">
            <v>86</v>
          </cell>
          <cell r="F787" t="str">
            <v>BF_5.1.2</v>
          </cell>
          <cell r="G787" t="str">
            <v xml:space="preserve">        Salud</v>
          </cell>
          <cell r="H787">
            <v>0</v>
          </cell>
          <cell r="I787">
            <v>342.55753199999998</v>
          </cell>
        </row>
        <row r="788">
          <cell r="A788" t="str">
            <v>63470-BF_5.1.3</v>
          </cell>
          <cell r="B788" t="str">
            <v>QUINDIO</v>
          </cell>
          <cell r="C788">
            <v>63470</v>
          </cell>
          <cell r="D788" t="str">
            <v>MONTENEGRO</v>
          </cell>
          <cell r="E788">
            <v>87</v>
          </cell>
          <cell r="F788" t="str">
            <v>BF_5.1.3</v>
          </cell>
          <cell r="G788" t="str">
            <v xml:space="preserve">        Agua Potable</v>
          </cell>
          <cell r="H788">
            <v>613.798</v>
          </cell>
          <cell r="I788">
            <v>862.44747299999995</v>
          </cell>
        </row>
        <row r="789">
          <cell r="A789" t="str">
            <v>63470-BF_5.1.4</v>
          </cell>
          <cell r="B789" t="str">
            <v>QUINDIO</v>
          </cell>
          <cell r="C789">
            <v>63470</v>
          </cell>
          <cell r="D789" t="str">
            <v>MONTENEGRO</v>
          </cell>
          <cell r="E789">
            <v>88</v>
          </cell>
          <cell r="F789" t="str">
            <v>BF_5.1.4</v>
          </cell>
          <cell r="G789" t="str">
            <v xml:space="preserve">        Vivienda</v>
          </cell>
          <cell r="H789">
            <v>399.52699999999999</v>
          </cell>
          <cell r="I789">
            <v>0</v>
          </cell>
        </row>
        <row r="790">
          <cell r="A790" t="str">
            <v>63470-BF_5.1.5</v>
          </cell>
          <cell r="B790" t="str">
            <v>QUINDIO</v>
          </cell>
          <cell r="C790">
            <v>63470</v>
          </cell>
          <cell r="D790" t="str">
            <v>MONTENEGRO</v>
          </cell>
          <cell r="E790">
            <v>89</v>
          </cell>
          <cell r="F790" t="str">
            <v>BF_5.1.5</v>
          </cell>
          <cell r="G790" t="str">
            <v xml:space="preserve">        Vías</v>
          </cell>
          <cell r="H790">
            <v>470.262</v>
          </cell>
          <cell r="I790">
            <v>4006.6769949999998</v>
          </cell>
        </row>
        <row r="791">
          <cell r="A791" t="str">
            <v>63470-BF_5.1.6</v>
          </cell>
          <cell r="B791" t="str">
            <v>QUINDIO</v>
          </cell>
          <cell r="C791">
            <v>63470</v>
          </cell>
          <cell r="D791" t="str">
            <v>MONTENEGRO</v>
          </cell>
          <cell r="E791">
            <v>90</v>
          </cell>
          <cell r="F791" t="str">
            <v>BF_5.1.6</v>
          </cell>
          <cell r="G791" t="str">
            <v xml:space="preserve">        Otros Sectores</v>
          </cell>
          <cell r="H791">
            <v>5302.66</v>
          </cell>
          <cell r="I791">
            <v>1579.9693319999999</v>
          </cell>
        </row>
        <row r="792">
          <cell r="A792" t="str">
            <v>63470-BF_6</v>
          </cell>
          <cell r="B792" t="str">
            <v>QUINDIO</v>
          </cell>
          <cell r="C792">
            <v>63470</v>
          </cell>
          <cell r="D792" t="str">
            <v>MONTENEGRO</v>
          </cell>
          <cell r="E792">
            <v>92</v>
          </cell>
          <cell r="F792" t="str">
            <v>BF_6</v>
          </cell>
          <cell r="G792" t="str">
            <v>DÉFICIT O SUPERÁVIT DE CAPITAL</v>
          </cell>
          <cell r="H792">
            <v>-4691.9930000000004</v>
          </cell>
          <cell r="I792">
            <v>-2232.953516</v>
          </cell>
        </row>
        <row r="793">
          <cell r="A793" t="str">
            <v>63470-BF_7</v>
          </cell>
          <cell r="B793" t="str">
            <v>QUINDIO</v>
          </cell>
          <cell r="C793">
            <v>63470</v>
          </cell>
          <cell r="D793" t="str">
            <v>MONTENEGRO</v>
          </cell>
          <cell r="E793">
            <v>93</v>
          </cell>
          <cell r="F793" t="str">
            <v>BF_7</v>
          </cell>
          <cell r="G793" t="str">
            <v>DÉFICIT O SUPERÁVIT TOTAL</v>
          </cell>
          <cell r="H793">
            <v>114.041</v>
          </cell>
          <cell r="I793">
            <v>-3561.4024129999998</v>
          </cell>
        </row>
        <row r="794">
          <cell r="A794" t="str">
            <v>63470-BF_8</v>
          </cell>
          <cell r="B794" t="str">
            <v>QUINDIO</v>
          </cell>
          <cell r="C794">
            <v>63470</v>
          </cell>
          <cell r="D794" t="str">
            <v>MONTENEGRO</v>
          </cell>
          <cell r="E794">
            <v>94</v>
          </cell>
          <cell r="F794" t="str">
            <v>BF_8</v>
          </cell>
          <cell r="G794" t="str">
            <v>FINANCIACIÓN</v>
          </cell>
          <cell r="H794">
            <v>5820.3389999999999</v>
          </cell>
          <cell r="I794">
            <v>6656.02358</v>
          </cell>
        </row>
        <row r="795">
          <cell r="A795" t="str">
            <v>63470-BF_8.1</v>
          </cell>
          <cell r="B795" t="str">
            <v>QUINDIO</v>
          </cell>
          <cell r="C795">
            <v>63470</v>
          </cell>
          <cell r="D795" t="str">
            <v>MONTENEGRO</v>
          </cell>
          <cell r="E795">
            <v>95</v>
          </cell>
          <cell r="F795" t="str">
            <v>BF_8.1</v>
          </cell>
          <cell r="G795" t="str">
            <v xml:space="preserve">    RECURSOS DEL CRÉDITO</v>
          </cell>
          <cell r="H795">
            <v>-541.66700000000003</v>
          </cell>
          <cell r="I795">
            <v>735.62355000000002</v>
          </cell>
        </row>
        <row r="796">
          <cell r="A796" t="str">
            <v>63470-BF_8.1.1</v>
          </cell>
          <cell r="B796" t="str">
            <v>QUINDIO</v>
          </cell>
          <cell r="C796">
            <v>63470</v>
          </cell>
          <cell r="D796" t="str">
            <v>MONTENEGRO</v>
          </cell>
          <cell r="E796">
            <v>96</v>
          </cell>
          <cell r="F796" t="str">
            <v>BF_8.1.1</v>
          </cell>
          <cell r="G796" t="str">
            <v xml:space="preserve">        Interno</v>
          </cell>
          <cell r="H796">
            <v>-541.66700000000003</v>
          </cell>
          <cell r="I796">
            <v>735.62355000000002</v>
          </cell>
        </row>
        <row r="797">
          <cell r="A797" t="str">
            <v>63470-BF_8.1.1.1</v>
          </cell>
          <cell r="B797" t="str">
            <v>QUINDIO</v>
          </cell>
          <cell r="C797">
            <v>63470</v>
          </cell>
          <cell r="D797" t="str">
            <v>MONTENEGRO</v>
          </cell>
          <cell r="E797">
            <v>97</v>
          </cell>
          <cell r="F797" t="str">
            <v>BF_8.1.1.1</v>
          </cell>
          <cell r="G797" t="str">
            <v xml:space="preserve">             Desembolsos</v>
          </cell>
          <cell r="H797">
            <v>0</v>
          </cell>
          <cell r="I797">
            <v>1277.2452149999999</v>
          </cell>
        </row>
        <row r="798">
          <cell r="A798" t="str">
            <v>63470-BF_8.1.1.2</v>
          </cell>
          <cell r="B798" t="str">
            <v>QUINDIO</v>
          </cell>
          <cell r="C798">
            <v>63470</v>
          </cell>
          <cell r="D798" t="str">
            <v>MONTENEGRO</v>
          </cell>
          <cell r="E798">
            <v>98</v>
          </cell>
          <cell r="F798" t="str">
            <v>BF_8.1.1.2</v>
          </cell>
          <cell r="G798" t="str">
            <v xml:space="preserve">             Amortizaciones</v>
          </cell>
          <cell r="H798">
            <v>541.66700000000003</v>
          </cell>
          <cell r="I798">
            <v>541.62166500000001</v>
          </cell>
        </row>
        <row r="799">
          <cell r="A799" t="str">
            <v>63470-BF_8.2</v>
          </cell>
          <cell r="B799" t="str">
            <v>QUINDIO</v>
          </cell>
          <cell r="C799">
            <v>63470</v>
          </cell>
          <cell r="D799" t="str">
            <v>MONTENEGRO</v>
          </cell>
          <cell r="E799">
            <v>102</v>
          </cell>
          <cell r="F799" t="str">
            <v>BF_8.2</v>
          </cell>
          <cell r="G799" t="str">
            <v xml:space="preserve">    Recursos del Balance (Superávit Fiscal, Cancelación de Reservas)</v>
          </cell>
          <cell r="H799">
            <v>6362.0060000000003</v>
          </cell>
          <cell r="I799">
            <v>5920.4000299999998</v>
          </cell>
        </row>
        <row r="800">
          <cell r="A800" t="str">
            <v>63470-BF_9.1</v>
          </cell>
          <cell r="B800" t="str">
            <v>QUINDIO</v>
          </cell>
          <cell r="C800">
            <v>63470</v>
          </cell>
          <cell r="D800" t="str">
            <v>MONTENEGRO</v>
          </cell>
          <cell r="E800">
            <v>107</v>
          </cell>
          <cell r="F800" t="str">
            <v>BF_9.1</v>
          </cell>
          <cell r="G800" t="str">
            <v xml:space="preserve">    DÉFICIT O SUPERÁVIT PRIMARIO</v>
          </cell>
          <cell r="H800">
            <v>6619.8649999999998</v>
          </cell>
          <cell r="I800">
            <v>2439.17859</v>
          </cell>
        </row>
        <row r="801">
          <cell r="A801" t="str">
            <v>63470-BF_9.2</v>
          </cell>
          <cell r="B801" t="str">
            <v>QUINDIO</v>
          </cell>
          <cell r="C801">
            <v>63470</v>
          </cell>
          <cell r="D801" t="str">
            <v>MONTENEGRO</v>
          </cell>
          <cell r="E801">
            <v>108</v>
          </cell>
          <cell r="F801" t="str">
            <v>BF_9.2</v>
          </cell>
          <cell r="G801" t="str">
            <v xml:space="preserve">    DÉFICIT O SUPERÁVIT PRIMARIO/INTERESES</v>
          </cell>
          <cell r="H801">
            <v>46.029000000000003</v>
          </cell>
          <cell r="I801">
            <v>30.420915320999999</v>
          </cell>
        </row>
        <row r="802">
          <cell r="A802" t="str">
            <v>63470-BF_10.1</v>
          </cell>
          <cell r="B802" t="str">
            <v>QUINDIO</v>
          </cell>
          <cell r="C802">
            <v>63470</v>
          </cell>
          <cell r="D802" t="str">
            <v>MONTENEGRO</v>
          </cell>
          <cell r="E802">
            <v>110</v>
          </cell>
          <cell r="F802" t="str">
            <v>BF_10.1</v>
          </cell>
          <cell r="G802" t="str">
            <v xml:space="preserve">    INGRESOS TOTALES SIN INCLUIR RECURSOS PARA RESERVAS PRESUPUESTALES</v>
          </cell>
          <cell r="H802">
            <v>41193.339</v>
          </cell>
          <cell r="I802">
            <v>44955.504721999998</v>
          </cell>
        </row>
        <row r="803">
          <cell r="A803" t="str">
            <v>63470-BF_10.2</v>
          </cell>
          <cell r="B803" t="str">
            <v>QUINDIO</v>
          </cell>
          <cell r="C803">
            <v>63470</v>
          </cell>
          <cell r="D803" t="str">
            <v>MONTENEGRO</v>
          </cell>
          <cell r="E803">
            <v>111</v>
          </cell>
          <cell r="F803" t="str">
            <v>BF_10.2</v>
          </cell>
          <cell r="G803" t="str">
            <v xml:space="preserve">    GASTOS TOTALES SIN INCLUIR GASTOS POR RESERVAS PRESUPUESTALES</v>
          </cell>
          <cell r="H803">
            <v>35258.959000000003</v>
          </cell>
          <cell r="I803">
            <v>41860.883555</v>
          </cell>
        </row>
        <row r="804">
          <cell r="A804" t="str">
            <v>63470-BF_10.3</v>
          </cell>
          <cell r="B804" t="str">
            <v>QUINDIO</v>
          </cell>
          <cell r="C804">
            <v>63470</v>
          </cell>
          <cell r="D804" t="str">
            <v>MONTENEGRO</v>
          </cell>
          <cell r="E804">
            <v>112</v>
          </cell>
          <cell r="F804" t="str">
            <v>BF_10.3</v>
          </cell>
          <cell r="G804" t="str">
            <v xml:space="preserve">    DÉFICIT O SUPERÁVIT PRESUPUESTAL SIN INCLUIR RESERVAS PRESUPUESTALES</v>
          </cell>
          <cell r="H804">
            <v>5934.38</v>
          </cell>
          <cell r="I804">
            <v>3094.6211669999998</v>
          </cell>
        </row>
        <row r="805">
          <cell r="A805" t="str">
            <v>63470-BF_12.1</v>
          </cell>
          <cell r="B805" t="str">
            <v>QUINDIO</v>
          </cell>
          <cell r="C805">
            <v>63470</v>
          </cell>
          <cell r="D805" t="str">
            <v>MONTENEGRO</v>
          </cell>
          <cell r="E805">
            <v>114</v>
          </cell>
          <cell r="F805" t="str">
            <v>BF_12.1</v>
          </cell>
          <cell r="G805" t="str">
            <v xml:space="preserve">    INGRESOS TOTALES</v>
          </cell>
          <cell r="H805">
            <v>41212.339</v>
          </cell>
          <cell r="I805">
            <v>45103.762248999999</v>
          </cell>
        </row>
        <row r="806">
          <cell r="A806" t="str">
            <v>63470-BF_12.2</v>
          </cell>
          <cell r="B806" t="str">
            <v>QUINDIO</v>
          </cell>
          <cell r="C806">
            <v>63470</v>
          </cell>
          <cell r="D806" t="str">
            <v>MONTENEGRO</v>
          </cell>
          <cell r="E806">
            <v>115</v>
          </cell>
          <cell r="F806" t="str">
            <v>BF_12.2</v>
          </cell>
          <cell r="G806" t="str">
            <v xml:space="preserve">    GASTOS TOTALES</v>
          </cell>
          <cell r="H806">
            <v>35258.959000000003</v>
          </cell>
          <cell r="I806">
            <v>42004.299285000001</v>
          </cell>
        </row>
        <row r="807">
          <cell r="A807" t="str">
            <v>63470-BF_12.3</v>
          </cell>
          <cell r="B807" t="str">
            <v>QUINDIO</v>
          </cell>
          <cell r="C807">
            <v>63470</v>
          </cell>
          <cell r="D807" t="str">
            <v>MONTENEGRO</v>
          </cell>
          <cell r="E807">
            <v>116</v>
          </cell>
          <cell r="F807" t="str">
            <v>BF_12.3</v>
          </cell>
          <cell r="G807" t="str">
            <v xml:space="preserve">    DÉFICIT O SUPERÁVIT PRESUPUESTAL</v>
          </cell>
          <cell r="H807">
            <v>5953.38</v>
          </cell>
          <cell r="I807">
            <v>3099.4629639999998</v>
          </cell>
        </row>
        <row r="808">
          <cell r="A808" t="str">
            <v>63470-BF_13.1</v>
          </cell>
          <cell r="B808" t="str">
            <v>QUINDIO</v>
          </cell>
          <cell r="C808">
            <v>63470</v>
          </cell>
          <cell r="D808" t="str">
            <v>MONTENEGRO</v>
          </cell>
          <cell r="E808">
            <v>118</v>
          </cell>
          <cell r="F808" t="str">
            <v>BF_13.1</v>
          </cell>
          <cell r="G808" t="str">
            <v xml:space="preserve">    Recursos que Financian Reservas Presupuestales Excepcionales (Ley 819/2003)</v>
          </cell>
          <cell r="H808">
            <v>19</v>
          </cell>
          <cell r="I808">
            <v>148.25752700000001</v>
          </cell>
        </row>
        <row r="809">
          <cell r="A809" t="str">
            <v>63470-BF_13.2</v>
          </cell>
          <cell r="B809" t="str">
            <v>QUINDIO</v>
          </cell>
          <cell r="C809">
            <v>63470</v>
          </cell>
          <cell r="D809" t="str">
            <v>MONTENEGRO</v>
          </cell>
          <cell r="E809">
            <v>119</v>
          </cell>
          <cell r="F809" t="str">
            <v>BF_13.2</v>
          </cell>
          <cell r="G809" t="str">
            <v xml:space="preserve">    Reservas Presupuestales de Funcionamiento Vigencia Anterior</v>
          </cell>
          <cell r="H809">
            <v>0</v>
          </cell>
          <cell r="I809">
            <v>0.56000000000000005</v>
          </cell>
        </row>
        <row r="810">
          <cell r="A810" t="str">
            <v>63470-BF_13.3</v>
          </cell>
          <cell r="B810" t="str">
            <v>QUINDIO</v>
          </cell>
          <cell r="C810">
            <v>63470</v>
          </cell>
          <cell r="D810" t="str">
            <v>MONTENEGRO</v>
          </cell>
          <cell r="E810">
            <v>120</v>
          </cell>
          <cell r="F810" t="str">
            <v>BF_13.3</v>
          </cell>
          <cell r="G810" t="str">
            <v xml:space="preserve">    Reservas Presupuestales de Inversión Vigencia Anterior</v>
          </cell>
          <cell r="H810">
            <v>0</v>
          </cell>
          <cell r="I810">
            <v>142.85572999999999</v>
          </cell>
        </row>
        <row r="811">
          <cell r="A811" t="str">
            <v>63470-BF_13.4</v>
          </cell>
          <cell r="B811" t="str">
            <v>QUINDIO</v>
          </cell>
          <cell r="C811">
            <v>63470</v>
          </cell>
          <cell r="D811" t="str">
            <v>MONTENEGRO</v>
          </cell>
          <cell r="E811">
            <v>121</v>
          </cell>
          <cell r="F811" t="str">
            <v>BF_13.4</v>
          </cell>
          <cell r="G811" t="str">
            <v xml:space="preserve">    DEFICIT O SUPERAVIT RESERVAS PRESUPUESTALES</v>
          </cell>
          <cell r="H811">
            <v>19</v>
          </cell>
          <cell r="I811">
            <v>4.8417969999999997</v>
          </cell>
        </row>
        <row r="812">
          <cell r="A812" t="str">
            <v>63548-BF_1</v>
          </cell>
          <cell r="B812" t="str">
            <v>QUINDIO</v>
          </cell>
          <cell r="C812">
            <v>63548</v>
          </cell>
          <cell r="D812" t="str">
            <v>PIJAO</v>
          </cell>
          <cell r="E812">
            <v>1</v>
          </cell>
          <cell r="F812" t="str">
            <v>BF_1</v>
          </cell>
          <cell r="G812" t="str">
            <v>INGRESOS TOTALES</v>
          </cell>
          <cell r="H812">
            <v>7431.0870000000004</v>
          </cell>
          <cell r="I812">
            <v>7153.790688</v>
          </cell>
        </row>
        <row r="813">
          <cell r="A813" t="str">
            <v>63548-BF_1.1</v>
          </cell>
          <cell r="B813" t="str">
            <v>QUINDIO</v>
          </cell>
          <cell r="C813">
            <v>63548</v>
          </cell>
          <cell r="D813" t="str">
            <v>PIJAO</v>
          </cell>
          <cell r="E813">
            <v>2</v>
          </cell>
          <cell r="F813" t="str">
            <v>BF_1.1</v>
          </cell>
          <cell r="G813" t="str">
            <v xml:space="preserve">    INGRESOS CORRIENTES</v>
          </cell>
          <cell r="H813">
            <v>7275.54</v>
          </cell>
          <cell r="I813">
            <v>6573.8211209999999</v>
          </cell>
        </row>
        <row r="814">
          <cell r="A814" t="str">
            <v>63548-BF_1.1.1</v>
          </cell>
          <cell r="B814" t="str">
            <v>QUINDIO</v>
          </cell>
          <cell r="C814">
            <v>63548</v>
          </cell>
          <cell r="D814" t="str">
            <v>PIJAO</v>
          </cell>
          <cell r="E814">
            <v>3</v>
          </cell>
          <cell r="F814" t="str">
            <v>BF_1.1.1</v>
          </cell>
          <cell r="G814" t="str">
            <v xml:space="preserve">        TRIBUTARIOS</v>
          </cell>
          <cell r="H814">
            <v>878.32899999999995</v>
          </cell>
          <cell r="I814">
            <v>820.75812699999994</v>
          </cell>
        </row>
        <row r="815">
          <cell r="A815" t="str">
            <v>63548-BF_1.1.1.2</v>
          </cell>
          <cell r="B815" t="str">
            <v>QUINDIO</v>
          </cell>
          <cell r="C815">
            <v>63548</v>
          </cell>
          <cell r="D815" t="str">
            <v>PIJAO</v>
          </cell>
          <cell r="E815">
            <v>5</v>
          </cell>
          <cell r="F815" t="str">
            <v>BF_1.1.1.2</v>
          </cell>
          <cell r="G815" t="str">
            <v xml:space="preserve">             Impuesto Predial Unificado</v>
          </cell>
          <cell r="H815">
            <v>327.56</v>
          </cell>
          <cell r="I815">
            <v>308.19431900000001</v>
          </cell>
        </row>
        <row r="816">
          <cell r="A816" t="str">
            <v>63548-BF_1.1.1.3</v>
          </cell>
          <cell r="B816" t="str">
            <v>QUINDIO</v>
          </cell>
          <cell r="C816">
            <v>63548</v>
          </cell>
          <cell r="D816" t="str">
            <v>PIJAO</v>
          </cell>
          <cell r="E816">
            <v>6</v>
          </cell>
          <cell r="F816" t="str">
            <v>BF_1.1.1.3</v>
          </cell>
          <cell r="G816" t="str">
            <v xml:space="preserve">             Impuesto de Industria y Comercio</v>
          </cell>
          <cell r="H816">
            <v>67.52</v>
          </cell>
          <cell r="I816">
            <v>67.378291000000004</v>
          </cell>
        </row>
        <row r="817">
          <cell r="A817" t="str">
            <v>63548-BF_1.1.1.8</v>
          </cell>
          <cell r="B817" t="str">
            <v>QUINDIO</v>
          </cell>
          <cell r="C817">
            <v>63548</v>
          </cell>
          <cell r="D817" t="str">
            <v>PIJAO</v>
          </cell>
          <cell r="E817">
            <v>11</v>
          </cell>
          <cell r="F817" t="str">
            <v>BF_1.1.1.8</v>
          </cell>
          <cell r="G817" t="str">
            <v xml:space="preserve">             Sobretasa Consumo Gasolina Motor</v>
          </cell>
          <cell r="H817">
            <v>53.213000000000001</v>
          </cell>
          <cell r="I817">
            <v>44.222999999999999</v>
          </cell>
        </row>
        <row r="818">
          <cell r="A818" t="str">
            <v>63548-BF_1.1.1.9</v>
          </cell>
          <cell r="B818" t="str">
            <v>QUINDIO</v>
          </cell>
          <cell r="C818">
            <v>63548</v>
          </cell>
          <cell r="D818" t="str">
            <v>PIJAO</v>
          </cell>
          <cell r="E818">
            <v>12</v>
          </cell>
          <cell r="F818" t="str">
            <v>BF_1.1.1.9</v>
          </cell>
          <cell r="G818" t="str">
            <v xml:space="preserve">             Estampillas</v>
          </cell>
          <cell r="H818">
            <v>124.048</v>
          </cell>
          <cell r="I818">
            <v>124.17165199999999</v>
          </cell>
        </row>
        <row r="819">
          <cell r="A819" t="str">
            <v>63548-BF_1.1.1.12</v>
          </cell>
          <cell r="B819" t="str">
            <v>QUINDIO</v>
          </cell>
          <cell r="C819">
            <v>63548</v>
          </cell>
          <cell r="D819" t="str">
            <v>PIJAO</v>
          </cell>
          <cell r="E819">
            <v>15</v>
          </cell>
          <cell r="F819" t="str">
            <v>BF_1.1.1.12</v>
          </cell>
          <cell r="G819" t="str">
            <v xml:space="preserve">             Otros Ingresos Tributarios</v>
          </cell>
          <cell r="H819">
            <v>305.988</v>
          </cell>
          <cell r="I819">
            <v>276.790865</v>
          </cell>
        </row>
        <row r="820">
          <cell r="A820" t="str">
            <v>63548-BF_1.1.2</v>
          </cell>
          <cell r="B820" t="str">
            <v>QUINDIO</v>
          </cell>
          <cell r="C820">
            <v>63548</v>
          </cell>
          <cell r="D820" t="str">
            <v>PIJAO</v>
          </cell>
          <cell r="E820">
            <v>16</v>
          </cell>
          <cell r="F820" t="str">
            <v>BF_1.1.2</v>
          </cell>
          <cell r="G820" t="str">
            <v xml:space="preserve">        NO TRIBUTARIOS</v>
          </cell>
          <cell r="H820">
            <v>71.507000000000005</v>
          </cell>
          <cell r="I820">
            <v>103.01932100000001</v>
          </cell>
        </row>
        <row r="821">
          <cell r="A821" t="str">
            <v>63548-BF_1.1.2.1</v>
          </cell>
          <cell r="B821" t="str">
            <v>QUINDIO</v>
          </cell>
          <cell r="C821">
            <v>63548</v>
          </cell>
          <cell r="D821" t="str">
            <v>PIJAO</v>
          </cell>
          <cell r="E821">
            <v>17</v>
          </cell>
          <cell r="F821" t="str">
            <v>BF_1.1.2.1</v>
          </cell>
          <cell r="G821" t="str">
            <v xml:space="preserve">             Ingresos de la Propiedad: Tasas, Derechos, Multas y Sanciones</v>
          </cell>
          <cell r="H821">
            <v>71.507000000000005</v>
          </cell>
          <cell r="I821">
            <v>103.01932100000001</v>
          </cell>
        </row>
        <row r="822">
          <cell r="A822" t="str">
            <v>63548-BF_1.1.3</v>
          </cell>
          <cell r="B822" t="str">
            <v>QUINDIO</v>
          </cell>
          <cell r="C822">
            <v>63548</v>
          </cell>
          <cell r="D822" t="str">
            <v>PIJAO</v>
          </cell>
          <cell r="E822">
            <v>19</v>
          </cell>
          <cell r="F822" t="str">
            <v>BF_1.1.3</v>
          </cell>
          <cell r="G822" t="str">
            <v xml:space="preserve">        TRANSFERENCIAS</v>
          </cell>
          <cell r="H822">
            <v>6325.7039999999997</v>
          </cell>
          <cell r="I822">
            <v>5650.0436730000001</v>
          </cell>
        </row>
        <row r="823">
          <cell r="A823" t="str">
            <v>63548-BF_1.1.3.1</v>
          </cell>
          <cell r="B823" t="str">
            <v>QUINDIO</v>
          </cell>
          <cell r="C823">
            <v>63548</v>
          </cell>
          <cell r="D823" t="str">
            <v>PIJAO</v>
          </cell>
          <cell r="E823">
            <v>20</v>
          </cell>
          <cell r="F823" t="str">
            <v>BF_1.1.3.1</v>
          </cell>
          <cell r="G823" t="str">
            <v xml:space="preserve">             Transferencias Para Funcionamiento</v>
          </cell>
          <cell r="H823">
            <v>692.548</v>
          </cell>
          <cell r="I823">
            <v>655.92753800000003</v>
          </cell>
        </row>
        <row r="824">
          <cell r="A824" t="str">
            <v>63548-BF_1.1.3.1.1</v>
          </cell>
          <cell r="B824" t="str">
            <v>QUINDIO</v>
          </cell>
          <cell r="C824">
            <v>63548</v>
          </cell>
          <cell r="D824" t="str">
            <v>PIJAO</v>
          </cell>
          <cell r="E824">
            <v>21</v>
          </cell>
          <cell r="F824" t="str">
            <v>BF_1.1.3.1.1</v>
          </cell>
          <cell r="G824" t="str">
            <v xml:space="preserve">                 Del Nivel Nacional</v>
          </cell>
          <cell r="H824">
            <v>685.88099999999997</v>
          </cell>
          <cell r="I824">
            <v>646.50631799999996</v>
          </cell>
        </row>
        <row r="825">
          <cell r="A825" t="str">
            <v>63548-BF_1.1.3.1.1.1</v>
          </cell>
          <cell r="B825" t="str">
            <v>QUINDIO</v>
          </cell>
          <cell r="C825">
            <v>63548</v>
          </cell>
          <cell r="D825" t="str">
            <v>PIJAO</v>
          </cell>
          <cell r="E825">
            <v>22</v>
          </cell>
          <cell r="F825" t="str">
            <v>BF_1.1.3.1.1.1</v>
          </cell>
          <cell r="G825" t="str">
            <v xml:space="preserve">                     Sistema General de Participaciones - Propósito General - Libre destinación - Municipios categorías 4, 5 y 6</v>
          </cell>
          <cell r="H825">
            <v>685.88099999999997</v>
          </cell>
          <cell r="I825">
            <v>646.50631799999996</v>
          </cell>
        </row>
        <row r="826">
          <cell r="A826" t="str">
            <v>63548-BF_1.1.3.1.2</v>
          </cell>
          <cell r="B826" t="str">
            <v>QUINDIO</v>
          </cell>
          <cell r="C826">
            <v>63548</v>
          </cell>
          <cell r="D826" t="str">
            <v>PIJAO</v>
          </cell>
          <cell r="E826">
            <v>24</v>
          </cell>
          <cell r="F826" t="str">
            <v>BF_1.1.3.1.2</v>
          </cell>
          <cell r="G826" t="str">
            <v xml:space="preserve">                 Del Nivel Departamental</v>
          </cell>
          <cell r="H826">
            <v>6.6669999999999998</v>
          </cell>
          <cell r="I826">
            <v>9.4212199999999999</v>
          </cell>
        </row>
        <row r="827">
          <cell r="A827" t="str">
            <v>63548-BF_1.1.3.1.2.1</v>
          </cell>
          <cell r="B827" t="str">
            <v>QUINDIO</v>
          </cell>
          <cell r="C827">
            <v>63548</v>
          </cell>
          <cell r="D827" t="str">
            <v>PIJAO</v>
          </cell>
          <cell r="E827">
            <v>25</v>
          </cell>
          <cell r="F827" t="str">
            <v>BF_1.1.3.1.2.1</v>
          </cell>
          <cell r="G827" t="str">
            <v xml:space="preserve">                     De Vehículos Automotores</v>
          </cell>
          <cell r="H827">
            <v>6.6669999999999998</v>
          </cell>
          <cell r="I827">
            <v>9.4212199999999999</v>
          </cell>
        </row>
        <row r="828">
          <cell r="A828" t="str">
            <v>63548-BF_1.1.3.2</v>
          </cell>
          <cell r="B828" t="str">
            <v>QUINDIO</v>
          </cell>
          <cell r="C828">
            <v>63548</v>
          </cell>
          <cell r="D828" t="str">
            <v>PIJAO</v>
          </cell>
          <cell r="E828">
            <v>28</v>
          </cell>
          <cell r="F828" t="str">
            <v>BF_1.1.3.2</v>
          </cell>
          <cell r="G828" t="str">
            <v xml:space="preserve">             Transferencias Para Inversión</v>
          </cell>
          <cell r="H828">
            <v>5633.1559999999999</v>
          </cell>
          <cell r="I828">
            <v>4994.1161350000002</v>
          </cell>
        </row>
        <row r="829">
          <cell r="A829" t="str">
            <v>63548-BF_1.1.3.2.1</v>
          </cell>
          <cell r="B829" t="str">
            <v>QUINDIO</v>
          </cell>
          <cell r="C829">
            <v>63548</v>
          </cell>
          <cell r="D829" t="str">
            <v>PIJAO</v>
          </cell>
          <cell r="E829">
            <v>29</v>
          </cell>
          <cell r="F829" t="str">
            <v>BF_1.1.3.2.1</v>
          </cell>
          <cell r="G829" t="str">
            <v xml:space="preserve">                 Del Nivel Nacional</v>
          </cell>
          <cell r="H829">
            <v>5150.6390000000001</v>
          </cell>
          <cell r="I829">
            <v>4497.8399010000003</v>
          </cell>
        </row>
        <row r="830">
          <cell r="A830" t="str">
            <v>63548-BF_1.1.3.2.1.1</v>
          </cell>
          <cell r="B830" t="str">
            <v>QUINDIO</v>
          </cell>
          <cell r="C830">
            <v>63548</v>
          </cell>
          <cell r="D830" t="str">
            <v>PIJAO</v>
          </cell>
          <cell r="E830">
            <v>30</v>
          </cell>
          <cell r="F830" t="str">
            <v>BF_1.1.3.2.1.1</v>
          </cell>
          <cell r="G830" t="str">
            <v xml:space="preserve">                     Sistema General de Participaciones</v>
          </cell>
          <cell r="H830">
            <v>2887.7689999999998</v>
          </cell>
          <cell r="I830">
            <v>2842.723414</v>
          </cell>
        </row>
        <row r="831">
          <cell r="A831" t="str">
            <v>63548-BF_1.1.3.2.1.1.1</v>
          </cell>
          <cell r="B831" t="str">
            <v>QUINDIO</v>
          </cell>
          <cell r="C831">
            <v>63548</v>
          </cell>
          <cell r="D831" t="str">
            <v>PIJAO</v>
          </cell>
          <cell r="E831">
            <v>31</v>
          </cell>
          <cell r="F831" t="str">
            <v>BF_1.1.3.2.1.1.1</v>
          </cell>
          <cell r="G831" t="str">
            <v xml:space="preserve">                         Sistema General de Participaciones - Educación</v>
          </cell>
          <cell r="H831">
            <v>263.58800000000002</v>
          </cell>
          <cell r="I831">
            <v>266.96311300000002</v>
          </cell>
        </row>
        <row r="832">
          <cell r="A832" t="str">
            <v>63548-BF_1.1.3.2.1.1.2</v>
          </cell>
          <cell r="B832" t="str">
            <v>QUINDIO</v>
          </cell>
          <cell r="C832">
            <v>63548</v>
          </cell>
          <cell r="D832" t="str">
            <v>PIJAO</v>
          </cell>
          <cell r="E832">
            <v>32</v>
          </cell>
          <cell r="F832" t="str">
            <v>BF_1.1.3.2.1.1.2</v>
          </cell>
          <cell r="G832" t="str">
            <v xml:space="preserve">                         Sistema General de Participaciones - Salud</v>
          </cell>
          <cell r="H832">
            <v>1293.627</v>
          </cell>
          <cell r="I832">
            <v>1310.51666</v>
          </cell>
        </row>
        <row r="833">
          <cell r="A833" t="str">
            <v>63548-BF_1.1.3.2.1.1.3</v>
          </cell>
          <cell r="B833" t="str">
            <v>QUINDIO</v>
          </cell>
          <cell r="C833">
            <v>63548</v>
          </cell>
          <cell r="D833" t="str">
            <v>PIJAO</v>
          </cell>
          <cell r="E833">
            <v>33</v>
          </cell>
          <cell r="F833" t="str">
            <v>BF_1.1.3.2.1.1.3</v>
          </cell>
          <cell r="G833" t="str">
            <v xml:space="preserve">                         Sistema General de Participaciones - Agua Potable y Saneamiento Básico</v>
          </cell>
          <cell r="H833">
            <v>386.27800000000002</v>
          </cell>
          <cell r="I833">
            <v>387.77815700000002</v>
          </cell>
        </row>
        <row r="834">
          <cell r="A834" t="str">
            <v>63548-BF_1.1.3.2.1.1.4</v>
          </cell>
          <cell r="B834" t="str">
            <v>QUINDIO</v>
          </cell>
          <cell r="C834">
            <v>63548</v>
          </cell>
          <cell r="D834" t="str">
            <v>PIJAO</v>
          </cell>
          <cell r="E834">
            <v>34</v>
          </cell>
          <cell r="F834" t="str">
            <v>BF_1.1.3.2.1.1.4</v>
          </cell>
          <cell r="G834" t="str">
            <v xml:space="preserve">                         Sistema General de Participaciones - Propósito General - Forzosa Inversión</v>
          </cell>
          <cell r="H834">
            <v>909.06299999999999</v>
          </cell>
          <cell r="I834">
            <v>852.97021600000005</v>
          </cell>
        </row>
        <row r="835">
          <cell r="A835" t="str">
            <v>63548-BF_1.1.3.2.1.1.5</v>
          </cell>
          <cell r="B835" t="str">
            <v>QUINDIO</v>
          </cell>
          <cell r="C835">
            <v>63548</v>
          </cell>
          <cell r="D835" t="str">
            <v>PIJAO</v>
          </cell>
          <cell r="E835">
            <v>35</v>
          </cell>
          <cell r="F835" t="str">
            <v>BF_1.1.3.2.1.1.5</v>
          </cell>
          <cell r="G835" t="str">
            <v xml:space="preserve">                         Otras del Sistema General de Participaciones</v>
          </cell>
          <cell r="H835">
            <v>35.213000000000001</v>
          </cell>
          <cell r="I835">
            <v>24.495267999999999</v>
          </cell>
        </row>
        <row r="836">
          <cell r="A836" t="str">
            <v>63548-BF_1.1.3.2.1.2</v>
          </cell>
          <cell r="B836" t="str">
            <v>QUINDIO</v>
          </cell>
          <cell r="C836">
            <v>63548</v>
          </cell>
          <cell r="D836" t="str">
            <v>PIJAO</v>
          </cell>
          <cell r="E836">
            <v>36</v>
          </cell>
          <cell r="F836" t="str">
            <v>BF_1.1.3.2.1.2</v>
          </cell>
          <cell r="G836" t="str">
            <v xml:space="preserve">                     FOSYGA y COLJUEGOS</v>
          </cell>
          <cell r="H836">
            <v>1508.0709999999999</v>
          </cell>
          <cell r="I836">
            <v>1655.116487</v>
          </cell>
        </row>
        <row r="837">
          <cell r="A837" t="str">
            <v>63548-BF_1.1.3.2.1.3</v>
          </cell>
          <cell r="B837" t="str">
            <v>QUINDIO</v>
          </cell>
          <cell r="C837">
            <v>63548</v>
          </cell>
          <cell r="D837" t="str">
            <v>PIJAO</v>
          </cell>
          <cell r="E837">
            <v>37</v>
          </cell>
          <cell r="F837" t="str">
            <v>BF_1.1.3.2.1.3</v>
          </cell>
          <cell r="G837" t="str">
            <v xml:space="preserve">                     Otras Transferencias de la Nación</v>
          </cell>
          <cell r="H837">
            <v>754.79899999999998</v>
          </cell>
          <cell r="I837">
            <v>0</v>
          </cell>
        </row>
        <row r="838">
          <cell r="A838" t="str">
            <v>63548-BF_1.1.3.2.2</v>
          </cell>
          <cell r="B838" t="str">
            <v>QUINDIO</v>
          </cell>
          <cell r="C838">
            <v>63548</v>
          </cell>
          <cell r="D838" t="str">
            <v>PIJAO</v>
          </cell>
          <cell r="E838">
            <v>38</v>
          </cell>
          <cell r="F838" t="str">
            <v>BF_1.1.3.2.2</v>
          </cell>
          <cell r="G838" t="str">
            <v xml:space="preserve">                 Del Nivel Departamental</v>
          </cell>
          <cell r="H838">
            <v>440.78100000000001</v>
          </cell>
          <cell r="I838">
            <v>380.59126900000001</v>
          </cell>
        </row>
        <row r="839">
          <cell r="A839" t="str">
            <v>63548-BF_1.1.3.2.4</v>
          </cell>
          <cell r="B839" t="str">
            <v>QUINDIO</v>
          </cell>
          <cell r="C839">
            <v>63548</v>
          </cell>
          <cell r="D839" t="str">
            <v>PIJAO</v>
          </cell>
          <cell r="E839">
            <v>40</v>
          </cell>
          <cell r="F839" t="str">
            <v>BF_1.1.3.2.4</v>
          </cell>
          <cell r="G839" t="str">
            <v xml:space="preserve">                 Sector Descentralizado</v>
          </cell>
          <cell r="H839">
            <v>41.735999999999997</v>
          </cell>
          <cell r="I839">
            <v>115.68496500000001</v>
          </cell>
        </row>
        <row r="840">
          <cell r="A840" t="str">
            <v>63548-BF_2</v>
          </cell>
          <cell r="B840" t="str">
            <v>QUINDIO</v>
          </cell>
          <cell r="C840">
            <v>63548</v>
          </cell>
          <cell r="D840" t="str">
            <v>PIJAO</v>
          </cell>
          <cell r="E840">
            <v>43</v>
          </cell>
          <cell r="F840" t="str">
            <v>BF_2</v>
          </cell>
          <cell r="G840" t="str">
            <v>GASTOS  TOTALES</v>
          </cell>
          <cell r="H840">
            <v>7597.7039999999997</v>
          </cell>
          <cell r="I840">
            <v>7386.7056528100002</v>
          </cell>
        </row>
        <row r="841">
          <cell r="A841" t="str">
            <v>63548-BF_2.1</v>
          </cell>
          <cell r="B841" t="str">
            <v>QUINDIO</v>
          </cell>
          <cell r="C841">
            <v>63548</v>
          </cell>
          <cell r="D841" t="str">
            <v>PIJAO</v>
          </cell>
          <cell r="E841">
            <v>44</v>
          </cell>
          <cell r="F841" t="str">
            <v>BF_2.1</v>
          </cell>
          <cell r="G841" t="str">
            <v xml:space="preserve">    GASTOS CORRIENTES</v>
          </cell>
          <cell r="H841">
            <v>5315.2330000000002</v>
          </cell>
          <cell r="I841">
            <v>6616.7859115299998</v>
          </cell>
        </row>
        <row r="842">
          <cell r="A842" t="str">
            <v>63548-BF_2.1.1</v>
          </cell>
          <cell r="B842" t="str">
            <v>QUINDIO</v>
          </cell>
          <cell r="C842">
            <v>63548</v>
          </cell>
          <cell r="D842" t="str">
            <v>PIJAO</v>
          </cell>
          <cell r="E842">
            <v>45</v>
          </cell>
          <cell r="F842" t="str">
            <v>BF_2.1.1</v>
          </cell>
          <cell r="G842" t="str">
            <v xml:space="preserve">        FUNCIONAMIENTO</v>
          </cell>
          <cell r="H842">
            <v>1214.807</v>
          </cell>
          <cell r="I842">
            <v>1196.3384334299999</v>
          </cell>
        </row>
        <row r="843">
          <cell r="A843" t="str">
            <v>63548-BF_2.1.1.1</v>
          </cell>
          <cell r="B843" t="str">
            <v>QUINDIO</v>
          </cell>
          <cell r="C843">
            <v>63548</v>
          </cell>
          <cell r="D843" t="str">
            <v>PIJAO</v>
          </cell>
          <cell r="E843">
            <v>46</v>
          </cell>
          <cell r="F843" t="str">
            <v>BF_2.1.1.1</v>
          </cell>
          <cell r="G843" t="str">
            <v xml:space="preserve">             Gastos de Personal  </v>
          </cell>
          <cell r="H843">
            <v>480.70600000000002</v>
          </cell>
          <cell r="I843">
            <v>438.21043700000001</v>
          </cell>
        </row>
        <row r="844">
          <cell r="A844" t="str">
            <v>63548-BF_2.1.1.2</v>
          </cell>
          <cell r="B844" t="str">
            <v>QUINDIO</v>
          </cell>
          <cell r="C844">
            <v>63548</v>
          </cell>
          <cell r="D844" t="str">
            <v>PIJAO</v>
          </cell>
          <cell r="E844">
            <v>47</v>
          </cell>
          <cell r="F844" t="str">
            <v>BF_2.1.1.2</v>
          </cell>
          <cell r="G844" t="str">
            <v xml:space="preserve">             Gastos Generales</v>
          </cell>
          <cell r="H844">
            <v>203.15299999999999</v>
          </cell>
          <cell r="I844">
            <v>199.07043648999999</v>
          </cell>
        </row>
        <row r="845">
          <cell r="A845" t="str">
            <v>63548-BF_2.1.1.3</v>
          </cell>
          <cell r="B845" t="str">
            <v>QUINDIO</v>
          </cell>
          <cell r="C845">
            <v>63548</v>
          </cell>
          <cell r="D845" t="str">
            <v>PIJAO</v>
          </cell>
          <cell r="E845">
            <v>48</v>
          </cell>
          <cell r="F845" t="str">
            <v>BF_2.1.1.3</v>
          </cell>
          <cell r="G845" t="str">
            <v xml:space="preserve">             Transferencias</v>
          </cell>
          <cell r="H845">
            <v>518.13300000000004</v>
          </cell>
          <cell r="I845">
            <v>559.05755994000003</v>
          </cell>
        </row>
        <row r="846">
          <cell r="A846" t="str">
            <v>63548-BF_2.1.1.3.1</v>
          </cell>
          <cell r="B846" t="str">
            <v>QUINDIO</v>
          </cell>
          <cell r="C846">
            <v>63548</v>
          </cell>
          <cell r="D846" t="str">
            <v>PIJAO</v>
          </cell>
          <cell r="E846">
            <v>49</v>
          </cell>
          <cell r="F846" t="str">
            <v>BF_2.1.1.3.1</v>
          </cell>
          <cell r="G846" t="str">
            <v xml:space="preserve">                 Pensiones</v>
          </cell>
          <cell r="H846">
            <v>86.822999999999993</v>
          </cell>
          <cell r="I846">
            <v>144.67761394999999</v>
          </cell>
        </row>
        <row r="847">
          <cell r="A847" t="str">
            <v>63548-BF_2.1.1.3.4</v>
          </cell>
          <cell r="B847" t="str">
            <v>QUINDIO</v>
          </cell>
          <cell r="C847">
            <v>63548</v>
          </cell>
          <cell r="D847" t="str">
            <v>PIJAO</v>
          </cell>
          <cell r="E847">
            <v>52</v>
          </cell>
          <cell r="F847" t="str">
            <v>BF_2.1.1.3.4</v>
          </cell>
          <cell r="G847" t="str">
            <v xml:space="preserve">                 A Organismos de Control</v>
          </cell>
          <cell r="H847">
            <v>219.77600000000001</v>
          </cell>
          <cell r="I847">
            <v>226.98758599999999</v>
          </cell>
        </row>
        <row r="848">
          <cell r="A848" t="str">
            <v>63548-BF_2.1.1.3.6</v>
          </cell>
          <cell r="B848" t="str">
            <v>QUINDIO</v>
          </cell>
          <cell r="C848">
            <v>63548</v>
          </cell>
          <cell r="D848" t="str">
            <v>PIJAO</v>
          </cell>
          <cell r="E848">
            <v>54</v>
          </cell>
          <cell r="F848" t="str">
            <v>BF_2.1.1.3.6</v>
          </cell>
          <cell r="G848" t="str">
            <v xml:space="preserve">                 Sentencias y Conciliaciones</v>
          </cell>
          <cell r="H848">
            <v>98.534000000000006</v>
          </cell>
          <cell r="I848">
            <v>66.824327999999994</v>
          </cell>
        </row>
        <row r="849">
          <cell r="A849" t="str">
            <v>63548-BF_2.1.1.3.7</v>
          </cell>
          <cell r="B849" t="str">
            <v>QUINDIO</v>
          </cell>
          <cell r="C849">
            <v>63548</v>
          </cell>
          <cell r="D849" t="str">
            <v>PIJAO</v>
          </cell>
          <cell r="E849">
            <v>55</v>
          </cell>
          <cell r="F849" t="str">
            <v>BF_2.1.1.3.7</v>
          </cell>
          <cell r="G849" t="str">
            <v xml:space="preserve">                 Otras Transferencias</v>
          </cell>
          <cell r="H849">
            <v>113</v>
          </cell>
          <cell r="I849">
            <v>120.56803198999999</v>
          </cell>
        </row>
        <row r="850">
          <cell r="A850" t="str">
            <v>63548-BF_2.1.1.4</v>
          </cell>
          <cell r="B850" t="str">
            <v>QUINDIO</v>
          </cell>
          <cell r="C850">
            <v>63548</v>
          </cell>
          <cell r="D850" t="str">
            <v>PIJAO</v>
          </cell>
          <cell r="E850">
            <v>56</v>
          </cell>
          <cell r="F850" t="str">
            <v>BF_2.1.1.4</v>
          </cell>
          <cell r="G850" t="str">
            <v xml:space="preserve">             Déficit Fiscal de Vigencias Anteriores por Funcionamiento</v>
          </cell>
          <cell r="H850">
            <v>9.016</v>
          </cell>
          <cell r="I850">
            <v>0</v>
          </cell>
        </row>
        <row r="851">
          <cell r="A851" t="str">
            <v>63548-BF_2.1.1.6</v>
          </cell>
          <cell r="B851" t="str">
            <v>QUINDIO</v>
          </cell>
          <cell r="C851">
            <v>63548</v>
          </cell>
          <cell r="D851" t="str">
            <v>PIJAO</v>
          </cell>
          <cell r="E851">
            <v>58</v>
          </cell>
          <cell r="F851" t="str">
            <v>BF_2.1.1.6</v>
          </cell>
          <cell r="G851" t="str">
            <v xml:space="preserve">             Otros Gastos de Funcionamiento</v>
          </cell>
          <cell r="H851">
            <v>3.7989999999999999</v>
          </cell>
          <cell r="I851">
            <v>0</v>
          </cell>
        </row>
        <row r="852">
          <cell r="A852" t="str">
            <v>63548-BF_2.1.4</v>
          </cell>
          <cell r="B852" t="str">
            <v>QUINDIO</v>
          </cell>
          <cell r="C852">
            <v>63548</v>
          </cell>
          <cell r="D852" t="str">
            <v>PIJAO</v>
          </cell>
          <cell r="E852">
            <v>61</v>
          </cell>
          <cell r="F852" t="str">
            <v>BF_2.1.4</v>
          </cell>
          <cell r="G852" t="str">
            <v xml:space="preserve">        GASTOS OPERATIVOS EN SECTORES SOCIALES (Remuneración al Trabajo, Prestaciones, y Subsidios en Sectores de Inversión)</v>
          </cell>
          <cell r="H852">
            <v>4100.4260000000004</v>
          </cell>
          <cell r="I852">
            <v>5350.1226700999996</v>
          </cell>
        </row>
        <row r="853">
          <cell r="A853" t="str">
            <v>63548-BF_2.1.4.1</v>
          </cell>
          <cell r="B853" t="str">
            <v>QUINDIO</v>
          </cell>
          <cell r="C853">
            <v>63548</v>
          </cell>
          <cell r="D853" t="str">
            <v>PIJAO</v>
          </cell>
          <cell r="E853">
            <v>62</v>
          </cell>
          <cell r="F853" t="str">
            <v>BF_2.1.4.1</v>
          </cell>
          <cell r="G853" t="str">
            <v xml:space="preserve">             Educación</v>
          </cell>
          <cell r="H853">
            <v>457.928</v>
          </cell>
          <cell r="I853">
            <v>438.43264900000003</v>
          </cell>
        </row>
        <row r="854">
          <cell r="A854" t="str">
            <v>63548-BF_2.1.4.2</v>
          </cell>
          <cell r="B854" t="str">
            <v>QUINDIO</v>
          </cell>
          <cell r="C854">
            <v>63548</v>
          </cell>
          <cell r="D854" t="str">
            <v>PIJAO</v>
          </cell>
          <cell r="E854">
            <v>63</v>
          </cell>
          <cell r="F854" t="str">
            <v>BF_2.1.4.2</v>
          </cell>
          <cell r="G854" t="str">
            <v xml:space="preserve">             Salud</v>
          </cell>
          <cell r="H854">
            <v>3331.9720000000002</v>
          </cell>
          <cell r="I854">
            <v>3771.3740068400002</v>
          </cell>
        </row>
        <row r="855">
          <cell r="A855" t="str">
            <v>63548-BF_2.1.4.3</v>
          </cell>
          <cell r="B855" t="str">
            <v>QUINDIO</v>
          </cell>
          <cell r="C855">
            <v>63548</v>
          </cell>
          <cell r="D855" t="str">
            <v>PIJAO</v>
          </cell>
          <cell r="E855">
            <v>64</v>
          </cell>
          <cell r="F855" t="str">
            <v>BF_2.1.4.3</v>
          </cell>
          <cell r="G855" t="str">
            <v xml:space="preserve">             Agua Potable y Saneamiento Básico</v>
          </cell>
          <cell r="H855">
            <v>138.876</v>
          </cell>
          <cell r="I855">
            <v>140.822363</v>
          </cell>
        </row>
        <row r="856">
          <cell r="A856" t="str">
            <v>63548-BF_2.1.4.4</v>
          </cell>
          <cell r="B856" t="str">
            <v>QUINDIO</v>
          </cell>
          <cell r="C856">
            <v>63548</v>
          </cell>
          <cell r="D856" t="str">
            <v>PIJAO</v>
          </cell>
          <cell r="E856">
            <v>65</v>
          </cell>
          <cell r="F856" t="str">
            <v>BF_2.1.4.4</v>
          </cell>
          <cell r="G856" t="str">
            <v xml:space="preserve">             Vivienda</v>
          </cell>
          <cell r="H856">
            <v>11</v>
          </cell>
          <cell r="I856">
            <v>0</v>
          </cell>
        </row>
        <row r="857">
          <cell r="A857" t="str">
            <v>63548-BF_2.1.4.5</v>
          </cell>
          <cell r="B857" t="str">
            <v>QUINDIO</v>
          </cell>
          <cell r="C857">
            <v>63548</v>
          </cell>
          <cell r="D857" t="str">
            <v>PIJAO</v>
          </cell>
          <cell r="E857">
            <v>66</v>
          </cell>
          <cell r="F857" t="str">
            <v>BF_2.1.4.5</v>
          </cell>
          <cell r="G857" t="str">
            <v xml:space="preserve">             Otros Sectores</v>
          </cell>
          <cell r="H857">
            <v>160.65</v>
          </cell>
          <cell r="I857">
            <v>999.49365125999998</v>
          </cell>
        </row>
        <row r="858">
          <cell r="A858" t="str">
            <v>63548-BF_2.1.5</v>
          </cell>
          <cell r="B858" t="str">
            <v>QUINDIO</v>
          </cell>
          <cell r="C858">
            <v>63548</v>
          </cell>
          <cell r="D858" t="str">
            <v>PIJAO</v>
          </cell>
          <cell r="E858">
            <v>67</v>
          </cell>
          <cell r="F858" t="str">
            <v>BF_2.1.5</v>
          </cell>
          <cell r="G858" t="str">
            <v xml:space="preserve">        INTERESES Y COMISIONES DE LA DEUDA</v>
          </cell>
          <cell r="H858">
            <v>0</v>
          </cell>
          <cell r="I858">
            <v>70.324808000000004</v>
          </cell>
        </row>
        <row r="859">
          <cell r="A859" t="str">
            <v>63548-BF_2.1.5.1</v>
          </cell>
          <cell r="B859" t="str">
            <v>QUINDIO</v>
          </cell>
          <cell r="C859">
            <v>63548</v>
          </cell>
          <cell r="D859" t="str">
            <v>PIJAO</v>
          </cell>
          <cell r="E859">
            <v>68</v>
          </cell>
          <cell r="F859" t="str">
            <v>BF_2.1.5.1</v>
          </cell>
          <cell r="G859" t="str">
            <v xml:space="preserve">             Interna</v>
          </cell>
          <cell r="H859">
            <v>0</v>
          </cell>
          <cell r="I859">
            <v>70.324808000000004</v>
          </cell>
        </row>
        <row r="860">
          <cell r="A860" t="str">
            <v>63548-BF_3</v>
          </cell>
          <cell r="B860" t="str">
            <v>QUINDIO</v>
          </cell>
          <cell r="C860">
            <v>63548</v>
          </cell>
          <cell r="D860" t="str">
            <v>PIJAO</v>
          </cell>
          <cell r="E860">
            <v>70</v>
          </cell>
          <cell r="F860" t="str">
            <v>BF_3</v>
          </cell>
          <cell r="G860" t="str">
            <v>DÉFICIT O AHORRO CORRIENTE</v>
          </cell>
          <cell r="H860">
            <v>1960.307</v>
          </cell>
          <cell r="I860">
            <v>-42.964790530000002</v>
          </cell>
        </row>
        <row r="861">
          <cell r="A861" t="str">
            <v>63548-BF_4</v>
          </cell>
          <cell r="B861" t="str">
            <v>QUINDIO</v>
          </cell>
          <cell r="C861">
            <v>63548</v>
          </cell>
          <cell r="D861" t="str">
            <v>PIJAO</v>
          </cell>
          <cell r="E861">
            <v>71</v>
          </cell>
          <cell r="F861" t="str">
            <v>BF_4</v>
          </cell>
          <cell r="G861" t="str">
            <v>INGRESOS DE CAPITAL</v>
          </cell>
          <cell r="H861">
            <v>155.547</v>
          </cell>
          <cell r="I861">
            <v>579.96956699999998</v>
          </cell>
        </row>
        <row r="862">
          <cell r="A862" t="str">
            <v>63548-BF_4.4</v>
          </cell>
          <cell r="B862" t="str">
            <v>QUINDIO</v>
          </cell>
          <cell r="C862">
            <v>63548</v>
          </cell>
          <cell r="D862" t="str">
            <v>PIJAO</v>
          </cell>
          <cell r="E862">
            <v>75</v>
          </cell>
          <cell r="F862" t="str">
            <v>BF_4.4</v>
          </cell>
          <cell r="G862" t="str">
            <v xml:space="preserve">    Rendimientos Financieros</v>
          </cell>
          <cell r="H862">
            <v>15.478</v>
          </cell>
          <cell r="I862">
            <v>13.593552000000001</v>
          </cell>
        </row>
        <row r="863">
          <cell r="A863" t="str">
            <v>63548-BF_4.5</v>
          </cell>
          <cell r="B863" t="str">
            <v>QUINDIO</v>
          </cell>
          <cell r="C863">
            <v>63548</v>
          </cell>
          <cell r="D863" t="str">
            <v>PIJAO</v>
          </cell>
          <cell r="E863">
            <v>76</v>
          </cell>
          <cell r="F863" t="str">
            <v>BF_4.5</v>
          </cell>
          <cell r="G863" t="str">
            <v xml:space="preserve">    Excedentes Financieros</v>
          </cell>
          <cell r="H863">
            <v>6.0309999999999997</v>
          </cell>
          <cell r="I863">
            <v>4.8434429999999997</v>
          </cell>
        </row>
        <row r="864">
          <cell r="A864" t="str">
            <v>63548-BF_4.6</v>
          </cell>
          <cell r="B864" t="str">
            <v>QUINDIO</v>
          </cell>
          <cell r="C864">
            <v>63548</v>
          </cell>
          <cell r="D864" t="str">
            <v>PIJAO</v>
          </cell>
          <cell r="E864">
            <v>77</v>
          </cell>
          <cell r="F864" t="str">
            <v>BF_4.6</v>
          </cell>
          <cell r="G864" t="str">
            <v xml:space="preserve">    Desahorro FONPET</v>
          </cell>
          <cell r="H864">
            <v>133.03800000000001</v>
          </cell>
          <cell r="I864">
            <v>552.60415999999998</v>
          </cell>
        </row>
        <row r="865">
          <cell r="A865" t="str">
            <v>63548-BF_4.6.1</v>
          </cell>
          <cell r="B865" t="str">
            <v>QUINDIO</v>
          </cell>
          <cell r="C865">
            <v>63548</v>
          </cell>
          <cell r="D865" t="str">
            <v>PIJAO</v>
          </cell>
          <cell r="E865">
            <v>78</v>
          </cell>
          <cell r="F865" t="str">
            <v>BF_4.6.1</v>
          </cell>
          <cell r="G865" t="str">
            <v xml:space="preserve">    Salud</v>
          </cell>
          <cell r="H865">
            <v>133.03800000000001</v>
          </cell>
          <cell r="I865">
            <v>508.13799999999998</v>
          </cell>
        </row>
        <row r="866">
          <cell r="A866" t="str">
            <v>63548-BF_4.6.4</v>
          </cell>
          <cell r="B866" t="str">
            <v>QUINDIO</v>
          </cell>
          <cell r="C866">
            <v>63548</v>
          </cell>
          <cell r="D866" t="str">
            <v>PIJAO</v>
          </cell>
          <cell r="E866">
            <v>81</v>
          </cell>
          <cell r="F866" t="str">
            <v>BF_4.6.4</v>
          </cell>
          <cell r="G866" t="str">
            <v xml:space="preserve">    Otros Desahorros y Retiros (Cuotas partes, Bonos y Devoluciones)</v>
          </cell>
          <cell r="H866">
            <v>0</v>
          </cell>
          <cell r="I866">
            <v>44.466160000000002</v>
          </cell>
        </row>
        <row r="867">
          <cell r="A867" t="str">
            <v>63548-BF_4.7</v>
          </cell>
          <cell r="B867" t="str">
            <v>QUINDIO</v>
          </cell>
          <cell r="C867">
            <v>63548</v>
          </cell>
          <cell r="D867" t="str">
            <v>PIJAO</v>
          </cell>
          <cell r="E867">
            <v>82</v>
          </cell>
          <cell r="F867" t="str">
            <v>BF_4.7</v>
          </cell>
          <cell r="G867" t="str">
            <v xml:space="preserve">    Otros Recursos de Capital (Donaciones, Aprovechamientos y Otros)</v>
          </cell>
          <cell r="H867">
            <v>1</v>
          </cell>
          <cell r="I867">
            <v>8.9284119999999998</v>
          </cell>
        </row>
        <row r="868">
          <cell r="A868" t="str">
            <v>63548-BF_5</v>
          </cell>
          <cell r="B868" t="str">
            <v>QUINDIO</v>
          </cell>
          <cell r="C868">
            <v>63548</v>
          </cell>
          <cell r="D868" t="str">
            <v>PIJAO</v>
          </cell>
          <cell r="E868">
            <v>83</v>
          </cell>
          <cell r="F868" t="str">
            <v>BF_5</v>
          </cell>
          <cell r="G868" t="str">
            <v>GASTOS DE CAPITAL</v>
          </cell>
          <cell r="H868">
            <v>2282.471</v>
          </cell>
          <cell r="I868">
            <v>769.91974128000004</v>
          </cell>
        </row>
        <row r="869">
          <cell r="A869" t="str">
            <v>63548-BF_5.1</v>
          </cell>
          <cell r="B869" t="str">
            <v>QUINDIO</v>
          </cell>
          <cell r="C869">
            <v>63548</v>
          </cell>
          <cell r="D869" t="str">
            <v>PIJAO</v>
          </cell>
          <cell r="E869">
            <v>84</v>
          </cell>
          <cell r="F869" t="str">
            <v>BF_5.1</v>
          </cell>
          <cell r="G869" t="str">
            <v xml:space="preserve">    Formación Bruta de Capital (Construcción, Reparación, Mantenimiento, Preinversión, Otros)</v>
          </cell>
          <cell r="H869">
            <v>2282.471</v>
          </cell>
          <cell r="I869">
            <v>769.91974128000004</v>
          </cell>
        </row>
        <row r="870">
          <cell r="A870" t="str">
            <v>63548-BF_5.1.2</v>
          </cell>
          <cell r="B870" t="str">
            <v>QUINDIO</v>
          </cell>
          <cell r="C870">
            <v>63548</v>
          </cell>
          <cell r="D870" t="str">
            <v>PIJAO</v>
          </cell>
          <cell r="E870">
            <v>86</v>
          </cell>
          <cell r="F870" t="str">
            <v>BF_5.1.2</v>
          </cell>
          <cell r="G870" t="str">
            <v xml:space="preserve">        Salud</v>
          </cell>
          <cell r="H870">
            <v>0</v>
          </cell>
          <cell r="I870">
            <v>19.38</v>
          </cell>
        </row>
        <row r="871">
          <cell r="A871" t="str">
            <v>63548-BF_5.1.3</v>
          </cell>
          <cell r="B871" t="str">
            <v>QUINDIO</v>
          </cell>
          <cell r="C871">
            <v>63548</v>
          </cell>
          <cell r="D871" t="str">
            <v>PIJAO</v>
          </cell>
          <cell r="E871">
            <v>87</v>
          </cell>
          <cell r="F871" t="str">
            <v>BF_5.1.3</v>
          </cell>
          <cell r="G871" t="str">
            <v xml:space="preserve">        Agua Potable</v>
          </cell>
          <cell r="H871">
            <v>289.27499999999998</v>
          </cell>
          <cell r="I871">
            <v>273.35234807000001</v>
          </cell>
        </row>
        <row r="872">
          <cell r="A872" t="str">
            <v>63548-BF_5.1.4</v>
          </cell>
          <cell r="B872" t="str">
            <v>QUINDIO</v>
          </cell>
          <cell r="C872">
            <v>63548</v>
          </cell>
          <cell r="D872" t="str">
            <v>PIJAO</v>
          </cell>
          <cell r="E872">
            <v>88</v>
          </cell>
          <cell r="F872" t="str">
            <v>BF_5.1.4</v>
          </cell>
          <cell r="G872" t="str">
            <v xml:space="preserve">        Vivienda</v>
          </cell>
          <cell r="H872">
            <v>0</v>
          </cell>
          <cell r="I872">
            <v>14.784000000000001</v>
          </cell>
        </row>
        <row r="873">
          <cell r="A873" t="str">
            <v>63548-BF_5.1.5</v>
          </cell>
          <cell r="B873" t="str">
            <v>QUINDIO</v>
          </cell>
          <cell r="C873">
            <v>63548</v>
          </cell>
          <cell r="D873" t="str">
            <v>PIJAO</v>
          </cell>
          <cell r="E873">
            <v>89</v>
          </cell>
          <cell r="F873" t="str">
            <v>BF_5.1.5</v>
          </cell>
          <cell r="G873" t="str">
            <v xml:space="preserve">        Vías</v>
          </cell>
          <cell r="H873">
            <v>65.385000000000005</v>
          </cell>
          <cell r="I873">
            <v>149.65528225</v>
          </cell>
        </row>
        <row r="874">
          <cell r="A874" t="str">
            <v>63548-BF_5.1.6</v>
          </cell>
          <cell r="B874" t="str">
            <v>QUINDIO</v>
          </cell>
          <cell r="C874">
            <v>63548</v>
          </cell>
          <cell r="D874" t="str">
            <v>PIJAO</v>
          </cell>
          <cell r="E874">
            <v>90</v>
          </cell>
          <cell r="F874" t="str">
            <v>BF_5.1.6</v>
          </cell>
          <cell r="G874" t="str">
            <v xml:space="preserve">        Otros Sectores</v>
          </cell>
          <cell r="H874">
            <v>1927.8109999999999</v>
          </cell>
          <cell r="I874">
            <v>312.74811096000002</v>
          </cell>
        </row>
        <row r="875">
          <cell r="A875" t="str">
            <v>63548-BF_6</v>
          </cell>
          <cell r="B875" t="str">
            <v>QUINDIO</v>
          </cell>
          <cell r="C875">
            <v>63548</v>
          </cell>
          <cell r="D875" t="str">
            <v>PIJAO</v>
          </cell>
          <cell r="E875">
            <v>92</v>
          </cell>
          <cell r="F875" t="str">
            <v>BF_6</v>
          </cell>
          <cell r="G875" t="str">
            <v>DÉFICIT O SUPERÁVIT DE CAPITAL</v>
          </cell>
          <cell r="H875">
            <v>-2126.924</v>
          </cell>
          <cell r="I875">
            <v>-189.95017428</v>
          </cell>
        </row>
        <row r="876">
          <cell r="A876" t="str">
            <v>63548-BF_7</v>
          </cell>
          <cell r="B876" t="str">
            <v>QUINDIO</v>
          </cell>
          <cell r="C876">
            <v>63548</v>
          </cell>
          <cell r="D876" t="str">
            <v>PIJAO</v>
          </cell>
          <cell r="E876">
            <v>93</v>
          </cell>
          <cell r="F876" t="str">
            <v>BF_7</v>
          </cell>
          <cell r="G876" t="str">
            <v>DÉFICIT O SUPERÁVIT TOTAL</v>
          </cell>
          <cell r="H876">
            <v>-166.61699999999999</v>
          </cell>
          <cell r="I876">
            <v>-232.91496480999999</v>
          </cell>
        </row>
        <row r="877">
          <cell r="A877" t="str">
            <v>63548-BF_8</v>
          </cell>
          <cell r="B877" t="str">
            <v>QUINDIO</v>
          </cell>
          <cell r="C877">
            <v>63548</v>
          </cell>
          <cell r="D877" t="str">
            <v>PIJAO</v>
          </cell>
          <cell r="E877">
            <v>94</v>
          </cell>
          <cell r="F877" t="str">
            <v>BF_8</v>
          </cell>
          <cell r="G877" t="str">
            <v>FINANCIACIÓN</v>
          </cell>
          <cell r="H877">
            <v>902.70699999999999</v>
          </cell>
          <cell r="I877">
            <v>905.80068200000005</v>
          </cell>
        </row>
        <row r="878">
          <cell r="A878" t="str">
            <v>63548-BF_8.2</v>
          </cell>
          <cell r="B878" t="str">
            <v>QUINDIO</v>
          </cell>
          <cell r="C878">
            <v>63548</v>
          </cell>
          <cell r="D878" t="str">
            <v>PIJAO</v>
          </cell>
          <cell r="E878">
            <v>102</v>
          </cell>
          <cell r="F878" t="str">
            <v>BF_8.2</v>
          </cell>
          <cell r="G878" t="str">
            <v xml:space="preserve">    Recursos del Balance (Superávit Fiscal, Cancelación de Reservas)</v>
          </cell>
          <cell r="H878">
            <v>902.70699999999999</v>
          </cell>
          <cell r="I878">
            <v>905.80068200000005</v>
          </cell>
        </row>
        <row r="879">
          <cell r="A879" t="str">
            <v>63548-BF_9.1</v>
          </cell>
          <cell r="B879" t="str">
            <v>QUINDIO</v>
          </cell>
          <cell r="C879">
            <v>63548</v>
          </cell>
          <cell r="D879" t="str">
            <v>PIJAO</v>
          </cell>
          <cell r="E879">
            <v>107</v>
          </cell>
          <cell r="F879" t="str">
            <v>BF_9.1</v>
          </cell>
          <cell r="G879" t="str">
            <v xml:space="preserve">    DÉFICIT O SUPERÁVIT PRIMARIO</v>
          </cell>
          <cell r="H879">
            <v>736.09</v>
          </cell>
          <cell r="I879">
            <v>743.21052519</v>
          </cell>
        </row>
        <row r="880">
          <cell r="A880" t="str">
            <v>63548-BF_9.2</v>
          </cell>
          <cell r="B880" t="str">
            <v>QUINDIO</v>
          </cell>
          <cell r="C880">
            <v>63548</v>
          </cell>
          <cell r="D880" t="str">
            <v>PIJAO</v>
          </cell>
          <cell r="E880">
            <v>108</v>
          </cell>
          <cell r="F880" t="str">
            <v>BF_9.2</v>
          </cell>
          <cell r="G880" t="str">
            <v xml:space="preserve">    DÉFICIT O SUPERÁVIT PRIMARIO/INTERESES</v>
          </cell>
          <cell r="H880">
            <v>0</v>
          </cell>
          <cell r="I880">
            <v>10.568255304999999</v>
          </cell>
        </row>
        <row r="881">
          <cell r="A881" t="str">
            <v>63548-BF_10.1</v>
          </cell>
          <cell r="B881" t="str">
            <v>QUINDIO</v>
          </cell>
          <cell r="C881">
            <v>63548</v>
          </cell>
          <cell r="D881" t="str">
            <v>PIJAO</v>
          </cell>
          <cell r="E881">
            <v>110</v>
          </cell>
          <cell r="F881" t="str">
            <v>BF_10.1</v>
          </cell>
          <cell r="G881" t="str">
            <v xml:space="preserve">    INGRESOS TOTALES SIN INCLUIR RECURSOS PARA RESERVAS PRESUPUESTALES</v>
          </cell>
          <cell r="H881">
            <v>8333.7939999999999</v>
          </cell>
          <cell r="I881">
            <v>8059.5913700000001</v>
          </cell>
        </row>
        <row r="882">
          <cell r="A882" t="str">
            <v>63548-BF_10.2</v>
          </cell>
          <cell r="B882" t="str">
            <v>QUINDIO</v>
          </cell>
          <cell r="C882">
            <v>63548</v>
          </cell>
          <cell r="D882" t="str">
            <v>PIJAO</v>
          </cell>
          <cell r="E882">
            <v>111</v>
          </cell>
          <cell r="F882" t="str">
            <v>BF_10.2</v>
          </cell>
          <cell r="G882" t="str">
            <v xml:space="preserve">    GASTOS TOTALES SIN INCLUIR GASTOS POR RESERVAS PRESUPUESTALES</v>
          </cell>
          <cell r="H882">
            <v>7597.7039999999997</v>
          </cell>
          <cell r="I882">
            <v>7386.7056528100002</v>
          </cell>
        </row>
        <row r="883">
          <cell r="A883" t="str">
            <v>63548-BF_10.3</v>
          </cell>
          <cell r="B883" t="str">
            <v>QUINDIO</v>
          </cell>
          <cell r="C883">
            <v>63548</v>
          </cell>
          <cell r="D883" t="str">
            <v>PIJAO</v>
          </cell>
          <cell r="E883">
            <v>112</v>
          </cell>
          <cell r="F883" t="str">
            <v>BF_10.3</v>
          </cell>
          <cell r="G883" t="str">
            <v xml:space="preserve">    DÉFICIT O SUPERÁVIT PRESUPUESTAL SIN INCLUIR RESERVAS PRESUPUESTALES</v>
          </cell>
          <cell r="H883">
            <v>736.09</v>
          </cell>
          <cell r="I883">
            <v>672.88571719000004</v>
          </cell>
        </row>
        <row r="884">
          <cell r="A884" t="str">
            <v>63548-BF_12.1</v>
          </cell>
          <cell r="B884" t="str">
            <v>QUINDIO</v>
          </cell>
          <cell r="C884">
            <v>63548</v>
          </cell>
          <cell r="D884" t="str">
            <v>PIJAO</v>
          </cell>
          <cell r="E884">
            <v>114</v>
          </cell>
          <cell r="F884" t="str">
            <v>BF_12.1</v>
          </cell>
          <cell r="G884" t="str">
            <v xml:space="preserve">    INGRESOS TOTALES</v>
          </cell>
          <cell r="H884">
            <v>8333.7939999999999</v>
          </cell>
          <cell r="I884">
            <v>8227.4601849699993</v>
          </cell>
        </row>
        <row r="885">
          <cell r="A885" t="str">
            <v>63548-BF_12.2</v>
          </cell>
          <cell r="B885" t="str">
            <v>QUINDIO</v>
          </cell>
          <cell r="C885">
            <v>63548</v>
          </cell>
          <cell r="D885" t="str">
            <v>PIJAO</v>
          </cell>
          <cell r="E885">
            <v>115</v>
          </cell>
          <cell r="F885" t="str">
            <v>BF_12.2</v>
          </cell>
          <cell r="G885" t="str">
            <v xml:space="preserve">    GASTOS TOTALES</v>
          </cell>
          <cell r="H885">
            <v>7597.7039999999997</v>
          </cell>
          <cell r="I885">
            <v>7554.5744677800003</v>
          </cell>
        </row>
        <row r="886">
          <cell r="A886" t="str">
            <v>63548-BF_12.3</v>
          </cell>
          <cell r="B886" t="str">
            <v>QUINDIO</v>
          </cell>
          <cell r="C886">
            <v>63548</v>
          </cell>
          <cell r="D886" t="str">
            <v>PIJAO</v>
          </cell>
          <cell r="E886">
            <v>116</v>
          </cell>
          <cell r="F886" t="str">
            <v>BF_12.3</v>
          </cell>
          <cell r="G886" t="str">
            <v xml:space="preserve">    DÉFICIT O SUPERÁVIT PRESUPUESTAL</v>
          </cell>
          <cell r="H886">
            <v>736.09</v>
          </cell>
          <cell r="I886">
            <v>672.88571719000004</v>
          </cell>
        </row>
        <row r="887">
          <cell r="A887" t="str">
            <v>63548-BF_13.1</v>
          </cell>
          <cell r="B887" t="str">
            <v>QUINDIO</v>
          </cell>
          <cell r="C887">
            <v>63548</v>
          </cell>
          <cell r="D887" t="str">
            <v>PIJAO</v>
          </cell>
          <cell r="E887">
            <v>118</v>
          </cell>
          <cell r="F887" t="str">
            <v>BF_13.1</v>
          </cell>
          <cell r="G887" t="str">
            <v xml:space="preserve">    Recursos que Financian Reservas Presupuestales Excepcionales (Ley 819/2003)</v>
          </cell>
          <cell r="H887">
            <v>0</v>
          </cell>
          <cell r="I887">
            <v>167.86881496999999</v>
          </cell>
        </row>
        <row r="888">
          <cell r="A888" t="str">
            <v>63548-BF_13.3</v>
          </cell>
          <cell r="B888" t="str">
            <v>QUINDIO</v>
          </cell>
          <cell r="C888">
            <v>63548</v>
          </cell>
          <cell r="D888" t="str">
            <v>PIJAO</v>
          </cell>
          <cell r="E888">
            <v>120</v>
          </cell>
          <cell r="F888" t="str">
            <v>BF_13.3</v>
          </cell>
          <cell r="G888" t="str">
            <v xml:space="preserve">    Reservas Presupuestales de Inversión Vigencia Anterior</v>
          </cell>
          <cell r="H888">
            <v>0</v>
          </cell>
          <cell r="I888">
            <v>167.86881496999999</v>
          </cell>
        </row>
        <row r="889">
          <cell r="A889" t="str">
            <v>63594-BF_1</v>
          </cell>
          <cell r="B889" t="str">
            <v>QUINDIO</v>
          </cell>
          <cell r="C889">
            <v>63594</v>
          </cell>
          <cell r="D889" t="str">
            <v>QUIMBAYA</v>
          </cell>
          <cell r="E889">
            <v>1</v>
          </cell>
          <cell r="F889" t="str">
            <v>BF_1</v>
          </cell>
          <cell r="G889" t="str">
            <v>INGRESOS TOTALES</v>
          </cell>
          <cell r="H889">
            <v>29447.642</v>
          </cell>
          <cell r="I889">
            <v>35523.321686000003</v>
          </cell>
        </row>
        <row r="890">
          <cell r="A890" t="str">
            <v>63594-BF_1.1</v>
          </cell>
          <cell r="B890" t="str">
            <v>QUINDIO</v>
          </cell>
          <cell r="C890">
            <v>63594</v>
          </cell>
          <cell r="D890" t="str">
            <v>QUIMBAYA</v>
          </cell>
          <cell r="E890">
            <v>2</v>
          </cell>
          <cell r="F890" t="str">
            <v>BF_1.1</v>
          </cell>
          <cell r="G890" t="str">
            <v xml:space="preserve">    INGRESOS CORRIENTES</v>
          </cell>
          <cell r="H890">
            <v>29022.18</v>
          </cell>
          <cell r="I890">
            <v>28367.880430000001</v>
          </cell>
        </row>
        <row r="891">
          <cell r="A891" t="str">
            <v>63594-BF_1.1.1</v>
          </cell>
          <cell r="B891" t="str">
            <v>QUINDIO</v>
          </cell>
          <cell r="C891">
            <v>63594</v>
          </cell>
          <cell r="D891" t="str">
            <v>QUIMBAYA</v>
          </cell>
          <cell r="E891">
            <v>3</v>
          </cell>
          <cell r="F891" t="str">
            <v>BF_1.1.1</v>
          </cell>
          <cell r="G891" t="str">
            <v xml:space="preserve">        TRIBUTARIOS</v>
          </cell>
          <cell r="H891">
            <v>7390.7749999999996</v>
          </cell>
          <cell r="I891">
            <v>7223.5460229999999</v>
          </cell>
        </row>
        <row r="892">
          <cell r="A892" t="str">
            <v>63594-BF_1.1.1.2</v>
          </cell>
          <cell r="B892" t="str">
            <v>QUINDIO</v>
          </cell>
          <cell r="C892">
            <v>63594</v>
          </cell>
          <cell r="D892" t="str">
            <v>QUIMBAYA</v>
          </cell>
          <cell r="E892">
            <v>5</v>
          </cell>
          <cell r="F892" t="str">
            <v>BF_1.1.1.2</v>
          </cell>
          <cell r="G892" t="str">
            <v xml:space="preserve">             Impuesto Predial Unificado</v>
          </cell>
          <cell r="H892">
            <v>3314.337</v>
          </cell>
          <cell r="I892">
            <v>3161.8114150000001</v>
          </cell>
        </row>
        <row r="893">
          <cell r="A893" t="str">
            <v>63594-BF_1.1.1.3</v>
          </cell>
          <cell r="B893" t="str">
            <v>QUINDIO</v>
          </cell>
          <cell r="C893">
            <v>63594</v>
          </cell>
          <cell r="D893" t="str">
            <v>QUIMBAYA</v>
          </cell>
          <cell r="E893">
            <v>6</v>
          </cell>
          <cell r="F893" t="str">
            <v>BF_1.1.1.3</v>
          </cell>
          <cell r="G893" t="str">
            <v xml:space="preserve">             Impuesto de Industria y Comercio</v>
          </cell>
          <cell r="H893">
            <v>718.72900000000004</v>
          </cell>
          <cell r="I893">
            <v>626.37850800000001</v>
          </cell>
        </row>
        <row r="894">
          <cell r="A894" t="str">
            <v>63594-BF_1.1.1.8</v>
          </cell>
          <cell r="B894" t="str">
            <v>QUINDIO</v>
          </cell>
          <cell r="C894">
            <v>63594</v>
          </cell>
          <cell r="D894" t="str">
            <v>QUIMBAYA</v>
          </cell>
          <cell r="E894">
            <v>11</v>
          </cell>
          <cell r="F894" t="str">
            <v>BF_1.1.1.8</v>
          </cell>
          <cell r="G894" t="str">
            <v xml:space="preserve">             Sobretasa Consumo Gasolina Motor</v>
          </cell>
          <cell r="H894">
            <v>885.85299999999995</v>
          </cell>
          <cell r="I894">
            <v>922.20209699999998</v>
          </cell>
        </row>
        <row r="895">
          <cell r="A895" t="str">
            <v>63594-BF_1.1.1.9</v>
          </cell>
          <cell r="B895" t="str">
            <v>QUINDIO</v>
          </cell>
          <cell r="C895">
            <v>63594</v>
          </cell>
          <cell r="D895" t="str">
            <v>QUIMBAYA</v>
          </cell>
          <cell r="E895">
            <v>12</v>
          </cell>
          <cell r="F895" t="str">
            <v>BF_1.1.1.9</v>
          </cell>
          <cell r="G895" t="str">
            <v xml:space="preserve">             Estampillas</v>
          </cell>
          <cell r="H895">
            <v>408.58600000000001</v>
          </cell>
          <cell r="I895">
            <v>512.1146</v>
          </cell>
        </row>
        <row r="896">
          <cell r="A896" t="str">
            <v>63594-BF_1.1.1.12</v>
          </cell>
          <cell r="B896" t="str">
            <v>QUINDIO</v>
          </cell>
          <cell r="C896">
            <v>63594</v>
          </cell>
          <cell r="D896" t="str">
            <v>QUIMBAYA</v>
          </cell>
          <cell r="E896">
            <v>15</v>
          </cell>
          <cell r="F896" t="str">
            <v>BF_1.1.1.12</v>
          </cell>
          <cell r="G896" t="str">
            <v xml:space="preserve">             Otros Ingresos Tributarios</v>
          </cell>
          <cell r="H896">
            <v>2063.27</v>
          </cell>
          <cell r="I896">
            <v>2001.039403</v>
          </cell>
        </row>
        <row r="897">
          <cell r="A897" t="str">
            <v>63594-BF_1.1.2</v>
          </cell>
          <cell r="B897" t="str">
            <v>QUINDIO</v>
          </cell>
          <cell r="C897">
            <v>63594</v>
          </cell>
          <cell r="D897" t="str">
            <v>QUIMBAYA</v>
          </cell>
          <cell r="E897">
            <v>16</v>
          </cell>
          <cell r="F897" t="str">
            <v>BF_1.1.2</v>
          </cell>
          <cell r="G897" t="str">
            <v xml:space="preserve">        NO TRIBUTARIOS</v>
          </cell>
          <cell r="H897">
            <v>995.52599999999995</v>
          </cell>
          <cell r="I897">
            <v>959.88563299999998</v>
          </cell>
        </row>
        <row r="898">
          <cell r="A898" t="str">
            <v>63594-BF_1.1.2.1</v>
          </cell>
          <cell r="B898" t="str">
            <v>QUINDIO</v>
          </cell>
          <cell r="C898">
            <v>63594</v>
          </cell>
          <cell r="D898" t="str">
            <v>QUIMBAYA</v>
          </cell>
          <cell r="E898">
            <v>17</v>
          </cell>
          <cell r="F898" t="str">
            <v>BF_1.1.2.1</v>
          </cell>
          <cell r="G898" t="str">
            <v xml:space="preserve">             Ingresos de la Propiedad: Tasas, Derechos, Multas y Sanciones</v>
          </cell>
          <cell r="H898">
            <v>318.73200000000003</v>
          </cell>
          <cell r="I898">
            <v>229.74100899999999</v>
          </cell>
        </row>
        <row r="899">
          <cell r="A899" t="str">
            <v>63594-BF_1.1.2.2</v>
          </cell>
          <cell r="B899" t="str">
            <v>QUINDIO</v>
          </cell>
          <cell r="C899">
            <v>63594</v>
          </cell>
          <cell r="D899" t="str">
            <v>QUIMBAYA</v>
          </cell>
          <cell r="E899">
            <v>18</v>
          </cell>
          <cell r="F899" t="str">
            <v>BF_1.1.2.2</v>
          </cell>
          <cell r="G899" t="str">
            <v xml:space="preserve">             Otros No Tributarios</v>
          </cell>
          <cell r="H899">
            <v>676.79399999999998</v>
          </cell>
          <cell r="I899">
            <v>730.14462400000002</v>
          </cell>
        </row>
        <row r="900">
          <cell r="A900" t="str">
            <v>63594-BF_1.1.3</v>
          </cell>
          <cell r="B900" t="str">
            <v>QUINDIO</v>
          </cell>
          <cell r="C900">
            <v>63594</v>
          </cell>
          <cell r="D900" t="str">
            <v>QUIMBAYA</v>
          </cell>
          <cell r="E900">
            <v>19</v>
          </cell>
          <cell r="F900" t="str">
            <v>BF_1.1.3</v>
          </cell>
          <cell r="G900" t="str">
            <v xml:space="preserve">        TRANSFERENCIAS</v>
          </cell>
          <cell r="H900">
            <v>20635.879000000001</v>
          </cell>
          <cell r="I900">
            <v>20184.448774</v>
          </cell>
        </row>
        <row r="901">
          <cell r="A901" t="str">
            <v>63594-BF_1.1.3.1</v>
          </cell>
          <cell r="B901" t="str">
            <v>QUINDIO</v>
          </cell>
          <cell r="C901">
            <v>63594</v>
          </cell>
          <cell r="D901" t="str">
            <v>QUIMBAYA</v>
          </cell>
          <cell r="E901">
            <v>20</v>
          </cell>
          <cell r="F901" t="str">
            <v>BF_1.1.3.1</v>
          </cell>
          <cell r="G901" t="str">
            <v xml:space="preserve">             Transferencias Para Funcionamiento</v>
          </cell>
          <cell r="H901">
            <v>843.20299999999997</v>
          </cell>
          <cell r="I901">
            <v>1282.0112489999999</v>
          </cell>
        </row>
        <row r="902">
          <cell r="A902" t="str">
            <v>63594-BF_1.1.3.1.1</v>
          </cell>
          <cell r="B902" t="str">
            <v>QUINDIO</v>
          </cell>
          <cell r="C902">
            <v>63594</v>
          </cell>
          <cell r="D902" t="str">
            <v>QUIMBAYA</v>
          </cell>
          <cell r="E902">
            <v>21</v>
          </cell>
          <cell r="F902" t="str">
            <v>BF_1.1.3.1.1</v>
          </cell>
          <cell r="G902" t="str">
            <v xml:space="preserve">                 Del Nivel Nacional</v>
          </cell>
          <cell r="H902">
            <v>771.67600000000004</v>
          </cell>
          <cell r="I902">
            <v>1097.2976980000001</v>
          </cell>
        </row>
        <row r="903">
          <cell r="A903" t="str">
            <v>63594-BF_1.1.3.1.1.1</v>
          </cell>
          <cell r="B903" t="str">
            <v>QUINDIO</v>
          </cell>
          <cell r="C903">
            <v>63594</v>
          </cell>
          <cell r="D903" t="str">
            <v>QUIMBAYA</v>
          </cell>
          <cell r="E903">
            <v>22</v>
          </cell>
          <cell r="F903" t="str">
            <v>BF_1.1.3.1.1.1</v>
          </cell>
          <cell r="G903" t="str">
            <v xml:space="preserve">                     Sistema General de Participaciones - Propósito General - Libre destinación - Municipios categorías 4, 5 y 6</v>
          </cell>
          <cell r="H903">
            <v>771.67600000000004</v>
          </cell>
          <cell r="I903">
            <v>1097.2976980000001</v>
          </cell>
        </row>
        <row r="904">
          <cell r="A904" t="str">
            <v>63594-BF_1.1.3.1.2</v>
          </cell>
          <cell r="B904" t="str">
            <v>QUINDIO</v>
          </cell>
          <cell r="C904">
            <v>63594</v>
          </cell>
          <cell r="D904" t="str">
            <v>QUIMBAYA</v>
          </cell>
          <cell r="E904">
            <v>24</v>
          </cell>
          <cell r="F904" t="str">
            <v>BF_1.1.3.1.2</v>
          </cell>
          <cell r="G904" t="str">
            <v xml:space="preserve">                 Del Nivel Departamental</v>
          </cell>
          <cell r="H904">
            <v>71.527000000000001</v>
          </cell>
          <cell r="I904">
            <v>184.713551</v>
          </cell>
        </row>
        <row r="905">
          <cell r="A905" t="str">
            <v>63594-BF_1.1.3.1.2.1</v>
          </cell>
          <cell r="B905" t="str">
            <v>QUINDIO</v>
          </cell>
          <cell r="C905">
            <v>63594</v>
          </cell>
          <cell r="D905" t="str">
            <v>QUIMBAYA</v>
          </cell>
          <cell r="E905">
            <v>25</v>
          </cell>
          <cell r="F905" t="str">
            <v>BF_1.1.3.1.2.1</v>
          </cell>
          <cell r="G905" t="str">
            <v xml:space="preserve">                     De Vehículos Automotores</v>
          </cell>
          <cell r="H905">
            <v>71.527000000000001</v>
          </cell>
          <cell r="I905">
            <v>184.713551</v>
          </cell>
        </row>
        <row r="906">
          <cell r="A906" t="str">
            <v>63594-BF_1.1.3.2</v>
          </cell>
          <cell r="B906" t="str">
            <v>QUINDIO</v>
          </cell>
          <cell r="C906">
            <v>63594</v>
          </cell>
          <cell r="D906" t="str">
            <v>QUIMBAYA</v>
          </cell>
          <cell r="E906">
            <v>28</v>
          </cell>
          <cell r="F906" t="str">
            <v>BF_1.1.3.2</v>
          </cell>
          <cell r="G906" t="str">
            <v xml:space="preserve">             Transferencias Para Inversión</v>
          </cell>
          <cell r="H906">
            <v>19792.675999999999</v>
          </cell>
          <cell r="I906">
            <v>18902.437525000001</v>
          </cell>
        </row>
        <row r="907">
          <cell r="A907" t="str">
            <v>63594-BF_1.1.3.2.1</v>
          </cell>
          <cell r="B907" t="str">
            <v>QUINDIO</v>
          </cell>
          <cell r="C907">
            <v>63594</v>
          </cell>
          <cell r="D907" t="str">
            <v>QUIMBAYA</v>
          </cell>
          <cell r="E907">
            <v>29</v>
          </cell>
          <cell r="F907" t="str">
            <v>BF_1.1.3.2.1</v>
          </cell>
          <cell r="G907" t="str">
            <v xml:space="preserve">                 Del Nivel Nacional</v>
          </cell>
          <cell r="H907">
            <v>18440.536</v>
          </cell>
          <cell r="I907">
            <v>17338.72321</v>
          </cell>
        </row>
        <row r="908">
          <cell r="A908" t="str">
            <v>63594-BF_1.1.3.2.1.1</v>
          </cell>
          <cell r="B908" t="str">
            <v>QUINDIO</v>
          </cell>
          <cell r="C908">
            <v>63594</v>
          </cell>
          <cell r="D908" t="str">
            <v>QUIMBAYA</v>
          </cell>
          <cell r="E908">
            <v>30</v>
          </cell>
          <cell r="F908" t="str">
            <v>BF_1.1.3.2.1.1</v>
          </cell>
          <cell r="G908" t="str">
            <v xml:space="preserve">                     Sistema General de Participaciones</v>
          </cell>
          <cell r="H908">
            <v>9688.93</v>
          </cell>
          <cell r="I908">
            <v>10053.794576</v>
          </cell>
        </row>
        <row r="909">
          <cell r="A909" t="str">
            <v>63594-BF_1.1.3.2.1.1.1</v>
          </cell>
          <cell r="B909" t="str">
            <v>QUINDIO</v>
          </cell>
          <cell r="C909">
            <v>63594</v>
          </cell>
          <cell r="D909" t="str">
            <v>QUIMBAYA</v>
          </cell>
          <cell r="E909">
            <v>31</v>
          </cell>
          <cell r="F909" t="str">
            <v>BF_1.1.3.2.1.1.1</v>
          </cell>
          <cell r="G909" t="str">
            <v xml:space="preserve">                         Sistema General de Participaciones - Educación</v>
          </cell>
          <cell r="H909">
            <v>986.31299999999999</v>
          </cell>
          <cell r="I909">
            <v>944.00766499999997</v>
          </cell>
        </row>
        <row r="910">
          <cell r="A910" t="str">
            <v>63594-BF_1.1.3.2.1.1.2</v>
          </cell>
          <cell r="B910" t="str">
            <v>QUINDIO</v>
          </cell>
          <cell r="C910">
            <v>63594</v>
          </cell>
          <cell r="D910" t="str">
            <v>QUIMBAYA</v>
          </cell>
          <cell r="E910">
            <v>32</v>
          </cell>
          <cell r="F910" t="str">
            <v>BF_1.1.3.2.1.1.2</v>
          </cell>
          <cell r="G910" t="str">
            <v xml:space="preserve">                         Sistema General de Participaciones - Salud</v>
          </cell>
          <cell r="H910">
            <v>6670.4930000000004</v>
          </cell>
          <cell r="I910">
            <v>6688.3761089999998</v>
          </cell>
        </row>
        <row r="911">
          <cell r="A911" t="str">
            <v>63594-BF_1.1.3.2.1.1.3</v>
          </cell>
          <cell r="B911" t="str">
            <v>QUINDIO</v>
          </cell>
          <cell r="C911">
            <v>63594</v>
          </cell>
          <cell r="D911" t="str">
            <v>QUIMBAYA</v>
          </cell>
          <cell r="E911">
            <v>33</v>
          </cell>
          <cell r="F911" t="str">
            <v>BF_1.1.3.2.1.1.3</v>
          </cell>
          <cell r="G911" t="str">
            <v xml:space="preserve">                         Sistema General de Participaciones - Agua Potable y Saneamiento Básico</v>
          </cell>
          <cell r="H911">
            <v>912.19500000000005</v>
          </cell>
          <cell r="I911">
            <v>963.43083200000001</v>
          </cell>
        </row>
        <row r="912">
          <cell r="A912" t="str">
            <v>63594-BF_1.1.3.2.1.1.4</v>
          </cell>
          <cell r="B912" t="str">
            <v>QUINDIO</v>
          </cell>
          <cell r="C912">
            <v>63594</v>
          </cell>
          <cell r="D912" t="str">
            <v>QUIMBAYA</v>
          </cell>
          <cell r="E912">
            <v>34</v>
          </cell>
          <cell r="F912" t="str">
            <v>BF_1.1.3.2.1.1.4</v>
          </cell>
          <cell r="G912" t="str">
            <v xml:space="preserve">                         Sistema General de Participaciones - Propósito General - Forzosa Inversión</v>
          </cell>
          <cell r="H912">
            <v>959.08299999999997</v>
          </cell>
          <cell r="I912">
            <v>1363.784283</v>
          </cell>
        </row>
        <row r="913">
          <cell r="A913" t="str">
            <v>63594-BF_1.1.3.2.1.1.5</v>
          </cell>
          <cell r="B913" t="str">
            <v>QUINDIO</v>
          </cell>
          <cell r="C913">
            <v>63594</v>
          </cell>
          <cell r="D913" t="str">
            <v>QUIMBAYA</v>
          </cell>
          <cell r="E913">
            <v>35</v>
          </cell>
          <cell r="F913" t="str">
            <v>BF_1.1.3.2.1.1.5</v>
          </cell>
          <cell r="G913" t="str">
            <v xml:space="preserve">                         Otras del Sistema General de Participaciones</v>
          </cell>
          <cell r="H913">
            <v>160.846</v>
          </cell>
          <cell r="I913">
            <v>94.195687000000007</v>
          </cell>
        </row>
        <row r="914">
          <cell r="A914" t="str">
            <v>63594-BF_1.1.3.2.1.2</v>
          </cell>
          <cell r="B914" t="str">
            <v>QUINDIO</v>
          </cell>
          <cell r="C914">
            <v>63594</v>
          </cell>
          <cell r="D914" t="str">
            <v>QUIMBAYA</v>
          </cell>
          <cell r="E914">
            <v>36</v>
          </cell>
          <cell r="F914" t="str">
            <v>BF_1.1.3.2.1.2</v>
          </cell>
          <cell r="G914" t="str">
            <v xml:space="preserve">                     FOSYGA y COLJUEGOS</v>
          </cell>
          <cell r="H914">
            <v>7829.1540000000005</v>
          </cell>
          <cell r="I914">
            <v>7284.9286339999999</v>
          </cell>
        </row>
        <row r="915">
          <cell r="A915" t="str">
            <v>63594-BF_1.1.3.2.1.3</v>
          </cell>
          <cell r="B915" t="str">
            <v>QUINDIO</v>
          </cell>
          <cell r="C915">
            <v>63594</v>
          </cell>
          <cell r="D915" t="str">
            <v>QUIMBAYA</v>
          </cell>
          <cell r="E915">
            <v>37</v>
          </cell>
          <cell r="F915" t="str">
            <v>BF_1.1.3.2.1.3</v>
          </cell>
          <cell r="G915" t="str">
            <v xml:space="preserve">                     Otras Transferencias de la Nación</v>
          </cell>
          <cell r="H915">
            <v>922.452</v>
          </cell>
          <cell r="I915">
            <v>0</v>
          </cell>
        </row>
        <row r="916">
          <cell r="A916" t="str">
            <v>63594-BF_1.1.3.2.2</v>
          </cell>
          <cell r="B916" t="str">
            <v>QUINDIO</v>
          </cell>
          <cell r="C916">
            <v>63594</v>
          </cell>
          <cell r="D916" t="str">
            <v>QUIMBAYA</v>
          </cell>
          <cell r="E916">
            <v>38</v>
          </cell>
          <cell r="F916" t="str">
            <v>BF_1.1.3.2.2</v>
          </cell>
          <cell r="G916" t="str">
            <v xml:space="preserve">                 Del Nivel Departamental</v>
          </cell>
          <cell r="H916">
            <v>1352.14</v>
          </cell>
          <cell r="I916">
            <v>1563.7143149999999</v>
          </cell>
        </row>
        <row r="917">
          <cell r="A917" t="str">
            <v>63594-BF_2</v>
          </cell>
          <cell r="B917" t="str">
            <v>QUINDIO</v>
          </cell>
          <cell r="C917">
            <v>63594</v>
          </cell>
          <cell r="D917" t="str">
            <v>QUIMBAYA</v>
          </cell>
          <cell r="E917">
            <v>43</v>
          </cell>
          <cell r="F917" t="str">
            <v>BF_2</v>
          </cell>
          <cell r="G917" t="str">
            <v>GASTOS  TOTALES</v>
          </cell>
          <cell r="H917">
            <v>30361.06</v>
          </cell>
          <cell r="I917">
            <v>40351.985916999998</v>
          </cell>
        </row>
        <row r="918">
          <cell r="A918" t="str">
            <v>63594-BF_2.1</v>
          </cell>
          <cell r="B918" t="str">
            <v>QUINDIO</v>
          </cell>
          <cell r="C918">
            <v>63594</v>
          </cell>
          <cell r="D918" t="str">
            <v>QUIMBAYA</v>
          </cell>
          <cell r="E918">
            <v>44</v>
          </cell>
          <cell r="F918" t="str">
            <v>BF_2.1</v>
          </cell>
          <cell r="G918" t="str">
            <v xml:space="preserve">    GASTOS CORRIENTES</v>
          </cell>
          <cell r="H918">
            <v>23097.491999999998</v>
          </cell>
          <cell r="I918">
            <v>30737.939781000001</v>
          </cell>
        </row>
        <row r="919">
          <cell r="A919" t="str">
            <v>63594-BF_2.1.1</v>
          </cell>
          <cell r="B919" t="str">
            <v>QUINDIO</v>
          </cell>
          <cell r="C919">
            <v>63594</v>
          </cell>
          <cell r="D919" t="str">
            <v>QUIMBAYA</v>
          </cell>
          <cell r="E919">
            <v>45</v>
          </cell>
          <cell r="F919" t="str">
            <v>BF_2.1.1</v>
          </cell>
          <cell r="G919" t="str">
            <v xml:space="preserve">        FUNCIONAMIENTO</v>
          </cell>
          <cell r="H919">
            <v>4235.1769999999997</v>
          </cell>
          <cell r="I919">
            <v>4742.338643</v>
          </cell>
        </row>
        <row r="920">
          <cell r="A920" t="str">
            <v>63594-BF_2.1.1.1</v>
          </cell>
          <cell r="B920" t="str">
            <v>QUINDIO</v>
          </cell>
          <cell r="C920">
            <v>63594</v>
          </cell>
          <cell r="D920" t="str">
            <v>QUIMBAYA</v>
          </cell>
          <cell r="E920">
            <v>46</v>
          </cell>
          <cell r="F920" t="str">
            <v>BF_2.1.1.1</v>
          </cell>
          <cell r="G920" t="str">
            <v xml:space="preserve">             Gastos de Personal  </v>
          </cell>
          <cell r="H920">
            <v>2703.8049999999998</v>
          </cell>
          <cell r="I920">
            <v>3178.6729180000002</v>
          </cell>
        </row>
        <row r="921">
          <cell r="A921" t="str">
            <v>63594-BF_2.1.1.2</v>
          </cell>
          <cell r="B921" t="str">
            <v>QUINDIO</v>
          </cell>
          <cell r="C921">
            <v>63594</v>
          </cell>
          <cell r="D921" t="str">
            <v>QUIMBAYA</v>
          </cell>
          <cell r="E921">
            <v>47</v>
          </cell>
          <cell r="F921" t="str">
            <v>BF_2.1.1.2</v>
          </cell>
          <cell r="G921" t="str">
            <v xml:space="preserve">             Gastos Generales</v>
          </cell>
          <cell r="H921">
            <v>773.73099999999999</v>
          </cell>
          <cell r="I921">
            <v>821.96352899999999</v>
          </cell>
        </row>
        <row r="922">
          <cell r="A922" t="str">
            <v>63594-BF_2.1.1.3</v>
          </cell>
          <cell r="B922" t="str">
            <v>QUINDIO</v>
          </cell>
          <cell r="C922">
            <v>63594</v>
          </cell>
          <cell r="D922" t="str">
            <v>QUIMBAYA</v>
          </cell>
          <cell r="E922">
            <v>48</v>
          </cell>
          <cell r="F922" t="str">
            <v>BF_2.1.1.3</v>
          </cell>
          <cell r="G922" t="str">
            <v xml:space="preserve">             Transferencias</v>
          </cell>
          <cell r="H922">
            <v>757.64099999999996</v>
          </cell>
          <cell r="I922">
            <v>741.70219599999996</v>
          </cell>
        </row>
        <row r="923">
          <cell r="A923" t="str">
            <v>63594-BF_2.1.1.3.1</v>
          </cell>
          <cell r="B923" t="str">
            <v>QUINDIO</v>
          </cell>
          <cell r="C923">
            <v>63594</v>
          </cell>
          <cell r="D923" t="str">
            <v>QUIMBAYA</v>
          </cell>
          <cell r="E923">
            <v>49</v>
          </cell>
          <cell r="F923" t="str">
            <v>BF_2.1.1.3.1</v>
          </cell>
          <cell r="G923" t="str">
            <v xml:space="preserve">                 Pensiones</v>
          </cell>
          <cell r="H923">
            <v>379.072</v>
          </cell>
          <cell r="I923">
            <v>398.98592100000002</v>
          </cell>
        </row>
        <row r="924">
          <cell r="A924" t="str">
            <v>63594-BF_2.1.1.3.4</v>
          </cell>
          <cell r="B924" t="str">
            <v>QUINDIO</v>
          </cell>
          <cell r="C924">
            <v>63594</v>
          </cell>
          <cell r="D924" t="str">
            <v>QUIMBAYA</v>
          </cell>
          <cell r="E924">
            <v>52</v>
          </cell>
          <cell r="F924" t="str">
            <v>BF_2.1.1.3.4</v>
          </cell>
          <cell r="G924" t="str">
            <v xml:space="preserve">                 A Organismos de Control</v>
          </cell>
          <cell r="H924">
            <v>330.31400000000002</v>
          </cell>
          <cell r="I924">
            <v>331.28114099999999</v>
          </cell>
        </row>
        <row r="925">
          <cell r="A925" t="str">
            <v>63594-BF_2.1.1.3.6</v>
          </cell>
          <cell r="B925" t="str">
            <v>QUINDIO</v>
          </cell>
          <cell r="C925">
            <v>63594</v>
          </cell>
          <cell r="D925" t="str">
            <v>QUIMBAYA</v>
          </cell>
          <cell r="E925">
            <v>54</v>
          </cell>
          <cell r="F925" t="str">
            <v>BF_2.1.1.3.6</v>
          </cell>
          <cell r="G925" t="str">
            <v xml:space="preserve">                 Sentencias y Conciliaciones</v>
          </cell>
          <cell r="H925">
            <v>48.255000000000003</v>
          </cell>
          <cell r="I925">
            <v>10.5</v>
          </cell>
        </row>
        <row r="926">
          <cell r="A926" t="str">
            <v>63594-BF_2.1.1.3.7</v>
          </cell>
          <cell r="B926" t="str">
            <v>QUINDIO</v>
          </cell>
          <cell r="C926">
            <v>63594</v>
          </cell>
          <cell r="D926" t="str">
            <v>QUIMBAYA</v>
          </cell>
          <cell r="E926">
            <v>55</v>
          </cell>
          <cell r="F926" t="str">
            <v>BF_2.1.1.3.7</v>
          </cell>
          <cell r="G926" t="str">
            <v xml:space="preserve">                 Otras Transferencias</v>
          </cell>
          <cell r="H926">
            <v>0</v>
          </cell>
          <cell r="I926">
            <v>0.93513400000000002</v>
          </cell>
        </row>
        <row r="927">
          <cell r="A927" t="str">
            <v>63594-BF_2.1.2</v>
          </cell>
          <cell r="B927" t="str">
            <v>QUINDIO</v>
          </cell>
          <cell r="C927">
            <v>63594</v>
          </cell>
          <cell r="D927" t="str">
            <v>QUIMBAYA</v>
          </cell>
          <cell r="E927">
            <v>59</v>
          </cell>
          <cell r="F927" t="str">
            <v>BF_2.1.2</v>
          </cell>
          <cell r="G927" t="str">
            <v xml:space="preserve">        PAGO DE BONOS PENSIONALES Y CUOTAS PARTES DE BONO PENSIONAL</v>
          </cell>
          <cell r="H927">
            <v>0</v>
          </cell>
          <cell r="I927">
            <v>1216.8614150000001</v>
          </cell>
        </row>
        <row r="928">
          <cell r="A928" t="str">
            <v>63594-BF_2.1.4</v>
          </cell>
          <cell r="B928" t="str">
            <v>QUINDIO</v>
          </cell>
          <cell r="C928">
            <v>63594</v>
          </cell>
          <cell r="D928" t="str">
            <v>QUIMBAYA</v>
          </cell>
          <cell r="E928">
            <v>61</v>
          </cell>
          <cell r="F928" t="str">
            <v>BF_2.1.4</v>
          </cell>
          <cell r="G928" t="str">
            <v xml:space="preserve">        GASTOS OPERATIVOS EN SECTORES SOCIALES (Remuneración al Trabajo, Prestaciones, y Subsidios en Sectores de Inversión)</v>
          </cell>
          <cell r="H928">
            <v>18643.21</v>
          </cell>
          <cell r="I928">
            <v>24646.622975999999</v>
          </cell>
        </row>
        <row r="929">
          <cell r="A929" t="str">
            <v>63594-BF_2.1.4.1</v>
          </cell>
          <cell r="B929" t="str">
            <v>QUINDIO</v>
          </cell>
          <cell r="C929">
            <v>63594</v>
          </cell>
          <cell r="D929" t="str">
            <v>QUIMBAYA</v>
          </cell>
          <cell r="E929">
            <v>62</v>
          </cell>
          <cell r="F929" t="str">
            <v>BF_2.1.4.1</v>
          </cell>
          <cell r="G929" t="str">
            <v xml:space="preserve">             Educación</v>
          </cell>
          <cell r="H929">
            <v>882.50800000000004</v>
          </cell>
          <cell r="I929">
            <v>796.03152599999999</v>
          </cell>
        </row>
        <row r="930">
          <cell r="A930" t="str">
            <v>63594-BF_2.1.4.2</v>
          </cell>
          <cell r="B930" t="str">
            <v>QUINDIO</v>
          </cell>
          <cell r="C930">
            <v>63594</v>
          </cell>
          <cell r="D930" t="str">
            <v>QUIMBAYA</v>
          </cell>
          <cell r="E930">
            <v>63</v>
          </cell>
          <cell r="F930" t="str">
            <v>BF_2.1.4.2</v>
          </cell>
          <cell r="G930" t="str">
            <v xml:space="preserve">             Salud</v>
          </cell>
          <cell r="H930">
            <v>16969.976999999999</v>
          </cell>
          <cell r="I930">
            <v>18870.358098000001</v>
          </cell>
        </row>
        <row r="931">
          <cell r="A931" t="str">
            <v>63594-BF_2.1.4.3</v>
          </cell>
          <cell r="B931" t="str">
            <v>QUINDIO</v>
          </cell>
          <cell r="C931">
            <v>63594</v>
          </cell>
          <cell r="D931" t="str">
            <v>QUIMBAYA</v>
          </cell>
          <cell r="E931">
            <v>64</v>
          </cell>
          <cell r="F931" t="str">
            <v>BF_2.1.4.3</v>
          </cell>
          <cell r="G931" t="str">
            <v xml:space="preserve">             Agua Potable y Saneamiento Básico</v>
          </cell>
          <cell r="H931">
            <v>361.78399999999999</v>
          </cell>
          <cell r="I931">
            <v>286.718434</v>
          </cell>
        </row>
        <row r="932">
          <cell r="A932" t="str">
            <v>63594-BF_2.1.4.5</v>
          </cell>
          <cell r="B932" t="str">
            <v>QUINDIO</v>
          </cell>
          <cell r="C932">
            <v>63594</v>
          </cell>
          <cell r="D932" t="str">
            <v>QUIMBAYA</v>
          </cell>
          <cell r="E932">
            <v>66</v>
          </cell>
          <cell r="F932" t="str">
            <v>BF_2.1.4.5</v>
          </cell>
          <cell r="G932" t="str">
            <v xml:space="preserve">             Otros Sectores</v>
          </cell>
          <cell r="H932">
            <v>428.94099999999997</v>
          </cell>
          <cell r="I932">
            <v>4693.5149179999999</v>
          </cell>
        </row>
        <row r="933">
          <cell r="A933" t="str">
            <v>63594-BF_2.1.5</v>
          </cell>
          <cell r="B933" t="str">
            <v>QUINDIO</v>
          </cell>
          <cell r="C933">
            <v>63594</v>
          </cell>
          <cell r="D933" t="str">
            <v>QUIMBAYA</v>
          </cell>
          <cell r="E933">
            <v>67</v>
          </cell>
          <cell r="F933" t="str">
            <v>BF_2.1.5</v>
          </cell>
          <cell r="G933" t="str">
            <v xml:space="preserve">        INTERESES Y COMISIONES DE LA DEUDA</v>
          </cell>
          <cell r="H933">
            <v>219.10499999999999</v>
          </cell>
          <cell r="I933">
            <v>132.116747</v>
          </cell>
        </row>
        <row r="934">
          <cell r="A934" t="str">
            <v>63594-BF_2.1.5.1</v>
          </cell>
          <cell r="B934" t="str">
            <v>QUINDIO</v>
          </cell>
          <cell r="C934">
            <v>63594</v>
          </cell>
          <cell r="D934" t="str">
            <v>QUIMBAYA</v>
          </cell>
          <cell r="E934">
            <v>68</v>
          </cell>
          <cell r="F934" t="str">
            <v>BF_2.1.5.1</v>
          </cell>
          <cell r="G934" t="str">
            <v xml:space="preserve">             Interna</v>
          </cell>
          <cell r="H934">
            <v>219.10499999999999</v>
          </cell>
          <cell r="I934">
            <v>132.116747</v>
          </cell>
        </row>
        <row r="935">
          <cell r="A935" t="str">
            <v>63594-BF_3</v>
          </cell>
          <cell r="B935" t="str">
            <v>QUINDIO</v>
          </cell>
          <cell r="C935">
            <v>63594</v>
          </cell>
          <cell r="D935" t="str">
            <v>QUIMBAYA</v>
          </cell>
          <cell r="E935">
            <v>70</v>
          </cell>
          <cell r="F935" t="str">
            <v>BF_3</v>
          </cell>
          <cell r="G935" t="str">
            <v>DÉFICIT O AHORRO CORRIENTE</v>
          </cell>
          <cell r="H935">
            <v>5924.6880000000001</v>
          </cell>
          <cell r="I935">
            <v>-2370.0593509999999</v>
          </cell>
        </row>
        <row r="936">
          <cell r="A936" t="str">
            <v>63594-BF_4</v>
          </cell>
          <cell r="B936" t="str">
            <v>QUINDIO</v>
          </cell>
          <cell r="C936">
            <v>63594</v>
          </cell>
          <cell r="D936" t="str">
            <v>QUIMBAYA</v>
          </cell>
          <cell r="E936">
            <v>71</v>
          </cell>
          <cell r="F936" t="str">
            <v>BF_4</v>
          </cell>
          <cell r="G936" t="str">
            <v>INGRESOS DE CAPITAL</v>
          </cell>
          <cell r="H936">
            <v>425.46199999999999</v>
          </cell>
          <cell r="I936">
            <v>7155.4412560000001</v>
          </cell>
        </row>
        <row r="937">
          <cell r="A937" t="str">
            <v>63594-BF_4.1</v>
          </cell>
          <cell r="B937" t="str">
            <v>QUINDIO</v>
          </cell>
          <cell r="C937">
            <v>63594</v>
          </cell>
          <cell r="D937" t="str">
            <v>QUIMBAYA</v>
          </cell>
          <cell r="E937">
            <v>72</v>
          </cell>
          <cell r="F937" t="str">
            <v>BF_4.1</v>
          </cell>
          <cell r="G937" t="str">
            <v xml:space="preserve">    Cofinanciación</v>
          </cell>
          <cell r="H937">
            <v>314.33300000000003</v>
          </cell>
          <cell r="I937">
            <v>2079.126757</v>
          </cell>
        </row>
        <row r="938">
          <cell r="A938" t="str">
            <v>63594-BF_4.4</v>
          </cell>
          <cell r="B938" t="str">
            <v>QUINDIO</v>
          </cell>
          <cell r="C938">
            <v>63594</v>
          </cell>
          <cell r="D938" t="str">
            <v>QUIMBAYA</v>
          </cell>
          <cell r="E938">
            <v>75</v>
          </cell>
          <cell r="F938" t="str">
            <v>BF_4.4</v>
          </cell>
          <cell r="G938" t="str">
            <v xml:space="preserve">    Rendimientos Financieros</v>
          </cell>
          <cell r="H938">
            <v>111.129</v>
          </cell>
          <cell r="I938">
            <v>54.139806999999998</v>
          </cell>
        </row>
        <row r="939">
          <cell r="A939" t="str">
            <v>63594-BF_4.5</v>
          </cell>
          <cell r="B939" t="str">
            <v>QUINDIO</v>
          </cell>
          <cell r="C939">
            <v>63594</v>
          </cell>
          <cell r="D939" t="str">
            <v>QUIMBAYA</v>
          </cell>
          <cell r="E939">
            <v>76</v>
          </cell>
          <cell r="F939" t="str">
            <v>BF_4.5</v>
          </cell>
          <cell r="G939" t="str">
            <v xml:space="preserve">    Excedentes Financieros</v>
          </cell>
          <cell r="H939">
            <v>0</v>
          </cell>
          <cell r="I939">
            <v>63.464176999999999</v>
          </cell>
        </row>
        <row r="940">
          <cell r="A940" t="str">
            <v>63594-BF_4.6</v>
          </cell>
          <cell r="B940" t="str">
            <v>QUINDIO</v>
          </cell>
          <cell r="C940">
            <v>63594</v>
          </cell>
          <cell r="D940" t="str">
            <v>QUIMBAYA</v>
          </cell>
          <cell r="E940">
            <v>77</v>
          </cell>
          <cell r="F940" t="str">
            <v>BF_4.6</v>
          </cell>
          <cell r="G940" t="str">
            <v xml:space="preserve">    Desahorro FONPET</v>
          </cell>
          <cell r="H940">
            <v>0</v>
          </cell>
          <cell r="I940">
            <v>4859.739818</v>
          </cell>
        </row>
        <row r="941">
          <cell r="A941" t="str">
            <v>63594-BF_4.6.1</v>
          </cell>
          <cell r="B941" t="str">
            <v>QUINDIO</v>
          </cell>
          <cell r="C941">
            <v>63594</v>
          </cell>
          <cell r="D941" t="str">
            <v>QUIMBAYA</v>
          </cell>
          <cell r="E941">
            <v>78</v>
          </cell>
          <cell r="F941" t="str">
            <v>BF_4.6.1</v>
          </cell>
          <cell r="G941" t="str">
            <v xml:space="preserve">    Salud</v>
          </cell>
          <cell r="H941">
            <v>0</v>
          </cell>
          <cell r="I941">
            <v>3283.515997</v>
          </cell>
        </row>
        <row r="942">
          <cell r="A942" t="str">
            <v>63594-BF_4.6.4</v>
          </cell>
          <cell r="B942" t="str">
            <v>QUINDIO</v>
          </cell>
          <cell r="C942">
            <v>63594</v>
          </cell>
          <cell r="D942" t="str">
            <v>QUIMBAYA</v>
          </cell>
          <cell r="E942">
            <v>81</v>
          </cell>
          <cell r="F942" t="str">
            <v>BF_4.6.4</v>
          </cell>
          <cell r="G942" t="str">
            <v xml:space="preserve">    Otros Desahorros y Retiros (Cuotas partes, Bonos y Devoluciones)</v>
          </cell>
          <cell r="H942">
            <v>0</v>
          </cell>
          <cell r="I942">
            <v>1576.223821</v>
          </cell>
        </row>
        <row r="943">
          <cell r="A943" t="str">
            <v>63594-BF_4.7</v>
          </cell>
          <cell r="B943" t="str">
            <v>QUINDIO</v>
          </cell>
          <cell r="C943">
            <v>63594</v>
          </cell>
          <cell r="D943" t="str">
            <v>QUIMBAYA</v>
          </cell>
          <cell r="E943">
            <v>82</v>
          </cell>
          <cell r="F943" t="str">
            <v>BF_4.7</v>
          </cell>
          <cell r="G943" t="str">
            <v xml:space="preserve">    Otros Recursos de Capital (Donaciones, Aprovechamientos y Otros)</v>
          </cell>
          <cell r="H943">
            <v>0</v>
          </cell>
          <cell r="I943">
            <v>98.970697000000001</v>
          </cell>
        </row>
        <row r="944">
          <cell r="A944" t="str">
            <v>63594-BF_5</v>
          </cell>
          <cell r="B944" t="str">
            <v>QUINDIO</v>
          </cell>
          <cell r="C944">
            <v>63594</v>
          </cell>
          <cell r="D944" t="str">
            <v>QUIMBAYA</v>
          </cell>
          <cell r="E944">
            <v>83</v>
          </cell>
          <cell r="F944" t="str">
            <v>BF_5</v>
          </cell>
          <cell r="G944" t="str">
            <v>GASTOS DE CAPITAL</v>
          </cell>
          <cell r="H944">
            <v>7263.5680000000002</v>
          </cell>
          <cell r="I944">
            <v>9614.0461360000008</v>
          </cell>
        </row>
        <row r="945">
          <cell r="A945" t="str">
            <v>63594-BF_5.1</v>
          </cell>
          <cell r="B945" t="str">
            <v>QUINDIO</v>
          </cell>
          <cell r="C945">
            <v>63594</v>
          </cell>
          <cell r="D945" t="str">
            <v>QUIMBAYA</v>
          </cell>
          <cell r="E945">
            <v>84</v>
          </cell>
          <cell r="F945" t="str">
            <v>BF_5.1</v>
          </cell>
          <cell r="G945" t="str">
            <v xml:space="preserve">    Formación Bruta de Capital (Construcción, Reparación, Mantenimiento, Preinversión, Otros)</v>
          </cell>
          <cell r="H945">
            <v>7263.5680000000002</v>
          </cell>
          <cell r="I945">
            <v>9614.0461360000008</v>
          </cell>
        </row>
        <row r="946">
          <cell r="A946" t="str">
            <v>63594-BF_5.1.1</v>
          </cell>
          <cell r="B946" t="str">
            <v>QUINDIO</v>
          </cell>
          <cell r="C946">
            <v>63594</v>
          </cell>
          <cell r="D946" t="str">
            <v>QUIMBAYA</v>
          </cell>
          <cell r="E946">
            <v>85</v>
          </cell>
          <cell r="F946" t="str">
            <v>BF_5.1.1</v>
          </cell>
          <cell r="G946" t="str">
            <v xml:space="preserve">        Educación</v>
          </cell>
          <cell r="H946">
            <v>344.11799999999999</v>
          </cell>
          <cell r="I946">
            <v>364.64442600000001</v>
          </cell>
        </row>
        <row r="947">
          <cell r="A947" t="str">
            <v>63594-BF_5.1.2</v>
          </cell>
          <cell r="B947" t="str">
            <v>QUINDIO</v>
          </cell>
          <cell r="C947">
            <v>63594</v>
          </cell>
          <cell r="D947" t="str">
            <v>QUIMBAYA</v>
          </cell>
          <cell r="E947">
            <v>86</v>
          </cell>
          <cell r="F947" t="str">
            <v>BF_5.1.2</v>
          </cell>
          <cell r="G947" t="str">
            <v xml:space="preserve">        Salud</v>
          </cell>
          <cell r="H947">
            <v>5</v>
          </cell>
          <cell r="I947">
            <v>0</v>
          </cell>
        </row>
        <row r="948">
          <cell r="A948" t="str">
            <v>63594-BF_5.1.3</v>
          </cell>
          <cell r="B948" t="str">
            <v>QUINDIO</v>
          </cell>
          <cell r="C948">
            <v>63594</v>
          </cell>
          <cell r="D948" t="str">
            <v>QUIMBAYA</v>
          </cell>
          <cell r="E948">
            <v>87</v>
          </cell>
          <cell r="F948" t="str">
            <v>BF_5.1.3</v>
          </cell>
          <cell r="G948" t="str">
            <v xml:space="preserve">        Agua Potable</v>
          </cell>
          <cell r="H948">
            <v>414.68599999999998</v>
          </cell>
          <cell r="I948">
            <v>801.75485600000002</v>
          </cell>
        </row>
        <row r="949">
          <cell r="A949" t="str">
            <v>63594-BF_5.1.4</v>
          </cell>
          <cell r="B949" t="str">
            <v>QUINDIO</v>
          </cell>
          <cell r="C949">
            <v>63594</v>
          </cell>
          <cell r="D949" t="str">
            <v>QUIMBAYA</v>
          </cell>
          <cell r="E949">
            <v>88</v>
          </cell>
          <cell r="F949" t="str">
            <v>BF_5.1.4</v>
          </cell>
          <cell r="G949" t="str">
            <v xml:space="preserve">        Vivienda</v>
          </cell>
          <cell r="H949">
            <v>1001.8150000000001</v>
          </cell>
          <cell r="I949">
            <v>242.85134500000001</v>
          </cell>
        </row>
        <row r="950">
          <cell r="A950" t="str">
            <v>63594-BF_5.1.5</v>
          </cell>
          <cell r="B950" t="str">
            <v>QUINDIO</v>
          </cell>
          <cell r="C950">
            <v>63594</v>
          </cell>
          <cell r="D950" t="str">
            <v>QUIMBAYA</v>
          </cell>
          <cell r="E950">
            <v>89</v>
          </cell>
          <cell r="F950" t="str">
            <v>BF_5.1.5</v>
          </cell>
          <cell r="G950" t="str">
            <v xml:space="preserve">        Vías</v>
          </cell>
          <cell r="H950">
            <v>566.90599999999995</v>
          </cell>
          <cell r="I950">
            <v>2869.805699</v>
          </cell>
        </row>
        <row r="951">
          <cell r="A951" t="str">
            <v>63594-BF_5.1.6</v>
          </cell>
          <cell r="B951" t="str">
            <v>QUINDIO</v>
          </cell>
          <cell r="C951">
            <v>63594</v>
          </cell>
          <cell r="D951" t="str">
            <v>QUIMBAYA</v>
          </cell>
          <cell r="E951">
            <v>90</v>
          </cell>
          <cell r="F951" t="str">
            <v>BF_5.1.6</v>
          </cell>
          <cell r="G951" t="str">
            <v xml:space="preserve">        Otros Sectores</v>
          </cell>
          <cell r="H951">
            <v>4931.0429999999997</v>
          </cell>
          <cell r="I951">
            <v>5334.98981</v>
          </cell>
        </row>
        <row r="952">
          <cell r="A952" t="str">
            <v>63594-BF_6</v>
          </cell>
          <cell r="B952" t="str">
            <v>QUINDIO</v>
          </cell>
          <cell r="C952">
            <v>63594</v>
          </cell>
          <cell r="D952" t="str">
            <v>QUIMBAYA</v>
          </cell>
          <cell r="E952">
            <v>92</v>
          </cell>
          <cell r="F952" t="str">
            <v>BF_6</v>
          </cell>
          <cell r="G952" t="str">
            <v>DÉFICIT O SUPERÁVIT DE CAPITAL</v>
          </cell>
          <cell r="H952">
            <v>-6838.1059999999998</v>
          </cell>
          <cell r="I952">
            <v>-2458.6048799999999</v>
          </cell>
        </row>
        <row r="953">
          <cell r="A953" t="str">
            <v>63594-BF_7</v>
          </cell>
          <cell r="B953" t="str">
            <v>QUINDIO</v>
          </cell>
          <cell r="C953">
            <v>63594</v>
          </cell>
          <cell r="D953" t="str">
            <v>QUIMBAYA</v>
          </cell>
          <cell r="E953">
            <v>93</v>
          </cell>
          <cell r="F953" t="str">
            <v>BF_7</v>
          </cell>
          <cell r="G953" t="str">
            <v>DÉFICIT O SUPERÁVIT TOTAL</v>
          </cell>
          <cell r="H953">
            <v>-913.41800000000001</v>
          </cell>
          <cell r="I953">
            <v>-4828.6642309999997</v>
          </cell>
        </row>
        <row r="954">
          <cell r="A954" t="str">
            <v>63594-BF_8</v>
          </cell>
          <cell r="B954" t="str">
            <v>QUINDIO</v>
          </cell>
          <cell r="C954">
            <v>63594</v>
          </cell>
          <cell r="D954" t="str">
            <v>QUIMBAYA</v>
          </cell>
          <cell r="E954">
            <v>94</v>
          </cell>
          <cell r="F954" t="str">
            <v>BF_8</v>
          </cell>
          <cell r="G954" t="str">
            <v>FINANCIACIÓN</v>
          </cell>
          <cell r="H954">
            <v>3054.4360000000001</v>
          </cell>
          <cell r="I954">
            <v>4969.537378</v>
          </cell>
        </row>
        <row r="955">
          <cell r="A955" t="str">
            <v>63594-BF_8.1</v>
          </cell>
          <cell r="B955" t="str">
            <v>QUINDIO</v>
          </cell>
          <cell r="C955">
            <v>63594</v>
          </cell>
          <cell r="D955" t="str">
            <v>QUIMBAYA</v>
          </cell>
          <cell r="E955">
            <v>95</v>
          </cell>
          <cell r="F955" t="str">
            <v>BF_8.1</v>
          </cell>
          <cell r="G955" t="str">
            <v xml:space="preserve">    RECURSOS DEL CRÉDITO</v>
          </cell>
          <cell r="H955">
            <v>-672.90499999999997</v>
          </cell>
          <cell r="I955">
            <v>2256.6666679999998</v>
          </cell>
        </row>
        <row r="956">
          <cell r="A956" t="str">
            <v>63594-BF_8.1.1</v>
          </cell>
          <cell r="B956" t="str">
            <v>QUINDIO</v>
          </cell>
          <cell r="C956">
            <v>63594</v>
          </cell>
          <cell r="D956" t="str">
            <v>QUIMBAYA</v>
          </cell>
          <cell r="E956">
            <v>96</v>
          </cell>
          <cell r="F956" t="str">
            <v>BF_8.1.1</v>
          </cell>
          <cell r="G956" t="str">
            <v xml:space="preserve">        Interno</v>
          </cell>
          <cell r="H956">
            <v>-672.90499999999997</v>
          </cell>
          <cell r="I956">
            <v>2256.6666679999998</v>
          </cell>
        </row>
        <row r="957">
          <cell r="A957" t="str">
            <v>63594-BF_8.1.1.1</v>
          </cell>
          <cell r="B957" t="str">
            <v>QUINDIO</v>
          </cell>
          <cell r="C957">
            <v>63594</v>
          </cell>
          <cell r="D957" t="str">
            <v>QUIMBAYA</v>
          </cell>
          <cell r="E957">
            <v>97</v>
          </cell>
          <cell r="F957" t="str">
            <v>BF_8.1.1.1</v>
          </cell>
          <cell r="G957" t="str">
            <v xml:space="preserve">             Desembolsos</v>
          </cell>
          <cell r="H957">
            <v>0</v>
          </cell>
          <cell r="I957">
            <v>3000</v>
          </cell>
        </row>
        <row r="958">
          <cell r="A958" t="str">
            <v>63594-BF_8.1.1.2</v>
          </cell>
          <cell r="B958" t="str">
            <v>QUINDIO</v>
          </cell>
          <cell r="C958">
            <v>63594</v>
          </cell>
          <cell r="D958" t="str">
            <v>QUIMBAYA</v>
          </cell>
          <cell r="E958">
            <v>98</v>
          </cell>
          <cell r="F958" t="str">
            <v>BF_8.1.1.2</v>
          </cell>
          <cell r="G958" t="str">
            <v xml:space="preserve">             Amortizaciones</v>
          </cell>
          <cell r="H958">
            <v>672.90499999999997</v>
          </cell>
          <cell r="I958">
            <v>743.33333200000004</v>
          </cell>
        </row>
        <row r="959">
          <cell r="A959" t="str">
            <v>63594-BF_8.2</v>
          </cell>
          <cell r="B959" t="str">
            <v>QUINDIO</v>
          </cell>
          <cell r="C959">
            <v>63594</v>
          </cell>
          <cell r="D959" t="str">
            <v>QUIMBAYA</v>
          </cell>
          <cell r="E959">
            <v>102</v>
          </cell>
          <cell r="F959" t="str">
            <v>BF_8.2</v>
          </cell>
          <cell r="G959" t="str">
            <v xml:space="preserve">    Recursos del Balance (Superávit Fiscal, Cancelación de Reservas)</v>
          </cell>
          <cell r="H959">
            <v>3727.3409999999999</v>
          </cell>
          <cell r="I959">
            <v>2712.8707100000001</v>
          </cell>
        </row>
        <row r="960">
          <cell r="A960" t="str">
            <v>63594-BF_9.1</v>
          </cell>
          <cell r="B960" t="str">
            <v>QUINDIO</v>
          </cell>
          <cell r="C960">
            <v>63594</v>
          </cell>
          <cell r="D960" t="str">
            <v>QUIMBAYA</v>
          </cell>
          <cell r="E960">
            <v>107</v>
          </cell>
          <cell r="F960" t="str">
            <v>BF_9.1</v>
          </cell>
          <cell r="G960" t="str">
            <v xml:space="preserve">    DÉFICIT O SUPERÁVIT PRIMARIO</v>
          </cell>
          <cell r="H960">
            <v>3033.0279999999998</v>
          </cell>
          <cell r="I960">
            <v>-1983.676774</v>
          </cell>
        </row>
        <row r="961">
          <cell r="A961" t="str">
            <v>63594-BF_9.2</v>
          </cell>
          <cell r="B961" t="str">
            <v>QUINDIO</v>
          </cell>
          <cell r="C961">
            <v>63594</v>
          </cell>
          <cell r="D961" t="str">
            <v>QUIMBAYA</v>
          </cell>
          <cell r="E961">
            <v>108</v>
          </cell>
          <cell r="F961" t="str">
            <v>BF_9.2</v>
          </cell>
          <cell r="G961" t="str">
            <v xml:space="preserve">    DÉFICIT O SUPERÁVIT PRIMARIO/INTERESES</v>
          </cell>
          <cell r="H961">
            <v>13.843</v>
          </cell>
          <cell r="I961">
            <v>-15.014574753</v>
          </cell>
        </row>
        <row r="962">
          <cell r="A962" t="str">
            <v>63594-BF_10.1</v>
          </cell>
          <cell r="B962" t="str">
            <v>QUINDIO</v>
          </cell>
          <cell r="C962">
            <v>63594</v>
          </cell>
          <cell r="D962" t="str">
            <v>QUIMBAYA</v>
          </cell>
          <cell r="E962">
            <v>110</v>
          </cell>
          <cell r="F962" t="str">
            <v>BF_10.1</v>
          </cell>
          <cell r="G962" t="str">
            <v xml:space="preserve">    INGRESOS TOTALES SIN INCLUIR RECURSOS PARA RESERVAS PRESUPUESTALES</v>
          </cell>
          <cell r="H962">
            <v>33174.983</v>
          </cell>
          <cell r="I962">
            <v>41236.192395999999</v>
          </cell>
        </row>
        <row r="963">
          <cell r="A963" t="str">
            <v>63594-BF_10.2</v>
          </cell>
          <cell r="B963" t="str">
            <v>QUINDIO</v>
          </cell>
          <cell r="C963">
            <v>63594</v>
          </cell>
          <cell r="D963" t="str">
            <v>QUIMBAYA</v>
          </cell>
          <cell r="E963">
            <v>111</v>
          </cell>
          <cell r="F963" t="str">
            <v>BF_10.2</v>
          </cell>
          <cell r="G963" t="str">
            <v xml:space="preserve">    GASTOS TOTALES SIN INCLUIR GASTOS POR RESERVAS PRESUPUESTALES</v>
          </cell>
          <cell r="H963">
            <v>31033.965</v>
          </cell>
          <cell r="I963">
            <v>41095.319249</v>
          </cell>
        </row>
        <row r="964">
          <cell r="A964" t="str">
            <v>63594-BF_10.3</v>
          </cell>
          <cell r="B964" t="str">
            <v>QUINDIO</v>
          </cell>
          <cell r="C964">
            <v>63594</v>
          </cell>
          <cell r="D964" t="str">
            <v>QUIMBAYA</v>
          </cell>
          <cell r="E964">
            <v>112</v>
          </cell>
          <cell r="F964" t="str">
            <v>BF_10.3</v>
          </cell>
          <cell r="G964" t="str">
            <v xml:space="preserve">    DÉFICIT O SUPERÁVIT PRESUPUESTAL SIN INCLUIR RESERVAS PRESUPUESTALES</v>
          </cell>
          <cell r="H964">
            <v>2141.018</v>
          </cell>
          <cell r="I964">
            <v>140.87314699999999</v>
          </cell>
        </row>
        <row r="965">
          <cell r="A965" t="str">
            <v>63594-BF_12.1</v>
          </cell>
          <cell r="B965" t="str">
            <v>QUINDIO</v>
          </cell>
          <cell r="C965">
            <v>63594</v>
          </cell>
          <cell r="D965" t="str">
            <v>QUIMBAYA</v>
          </cell>
          <cell r="E965">
            <v>114</v>
          </cell>
          <cell r="F965" t="str">
            <v>BF_12.1</v>
          </cell>
          <cell r="G965" t="str">
            <v xml:space="preserve">    INGRESOS TOTALES</v>
          </cell>
          <cell r="H965">
            <v>33568.898000000001</v>
          </cell>
          <cell r="I965">
            <v>41868.467286999999</v>
          </cell>
        </row>
        <row r="966">
          <cell r="A966" t="str">
            <v>63594-BF_12.2</v>
          </cell>
          <cell r="B966" t="str">
            <v>QUINDIO</v>
          </cell>
          <cell r="C966">
            <v>63594</v>
          </cell>
          <cell r="D966" t="str">
            <v>QUIMBAYA</v>
          </cell>
          <cell r="E966">
            <v>115</v>
          </cell>
          <cell r="F966" t="str">
            <v>BF_12.2</v>
          </cell>
          <cell r="G966" t="str">
            <v xml:space="preserve">    GASTOS TOTALES</v>
          </cell>
          <cell r="H966">
            <v>31427.88</v>
          </cell>
          <cell r="I966">
            <v>41727.594140000001</v>
          </cell>
        </row>
        <row r="967">
          <cell r="A967" t="str">
            <v>63594-BF_12.3</v>
          </cell>
          <cell r="B967" t="str">
            <v>QUINDIO</v>
          </cell>
          <cell r="C967">
            <v>63594</v>
          </cell>
          <cell r="D967" t="str">
            <v>QUIMBAYA</v>
          </cell>
          <cell r="E967">
            <v>116</v>
          </cell>
          <cell r="F967" t="str">
            <v>BF_12.3</v>
          </cell>
          <cell r="G967" t="str">
            <v xml:space="preserve">    DÉFICIT O SUPERÁVIT PRESUPUESTAL</v>
          </cell>
          <cell r="H967">
            <v>2141.018</v>
          </cell>
          <cell r="I967">
            <v>140.87314699999999</v>
          </cell>
        </row>
        <row r="968">
          <cell r="A968" t="str">
            <v>63594-BF_13.1</v>
          </cell>
          <cell r="B968" t="str">
            <v>QUINDIO</v>
          </cell>
          <cell r="C968">
            <v>63594</v>
          </cell>
          <cell r="D968" t="str">
            <v>QUIMBAYA</v>
          </cell>
          <cell r="E968">
            <v>118</v>
          </cell>
          <cell r="F968" t="str">
            <v>BF_13.1</v>
          </cell>
          <cell r="G968" t="str">
            <v xml:space="preserve">    Recursos que Financian Reservas Presupuestales Excepcionales (Ley 819/2003)</v>
          </cell>
          <cell r="H968">
            <v>393.91500000000002</v>
          </cell>
          <cell r="I968">
            <v>632.27489100000003</v>
          </cell>
        </row>
        <row r="969">
          <cell r="A969" t="str">
            <v>63594-BF_13.2</v>
          </cell>
          <cell r="B969" t="str">
            <v>QUINDIO</v>
          </cell>
          <cell r="C969">
            <v>63594</v>
          </cell>
          <cell r="D969" t="str">
            <v>QUIMBAYA</v>
          </cell>
          <cell r="E969">
            <v>119</v>
          </cell>
          <cell r="F969" t="str">
            <v>BF_13.2</v>
          </cell>
          <cell r="G969" t="str">
            <v xml:space="preserve">    Reservas Presupuestales de Funcionamiento Vigencia Anterior</v>
          </cell>
          <cell r="H969">
            <v>22.140999999999998</v>
          </cell>
          <cell r="I969">
            <v>30.913228</v>
          </cell>
        </row>
        <row r="970">
          <cell r="A970" t="str">
            <v>63594-BF_13.3</v>
          </cell>
          <cell r="B970" t="str">
            <v>QUINDIO</v>
          </cell>
          <cell r="C970">
            <v>63594</v>
          </cell>
          <cell r="D970" t="str">
            <v>QUIMBAYA</v>
          </cell>
          <cell r="E970">
            <v>120</v>
          </cell>
          <cell r="F970" t="str">
            <v>BF_13.3</v>
          </cell>
          <cell r="G970" t="str">
            <v xml:space="preserve">    Reservas Presupuestales de Inversión Vigencia Anterior</v>
          </cell>
          <cell r="H970">
            <v>371.774</v>
          </cell>
          <cell r="I970">
            <v>601.36166300000002</v>
          </cell>
        </row>
        <row r="971">
          <cell r="A971" t="str">
            <v>63690-BF_1</v>
          </cell>
          <cell r="B971" t="str">
            <v>QUINDIO</v>
          </cell>
          <cell r="C971">
            <v>63690</v>
          </cell>
          <cell r="D971" t="str">
            <v>SALENTO</v>
          </cell>
          <cell r="E971">
            <v>1</v>
          </cell>
          <cell r="F971" t="str">
            <v>BF_1</v>
          </cell>
          <cell r="G971" t="str">
            <v>INGRESOS TOTALES</v>
          </cell>
          <cell r="H971">
            <v>9383.6309999999994</v>
          </cell>
          <cell r="I971">
            <v>9522.8284490000005</v>
          </cell>
        </row>
        <row r="972">
          <cell r="A972" t="str">
            <v>63690-BF_1.1</v>
          </cell>
          <cell r="B972" t="str">
            <v>QUINDIO</v>
          </cell>
          <cell r="C972">
            <v>63690</v>
          </cell>
          <cell r="D972" t="str">
            <v>SALENTO</v>
          </cell>
          <cell r="E972">
            <v>2</v>
          </cell>
          <cell r="F972" t="str">
            <v>BF_1.1</v>
          </cell>
          <cell r="G972" t="str">
            <v xml:space="preserve">    INGRESOS CORRIENTES</v>
          </cell>
          <cell r="H972">
            <v>8347.348</v>
          </cell>
          <cell r="I972">
            <v>8471.0617299999994</v>
          </cell>
        </row>
        <row r="973">
          <cell r="A973" t="str">
            <v>63690-BF_1.1.1</v>
          </cell>
          <cell r="B973" t="str">
            <v>QUINDIO</v>
          </cell>
          <cell r="C973">
            <v>63690</v>
          </cell>
          <cell r="D973" t="str">
            <v>SALENTO</v>
          </cell>
          <cell r="E973">
            <v>3</v>
          </cell>
          <cell r="F973" t="str">
            <v>BF_1.1.1</v>
          </cell>
          <cell r="G973" t="str">
            <v xml:space="preserve">        TRIBUTARIOS</v>
          </cell>
          <cell r="H973">
            <v>2959.3679999999999</v>
          </cell>
          <cell r="I973">
            <v>3268.8802150000001</v>
          </cell>
        </row>
        <row r="974">
          <cell r="A974" t="str">
            <v>63690-BF_1.1.1.2</v>
          </cell>
          <cell r="B974" t="str">
            <v>QUINDIO</v>
          </cell>
          <cell r="C974">
            <v>63690</v>
          </cell>
          <cell r="D974" t="str">
            <v>SALENTO</v>
          </cell>
          <cell r="E974">
            <v>5</v>
          </cell>
          <cell r="F974" t="str">
            <v>BF_1.1.1.2</v>
          </cell>
          <cell r="G974" t="str">
            <v xml:space="preserve">             Impuesto Predial Unificado</v>
          </cell>
          <cell r="H974">
            <v>1022.333</v>
          </cell>
          <cell r="I974">
            <v>1083.926287</v>
          </cell>
        </row>
        <row r="975">
          <cell r="A975" t="str">
            <v>63690-BF_1.1.1.3</v>
          </cell>
          <cell r="B975" t="str">
            <v>QUINDIO</v>
          </cell>
          <cell r="C975">
            <v>63690</v>
          </cell>
          <cell r="D975" t="str">
            <v>SALENTO</v>
          </cell>
          <cell r="E975">
            <v>6</v>
          </cell>
          <cell r="F975" t="str">
            <v>BF_1.1.1.3</v>
          </cell>
          <cell r="G975" t="str">
            <v xml:space="preserve">             Impuesto de Industria y Comercio</v>
          </cell>
          <cell r="H975">
            <v>461.95499999999998</v>
          </cell>
          <cell r="I975">
            <v>531.98068999999998</v>
          </cell>
        </row>
        <row r="976">
          <cell r="A976" t="str">
            <v>63690-BF_1.1.1.8</v>
          </cell>
          <cell r="B976" t="str">
            <v>QUINDIO</v>
          </cell>
          <cell r="C976">
            <v>63690</v>
          </cell>
          <cell r="D976" t="str">
            <v>SALENTO</v>
          </cell>
          <cell r="E976">
            <v>11</v>
          </cell>
          <cell r="F976" t="str">
            <v>BF_1.1.1.8</v>
          </cell>
          <cell r="G976" t="str">
            <v xml:space="preserve">             Sobretasa Consumo Gasolina Motor</v>
          </cell>
          <cell r="H976">
            <v>640.13199999999995</v>
          </cell>
          <cell r="I976">
            <v>677.16200000000003</v>
          </cell>
        </row>
        <row r="977">
          <cell r="A977" t="str">
            <v>63690-BF_1.1.1.9</v>
          </cell>
          <cell r="B977" t="str">
            <v>QUINDIO</v>
          </cell>
          <cell r="C977">
            <v>63690</v>
          </cell>
          <cell r="D977" t="str">
            <v>SALENTO</v>
          </cell>
          <cell r="E977">
            <v>12</v>
          </cell>
          <cell r="F977" t="str">
            <v>BF_1.1.1.9</v>
          </cell>
          <cell r="G977" t="str">
            <v xml:space="preserve">             Estampillas</v>
          </cell>
          <cell r="H977">
            <v>187.72</v>
          </cell>
          <cell r="I977">
            <v>152.938005</v>
          </cell>
        </row>
        <row r="978">
          <cell r="A978" t="str">
            <v>63690-BF_1.1.1.10</v>
          </cell>
          <cell r="B978" t="str">
            <v>QUINDIO</v>
          </cell>
          <cell r="C978">
            <v>63690</v>
          </cell>
          <cell r="D978" t="str">
            <v>SALENTO</v>
          </cell>
          <cell r="E978">
            <v>13</v>
          </cell>
          <cell r="F978" t="str">
            <v>BF_1.1.1.10</v>
          </cell>
          <cell r="G978" t="str">
            <v xml:space="preserve">             Impuesto de Transporte por Oleoductos y Gasoductos</v>
          </cell>
          <cell r="H978">
            <v>1.7110000000000001</v>
          </cell>
          <cell r="I978">
            <v>3.9983999999999999E-2</v>
          </cell>
        </row>
        <row r="979">
          <cell r="A979" t="str">
            <v>63690-BF_1.1.1.12</v>
          </cell>
          <cell r="B979" t="str">
            <v>QUINDIO</v>
          </cell>
          <cell r="C979">
            <v>63690</v>
          </cell>
          <cell r="D979" t="str">
            <v>SALENTO</v>
          </cell>
          <cell r="E979">
            <v>15</v>
          </cell>
          <cell r="F979" t="str">
            <v>BF_1.1.1.12</v>
          </cell>
          <cell r="G979" t="str">
            <v xml:space="preserve">             Otros Ingresos Tributarios</v>
          </cell>
          <cell r="H979">
            <v>645.51700000000005</v>
          </cell>
          <cell r="I979">
            <v>822.83324900000002</v>
          </cell>
        </row>
        <row r="980">
          <cell r="A980" t="str">
            <v>63690-BF_1.1.2</v>
          </cell>
          <cell r="B980" t="str">
            <v>QUINDIO</v>
          </cell>
          <cell r="C980">
            <v>63690</v>
          </cell>
          <cell r="D980" t="str">
            <v>SALENTO</v>
          </cell>
          <cell r="E980">
            <v>16</v>
          </cell>
          <cell r="F980" t="str">
            <v>BF_1.1.2</v>
          </cell>
          <cell r="G980" t="str">
            <v xml:space="preserve">        NO TRIBUTARIOS</v>
          </cell>
          <cell r="H980">
            <v>184.58</v>
          </cell>
          <cell r="I980">
            <v>245.30144100000001</v>
          </cell>
        </row>
        <row r="981">
          <cell r="A981" t="str">
            <v>63690-BF_1.1.2.1</v>
          </cell>
          <cell r="B981" t="str">
            <v>QUINDIO</v>
          </cell>
          <cell r="C981">
            <v>63690</v>
          </cell>
          <cell r="D981" t="str">
            <v>SALENTO</v>
          </cell>
          <cell r="E981">
            <v>17</v>
          </cell>
          <cell r="F981" t="str">
            <v>BF_1.1.2.1</v>
          </cell>
          <cell r="G981" t="str">
            <v xml:space="preserve">             Ingresos de la Propiedad: Tasas, Derechos, Multas y Sanciones</v>
          </cell>
          <cell r="H981">
            <v>184.58</v>
          </cell>
          <cell r="I981">
            <v>242.98144099999999</v>
          </cell>
        </row>
        <row r="982">
          <cell r="A982" t="str">
            <v>63690-BF_1.1.2.2</v>
          </cell>
          <cell r="B982" t="str">
            <v>QUINDIO</v>
          </cell>
          <cell r="C982">
            <v>63690</v>
          </cell>
          <cell r="D982" t="str">
            <v>SALENTO</v>
          </cell>
          <cell r="E982">
            <v>18</v>
          </cell>
          <cell r="F982" t="str">
            <v>BF_1.1.2.2</v>
          </cell>
          <cell r="G982" t="str">
            <v xml:space="preserve">             Otros No Tributarios</v>
          </cell>
          <cell r="H982">
            <v>0</v>
          </cell>
          <cell r="I982">
            <v>2.3199999999999998</v>
          </cell>
        </row>
        <row r="983">
          <cell r="A983" t="str">
            <v>63690-BF_1.1.3</v>
          </cell>
          <cell r="B983" t="str">
            <v>QUINDIO</v>
          </cell>
          <cell r="C983">
            <v>63690</v>
          </cell>
          <cell r="D983" t="str">
            <v>SALENTO</v>
          </cell>
          <cell r="E983">
            <v>19</v>
          </cell>
          <cell r="F983" t="str">
            <v>BF_1.1.3</v>
          </cell>
          <cell r="G983" t="str">
            <v xml:space="preserve">        TRANSFERENCIAS</v>
          </cell>
          <cell r="H983">
            <v>5203.3999999999996</v>
          </cell>
          <cell r="I983">
            <v>4956.8800739999997</v>
          </cell>
        </row>
        <row r="984">
          <cell r="A984" t="str">
            <v>63690-BF_1.1.3.1</v>
          </cell>
          <cell r="B984" t="str">
            <v>QUINDIO</v>
          </cell>
          <cell r="C984">
            <v>63690</v>
          </cell>
          <cell r="D984" t="str">
            <v>SALENTO</v>
          </cell>
          <cell r="E984">
            <v>20</v>
          </cell>
          <cell r="F984" t="str">
            <v>BF_1.1.3.1</v>
          </cell>
          <cell r="G984" t="str">
            <v xml:space="preserve">             Transferencias Para Funcionamiento</v>
          </cell>
          <cell r="H984">
            <v>859.99599999999998</v>
          </cell>
          <cell r="I984">
            <v>822.44993699999998</v>
          </cell>
        </row>
        <row r="985">
          <cell r="A985" t="str">
            <v>63690-BF_1.1.3.1.1</v>
          </cell>
          <cell r="B985" t="str">
            <v>QUINDIO</v>
          </cell>
          <cell r="C985">
            <v>63690</v>
          </cell>
          <cell r="D985" t="str">
            <v>SALENTO</v>
          </cell>
          <cell r="E985">
            <v>21</v>
          </cell>
          <cell r="F985" t="str">
            <v>BF_1.1.3.1.1</v>
          </cell>
          <cell r="G985" t="str">
            <v xml:space="preserve">                 Del Nivel Nacional</v>
          </cell>
          <cell r="H985">
            <v>835.92200000000003</v>
          </cell>
          <cell r="I985">
            <v>788.13239999999996</v>
          </cell>
        </row>
        <row r="986">
          <cell r="A986" t="str">
            <v>63690-BF_1.1.3.1.1.1</v>
          </cell>
          <cell r="B986" t="str">
            <v>QUINDIO</v>
          </cell>
          <cell r="C986">
            <v>63690</v>
          </cell>
          <cell r="D986" t="str">
            <v>SALENTO</v>
          </cell>
          <cell r="E986">
            <v>22</v>
          </cell>
          <cell r="F986" t="str">
            <v>BF_1.1.3.1.1.1</v>
          </cell>
          <cell r="G986" t="str">
            <v xml:space="preserve">                     Sistema General de Participaciones - Propósito General - Libre destinación - Municipios categorías 4, 5 y 6</v>
          </cell>
          <cell r="H986">
            <v>835.92200000000003</v>
          </cell>
          <cell r="I986">
            <v>788.13239999999996</v>
          </cell>
        </row>
        <row r="987">
          <cell r="A987" t="str">
            <v>63690-BF_1.1.3.1.2</v>
          </cell>
          <cell r="B987" t="str">
            <v>QUINDIO</v>
          </cell>
          <cell r="C987">
            <v>63690</v>
          </cell>
          <cell r="D987" t="str">
            <v>SALENTO</v>
          </cell>
          <cell r="E987">
            <v>24</v>
          </cell>
          <cell r="F987" t="str">
            <v>BF_1.1.3.1.2</v>
          </cell>
          <cell r="G987" t="str">
            <v xml:space="preserve">                 Del Nivel Departamental</v>
          </cell>
          <cell r="H987">
            <v>24.074000000000002</v>
          </cell>
          <cell r="I987">
            <v>34.317537000000002</v>
          </cell>
        </row>
        <row r="988">
          <cell r="A988" t="str">
            <v>63690-BF_1.1.3.1.2.1</v>
          </cell>
          <cell r="B988" t="str">
            <v>QUINDIO</v>
          </cell>
          <cell r="C988">
            <v>63690</v>
          </cell>
          <cell r="D988" t="str">
            <v>SALENTO</v>
          </cell>
          <cell r="E988">
            <v>25</v>
          </cell>
          <cell r="F988" t="str">
            <v>BF_1.1.3.1.2.1</v>
          </cell>
          <cell r="G988" t="str">
            <v xml:space="preserve">                     De Vehículos Automotores</v>
          </cell>
          <cell r="H988">
            <v>24.074000000000002</v>
          </cell>
          <cell r="I988">
            <v>34.317537000000002</v>
          </cell>
        </row>
        <row r="989">
          <cell r="A989" t="str">
            <v>63690-BF_1.1.3.2</v>
          </cell>
          <cell r="B989" t="str">
            <v>QUINDIO</v>
          </cell>
          <cell r="C989">
            <v>63690</v>
          </cell>
          <cell r="D989" t="str">
            <v>SALENTO</v>
          </cell>
          <cell r="E989">
            <v>28</v>
          </cell>
          <cell r="F989" t="str">
            <v>BF_1.1.3.2</v>
          </cell>
          <cell r="G989" t="str">
            <v xml:space="preserve">             Transferencias Para Inversión</v>
          </cell>
          <cell r="H989">
            <v>4343.4040000000005</v>
          </cell>
          <cell r="I989">
            <v>4134.4301370000003</v>
          </cell>
        </row>
        <row r="990">
          <cell r="A990" t="str">
            <v>63690-BF_1.1.3.2.1</v>
          </cell>
          <cell r="B990" t="str">
            <v>QUINDIO</v>
          </cell>
          <cell r="C990">
            <v>63690</v>
          </cell>
          <cell r="D990" t="str">
            <v>SALENTO</v>
          </cell>
          <cell r="E990">
            <v>29</v>
          </cell>
          <cell r="F990" t="str">
            <v>BF_1.1.3.2.1</v>
          </cell>
          <cell r="G990" t="str">
            <v xml:space="preserve">                 Del Nivel Nacional</v>
          </cell>
          <cell r="H990">
            <v>4012.127</v>
          </cell>
          <cell r="I990">
            <v>3603.2885700000002</v>
          </cell>
        </row>
        <row r="991">
          <cell r="A991" t="str">
            <v>63690-BF_1.1.3.2.1.1</v>
          </cell>
          <cell r="B991" t="str">
            <v>QUINDIO</v>
          </cell>
          <cell r="C991">
            <v>63690</v>
          </cell>
          <cell r="D991" t="str">
            <v>SALENTO</v>
          </cell>
          <cell r="E991">
            <v>30</v>
          </cell>
          <cell r="F991" t="str">
            <v>BF_1.1.3.2.1.1</v>
          </cell>
          <cell r="G991" t="str">
            <v xml:space="preserve">                     Sistema General de Participaciones</v>
          </cell>
          <cell r="H991">
            <v>2742.5030000000002</v>
          </cell>
          <cell r="I991">
            <v>2619.1385799999998</v>
          </cell>
        </row>
        <row r="992">
          <cell r="A992" t="str">
            <v>63690-BF_1.1.3.2.1.1.1</v>
          </cell>
          <cell r="B992" t="str">
            <v>QUINDIO</v>
          </cell>
          <cell r="C992">
            <v>63690</v>
          </cell>
          <cell r="D992" t="str">
            <v>SALENTO</v>
          </cell>
          <cell r="E992">
            <v>31</v>
          </cell>
          <cell r="F992" t="str">
            <v>BF_1.1.3.2.1.1.1</v>
          </cell>
          <cell r="G992" t="str">
            <v xml:space="preserve">                         Sistema General de Participaciones - Educación</v>
          </cell>
          <cell r="H992">
            <v>218.523</v>
          </cell>
          <cell r="I992">
            <v>209.36172300000001</v>
          </cell>
        </row>
        <row r="993">
          <cell r="A993" t="str">
            <v>63690-BF_1.1.3.2.1.1.2</v>
          </cell>
          <cell r="B993" t="str">
            <v>QUINDIO</v>
          </cell>
          <cell r="C993">
            <v>63690</v>
          </cell>
          <cell r="D993" t="str">
            <v>SALENTO</v>
          </cell>
          <cell r="E993">
            <v>32</v>
          </cell>
          <cell r="F993" t="str">
            <v>BF_1.1.3.2.1.1.2</v>
          </cell>
          <cell r="G993" t="str">
            <v xml:space="preserve">                         Sistema General de Participaciones - Salud</v>
          </cell>
          <cell r="H993">
            <v>1107.452</v>
          </cell>
          <cell r="I993">
            <v>1061.9037169999999</v>
          </cell>
        </row>
        <row r="994">
          <cell r="A994" t="str">
            <v>63690-BF_1.1.3.2.1.1.3</v>
          </cell>
          <cell r="B994" t="str">
            <v>QUINDIO</v>
          </cell>
          <cell r="C994">
            <v>63690</v>
          </cell>
          <cell r="D994" t="str">
            <v>SALENTO</v>
          </cell>
          <cell r="E994">
            <v>33</v>
          </cell>
          <cell r="F994" t="str">
            <v>BF_1.1.3.2.1.1.3</v>
          </cell>
          <cell r="G994" t="str">
            <v xml:space="preserve">                         Sistema General de Participaciones - Agua Potable y Saneamiento Básico</v>
          </cell>
          <cell r="H994">
            <v>300.97399999999999</v>
          </cell>
          <cell r="I994">
            <v>302.68918300000001</v>
          </cell>
        </row>
        <row r="995">
          <cell r="A995" t="str">
            <v>63690-BF_1.1.3.2.1.1.4</v>
          </cell>
          <cell r="B995" t="str">
            <v>QUINDIO</v>
          </cell>
          <cell r="C995">
            <v>63690</v>
          </cell>
          <cell r="D995" t="str">
            <v>SALENTO</v>
          </cell>
          <cell r="E995">
            <v>34</v>
          </cell>
          <cell r="F995" t="str">
            <v>BF_1.1.3.2.1.1.4</v>
          </cell>
          <cell r="G995" t="str">
            <v xml:space="preserve">                         Sistema General de Participaciones - Propósito General - Forzosa Inversión</v>
          </cell>
          <cell r="H995">
            <v>1083.8879999999999</v>
          </cell>
          <cell r="I995">
            <v>1026.887095</v>
          </cell>
        </row>
        <row r="996">
          <cell r="A996" t="str">
            <v>63690-BF_1.1.3.2.1.1.5</v>
          </cell>
          <cell r="B996" t="str">
            <v>QUINDIO</v>
          </cell>
          <cell r="C996">
            <v>63690</v>
          </cell>
          <cell r="D996" t="str">
            <v>SALENTO</v>
          </cell>
          <cell r="E996">
            <v>35</v>
          </cell>
          <cell r="F996" t="str">
            <v>BF_1.1.3.2.1.1.5</v>
          </cell>
          <cell r="G996" t="str">
            <v xml:space="preserve">                         Otras del Sistema General de Participaciones</v>
          </cell>
          <cell r="H996">
            <v>31.666</v>
          </cell>
          <cell r="I996">
            <v>18.296862000000001</v>
          </cell>
        </row>
        <row r="997">
          <cell r="A997" t="str">
            <v>63690-BF_1.1.3.2.1.2</v>
          </cell>
          <cell r="B997" t="str">
            <v>QUINDIO</v>
          </cell>
          <cell r="C997">
            <v>63690</v>
          </cell>
          <cell r="D997" t="str">
            <v>SALENTO</v>
          </cell>
          <cell r="E997">
            <v>36</v>
          </cell>
          <cell r="F997" t="str">
            <v>BF_1.1.3.2.1.2</v>
          </cell>
          <cell r="G997" t="str">
            <v xml:space="preserve">                     FOSYGA y COLJUEGOS</v>
          </cell>
          <cell r="H997">
            <v>1211.654</v>
          </cell>
          <cell r="I997">
            <v>984.14999</v>
          </cell>
        </row>
        <row r="998">
          <cell r="A998" t="str">
            <v>63690-BF_1.1.3.2.1.3</v>
          </cell>
          <cell r="B998" t="str">
            <v>QUINDIO</v>
          </cell>
          <cell r="C998">
            <v>63690</v>
          </cell>
          <cell r="D998" t="str">
            <v>SALENTO</v>
          </cell>
          <cell r="E998">
            <v>37</v>
          </cell>
          <cell r="F998" t="str">
            <v>BF_1.1.3.2.1.3</v>
          </cell>
          <cell r="G998" t="str">
            <v xml:space="preserve">                     Otras Transferencias de la Nación</v>
          </cell>
          <cell r="H998">
            <v>57.97</v>
          </cell>
          <cell r="I998">
            <v>0</v>
          </cell>
        </row>
        <row r="999">
          <cell r="A999" t="str">
            <v>63690-BF_1.1.3.2.2</v>
          </cell>
          <cell r="B999" t="str">
            <v>QUINDIO</v>
          </cell>
          <cell r="C999">
            <v>63690</v>
          </cell>
          <cell r="D999" t="str">
            <v>SALENTO</v>
          </cell>
          <cell r="E999">
            <v>38</v>
          </cell>
          <cell r="F999" t="str">
            <v>BF_1.1.3.2.2</v>
          </cell>
          <cell r="G999" t="str">
            <v xml:space="preserve">                 Del Nivel Departamental</v>
          </cell>
          <cell r="H999">
            <v>331.27699999999999</v>
          </cell>
          <cell r="I999">
            <v>386.52956699999999</v>
          </cell>
        </row>
        <row r="1000">
          <cell r="A1000" t="str">
            <v>63690-BF_1.1.3.2.4</v>
          </cell>
          <cell r="B1000" t="str">
            <v>QUINDIO</v>
          </cell>
          <cell r="C1000">
            <v>63690</v>
          </cell>
          <cell r="D1000" t="str">
            <v>SALENTO</v>
          </cell>
          <cell r="E1000">
            <v>40</v>
          </cell>
          <cell r="F1000" t="str">
            <v>BF_1.1.3.2.4</v>
          </cell>
          <cell r="G1000" t="str">
            <v xml:space="preserve">                 Sector Descentralizado</v>
          </cell>
          <cell r="H1000">
            <v>0</v>
          </cell>
          <cell r="I1000">
            <v>144.61199999999999</v>
          </cell>
        </row>
        <row r="1001">
          <cell r="A1001" t="str">
            <v>63690-BF_2</v>
          </cell>
          <cell r="B1001" t="str">
            <v>QUINDIO</v>
          </cell>
          <cell r="C1001">
            <v>63690</v>
          </cell>
          <cell r="D1001" t="str">
            <v>SALENTO</v>
          </cell>
          <cell r="E1001">
            <v>43</v>
          </cell>
          <cell r="F1001" t="str">
            <v>BF_2</v>
          </cell>
          <cell r="G1001" t="str">
            <v>GASTOS  TOTALES</v>
          </cell>
          <cell r="H1001">
            <v>11440.928</v>
          </cell>
          <cell r="I1001">
            <v>8512.1702129999994</v>
          </cell>
        </row>
        <row r="1002">
          <cell r="A1002" t="str">
            <v>63690-BF_2.1</v>
          </cell>
          <cell r="B1002" t="str">
            <v>QUINDIO</v>
          </cell>
          <cell r="C1002">
            <v>63690</v>
          </cell>
          <cell r="D1002" t="str">
            <v>SALENTO</v>
          </cell>
          <cell r="E1002">
            <v>44</v>
          </cell>
          <cell r="F1002" t="str">
            <v>BF_2.1</v>
          </cell>
          <cell r="G1002" t="str">
            <v xml:space="preserve">    GASTOS CORRIENTES</v>
          </cell>
          <cell r="H1002">
            <v>5276.9740000000002</v>
          </cell>
          <cell r="I1002">
            <v>7123.8175190000002</v>
          </cell>
        </row>
        <row r="1003">
          <cell r="A1003" t="str">
            <v>63690-BF_2.1.1</v>
          </cell>
          <cell r="B1003" t="str">
            <v>QUINDIO</v>
          </cell>
          <cell r="C1003">
            <v>63690</v>
          </cell>
          <cell r="D1003" t="str">
            <v>SALENTO</v>
          </cell>
          <cell r="E1003">
            <v>45</v>
          </cell>
          <cell r="F1003" t="str">
            <v>BF_2.1.1</v>
          </cell>
          <cell r="G1003" t="str">
            <v xml:space="preserve">        FUNCIONAMIENTO</v>
          </cell>
          <cell r="H1003">
            <v>1762.771</v>
          </cell>
          <cell r="I1003">
            <v>1965.6439049999999</v>
          </cell>
        </row>
        <row r="1004">
          <cell r="A1004" t="str">
            <v>63690-BF_2.1.1.1</v>
          </cell>
          <cell r="B1004" t="str">
            <v>QUINDIO</v>
          </cell>
          <cell r="C1004">
            <v>63690</v>
          </cell>
          <cell r="D1004" t="str">
            <v>SALENTO</v>
          </cell>
          <cell r="E1004">
            <v>46</v>
          </cell>
          <cell r="F1004" t="str">
            <v>BF_2.1.1.1</v>
          </cell>
          <cell r="G1004" t="str">
            <v xml:space="preserve">             Gastos de Personal  </v>
          </cell>
          <cell r="H1004">
            <v>1051.7570000000001</v>
          </cell>
          <cell r="I1004">
            <v>1192.255009</v>
          </cell>
        </row>
        <row r="1005">
          <cell r="A1005" t="str">
            <v>63690-BF_2.1.1.2</v>
          </cell>
          <cell r="B1005" t="str">
            <v>QUINDIO</v>
          </cell>
          <cell r="C1005">
            <v>63690</v>
          </cell>
          <cell r="D1005" t="str">
            <v>SALENTO</v>
          </cell>
          <cell r="E1005">
            <v>47</v>
          </cell>
          <cell r="F1005" t="str">
            <v>BF_2.1.1.2</v>
          </cell>
          <cell r="G1005" t="str">
            <v xml:space="preserve">             Gastos Generales</v>
          </cell>
          <cell r="H1005">
            <v>392.03100000000001</v>
          </cell>
          <cell r="I1005">
            <v>435.53652499999998</v>
          </cell>
        </row>
        <row r="1006">
          <cell r="A1006" t="str">
            <v>63690-BF_2.1.1.3</v>
          </cell>
          <cell r="B1006" t="str">
            <v>QUINDIO</v>
          </cell>
          <cell r="C1006">
            <v>63690</v>
          </cell>
          <cell r="D1006" t="str">
            <v>SALENTO</v>
          </cell>
          <cell r="E1006">
            <v>48</v>
          </cell>
          <cell r="F1006" t="str">
            <v>BF_2.1.1.3</v>
          </cell>
          <cell r="G1006" t="str">
            <v xml:space="preserve">             Transferencias</v>
          </cell>
          <cell r="H1006">
            <v>318.983</v>
          </cell>
          <cell r="I1006">
            <v>337.85237100000001</v>
          </cell>
        </row>
        <row r="1007">
          <cell r="A1007" t="str">
            <v>63690-BF_2.1.1.3.1</v>
          </cell>
          <cell r="B1007" t="str">
            <v>QUINDIO</v>
          </cell>
          <cell r="C1007">
            <v>63690</v>
          </cell>
          <cell r="D1007" t="str">
            <v>SALENTO</v>
          </cell>
          <cell r="E1007">
            <v>49</v>
          </cell>
          <cell r="F1007" t="str">
            <v>BF_2.1.1.3.1</v>
          </cell>
          <cell r="G1007" t="str">
            <v xml:space="preserve">                 Pensiones</v>
          </cell>
          <cell r="H1007">
            <v>83.682000000000002</v>
          </cell>
          <cell r="I1007">
            <v>82.078537999999995</v>
          </cell>
        </row>
        <row r="1008">
          <cell r="A1008" t="str">
            <v>63690-BF_2.1.1.3.4</v>
          </cell>
          <cell r="B1008" t="str">
            <v>QUINDIO</v>
          </cell>
          <cell r="C1008">
            <v>63690</v>
          </cell>
          <cell r="D1008" t="str">
            <v>SALENTO</v>
          </cell>
          <cell r="E1008">
            <v>52</v>
          </cell>
          <cell r="F1008" t="str">
            <v>BF_2.1.1.3.4</v>
          </cell>
          <cell r="G1008" t="str">
            <v xml:space="preserve">                 A Organismos de Control</v>
          </cell>
          <cell r="H1008">
            <v>231.41499999999999</v>
          </cell>
          <cell r="I1008">
            <v>251.71638899999999</v>
          </cell>
        </row>
        <row r="1009">
          <cell r="A1009" t="str">
            <v>63690-BF_2.1.1.3.5</v>
          </cell>
          <cell r="B1009" t="str">
            <v>QUINDIO</v>
          </cell>
          <cell r="C1009">
            <v>63690</v>
          </cell>
          <cell r="D1009" t="str">
            <v>SALENTO</v>
          </cell>
          <cell r="E1009">
            <v>53</v>
          </cell>
          <cell r="F1009" t="str">
            <v>BF_2.1.1.3.5</v>
          </cell>
          <cell r="G1009" t="str">
            <v xml:space="preserve">                 A Establecimientos Públicos y Entidades Descentralizadas - Nivel Territorial</v>
          </cell>
          <cell r="H1009">
            <v>3.7919999999999998</v>
          </cell>
          <cell r="I1009">
            <v>0</v>
          </cell>
        </row>
        <row r="1010">
          <cell r="A1010" t="str">
            <v>63690-BF_2.1.1.3.6</v>
          </cell>
          <cell r="B1010" t="str">
            <v>QUINDIO</v>
          </cell>
          <cell r="C1010">
            <v>63690</v>
          </cell>
          <cell r="D1010" t="str">
            <v>SALENTO</v>
          </cell>
          <cell r="E1010">
            <v>54</v>
          </cell>
          <cell r="F1010" t="str">
            <v>BF_2.1.1.3.6</v>
          </cell>
          <cell r="G1010" t="str">
            <v xml:space="preserve">                 Sentencias y Conciliaciones</v>
          </cell>
          <cell r="H1010">
            <v>9.4E-2</v>
          </cell>
          <cell r="I1010">
            <v>0</v>
          </cell>
        </row>
        <row r="1011">
          <cell r="A1011" t="str">
            <v>63690-BF_2.1.1.3.7</v>
          </cell>
          <cell r="B1011" t="str">
            <v>QUINDIO</v>
          </cell>
          <cell r="C1011">
            <v>63690</v>
          </cell>
          <cell r="D1011" t="str">
            <v>SALENTO</v>
          </cell>
          <cell r="E1011">
            <v>55</v>
          </cell>
          <cell r="F1011" t="str">
            <v>BF_2.1.1.3.7</v>
          </cell>
          <cell r="G1011" t="str">
            <v xml:space="preserve">                 Otras Transferencias</v>
          </cell>
          <cell r="H1011">
            <v>0</v>
          </cell>
          <cell r="I1011">
            <v>4.0574440000000003</v>
          </cell>
        </row>
        <row r="1012">
          <cell r="A1012" t="str">
            <v>63690-BF_2.1.4</v>
          </cell>
          <cell r="B1012" t="str">
            <v>QUINDIO</v>
          </cell>
          <cell r="C1012">
            <v>63690</v>
          </cell>
          <cell r="D1012" t="str">
            <v>SALENTO</v>
          </cell>
          <cell r="E1012">
            <v>61</v>
          </cell>
          <cell r="F1012" t="str">
            <v>BF_2.1.4</v>
          </cell>
          <cell r="G1012" t="str">
            <v xml:space="preserve">        GASTOS OPERATIVOS EN SECTORES SOCIALES (Remuneración al Trabajo, Prestaciones, y Subsidios en Sectores de Inversión)</v>
          </cell>
          <cell r="H1012">
            <v>3466.0880000000002</v>
          </cell>
          <cell r="I1012">
            <v>4948.4414740000002</v>
          </cell>
        </row>
        <row r="1013">
          <cell r="A1013" t="str">
            <v>63690-BF_2.1.4.1</v>
          </cell>
          <cell r="B1013" t="str">
            <v>QUINDIO</v>
          </cell>
          <cell r="C1013">
            <v>63690</v>
          </cell>
          <cell r="D1013" t="str">
            <v>SALENTO</v>
          </cell>
          <cell r="E1013">
            <v>62</v>
          </cell>
          <cell r="F1013" t="str">
            <v>BF_2.1.4.1</v>
          </cell>
          <cell r="G1013" t="str">
            <v xml:space="preserve">             Educación</v>
          </cell>
          <cell r="H1013">
            <v>488.97899999999998</v>
          </cell>
          <cell r="I1013">
            <v>432.15450900000002</v>
          </cell>
        </row>
        <row r="1014">
          <cell r="A1014" t="str">
            <v>63690-BF_2.1.4.2</v>
          </cell>
          <cell r="B1014" t="str">
            <v>QUINDIO</v>
          </cell>
          <cell r="C1014">
            <v>63690</v>
          </cell>
          <cell r="D1014" t="str">
            <v>SALENTO</v>
          </cell>
          <cell r="E1014">
            <v>63</v>
          </cell>
          <cell r="F1014" t="str">
            <v>BF_2.1.4.2</v>
          </cell>
          <cell r="G1014" t="str">
            <v xml:space="preserve">             Salud</v>
          </cell>
          <cell r="H1014">
            <v>2606.5729999999999</v>
          </cell>
          <cell r="I1014">
            <v>2659.3649639999999</v>
          </cell>
        </row>
        <row r="1015">
          <cell r="A1015" t="str">
            <v>63690-BF_2.1.4.3</v>
          </cell>
          <cell r="B1015" t="str">
            <v>QUINDIO</v>
          </cell>
          <cell r="C1015">
            <v>63690</v>
          </cell>
          <cell r="D1015" t="str">
            <v>SALENTO</v>
          </cell>
          <cell r="E1015">
            <v>64</v>
          </cell>
          <cell r="F1015" t="str">
            <v>BF_2.1.4.3</v>
          </cell>
          <cell r="G1015" t="str">
            <v xml:space="preserve">             Agua Potable y Saneamiento Básico</v>
          </cell>
          <cell r="H1015">
            <v>51.838000000000001</v>
          </cell>
          <cell r="I1015">
            <v>23.140868000000001</v>
          </cell>
        </row>
        <row r="1016">
          <cell r="A1016" t="str">
            <v>63690-BF_2.1.4.5</v>
          </cell>
          <cell r="B1016" t="str">
            <v>QUINDIO</v>
          </cell>
          <cell r="C1016">
            <v>63690</v>
          </cell>
          <cell r="D1016" t="str">
            <v>SALENTO</v>
          </cell>
          <cell r="E1016">
            <v>66</v>
          </cell>
          <cell r="F1016" t="str">
            <v>BF_2.1.4.5</v>
          </cell>
          <cell r="G1016" t="str">
            <v xml:space="preserve">             Otros Sectores</v>
          </cell>
          <cell r="H1016">
            <v>318.69799999999998</v>
          </cell>
          <cell r="I1016">
            <v>1833.781133</v>
          </cell>
        </row>
        <row r="1017">
          <cell r="A1017" t="str">
            <v>63690-BF_2.1.5</v>
          </cell>
          <cell r="B1017" t="str">
            <v>QUINDIO</v>
          </cell>
          <cell r="C1017">
            <v>63690</v>
          </cell>
          <cell r="D1017" t="str">
            <v>SALENTO</v>
          </cell>
          <cell r="E1017">
            <v>67</v>
          </cell>
          <cell r="F1017" t="str">
            <v>BF_2.1.5</v>
          </cell>
          <cell r="G1017" t="str">
            <v xml:space="preserve">        INTERESES Y COMISIONES DE LA DEUDA</v>
          </cell>
          <cell r="H1017">
            <v>48.115000000000002</v>
          </cell>
          <cell r="I1017">
            <v>209.73213999999999</v>
          </cell>
        </row>
        <row r="1018">
          <cell r="A1018" t="str">
            <v>63690-BF_2.1.5.1</v>
          </cell>
          <cell r="B1018" t="str">
            <v>QUINDIO</v>
          </cell>
          <cell r="C1018">
            <v>63690</v>
          </cell>
          <cell r="D1018" t="str">
            <v>SALENTO</v>
          </cell>
          <cell r="E1018">
            <v>68</v>
          </cell>
          <cell r="F1018" t="str">
            <v>BF_2.1.5.1</v>
          </cell>
          <cell r="G1018" t="str">
            <v xml:space="preserve">             Interna</v>
          </cell>
          <cell r="H1018">
            <v>48.115000000000002</v>
          </cell>
          <cell r="I1018">
            <v>209.73213999999999</v>
          </cell>
        </row>
        <row r="1019">
          <cell r="A1019" t="str">
            <v>63690-BF_3</v>
          </cell>
          <cell r="B1019" t="str">
            <v>QUINDIO</v>
          </cell>
          <cell r="C1019">
            <v>63690</v>
          </cell>
          <cell r="D1019" t="str">
            <v>SALENTO</v>
          </cell>
          <cell r="E1019">
            <v>70</v>
          </cell>
          <cell r="F1019" t="str">
            <v>BF_3</v>
          </cell>
          <cell r="G1019" t="str">
            <v>DÉFICIT O AHORRO CORRIENTE</v>
          </cell>
          <cell r="H1019">
            <v>3070.3739999999998</v>
          </cell>
          <cell r="I1019">
            <v>1347.244211</v>
          </cell>
        </row>
        <row r="1020">
          <cell r="A1020" t="str">
            <v>63690-BF_4</v>
          </cell>
          <cell r="B1020" t="str">
            <v>QUINDIO</v>
          </cell>
          <cell r="C1020">
            <v>63690</v>
          </cell>
          <cell r="D1020" t="str">
            <v>SALENTO</v>
          </cell>
          <cell r="E1020">
            <v>71</v>
          </cell>
          <cell r="F1020" t="str">
            <v>BF_4</v>
          </cell>
          <cell r="G1020" t="str">
            <v>INGRESOS DE CAPITAL</v>
          </cell>
          <cell r="H1020">
            <v>1036.2829999999999</v>
          </cell>
          <cell r="I1020">
            <v>1051.766719</v>
          </cell>
        </row>
        <row r="1021">
          <cell r="A1021" t="str">
            <v>63690-BF_4.1</v>
          </cell>
          <cell r="B1021" t="str">
            <v>QUINDIO</v>
          </cell>
          <cell r="C1021">
            <v>63690</v>
          </cell>
          <cell r="D1021" t="str">
            <v>SALENTO</v>
          </cell>
          <cell r="E1021">
            <v>72</v>
          </cell>
          <cell r="F1021" t="str">
            <v>BF_4.1</v>
          </cell>
          <cell r="G1021" t="str">
            <v xml:space="preserve">    Cofinanciación</v>
          </cell>
          <cell r="H1021">
            <v>8.6150000000000002</v>
          </cell>
          <cell r="I1021">
            <v>166.52450999999999</v>
          </cell>
        </row>
        <row r="1022">
          <cell r="A1022" t="str">
            <v>63690-BF_4.4</v>
          </cell>
          <cell r="B1022" t="str">
            <v>QUINDIO</v>
          </cell>
          <cell r="C1022">
            <v>63690</v>
          </cell>
          <cell r="D1022" t="str">
            <v>SALENTO</v>
          </cell>
          <cell r="E1022">
            <v>75</v>
          </cell>
          <cell r="F1022" t="str">
            <v>BF_4.4</v>
          </cell>
          <cell r="G1022" t="str">
            <v xml:space="preserve">    Rendimientos Financieros</v>
          </cell>
          <cell r="H1022">
            <v>881.19500000000005</v>
          </cell>
          <cell r="I1022">
            <v>365.40861799999999</v>
          </cell>
        </row>
        <row r="1023">
          <cell r="A1023" t="str">
            <v>63690-BF_4.6</v>
          </cell>
          <cell r="B1023" t="str">
            <v>QUINDIO</v>
          </cell>
          <cell r="C1023">
            <v>63690</v>
          </cell>
          <cell r="D1023" t="str">
            <v>SALENTO</v>
          </cell>
          <cell r="E1023">
            <v>77</v>
          </cell>
          <cell r="F1023" t="str">
            <v>BF_4.6</v>
          </cell>
          <cell r="G1023" t="str">
            <v xml:space="preserve">    Desahorro FONPET</v>
          </cell>
          <cell r="H1023">
            <v>108.384</v>
          </cell>
          <cell r="I1023">
            <v>411.09699699999999</v>
          </cell>
        </row>
        <row r="1024">
          <cell r="A1024" t="str">
            <v>63690-BF_4.6.1</v>
          </cell>
          <cell r="B1024" t="str">
            <v>QUINDIO</v>
          </cell>
          <cell r="C1024">
            <v>63690</v>
          </cell>
          <cell r="D1024" t="str">
            <v>SALENTO</v>
          </cell>
          <cell r="E1024">
            <v>78</v>
          </cell>
          <cell r="F1024" t="str">
            <v>BF_4.6.1</v>
          </cell>
          <cell r="G1024" t="str">
            <v xml:space="preserve">    Salud</v>
          </cell>
          <cell r="H1024">
            <v>108.384</v>
          </cell>
          <cell r="I1024">
            <v>334.09778599999999</v>
          </cell>
        </row>
        <row r="1025">
          <cell r="A1025" t="str">
            <v>63690-BF_4.6.4</v>
          </cell>
          <cell r="B1025" t="str">
            <v>QUINDIO</v>
          </cell>
          <cell r="C1025">
            <v>63690</v>
          </cell>
          <cell r="D1025" t="str">
            <v>SALENTO</v>
          </cell>
          <cell r="E1025">
            <v>81</v>
          </cell>
          <cell r="F1025" t="str">
            <v>BF_4.6.4</v>
          </cell>
          <cell r="G1025" t="str">
            <v xml:space="preserve">    Otros Desahorros y Retiros (Cuotas partes, Bonos y Devoluciones)</v>
          </cell>
          <cell r="H1025">
            <v>0</v>
          </cell>
          <cell r="I1025">
            <v>76.999211000000003</v>
          </cell>
        </row>
        <row r="1026">
          <cell r="A1026" t="str">
            <v>63690-BF_4.7</v>
          </cell>
          <cell r="B1026" t="str">
            <v>QUINDIO</v>
          </cell>
          <cell r="C1026">
            <v>63690</v>
          </cell>
          <cell r="D1026" t="str">
            <v>SALENTO</v>
          </cell>
          <cell r="E1026">
            <v>82</v>
          </cell>
          <cell r="F1026" t="str">
            <v>BF_4.7</v>
          </cell>
          <cell r="G1026" t="str">
            <v xml:space="preserve">    Otros Recursos de Capital (Donaciones, Aprovechamientos y Otros)</v>
          </cell>
          <cell r="H1026">
            <v>38.088999999999999</v>
          </cell>
          <cell r="I1026">
            <v>108.736594</v>
          </cell>
        </row>
        <row r="1027">
          <cell r="A1027" t="str">
            <v>63690-BF_5</v>
          </cell>
          <cell r="B1027" t="str">
            <v>QUINDIO</v>
          </cell>
          <cell r="C1027">
            <v>63690</v>
          </cell>
          <cell r="D1027" t="str">
            <v>SALENTO</v>
          </cell>
          <cell r="E1027">
            <v>83</v>
          </cell>
          <cell r="F1027" t="str">
            <v>BF_5</v>
          </cell>
          <cell r="G1027" t="str">
            <v>GASTOS DE CAPITAL</v>
          </cell>
          <cell r="H1027">
            <v>6163.9539999999997</v>
          </cell>
          <cell r="I1027">
            <v>1388.3526939999999</v>
          </cell>
        </row>
        <row r="1028">
          <cell r="A1028" t="str">
            <v>63690-BF_5.1</v>
          </cell>
          <cell r="B1028" t="str">
            <v>QUINDIO</v>
          </cell>
          <cell r="C1028">
            <v>63690</v>
          </cell>
          <cell r="D1028" t="str">
            <v>SALENTO</v>
          </cell>
          <cell r="E1028">
            <v>84</v>
          </cell>
          <cell r="F1028" t="str">
            <v>BF_5.1</v>
          </cell>
          <cell r="G1028" t="str">
            <v xml:space="preserve">    Formación Bruta de Capital (Construcción, Reparación, Mantenimiento, Preinversión, Otros)</v>
          </cell>
          <cell r="H1028">
            <v>6163.9539999999997</v>
          </cell>
          <cell r="I1028">
            <v>1388.3526939999999</v>
          </cell>
        </row>
        <row r="1029">
          <cell r="A1029" t="str">
            <v>63690-BF_5.1.1</v>
          </cell>
          <cell r="B1029" t="str">
            <v>QUINDIO</v>
          </cell>
          <cell r="C1029">
            <v>63690</v>
          </cell>
          <cell r="D1029" t="str">
            <v>SALENTO</v>
          </cell>
          <cell r="E1029">
            <v>85</v>
          </cell>
          <cell r="F1029" t="str">
            <v>BF_5.1.1</v>
          </cell>
          <cell r="G1029" t="str">
            <v xml:space="preserve">        Educación</v>
          </cell>
          <cell r="H1029">
            <v>53.314999999999998</v>
          </cell>
          <cell r="I1029">
            <v>34.258944</v>
          </cell>
        </row>
        <row r="1030">
          <cell r="A1030" t="str">
            <v>63690-BF_5.1.3</v>
          </cell>
          <cell r="B1030" t="str">
            <v>QUINDIO</v>
          </cell>
          <cell r="C1030">
            <v>63690</v>
          </cell>
          <cell r="D1030" t="str">
            <v>SALENTO</v>
          </cell>
          <cell r="E1030">
            <v>87</v>
          </cell>
          <cell r="F1030" t="str">
            <v>BF_5.1.3</v>
          </cell>
          <cell r="G1030" t="str">
            <v xml:space="preserve">        Agua Potable</v>
          </cell>
          <cell r="H1030">
            <v>294.61200000000002</v>
          </cell>
          <cell r="I1030">
            <v>220.555643</v>
          </cell>
        </row>
        <row r="1031">
          <cell r="A1031" t="str">
            <v>63690-BF_5.1.4</v>
          </cell>
          <cell r="B1031" t="str">
            <v>QUINDIO</v>
          </cell>
          <cell r="C1031">
            <v>63690</v>
          </cell>
          <cell r="D1031" t="str">
            <v>SALENTO</v>
          </cell>
          <cell r="E1031">
            <v>88</v>
          </cell>
          <cell r="F1031" t="str">
            <v>BF_5.1.4</v>
          </cell>
          <cell r="G1031" t="str">
            <v xml:space="preserve">        Vivienda</v>
          </cell>
          <cell r="H1031">
            <v>711.23299999999995</v>
          </cell>
          <cell r="I1031">
            <v>69.393942999999993</v>
          </cell>
        </row>
        <row r="1032">
          <cell r="A1032" t="str">
            <v>63690-BF_5.1.5</v>
          </cell>
          <cell r="B1032" t="str">
            <v>QUINDIO</v>
          </cell>
          <cell r="C1032">
            <v>63690</v>
          </cell>
          <cell r="D1032" t="str">
            <v>SALENTO</v>
          </cell>
          <cell r="E1032">
            <v>89</v>
          </cell>
          <cell r="F1032" t="str">
            <v>BF_5.1.5</v>
          </cell>
          <cell r="G1032" t="str">
            <v xml:space="preserve">        Vías</v>
          </cell>
          <cell r="H1032">
            <v>1168.607</v>
          </cell>
          <cell r="I1032">
            <v>193.50191699999999</v>
          </cell>
        </row>
        <row r="1033">
          <cell r="A1033" t="str">
            <v>63690-BF_5.1.6</v>
          </cell>
          <cell r="B1033" t="str">
            <v>QUINDIO</v>
          </cell>
          <cell r="C1033">
            <v>63690</v>
          </cell>
          <cell r="D1033" t="str">
            <v>SALENTO</v>
          </cell>
          <cell r="E1033">
            <v>90</v>
          </cell>
          <cell r="F1033" t="str">
            <v>BF_5.1.6</v>
          </cell>
          <cell r="G1033" t="str">
            <v xml:space="preserve">        Otros Sectores</v>
          </cell>
          <cell r="H1033">
            <v>3936.1869999999999</v>
          </cell>
          <cell r="I1033">
            <v>870.642247</v>
          </cell>
        </row>
        <row r="1034">
          <cell r="A1034" t="str">
            <v>63690-BF_6</v>
          </cell>
          <cell r="B1034" t="str">
            <v>QUINDIO</v>
          </cell>
          <cell r="C1034">
            <v>63690</v>
          </cell>
          <cell r="D1034" t="str">
            <v>SALENTO</v>
          </cell>
          <cell r="E1034">
            <v>92</v>
          </cell>
          <cell r="F1034" t="str">
            <v>BF_6</v>
          </cell>
          <cell r="G1034" t="str">
            <v>DÉFICIT O SUPERÁVIT DE CAPITAL</v>
          </cell>
          <cell r="H1034">
            <v>-5127.6710000000003</v>
          </cell>
          <cell r="I1034">
            <v>-336.58597500000002</v>
          </cell>
        </row>
        <row r="1035">
          <cell r="A1035" t="str">
            <v>63690-BF_7</v>
          </cell>
          <cell r="B1035" t="str">
            <v>QUINDIO</v>
          </cell>
          <cell r="C1035">
            <v>63690</v>
          </cell>
          <cell r="D1035" t="str">
            <v>SALENTO</v>
          </cell>
          <cell r="E1035">
            <v>93</v>
          </cell>
          <cell r="F1035" t="str">
            <v>BF_7</v>
          </cell>
          <cell r="G1035" t="str">
            <v>DÉFICIT O SUPERÁVIT TOTAL</v>
          </cell>
          <cell r="H1035">
            <v>-2057.297</v>
          </cell>
          <cell r="I1035">
            <v>1010.658236</v>
          </cell>
        </row>
        <row r="1036">
          <cell r="A1036" t="str">
            <v>63690-BF_8</v>
          </cell>
          <cell r="B1036" t="str">
            <v>QUINDIO</v>
          </cell>
          <cell r="C1036">
            <v>63690</v>
          </cell>
          <cell r="D1036" t="str">
            <v>SALENTO</v>
          </cell>
          <cell r="E1036">
            <v>94</v>
          </cell>
          <cell r="F1036" t="str">
            <v>BF_8</v>
          </cell>
          <cell r="G1036" t="str">
            <v>FINANCIACIÓN</v>
          </cell>
          <cell r="H1036">
            <v>3706.3130000000001</v>
          </cell>
          <cell r="I1036">
            <v>1204.104255</v>
          </cell>
        </row>
        <row r="1037">
          <cell r="A1037" t="str">
            <v>63690-BF_8.1</v>
          </cell>
          <cell r="B1037" t="str">
            <v>QUINDIO</v>
          </cell>
          <cell r="C1037">
            <v>63690</v>
          </cell>
          <cell r="D1037" t="str">
            <v>SALENTO</v>
          </cell>
          <cell r="E1037">
            <v>95</v>
          </cell>
          <cell r="F1037" t="str">
            <v>BF_8.1</v>
          </cell>
          <cell r="G1037" t="str">
            <v xml:space="preserve">    RECURSOS DEL CRÉDITO</v>
          </cell>
          <cell r="H1037">
            <v>2172.7779999999998</v>
          </cell>
          <cell r="I1037">
            <v>-105.55555200000001</v>
          </cell>
        </row>
        <row r="1038">
          <cell r="A1038" t="str">
            <v>63690-BF_8.1.1</v>
          </cell>
          <cell r="B1038" t="str">
            <v>QUINDIO</v>
          </cell>
          <cell r="C1038">
            <v>63690</v>
          </cell>
          <cell r="D1038" t="str">
            <v>SALENTO</v>
          </cell>
          <cell r="E1038">
            <v>96</v>
          </cell>
          <cell r="F1038" t="str">
            <v>BF_8.1.1</v>
          </cell>
          <cell r="G1038" t="str">
            <v xml:space="preserve">        Interno</v>
          </cell>
          <cell r="H1038">
            <v>2172.7779999999998</v>
          </cell>
          <cell r="I1038">
            <v>-105.55555200000001</v>
          </cell>
        </row>
        <row r="1039">
          <cell r="A1039" t="str">
            <v>63690-BF_8.1.1.1</v>
          </cell>
          <cell r="B1039" t="str">
            <v>QUINDIO</v>
          </cell>
          <cell r="C1039">
            <v>63690</v>
          </cell>
          <cell r="D1039" t="str">
            <v>SALENTO</v>
          </cell>
          <cell r="E1039">
            <v>97</v>
          </cell>
          <cell r="F1039" t="str">
            <v>BF_8.1.1.1</v>
          </cell>
          <cell r="G1039" t="str">
            <v xml:space="preserve">             Desembolsos</v>
          </cell>
          <cell r="H1039">
            <v>2300</v>
          </cell>
          <cell r="I1039">
            <v>0</v>
          </cell>
        </row>
        <row r="1040">
          <cell r="A1040" t="str">
            <v>63690-BF_8.1.1.2</v>
          </cell>
          <cell r="B1040" t="str">
            <v>QUINDIO</v>
          </cell>
          <cell r="C1040">
            <v>63690</v>
          </cell>
          <cell r="D1040" t="str">
            <v>SALENTO</v>
          </cell>
          <cell r="E1040">
            <v>98</v>
          </cell>
          <cell r="F1040" t="str">
            <v>BF_8.1.1.2</v>
          </cell>
          <cell r="G1040" t="str">
            <v xml:space="preserve">             Amortizaciones</v>
          </cell>
          <cell r="H1040">
            <v>127.22199999999999</v>
          </cell>
          <cell r="I1040">
            <v>105.55555200000001</v>
          </cell>
        </row>
        <row r="1041">
          <cell r="A1041" t="str">
            <v>63690-BF_8.2</v>
          </cell>
          <cell r="B1041" t="str">
            <v>QUINDIO</v>
          </cell>
          <cell r="C1041">
            <v>63690</v>
          </cell>
          <cell r="D1041" t="str">
            <v>SALENTO</v>
          </cell>
          <cell r="E1041">
            <v>102</v>
          </cell>
          <cell r="F1041" t="str">
            <v>BF_8.2</v>
          </cell>
          <cell r="G1041" t="str">
            <v xml:space="preserve">    Recursos del Balance (Superávit Fiscal, Cancelación de Reservas)</v>
          </cell>
          <cell r="H1041">
            <v>1533.5350000000001</v>
          </cell>
          <cell r="I1041">
            <v>1309.659807</v>
          </cell>
        </row>
        <row r="1042">
          <cell r="A1042" t="str">
            <v>63690-BF_9.1</v>
          </cell>
          <cell r="B1042" t="str">
            <v>QUINDIO</v>
          </cell>
          <cell r="C1042">
            <v>63690</v>
          </cell>
          <cell r="D1042" t="str">
            <v>SALENTO</v>
          </cell>
          <cell r="E1042">
            <v>107</v>
          </cell>
          <cell r="F1042" t="str">
            <v>BF_9.1</v>
          </cell>
          <cell r="G1042" t="str">
            <v xml:space="preserve">    DÉFICIT O SUPERÁVIT PRIMARIO</v>
          </cell>
          <cell r="H1042">
            <v>-475.64699999999999</v>
          </cell>
          <cell r="I1042">
            <v>2530.0501829999998</v>
          </cell>
        </row>
        <row r="1043">
          <cell r="A1043" t="str">
            <v>63690-BF_9.2</v>
          </cell>
          <cell r="B1043" t="str">
            <v>QUINDIO</v>
          </cell>
          <cell r="C1043">
            <v>63690</v>
          </cell>
          <cell r="D1043" t="str">
            <v>SALENTO</v>
          </cell>
          <cell r="E1043">
            <v>108</v>
          </cell>
          <cell r="F1043" t="str">
            <v>BF_9.2</v>
          </cell>
          <cell r="G1043" t="str">
            <v xml:space="preserve">    DÉFICIT O SUPERÁVIT PRIMARIO/INTERESES</v>
          </cell>
          <cell r="H1043">
            <v>-9.8859999999999992</v>
          </cell>
          <cell r="I1043">
            <v>12.06324497</v>
          </cell>
        </row>
        <row r="1044">
          <cell r="A1044" t="str">
            <v>63690-BF_10.1</v>
          </cell>
          <cell r="B1044" t="str">
            <v>QUINDIO</v>
          </cell>
          <cell r="C1044">
            <v>63690</v>
          </cell>
          <cell r="D1044" t="str">
            <v>SALENTO</v>
          </cell>
          <cell r="E1044">
            <v>110</v>
          </cell>
          <cell r="F1044" t="str">
            <v>BF_10.1</v>
          </cell>
          <cell r="G1044" t="str">
            <v xml:space="preserve">    INGRESOS TOTALES SIN INCLUIR RECURSOS PARA RESERVAS PRESUPUESTALES</v>
          </cell>
          <cell r="H1044">
            <v>13217.165999999999</v>
          </cell>
          <cell r="I1044">
            <v>10832.488256000001</v>
          </cell>
        </row>
        <row r="1045">
          <cell r="A1045" t="str">
            <v>63690-BF_10.2</v>
          </cell>
          <cell r="B1045" t="str">
            <v>QUINDIO</v>
          </cell>
          <cell r="C1045">
            <v>63690</v>
          </cell>
          <cell r="D1045" t="str">
            <v>SALENTO</v>
          </cell>
          <cell r="E1045">
            <v>111</v>
          </cell>
          <cell r="F1045" t="str">
            <v>BF_10.2</v>
          </cell>
          <cell r="G1045" t="str">
            <v xml:space="preserve">    GASTOS TOTALES SIN INCLUIR GASTOS POR RESERVAS PRESUPUESTALES</v>
          </cell>
          <cell r="H1045">
            <v>11568.15</v>
          </cell>
          <cell r="I1045">
            <v>8617.7257649999992</v>
          </cell>
        </row>
        <row r="1046">
          <cell r="A1046" t="str">
            <v>63690-BF_10.3</v>
          </cell>
          <cell r="B1046" t="str">
            <v>QUINDIO</v>
          </cell>
          <cell r="C1046">
            <v>63690</v>
          </cell>
          <cell r="D1046" t="str">
            <v>SALENTO</v>
          </cell>
          <cell r="E1046">
            <v>112</v>
          </cell>
          <cell r="F1046" t="str">
            <v>BF_10.3</v>
          </cell>
          <cell r="G1046" t="str">
            <v xml:space="preserve">    DÉFICIT O SUPERÁVIT PRESUPUESTAL SIN INCLUIR RESERVAS PRESUPUESTALES</v>
          </cell>
          <cell r="H1046">
            <v>1649.0160000000001</v>
          </cell>
          <cell r="I1046">
            <v>2214.762491</v>
          </cell>
        </row>
        <row r="1047">
          <cell r="A1047" t="str">
            <v>63690-BF_12.1</v>
          </cell>
          <cell r="B1047" t="str">
            <v>QUINDIO</v>
          </cell>
          <cell r="C1047">
            <v>63690</v>
          </cell>
          <cell r="D1047" t="str">
            <v>SALENTO</v>
          </cell>
          <cell r="E1047">
            <v>114</v>
          </cell>
          <cell r="F1047" t="str">
            <v>BF_12.1</v>
          </cell>
          <cell r="G1047" t="str">
            <v xml:space="preserve">    INGRESOS TOTALES</v>
          </cell>
          <cell r="H1047">
            <v>13247.459000000001</v>
          </cell>
          <cell r="I1047">
            <v>10843.203939999999</v>
          </cell>
        </row>
        <row r="1048">
          <cell r="A1048" t="str">
            <v>63690-BF_12.2</v>
          </cell>
          <cell r="B1048" t="str">
            <v>QUINDIO</v>
          </cell>
          <cell r="C1048">
            <v>63690</v>
          </cell>
          <cell r="D1048" t="str">
            <v>SALENTO</v>
          </cell>
          <cell r="E1048">
            <v>115</v>
          </cell>
          <cell r="F1048" t="str">
            <v>BF_12.2</v>
          </cell>
          <cell r="G1048" t="str">
            <v xml:space="preserve">    GASTOS TOTALES</v>
          </cell>
          <cell r="H1048">
            <v>11593.942999999999</v>
          </cell>
          <cell r="I1048">
            <v>8628.4414489999999</v>
          </cell>
        </row>
        <row r="1049">
          <cell r="A1049" t="str">
            <v>63690-BF_12.3</v>
          </cell>
          <cell r="B1049" t="str">
            <v>QUINDIO</v>
          </cell>
          <cell r="C1049">
            <v>63690</v>
          </cell>
          <cell r="D1049" t="str">
            <v>SALENTO</v>
          </cell>
          <cell r="E1049">
            <v>116</v>
          </cell>
          <cell r="F1049" t="str">
            <v>BF_12.3</v>
          </cell>
          <cell r="G1049" t="str">
            <v xml:space="preserve">    DÉFICIT O SUPERÁVIT PRESUPUESTAL</v>
          </cell>
          <cell r="H1049">
            <v>1653.5160000000001</v>
          </cell>
          <cell r="I1049">
            <v>2214.762491</v>
          </cell>
        </row>
        <row r="1050">
          <cell r="A1050" t="str">
            <v>63690-BF_13.1</v>
          </cell>
          <cell r="B1050" t="str">
            <v>QUINDIO</v>
          </cell>
          <cell r="C1050">
            <v>63690</v>
          </cell>
          <cell r="D1050" t="str">
            <v>SALENTO</v>
          </cell>
          <cell r="E1050">
            <v>118</v>
          </cell>
          <cell r="F1050" t="str">
            <v>BF_13.1</v>
          </cell>
          <cell r="G1050" t="str">
            <v xml:space="preserve">    Recursos que Financian Reservas Presupuestales Excepcionales (Ley 819/2003)</v>
          </cell>
          <cell r="H1050">
            <v>30.292999999999999</v>
          </cell>
          <cell r="I1050">
            <v>10.715684</v>
          </cell>
        </row>
        <row r="1051">
          <cell r="A1051" t="str">
            <v>63690-BF_13.2</v>
          </cell>
          <cell r="B1051" t="str">
            <v>QUINDIO</v>
          </cell>
          <cell r="C1051">
            <v>63690</v>
          </cell>
          <cell r="D1051" t="str">
            <v>SALENTO</v>
          </cell>
          <cell r="E1051">
            <v>119</v>
          </cell>
          <cell r="F1051" t="str">
            <v>BF_13.2</v>
          </cell>
          <cell r="G1051" t="str">
            <v xml:space="preserve">    Reservas Presupuestales de Funcionamiento Vigencia Anterior</v>
          </cell>
          <cell r="H1051">
            <v>0</v>
          </cell>
          <cell r="I1051">
            <v>1.9566680000000001</v>
          </cell>
        </row>
        <row r="1052">
          <cell r="A1052" t="str">
            <v>63690-BF_13.3</v>
          </cell>
          <cell r="B1052" t="str">
            <v>QUINDIO</v>
          </cell>
          <cell r="C1052">
            <v>63690</v>
          </cell>
          <cell r="D1052" t="str">
            <v>SALENTO</v>
          </cell>
          <cell r="E1052">
            <v>120</v>
          </cell>
          <cell r="F1052" t="str">
            <v>BF_13.3</v>
          </cell>
          <cell r="G1052" t="str">
            <v xml:space="preserve">    Reservas Presupuestales de Inversión Vigencia Anterior</v>
          </cell>
          <cell r="H1052">
            <v>25.792999999999999</v>
          </cell>
          <cell r="I1052">
            <v>8.7590160000000008</v>
          </cell>
        </row>
        <row r="1053">
          <cell r="A1053" t="str">
            <v>63690-BF_13.4</v>
          </cell>
          <cell r="B1053" t="str">
            <v>QUINDIO</v>
          </cell>
          <cell r="C1053">
            <v>63690</v>
          </cell>
          <cell r="D1053" t="str">
            <v>SALENTO</v>
          </cell>
          <cell r="E1053">
            <v>121</v>
          </cell>
          <cell r="F1053" t="str">
            <v>BF_13.4</v>
          </cell>
          <cell r="G1053" t="str">
            <v xml:space="preserve">    DEFICIT O SUPERAVIT RESERVAS PRESUPUESTALES</v>
          </cell>
          <cell r="H1053">
            <v>4.5</v>
          </cell>
          <cell r="I1053">
            <v>0</v>
          </cell>
        </row>
      </sheetData>
      <sheetData sheetId="4">
        <row r="2">
          <cell r="A2" t="str">
            <v>63001-CAPEN.1.1</v>
          </cell>
          <cell r="B2" t="str">
            <v>QUINDIO</v>
          </cell>
          <cell r="C2">
            <v>63001</v>
          </cell>
          <cell r="D2" t="str">
            <v>ARMENIA</v>
          </cell>
          <cell r="E2" t="str">
            <v>CAPEN.1.1</v>
          </cell>
          <cell r="F2" t="str">
            <v>1.1 Ingresos corrientes (sin descontar vigencias futuras)</v>
          </cell>
          <cell r="G2">
            <v>180754.62455845001</v>
          </cell>
        </row>
        <row r="3">
          <cell r="A3" t="str">
            <v>63001-CAPEN.1.2</v>
          </cell>
          <cell r="B3" t="str">
            <v>QUINDIO</v>
          </cell>
          <cell r="C3">
            <v>63001</v>
          </cell>
          <cell r="D3" t="str">
            <v>ARMENIA</v>
          </cell>
          <cell r="E3" t="str">
            <v>CAPEN.1.2</v>
          </cell>
          <cell r="F3" t="str">
            <v>1.2 Vigencias futuras</v>
          </cell>
          <cell r="G3">
            <v>5938.3988319999999</v>
          </cell>
        </row>
        <row r="4">
          <cell r="A4" t="str">
            <v>63001-CAPEN.2</v>
          </cell>
          <cell r="B4" t="str">
            <v>QUINDIO</v>
          </cell>
          <cell r="C4">
            <v>63001</v>
          </cell>
          <cell r="D4" t="str">
            <v>ARMENIA</v>
          </cell>
          <cell r="E4" t="str">
            <v>CAPEN.2</v>
          </cell>
          <cell r="F4" t="str">
            <v>2. Gastos de funcionamiento</v>
          </cell>
          <cell r="G4">
            <v>66966.893668999997</v>
          </cell>
        </row>
        <row r="5">
          <cell r="A5" t="str">
            <v>63001-CAPEN.4.1.1</v>
          </cell>
          <cell r="B5" t="str">
            <v>QUINDIO</v>
          </cell>
          <cell r="C5">
            <v>63001</v>
          </cell>
          <cell r="D5" t="str">
            <v>ARMENIA</v>
          </cell>
          <cell r="E5" t="str">
            <v>CAPEN.4.1.1</v>
          </cell>
          <cell r="F5" t="str">
            <v>4.1.1 Saldo de la deuda</v>
          </cell>
          <cell r="G5">
            <v>62691.62</v>
          </cell>
        </row>
        <row r="6">
          <cell r="A6" t="str">
            <v>63001-CAPEN.4.2.1</v>
          </cell>
          <cell r="B6" t="str">
            <v>QUINDIO</v>
          </cell>
          <cell r="C6">
            <v>63001</v>
          </cell>
          <cell r="D6" t="str">
            <v>ARMENIA</v>
          </cell>
          <cell r="E6" t="str">
            <v>CAPEN.4.2.1</v>
          </cell>
          <cell r="F6" t="str">
            <v>4.2.1 Amortizaciones de la deuda</v>
          </cell>
          <cell r="G6">
            <v>28255.991000000002</v>
          </cell>
        </row>
        <row r="7">
          <cell r="A7" t="str">
            <v>63001-CAPEN.5.1</v>
          </cell>
          <cell r="B7" t="str">
            <v>QUINDIO</v>
          </cell>
          <cell r="C7">
            <v>63001</v>
          </cell>
          <cell r="D7" t="str">
            <v>ARMENIA</v>
          </cell>
          <cell r="E7" t="str">
            <v>CAPEN.5.1</v>
          </cell>
          <cell r="F7" t="str">
            <v>5.1 Intereses de la deuda</v>
          </cell>
          <cell r="G7">
            <v>4916.3</v>
          </cell>
        </row>
        <row r="8">
          <cell r="A8" t="str">
            <v>63111-CAPEN.1.1</v>
          </cell>
          <cell r="B8" t="str">
            <v>QUINDIO</v>
          </cell>
          <cell r="C8">
            <v>63111</v>
          </cell>
          <cell r="D8" t="str">
            <v>BUENAVISTA - QUINDIO</v>
          </cell>
          <cell r="E8" t="str">
            <v>CAPEN.1.1</v>
          </cell>
          <cell r="F8" t="str">
            <v>1.1 Ingresos corrientes (sin descontar vigencias futuras)</v>
          </cell>
          <cell r="G8">
            <v>3341.4299803624999</v>
          </cell>
        </row>
        <row r="9">
          <cell r="A9" t="str">
            <v>63111-CAPEN.1.2</v>
          </cell>
          <cell r="B9" t="str">
            <v>QUINDIO</v>
          </cell>
          <cell r="C9">
            <v>63111</v>
          </cell>
          <cell r="D9" t="str">
            <v>BUENAVISTA - QUINDIO</v>
          </cell>
          <cell r="E9" t="str">
            <v>CAPEN.1.2</v>
          </cell>
          <cell r="F9" t="str">
            <v>1.2 Vigencias futuras</v>
          </cell>
          <cell r="G9">
            <v>143.92500000000001</v>
          </cell>
        </row>
        <row r="10">
          <cell r="A10" t="str">
            <v>63111-CAPEN.2</v>
          </cell>
          <cell r="B10" t="str">
            <v>QUINDIO</v>
          </cell>
          <cell r="C10">
            <v>63111</v>
          </cell>
          <cell r="D10" t="str">
            <v>BUENAVISTA - QUINDIO</v>
          </cell>
          <cell r="E10" t="str">
            <v>CAPEN.2</v>
          </cell>
          <cell r="F10" t="str">
            <v>2. Gastos de funcionamiento</v>
          </cell>
          <cell r="G10">
            <v>1482.2881520000001</v>
          </cell>
        </row>
        <row r="11">
          <cell r="A11" t="str">
            <v>63130-CAPEN.1.1</v>
          </cell>
          <cell r="B11" t="str">
            <v>QUINDIO</v>
          </cell>
          <cell r="C11">
            <v>63130</v>
          </cell>
          <cell r="D11" t="str">
            <v>CALARCÁ</v>
          </cell>
          <cell r="E11" t="str">
            <v>CAPEN.1.1</v>
          </cell>
          <cell r="F11" t="str">
            <v>1.1 Ingresos corrientes (sin descontar vigencias futuras)</v>
          </cell>
          <cell r="G11">
            <v>27388.287585945</v>
          </cell>
        </row>
        <row r="12">
          <cell r="A12" t="str">
            <v>63130-CAPEN.2</v>
          </cell>
          <cell r="B12" t="str">
            <v>QUINDIO</v>
          </cell>
          <cell r="C12">
            <v>63130</v>
          </cell>
          <cell r="D12" t="str">
            <v>CALARCÁ</v>
          </cell>
          <cell r="E12" t="str">
            <v>CAPEN.2</v>
          </cell>
          <cell r="F12" t="str">
            <v>2. Gastos de funcionamiento</v>
          </cell>
          <cell r="G12">
            <v>12206.592328000001</v>
          </cell>
        </row>
        <row r="13">
          <cell r="A13" t="str">
            <v>63130-CAPEN.4.1.1</v>
          </cell>
          <cell r="B13" t="str">
            <v>QUINDIO</v>
          </cell>
          <cell r="C13">
            <v>63130</v>
          </cell>
          <cell r="D13" t="str">
            <v>CALARCÁ</v>
          </cell>
          <cell r="E13" t="str">
            <v>CAPEN.4.1.1</v>
          </cell>
          <cell r="F13" t="str">
            <v>4.1.1 Saldo de la deuda</v>
          </cell>
          <cell r="G13">
            <v>7566.6249630000002</v>
          </cell>
        </row>
        <row r="14">
          <cell r="A14" t="str">
            <v>63130-CAPEN.4.2.1</v>
          </cell>
          <cell r="B14" t="str">
            <v>QUINDIO</v>
          </cell>
          <cell r="C14">
            <v>63130</v>
          </cell>
          <cell r="D14" t="str">
            <v>CALARCÁ</v>
          </cell>
          <cell r="E14" t="str">
            <v>CAPEN.4.2.1</v>
          </cell>
          <cell r="F14" t="str">
            <v>4.2.1 Amortizaciones de la deuda</v>
          </cell>
          <cell r="G14">
            <v>1151.0208239999999</v>
          </cell>
        </row>
        <row r="15">
          <cell r="A15" t="str">
            <v>63130-CAPEN.5.1</v>
          </cell>
          <cell r="B15" t="str">
            <v>QUINDIO</v>
          </cell>
          <cell r="C15">
            <v>63130</v>
          </cell>
          <cell r="D15" t="str">
            <v>CALARCÁ</v>
          </cell>
          <cell r="E15" t="str">
            <v>CAPEN.5.1</v>
          </cell>
          <cell r="F15" t="str">
            <v>5.1 Intereses de la deuda</v>
          </cell>
          <cell r="G15">
            <v>787.81873099999996</v>
          </cell>
        </row>
        <row r="16">
          <cell r="A16" t="str">
            <v>63190-CAPEN.1.1</v>
          </cell>
          <cell r="B16" t="str">
            <v>QUINDIO</v>
          </cell>
          <cell r="C16">
            <v>63190</v>
          </cell>
          <cell r="D16" t="str">
            <v>CIRCASIA</v>
          </cell>
          <cell r="E16" t="str">
            <v>CAPEN.1.1</v>
          </cell>
          <cell r="F16" t="str">
            <v>1.1 Ingresos corrientes (sin descontar vigencias futuras)</v>
          </cell>
          <cell r="G16">
            <v>11065.653081652001</v>
          </cell>
        </row>
        <row r="17">
          <cell r="A17" t="str">
            <v>63190-CAPEN.2</v>
          </cell>
          <cell r="B17" t="str">
            <v>QUINDIO</v>
          </cell>
          <cell r="C17">
            <v>63190</v>
          </cell>
          <cell r="D17" t="str">
            <v>CIRCASIA</v>
          </cell>
          <cell r="E17" t="str">
            <v>CAPEN.2</v>
          </cell>
          <cell r="F17" t="str">
            <v>2. Gastos de funcionamiento</v>
          </cell>
          <cell r="G17">
            <v>3596.9350810000001</v>
          </cell>
        </row>
        <row r="18">
          <cell r="A18" t="str">
            <v>63212-CAPEN.1.1</v>
          </cell>
          <cell r="B18" t="str">
            <v>QUINDIO</v>
          </cell>
          <cell r="C18">
            <v>63212</v>
          </cell>
          <cell r="D18" t="str">
            <v>CÓRDOBA - QUINDIO</v>
          </cell>
          <cell r="E18" t="str">
            <v>CAPEN.1.1</v>
          </cell>
          <cell r="F18" t="str">
            <v>1.1 Ingresos corrientes (sin descontar vigencias futuras)</v>
          </cell>
          <cell r="G18">
            <v>3303.5525254794998</v>
          </cell>
        </row>
        <row r="19">
          <cell r="A19" t="str">
            <v>63212-CAPEN.2</v>
          </cell>
          <cell r="B19" t="str">
            <v>QUINDIO</v>
          </cell>
          <cell r="C19">
            <v>63212</v>
          </cell>
          <cell r="D19" t="str">
            <v>CÓRDOBA - QUINDIO</v>
          </cell>
          <cell r="E19" t="str">
            <v>CAPEN.2</v>
          </cell>
          <cell r="F19" t="str">
            <v>2. Gastos de funcionamiento</v>
          </cell>
          <cell r="G19">
            <v>1243.5615089999999</v>
          </cell>
        </row>
        <row r="20">
          <cell r="A20" t="str">
            <v>63212-CAPEN.4.1.1</v>
          </cell>
          <cell r="B20" t="str">
            <v>QUINDIO</v>
          </cell>
          <cell r="C20">
            <v>63212</v>
          </cell>
          <cell r="D20" t="str">
            <v>CÓRDOBA - QUINDIO</v>
          </cell>
          <cell r="E20" t="str">
            <v>CAPEN.4.1.1</v>
          </cell>
          <cell r="F20" t="str">
            <v>4.1.1 Saldo de la deuda</v>
          </cell>
          <cell r="G20">
            <v>37.5</v>
          </cell>
        </row>
        <row r="21">
          <cell r="A21" t="str">
            <v>63212-CAPEN.4.2.1</v>
          </cell>
          <cell r="B21" t="str">
            <v>QUINDIO</v>
          </cell>
          <cell r="C21">
            <v>63212</v>
          </cell>
          <cell r="D21" t="str">
            <v>CÓRDOBA - QUINDIO</v>
          </cell>
          <cell r="E21" t="str">
            <v>CAPEN.4.2.1</v>
          </cell>
          <cell r="F21" t="str">
            <v>4.2.1 Amortizaciones de la deuda</v>
          </cell>
          <cell r="G21">
            <v>30</v>
          </cell>
        </row>
        <row r="22">
          <cell r="A22" t="str">
            <v>63000-CAPEN.1.1</v>
          </cell>
          <cell r="B22" t="str">
            <v>QUINDIO</v>
          </cell>
          <cell r="C22">
            <v>63000</v>
          </cell>
          <cell r="D22" t="str">
            <v>DEPARTAMENTO DEL QUINDIO</v>
          </cell>
          <cell r="E22" t="str">
            <v>CAPEN.1.1</v>
          </cell>
          <cell r="F22" t="str">
            <v>1.1 Ingresos corrientes (sin descontar vigencias futuras)</v>
          </cell>
          <cell r="G22">
            <v>169022.96605736</v>
          </cell>
        </row>
        <row r="23">
          <cell r="A23" t="str">
            <v>63000-CAPEN.2</v>
          </cell>
          <cell r="B23" t="str">
            <v>QUINDIO</v>
          </cell>
          <cell r="C23">
            <v>63000</v>
          </cell>
          <cell r="D23" t="str">
            <v>DEPARTAMENTO DEL QUINDIO</v>
          </cell>
          <cell r="E23" t="str">
            <v>CAPEN.2</v>
          </cell>
          <cell r="F23" t="str">
            <v>2. Gastos de funcionamiento</v>
          </cell>
          <cell r="G23">
            <v>59025.309255</v>
          </cell>
        </row>
        <row r="24">
          <cell r="A24" t="str">
            <v>63000-CAPEN.4.1.1</v>
          </cell>
          <cell r="B24" t="str">
            <v>QUINDIO</v>
          </cell>
          <cell r="C24">
            <v>63000</v>
          </cell>
          <cell r="D24" t="str">
            <v>DEPARTAMENTO DEL QUINDIO</v>
          </cell>
          <cell r="E24" t="str">
            <v>CAPEN.4.1.1</v>
          </cell>
          <cell r="F24" t="str">
            <v>4.1.1 Saldo de la deuda</v>
          </cell>
          <cell r="G24">
            <v>35169.156000000003</v>
          </cell>
        </row>
        <row r="25">
          <cell r="A25" t="str">
            <v>63000-CAPEN.4.2.1</v>
          </cell>
          <cell r="B25" t="str">
            <v>QUINDIO</v>
          </cell>
          <cell r="C25">
            <v>63000</v>
          </cell>
          <cell r="D25" t="str">
            <v>DEPARTAMENTO DEL QUINDIO</v>
          </cell>
          <cell r="E25" t="str">
            <v>CAPEN.4.2.1</v>
          </cell>
          <cell r="F25" t="str">
            <v>4.2.1 Amortizaciones de la deuda</v>
          </cell>
          <cell r="G25">
            <v>8219.3539999999994</v>
          </cell>
        </row>
        <row r="26">
          <cell r="A26" t="str">
            <v>63000-CAPEN.5.1</v>
          </cell>
          <cell r="B26" t="str">
            <v>QUINDIO</v>
          </cell>
          <cell r="C26">
            <v>63000</v>
          </cell>
          <cell r="D26" t="str">
            <v>DEPARTAMENTO DEL QUINDIO</v>
          </cell>
          <cell r="E26" t="str">
            <v>CAPEN.5.1</v>
          </cell>
          <cell r="F26" t="str">
            <v>5.1 Intereses de la deuda</v>
          </cell>
          <cell r="G26">
            <v>2917.7489999999998</v>
          </cell>
        </row>
        <row r="27">
          <cell r="A27" t="str">
            <v>63272-CAPEN.1.1</v>
          </cell>
          <cell r="B27" t="str">
            <v>QUINDIO</v>
          </cell>
          <cell r="C27">
            <v>63272</v>
          </cell>
          <cell r="D27" t="str">
            <v>FILANDIA</v>
          </cell>
          <cell r="E27" t="str">
            <v>CAPEN.1.1</v>
          </cell>
          <cell r="F27" t="str">
            <v>1.1 Ingresos corrientes (sin descontar vigencias futuras)</v>
          </cell>
          <cell r="G27">
            <v>7349.427302223</v>
          </cell>
        </row>
        <row r="28">
          <cell r="A28" t="str">
            <v>63272-CAPEN.1.2</v>
          </cell>
          <cell r="B28" t="str">
            <v>QUINDIO</v>
          </cell>
          <cell r="C28">
            <v>63272</v>
          </cell>
          <cell r="D28" t="str">
            <v>FILANDIA</v>
          </cell>
          <cell r="E28" t="str">
            <v>CAPEN.1.2</v>
          </cell>
          <cell r="F28" t="str">
            <v>1.2 Vigencias futuras</v>
          </cell>
          <cell r="G28">
            <v>500.31463200000002</v>
          </cell>
        </row>
        <row r="29">
          <cell r="A29" t="str">
            <v>63272-CAPEN.2</v>
          </cell>
          <cell r="B29" t="str">
            <v>QUINDIO</v>
          </cell>
          <cell r="C29">
            <v>63272</v>
          </cell>
          <cell r="D29" t="str">
            <v>FILANDIA</v>
          </cell>
          <cell r="E29" t="str">
            <v>CAPEN.2</v>
          </cell>
          <cell r="F29" t="str">
            <v>2. Gastos de funcionamiento</v>
          </cell>
          <cell r="G29">
            <v>3169.4246130000001</v>
          </cell>
        </row>
        <row r="30">
          <cell r="A30" t="str">
            <v>63302-CAPEN.1.1</v>
          </cell>
          <cell r="B30" t="str">
            <v>QUINDIO</v>
          </cell>
          <cell r="C30">
            <v>63302</v>
          </cell>
          <cell r="D30" t="str">
            <v>GÉNOVA</v>
          </cell>
          <cell r="E30" t="str">
            <v>CAPEN.1.1</v>
          </cell>
          <cell r="F30" t="str">
            <v>1.1 Ingresos corrientes (sin descontar vigencias futuras)</v>
          </cell>
          <cell r="G30">
            <v>4150.3313289170001</v>
          </cell>
        </row>
        <row r="31">
          <cell r="A31" t="str">
            <v>63302-CAPEN.1.2</v>
          </cell>
          <cell r="B31" t="str">
            <v>QUINDIO</v>
          </cell>
          <cell r="C31">
            <v>63302</v>
          </cell>
          <cell r="D31" t="str">
            <v>GÉNOVA</v>
          </cell>
          <cell r="E31" t="str">
            <v>CAPEN.1.2</v>
          </cell>
          <cell r="F31" t="str">
            <v>1.2 Vigencias futuras</v>
          </cell>
          <cell r="G31">
            <v>280.91042299999998</v>
          </cell>
        </row>
        <row r="32">
          <cell r="A32" t="str">
            <v>63302-CAPEN.2</v>
          </cell>
          <cell r="B32" t="str">
            <v>QUINDIO</v>
          </cell>
          <cell r="C32">
            <v>63302</v>
          </cell>
          <cell r="D32" t="str">
            <v>GÉNOVA</v>
          </cell>
          <cell r="E32" t="str">
            <v>CAPEN.2</v>
          </cell>
          <cell r="F32" t="str">
            <v>2. Gastos de funcionamiento</v>
          </cell>
          <cell r="G32">
            <v>2357.1011939999999</v>
          </cell>
        </row>
        <row r="33">
          <cell r="A33" t="str">
            <v>63302-CAPEN.4.1.1</v>
          </cell>
          <cell r="B33" t="str">
            <v>QUINDIO</v>
          </cell>
          <cell r="C33">
            <v>63302</v>
          </cell>
          <cell r="D33" t="str">
            <v>GÉNOVA</v>
          </cell>
          <cell r="E33" t="str">
            <v>CAPEN.4.1.1</v>
          </cell>
          <cell r="F33" t="str">
            <v>4.1.1 Saldo de la deuda</v>
          </cell>
          <cell r="G33">
            <v>1025.8794680000001</v>
          </cell>
        </row>
        <row r="34">
          <cell r="A34" t="str">
            <v>63302-CAPEN.4.2.1</v>
          </cell>
          <cell r="B34" t="str">
            <v>QUINDIO</v>
          </cell>
          <cell r="C34">
            <v>63302</v>
          </cell>
          <cell r="D34" t="str">
            <v>GÉNOVA</v>
          </cell>
          <cell r="E34" t="str">
            <v>CAPEN.4.2.1</v>
          </cell>
          <cell r="F34" t="str">
            <v>4.2.1 Amortizaciones de la deuda</v>
          </cell>
          <cell r="G34">
            <v>176.85887700000001</v>
          </cell>
        </row>
        <row r="35">
          <cell r="A35" t="str">
            <v>63302-CAPEN.5.1</v>
          </cell>
          <cell r="B35" t="str">
            <v>QUINDIO</v>
          </cell>
          <cell r="C35">
            <v>63302</v>
          </cell>
          <cell r="D35" t="str">
            <v>GÉNOVA</v>
          </cell>
          <cell r="E35" t="str">
            <v>CAPEN.5.1</v>
          </cell>
          <cell r="F35" t="str">
            <v>5.1 Intereses de la deuda</v>
          </cell>
          <cell r="G35">
            <v>94.001519999999999</v>
          </cell>
        </row>
        <row r="36">
          <cell r="A36" t="str">
            <v>63401-CAPEN.1.1</v>
          </cell>
          <cell r="B36" t="str">
            <v>QUINDIO</v>
          </cell>
          <cell r="C36">
            <v>63401</v>
          </cell>
          <cell r="D36" t="str">
            <v>LA TEBAIDA</v>
          </cell>
          <cell r="E36" t="str">
            <v>CAPEN.1.1</v>
          </cell>
          <cell r="F36" t="str">
            <v>1.1 Ingresos corrientes (sin descontar vigencias futuras)</v>
          </cell>
          <cell r="G36">
            <v>15621.064702904501</v>
          </cell>
        </row>
        <row r="37">
          <cell r="A37" t="str">
            <v>63401-CAPEN.2</v>
          </cell>
          <cell r="B37" t="str">
            <v>QUINDIO</v>
          </cell>
          <cell r="C37">
            <v>63401</v>
          </cell>
          <cell r="D37" t="str">
            <v>LA TEBAIDA</v>
          </cell>
          <cell r="E37" t="str">
            <v>CAPEN.2</v>
          </cell>
          <cell r="F37" t="str">
            <v>2. Gastos de funcionamiento</v>
          </cell>
          <cell r="G37">
            <v>6714.4487589999999</v>
          </cell>
        </row>
        <row r="38">
          <cell r="A38" t="str">
            <v>63401-CAPEN.4.1.1</v>
          </cell>
          <cell r="B38" t="str">
            <v>QUINDIO</v>
          </cell>
          <cell r="C38">
            <v>63401</v>
          </cell>
          <cell r="D38" t="str">
            <v>LA TEBAIDA</v>
          </cell>
          <cell r="E38" t="str">
            <v>CAPEN.4.1.1</v>
          </cell>
          <cell r="F38" t="str">
            <v>4.1.1 Saldo de la deuda</v>
          </cell>
          <cell r="G38">
            <v>3538.422028</v>
          </cell>
        </row>
        <row r="39">
          <cell r="A39" t="str">
            <v>63401-CAPEN.4.2.1</v>
          </cell>
          <cell r="B39" t="str">
            <v>QUINDIO</v>
          </cell>
          <cell r="C39">
            <v>63401</v>
          </cell>
          <cell r="D39" t="str">
            <v>LA TEBAIDA</v>
          </cell>
          <cell r="E39" t="str">
            <v>CAPEN.4.2.1</v>
          </cell>
          <cell r="F39" t="str">
            <v>4.2.1 Amortizaciones de la deuda</v>
          </cell>
          <cell r="G39">
            <v>599.94273999999996</v>
          </cell>
        </row>
        <row r="40">
          <cell r="A40" t="str">
            <v>63401-CAPEN.5.1</v>
          </cell>
          <cell r="B40" t="str">
            <v>QUINDIO</v>
          </cell>
          <cell r="C40">
            <v>63401</v>
          </cell>
          <cell r="D40" t="str">
            <v>LA TEBAIDA</v>
          </cell>
          <cell r="E40" t="str">
            <v>CAPEN.5.1</v>
          </cell>
          <cell r="F40" t="str">
            <v>5.1 Intereses de la deuda</v>
          </cell>
          <cell r="G40">
            <v>233.63676899999999</v>
          </cell>
        </row>
        <row r="41">
          <cell r="A41" t="str">
            <v>63470-CAPEN.1.1</v>
          </cell>
          <cell r="B41" t="str">
            <v>QUINDIO</v>
          </cell>
          <cell r="C41">
            <v>63470</v>
          </cell>
          <cell r="D41" t="str">
            <v>MONTENEGRO</v>
          </cell>
          <cell r="E41" t="str">
            <v>CAPEN.1.1</v>
          </cell>
          <cell r="F41" t="str">
            <v>1.1 Ingresos corrientes (sin descontar vigencias futuras)</v>
          </cell>
          <cell r="G41">
            <v>17085.584079374501</v>
          </cell>
        </row>
        <row r="42">
          <cell r="A42" t="str">
            <v>63470-CAPEN.1.2</v>
          </cell>
          <cell r="B42" t="str">
            <v>QUINDIO</v>
          </cell>
          <cell r="C42">
            <v>63470</v>
          </cell>
          <cell r="D42" t="str">
            <v>MONTENEGRO</v>
          </cell>
          <cell r="E42" t="str">
            <v>CAPEN.1.2</v>
          </cell>
          <cell r="F42" t="str">
            <v>1.2 Vigencias futuras</v>
          </cell>
          <cell r="G42">
            <v>635.52835700000003</v>
          </cell>
        </row>
        <row r="43">
          <cell r="A43" t="str">
            <v>63470-CAPEN.2</v>
          </cell>
          <cell r="B43" t="str">
            <v>QUINDIO</v>
          </cell>
          <cell r="C43">
            <v>63470</v>
          </cell>
          <cell r="D43" t="str">
            <v>MONTENEGRO</v>
          </cell>
          <cell r="E43" t="str">
            <v>CAPEN.2</v>
          </cell>
          <cell r="F43" t="str">
            <v>2. Gastos de funcionamiento</v>
          </cell>
          <cell r="G43">
            <v>6079.466187</v>
          </cell>
        </row>
        <row r="44">
          <cell r="A44" t="str">
            <v>63470-CAPEN.4.1.1</v>
          </cell>
          <cell r="B44" t="str">
            <v>QUINDIO</v>
          </cell>
          <cell r="C44">
            <v>63470</v>
          </cell>
          <cell r="D44" t="str">
            <v>MONTENEGRO</v>
          </cell>
          <cell r="E44" t="str">
            <v>CAPEN.4.1.1</v>
          </cell>
          <cell r="F44" t="str">
            <v>4.1.1 Saldo de la deuda</v>
          </cell>
          <cell r="G44">
            <v>1818.911875</v>
          </cell>
        </row>
        <row r="45">
          <cell r="A45" t="str">
            <v>63470-CAPEN.4.2.1</v>
          </cell>
          <cell r="B45" t="str">
            <v>QUINDIO</v>
          </cell>
          <cell r="C45">
            <v>63470</v>
          </cell>
          <cell r="D45" t="str">
            <v>MONTENEGRO</v>
          </cell>
          <cell r="E45" t="str">
            <v>CAPEN.4.2.1</v>
          </cell>
          <cell r="F45" t="str">
            <v>4.2.1 Amortizaciones de la deuda</v>
          </cell>
          <cell r="G45">
            <v>1049.9195769999999</v>
          </cell>
        </row>
        <row r="46">
          <cell r="A46" t="str">
            <v>63470-CAPEN.5.1</v>
          </cell>
          <cell r="B46" t="str">
            <v>QUINDIO</v>
          </cell>
          <cell r="C46">
            <v>63470</v>
          </cell>
          <cell r="D46" t="str">
            <v>MONTENEGRO</v>
          </cell>
          <cell r="E46" t="str">
            <v>CAPEN.5.1</v>
          </cell>
          <cell r="F46" t="str">
            <v>5.1 Intereses de la deuda</v>
          </cell>
          <cell r="G46">
            <v>340.99463200000002</v>
          </cell>
        </row>
        <row r="47">
          <cell r="A47" t="str">
            <v>63548-CAPEN.1.1</v>
          </cell>
          <cell r="B47" t="str">
            <v>QUINDIO</v>
          </cell>
          <cell r="C47">
            <v>63548</v>
          </cell>
          <cell r="D47" t="str">
            <v>PIJAO</v>
          </cell>
          <cell r="E47" t="str">
            <v>CAPEN.1.1</v>
          </cell>
          <cell r="F47" t="str">
            <v>1.1 Ingresos corrientes (sin descontar vigencias futuras)</v>
          </cell>
          <cell r="G47">
            <v>3006.1342737434998</v>
          </cell>
        </row>
        <row r="48">
          <cell r="A48" t="str">
            <v>63548-CAPEN.2</v>
          </cell>
          <cell r="B48" t="str">
            <v>QUINDIO</v>
          </cell>
          <cell r="C48">
            <v>63548</v>
          </cell>
          <cell r="D48" t="str">
            <v>PIJAO</v>
          </cell>
          <cell r="E48" t="str">
            <v>CAPEN.2</v>
          </cell>
          <cell r="F48" t="str">
            <v>2. Gastos de funcionamiento</v>
          </cell>
          <cell r="G48">
            <v>1479.4918419999999</v>
          </cell>
        </row>
        <row r="49">
          <cell r="A49" t="str">
            <v>63548-CAPEN.4.1.1</v>
          </cell>
          <cell r="B49" t="str">
            <v>QUINDIO</v>
          </cell>
          <cell r="C49">
            <v>63548</v>
          </cell>
          <cell r="D49" t="str">
            <v>PIJAO</v>
          </cell>
          <cell r="E49" t="str">
            <v>CAPEN.4.1.1</v>
          </cell>
          <cell r="F49" t="str">
            <v>4.1.1 Saldo de la deuda</v>
          </cell>
          <cell r="G49">
            <v>950</v>
          </cell>
        </row>
        <row r="50">
          <cell r="A50" t="str">
            <v>63548-CAPEN.4.2.1</v>
          </cell>
          <cell r="B50" t="str">
            <v>QUINDIO</v>
          </cell>
          <cell r="C50">
            <v>63548</v>
          </cell>
          <cell r="D50" t="str">
            <v>PIJAO</v>
          </cell>
          <cell r="E50" t="str">
            <v>CAPEN.4.2.1</v>
          </cell>
          <cell r="F50" t="str">
            <v>4.2.1 Amortizaciones de la deuda</v>
          </cell>
          <cell r="G50">
            <v>153.10595000000001</v>
          </cell>
        </row>
        <row r="51">
          <cell r="A51" t="str">
            <v>63548-CAPEN.5.1</v>
          </cell>
          <cell r="B51" t="str">
            <v>QUINDIO</v>
          </cell>
          <cell r="C51">
            <v>63548</v>
          </cell>
          <cell r="D51" t="str">
            <v>PIJAO</v>
          </cell>
          <cell r="E51" t="str">
            <v>CAPEN.5.1</v>
          </cell>
          <cell r="F51" t="str">
            <v>5.1 Intereses de la deuda</v>
          </cell>
          <cell r="G51">
            <v>77.586703999999997</v>
          </cell>
        </row>
        <row r="52">
          <cell r="A52" t="str">
            <v>63594-CAPEN.1.1</v>
          </cell>
          <cell r="B52" t="str">
            <v>QUINDIO</v>
          </cell>
          <cell r="C52">
            <v>63594</v>
          </cell>
          <cell r="D52" t="str">
            <v>QUIMBAYA</v>
          </cell>
          <cell r="E52" t="str">
            <v>CAPEN.1.1</v>
          </cell>
          <cell r="F52" t="str">
            <v>1.1 Ingresos corrientes (sin descontar vigencias futuras)</v>
          </cell>
          <cell r="G52">
            <v>13920.112871055999</v>
          </cell>
        </row>
        <row r="53">
          <cell r="A53" t="str">
            <v>63594-CAPEN.1.2</v>
          </cell>
          <cell r="B53" t="str">
            <v>QUINDIO</v>
          </cell>
          <cell r="C53">
            <v>63594</v>
          </cell>
          <cell r="D53" t="str">
            <v>QUIMBAYA</v>
          </cell>
          <cell r="E53" t="str">
            <v>CAPEN.1.2</v>
          </cell>
          <cell r="F53" t="str">
            <v>1.2 Vigencias futuras</v>
          </cell>
          <cell r="G53">
            <v>950</v>
          </cell>
        </row>
        <row r="54">
          <cell r="A54" t="str">
            <v>63594-CAPEN.2</v>
          </cell>
          <cell r="B54" t="str">
            <v>QUINDIO</v>
          </cell>
          <cell r="C54">
            <v>63594</v>
          </cell>
          <cell r="D54" t="str">
            <v>QUIMBAYA</v>
          </cell>
          <cell r="E54" t="str">
            <v>CAPEN.2</v>
          </cell>
          <cell r="F54" t="str">
            <v>2. Gastos de funcionamiento</v>
          </cell>
          <cell r="G54">
            <v>6313.8796759999996</v>
          </cell>
        </row>
        <row r="55">
          <cell r="A55" t="str">
            <v>63594-CAPEN.4.1.1</v>
          </cell>
          <cell r="B55" t="str">
            <v>QUINDIO</v>
          </cell>
          <cell r="C55">
            <v>63594</v>
          </cell>
          <cell r="D55" t="str">
            <v>QUIMBAYA</v>
          </cell>
          <cell r="E55" t="str">
            <v>CAPEN.4.1.1</v>
          </cell>
          <cell r="F55" t="str">
            <v>4.1.1 Saldo de la deuda</v>
          </cell>
          <cell r="G55">
            <v>4247.5000019999998</v>
          </cell>
        </row>
        <row r="56">
          <cell r="A56" t="str">
            <v>63594-CAPEN.4.2.1</v>
          </cell>
          <cell r="B56" t="str">
            <v>QUINDIO</v>
          </cell>
          <cell r="C56">
            <v>63594</v>
          </cell>
          <cell r="D56" t="str">
            <v>QUIMBAYA</v>
          </cell>
          <cell r="E56" t="str">
            <v>CAPEN.4.2.1</v>
          </cell>
          <cell r="F56" t="str">
            <v>4.2.1 Amortizaciones de la deuda</v>
          </cell>
          <cell r="G56">
            <v>743.33333200000004</v>
          </cell>
        </row>
        <row r="57">
          <cell r="A57" t="str">
            <v>63594-CAPEN.5.1</v>
          </cell>
          <cell r="B57" t="str">
            <v>QUINDIO</v>
          </cell>
          <cell r="C57">
            <v>63594</v>
          </cell>
          <cell r="D57" t="str">
            <v>QUIMBAYA</v>
          </cell>
          <cell r="E57" t="str">
            <v>CAPEN.5.1</v>
          </cell>
          <cell r="F57" t="str">
            <v>5.1 Intereses de la deuda</v>
          </cell>
          <cell r="G57">
            <v>411.34578699999997</v>
          </cell>
        </row>
        <row r="58">
          <cell r="A58" t="str">
            <v>63690-CAPEN.1.1</v>
          </cell>
          <cell r="B58" t="str">
            <v>QUINDIO</v>
          </cell>
          <cell r="C58">
            <v>63690</v>
          </cell>
          <cell r="D58" t="str">
            <v>SALENTO</v>
          </cell>
          <cell r="E58" t="str">
            <v>CAPEN.1.1</v>
          </cell>
          <cell r="F58" t="str">
            <v>1.1 Ingresos corrientes (sin descontar vigencias futuras)</v>
          </cell>
          <cell r="G58">
            <v>7141.3310802264996</v>
          </cell>
        </row>
        <row r="59">
          <cell r="A59" t="str">
            <v>63690-CAPEN.2</v>
          </cell>
          <cell r="B59" t="str">
            <v>QUINDIO</v>
          </cell>
          <cell r="C59">
            <v>63690</v>
          </cell>
          <cell r="D59" t="str">
            <v>SALENTO</v>
          </cell>
          <cell r="E59" t="str">
            <v>CAPEN.2</v>
          </cell>
          <cell r="F59" t="str">
            <v>2. Gastos de funcionamiento</v>
          </cell>
          <cell r="G59">
            <v>2801.206623</v>
          </cell>
        </row>
        <row r="60">
          <cell r="A60" t="str">
            <v>63690-CAPEN.4.1.1</v>
          </cell>
          <cell r="B60" t="str">
            <v>QUINDIO</v>
          </cell>
          <cell r="C60">
            <v>63690</v>
          </cell>
          <cell r="D60" t="str">
            <v>SALENTO</v>
          </cell>
          <cell r="E60" t="str">
            <v>CAPEN.4.1.1</v>
          </cell>
          <cell r="F60" t="str">
            <v>4.1.1 Saldo de la deuda</v>
          </cell>
          <cell r="G60">
            <v>2590.2777999999998</v>
          </cell>
        </row>
        <row r="61">
          <cell r="A61" t="str">
            <v>63690-CAPEN.4.2.1</v>
          </cell>
          <cell r="B61" t="str">
            <v>QUINDIO</v>
          </cell>
          <cell r="C61">
            <v>63690</v>
          </cell>
          <cell r="D61" t="str">
            <v>SALENTO</v>
          </cell>
          <cell r="E61" t="str">
            <v>CAPEN.4.2.1</v>
          </cell>
          <cell r="F61" t="str">
            <v>4.2.1 Amortizaciones de la deuda</v>
          </cell>
          <cell r="G61">
            <v>105.55555</v>
          </cell>
        </row>
        <row r="62">
          <cell r="A62" t="str">
            <v>63690-CAPEN.5.1</v>
          </cell>
          <cell r="B62" t="str">
            <v>QUINDIO</v>
          </cell>
          <cell r="C62">
            <v>63690</v>
          </cell>
          <cell r="D62" t="str">
            <v>SALENTO</v>
          </cell>
          <cell r="E62" t="str">
            <v>CAPEN.5.1</v>
          </cell>
          <cell r="F62" t="str">
            <v>5.1 Intereses de la deuda</v>
          </cell>
          <cell r="G62">
            <v>776.37183900000002</v>
          </cell>
        </row>
      </sheetData>
      <sheetData sheetId="5">
        <row r="2">
          <cell r="B2">
            <v>5002</v>
          </cell>
          <cell r="C2" t="str">
            <v>ABEJORRAL</v>
          </cell>
          <cell r="D2">
            <v>351.71699999999998</v>
          </cell>
        </row>
        <row r="3">
          <cell r="B3">
            <v>5004</v>
          </cell>
          <cell r="C3" t="str">
            <v>ABRIAQUÍ</v>
          </cell>
          <cell r="D3">
            <v>1200.0229999999999</v>
          </cell>
        </row>
        <row r="4">
          <cell r="B4">
            <v>5021</v>
          </cell>
          <cell r="C4" t="str">
            <v>ALEJANDRÍA</v>
          </cell>
          <cell r="D4">
            <v>480.27699999999999</v>
          </cell>
        </row>
        <row r="5">
          <cell r="B5">
            <v>5030</v>
          </cell>
          <cell r="C5" t="str">
            <v>AMAGÁ</v>
          </cell>
          <cell r="D5">
            <v>5172.0910000000003</v>
          </cell>
        </row>
        <row r="6">
          <cell r="B6">
            <v>5031</v>
          </cell>
          <cell r="C6" t="str">
            <v>AMALFI</v>
          </cell>
          <cell r="D6">
            <v>4456.1760000000004</v>
          </cell>
        </row>
        <row r="7">
          <cell r="B7">
            <v>5036</v>
          </cell>
          <cell r="C7" t="str">
            <v>ANGELÓPOLIS</v>
          </cell>
          <cell r="D7">
            <v>565.35900000000004</v>
          </cell>
        </row>
        <row r="8">
          <cell r="B8">
            <v>5038</v>
          </cell>
          <cell r="C8" t="str">
            <v>ANGOSTURA</v>
          </cell>
          <cell r="D8">
            <v>200</v>
          </cell>
        </row>
        <row r="9">
          <cell r="B9">
            <v>5040</v>
          </cell>
          <cell r="C9" t="str">
            <v>ANORÍ</v>
          </cell>
          <cell r="D9">
            <v>651.35799999999995</v>
          </cell>
        </row>
        <row r="10">
          <cell r="B10">
            <v>5044</v>
          </cell>
          <cell r="C10" t="str">
            <v>ANZÁ</v>
          </cell>
          <cell r="D10">
            <v>403.09800000000001</v>
          </cell>
        </row>
        <row r="11">
          <cell r="B11">
            <v>5045</v>
          </cell>
          <cell r="C11" t="str">
            <v>APARTADÓ</v>
          </cell>
          <cell r="D11">
            <v>32305.573</v>
          </cell>
        </row>
        <row r="12">
          <cell r="B12">
            <v>5059</v>
          </cell>
          <cell r="C12" t="str">
            <v>ARMENIA - ANTIOQUIA</v>
          </cell>
          <cell r="D12">
            <v>136.11799999999999</v>
          </cell>
        </row>
        <row r="13">
          <cell r="B13">
            <v>5079</v>
          </cell>
          <cell r="C13" t="str">
            <v>BARBOSA - ANTIOQUIA</v>
          </cell>
          <cell r="D13">
            <v>12227.43</v>
          </cell>
        </row>
        <row r="14">
          <cell r="B14">
            <v>5088</v>
          </cell>
          <cell r="C14" t="str">
            <v>BELLO</v>
          </cell>
          <cell r="D14">
            <v>76149.426000000007</v>
          </cell>
        </row>
        <row r="15">
          <cell r="B15">
            <v>5086</v>
          </cell>
          <cell r="C15" t="str">
            <v>BELMIRA</v>
          </cell>
          <cell r="D15">
            <v>904.53899999999999</v>
          </cell>
        </row>
        <row r="16">
          <cell r="B16">
            <v>5091</v>
          </cell>
          <cell r="C16" t="str">
            <v>BETANIA</v>
          </cell>
          <cell r="D16">
            <v>1852.9</v>
          </cell>
        </row>
        <row r="17">
          <cell r="B17">
            <v>5093</v>
          </cell>
          <cell r="C17" t="str">
            <v>BETULIA - ANTIOQUIA</v>
          </cell>
          <cell r="D17">
            <v>692.654</v>
          </cell>
        </row>
        <row r="18">
          <cell r="B18">
            <v>5107</v>
          </cell>
          <cell r="C18" t="str">
            <v>BRICEÑO - ANTIOQUIA</v>
          </cell>
          <cell r="D18">
            <v>4340.3950000000004</v>
          </cell>
        </row>
        <row r="19">
          <cell r="B19">
            <v>5120</v>
          </cell>
          <cell r="C19" t="str">
            <v>CÁCERES</v>
          </cell>
          <cell r="D19">
            <v>2663.9630000000002</v>
          </cell>
        </row>
        <row r="20">
          <cell r="B20">
            <v>5125</v>
          </cell>
          <cell r="C20" t="str">
            <v>CAICEDO</v>
          </cell>
          <cell r="D20">
            <v>52.142000000000003</v>
          </cell>
        </row>
        <row r="21">
          <cell r="B21">
            <v>5129</v>
          </cell>
          <cell r="C21" t="str">
            <v>CALDAS - ANTIOQUIA</v>
          </cell>
          <cell r="D21">
            <v>13307.625</v>
          </cell>
        </row>
        <row r="22">
          <cell r="B22">
            <v>5134</v>
          </cell>
          <cell r="C22" t="str">
            <v>CAMPAMENTO</v>
          </cell>
          <cell r="D22">
            <v>1369.2149999999999</v>
          </cell>
        </row>
        <row r="23">
          <cell r="B23">
            <v>5138</v>
          </cell>
          <cell r="C23" t="str">
            <v>CAÑASGORDAS</v>
          </cell>
          <cell r="D23">
            <v>3428.663</v>
          </cell>
        </row>
        <row r="24">
          <cell r="B24">
            <v>5142</v>
          </cell>
          <cell r="C24" t="str">
            <v>CARACOLÍ</v>
          </cell>
          <cell r="D24">
            <v>841.76800000000003</v>
          </cell>
        </row>
        <row r="25">
          <cell r="B25">
            <v>5147</v>
          </cell>
          <cell r="C25" t="str">
            <v>CAREPA</v>
          </cell>
          <cell r="D25">
            <v>8637.982</v>
          </cell>
        </row>
        <row r="26">
          <cell r="B26">
            <v>5150</v>
          </cell>
          <cell r="C26" t="str">
            <v>CAROLINA DEL PRINCIPE</v>
          </cell>
          <cell r="D26">
            <v>707.06700000000001</v>
          </cell>
        </row>
        <row r="27">
          <cell r="B27">
            <v>5154</v>
          </cell>
          <cell r="C27" t="str">
            <v>CAUCASIA</v>
          </cell>
          <cell r="D27">
            <v>7396.3549999999996</v>
          </cell>
        </row>
        <row r="28">
          <cell r="B28">
            <v>5172</v>
          </cell>
          <cell r="C28" t="str">
            <v>CHIGORODÓ</v>
          </cell>
          <cell r="D28">
            <v>6753.3680000000004</v>
          </cell>
        </row>
        <row r="29">
          <cell r="B29">
            <v>5190</v>
          </cell>
          <cell r="C29" t="str">
            <v>CISNEROS</v>
          </cell>
          <cell r="D29">
            <v>1679.3219999999999</v>
          </cell>
        </row>
        <row r="30">
          <cell r="B30">
            <v>5101</v>
          </cell>
          <cell r="C30" t="str">
            <v>CIUDAD BOLIVAR</v>
          </cell>
          <cell r="D30">
            <v>3607.1170000000002</v>
          </cell>
        </row>
        <row r="31">
          <cell r="B31">
            <v>5197</v>
          </cell>
          <cell r="C31" t="str">
            <v>COCORNÁ</v>
          </cell>
          <cell r="D31">
            <v>107.902</v>
          </cell>
        </row>
        <row r="32">
          <cell r="B32">
            <v>5206</v>
          </cell>
          <cell r="C32" t="str">
            <v>CONCEPCIÓN - ANTIOQUIA</v>
          </cell>
          <cell r="D32">
            <v>257.779</v>
          </cell>
        </row>
        <row r="33">
          <cell r="B33">
            <v>5209</v>
          </cell>
          <cell r="C33" t="str">
            <v>CONCORDIA - ANTIOQUIA</v>
          </cell>
          <cell r="D33">
            <v>1.78</v>
          </cell>
        </row>
        <row r="34">
          <cell r="B34">
            <v>5212</v>
          </cell>
          <cell r="C34" t="str">
            <v>COPACABANA</v>
          </cell>
          <cell r="D34">
            <v>10839.81</v>
          </cell>
        </row>
        <row r="35">
          <cell r="B35">
            <v>5234</v>
          </cell>
          <cell r="C35" t="str">
            <v>DABEIBA</v>
          </cell>
          <cell r="D35">
            <v>3605.366</v>
          </cell>
        </row>
        <row r="36">
          <cell r="B36">
            <v>5000</v>
          </cell>
          <cell r="C36" t="str">
            <v>DEPARTAMENTO DE ANTIOQUIA</v>
          </cell>
          <cell r="D36">
            <v>1546996.2309999999</v>
          </cell>
        </row>
        <row r="37">
          <cell r="B37">
            <v>5237</v>
          </cell>
          <cell r="C37" t="str">
            <v>DON MATÍAS</v>
          </cell>
          <cell r="D37">
            <v>2756.4070000000002</v>
          </cell>
        </row>
        <row r="38">
          <cell r="B38">
            <v>5240</v>
          </cell>
          <cell r="C38" t="str">
            <v>EBÉJICO</v>
          </cell>
          <cell r="D38">
            <v>3278.6990000000001</v>
          </cell>
        </row>
        <row r="39">
          <cell r="B39">
            <v>5250</v>
          </cell>
          <cell r="C39" t="str">
            <v>EL BAGRE</v>
          </cell>
          <cell r="D39">
            <v>5778.674</v>
          </cell>
        </row>
        <row r="40">
          <cell r="B40">
            <v>5148</v>
          </cell>
          <cell r="C40" t="str">
            <v>EL CARMEN DE VIBORAL</v>
          </cell>
          <cell r="D40">
            <v>8007.3789999999999</v>
          </cell>
        </row>
        <row r="41">
          <cell r="B41">
            <v>5541</v>
          </cell>
          <cell r="C41" t="str">
            <v>EL PEÑOL - ANTIOQUIA</v>
          </cell>
          <cell r="D41">
            <v>2589.7350000000001</v>
          </cell>
        </row>
        <row r="42">
          <cell r="B42">
            <v>5607</v>
          </cell>
          <cell r="C42" t="str">
            <v>EL RETIRO</v>
          </cell>
          <cell r="D42">
            <v>6112.884</v>
          </cell>
        </row>
        <row r="43">
          <cell r="B43">
            <v>5264</v>
          </cell>
          <cell r="C43" t="str">
            <v>ENTRERRIOS</v>
          </cell>
          <cell r="D43">
            <v>4013.8380000000002</v>
          </cell>
        </row>
        <row r="44">
          <cell r="B44">
            <v>5266</v>
          </cell>
          <cell r="C44" t="str">
            <v>ENVIGADO</v>
          </cell>
          <cell r="D44">
            <v>65362.04</v>
          </cell>
        </row>
        <row r="45">
          <cell r="B45">
            <v>5282</v>
          </cell>
          <cell r="C45" t="str">
            <v>FREDONIA</v>
          </cell>
          <cell r="D45">
            <v>660.36699999999996</v>
          </cell>
        </row>
        <row r="46">
          <cell r="B46">
            <v>5284</v>
          </cell>
          <cell r="C46" t="str">
            <v>FRONTINO</v>
          </cell>
          <cell r="D46">
            <v>2154.136</v>
          </cell>
        </row>
        <row r="47">
          <cell r="B47">
            <v>5306</v>
          </cell>
          <cell r="C47" t="str">
            <v>GIRALDO</v>
          </cell>
          <cell r="D47">
            <v>162.77199999999999</v>
          </cell>
        </row>
        <row r="48">
          <cell r="B48">
            <v>5308</v>
          </cell>
          <cell r="C48" t="str">
            <v>GIRARDOTA</v>
          </cell>
          <cell r="D48">
            <v>15722.824000000001</v>
          </cell>
        </row>
        <row r="49">
          <cell r="B49">
            <v>5310</v>
          </cell>
          <cell r="C49" t="str">
            <v>GÓMEZ PLATA</v>
          </cell>
          <cell r="D49">
            <v>1754.9110000000001</v>
          </cell>
        </row>
        <row r="50">
          <cell r="B50">
            <v>5313</v>
          </cell>
          <cell r="C50" t="str">
            <v>GRANADA - ANTIOQUIA</v>
          </cell>
          <cell r="D50">
            <v>1034.018</v>
          </cell>
        </row>
        <row r="51">
          <cell r="B51">
            <v>5315</v>
          </cell>
          <cell r="C51" t="str">
            <v>GUADALUPE - ANTIOQUIA</v>
          </cell>
          <cell r="D51">
            <v>1232.3240000000001</v>
          </cell>
        </row>
        <row r="52">
          <cell r="B52">
            <v>5318</v>
          </cell>
          <cell r="C52" t="str">
            <v>GUARNE</v>
          </cell>
          <cell r="D52">
            <v>6672.0320000000002</v>
          </cell>
        </row>
        <row r="53">
          <cell r="B53">
            <v>5321</v>
          </cell>
          <cell r="C53" t="str">
            <v>GUATAPÉ</v>
          </cell>
          <cell r="D53">
            <v>1152.8800000000001</v>
          </cell>
        </row>
        <row r="54">
          <cell r="B54">
            <v>5347</v>
          </cell>
          <cell r="C54" t="str">
            <v>HELICONIA</v>
          </cell>
          <cell r="D54">
            <v>1529.894</v>
          </cell>
        </row>
        <row r="55">
          <cell r="B55">
            <v>5353</v>
          </cell>
          <cell r="C55" t="str">
            <v>HISPANIA</v>
          </cell>
          <cell r="D55">
            <v>198.11500000000001</v>
          </cell>
        </row>
        <row r="56">
          <cell r="B56">
            <v>5360</v>
          </cell>
          <cell r="C56" t="str">
            <v>ITAGÜÍ</v>
          </cell>
          <cell r="D56">
            <v>118432.266</v>
          </cell>
        </row>
        <row r="57">
          <cell r="B57">
            <v>5361</v>
          </cell>
          <cell r="C57" t="str">
            <v>ITUANGO</v>
          </cell>
          <cell r="D57">
            <v>2250.6280000000002</v>
          </cell>
        </row>
        <row r="58">
          <cell r="B58">
            <v>5364</v>
          </cell>
          <cell r="C58" t="str">
            <v>JARDÍN</v>
          </cell>
          <cell r="D58">
            <v>794.971</v>
          </cell>
        </row>
        <row r="59">
          <cell r="B59">
            <v>5368</v>
          </cell>
          <cell r="C59" t="str">
            <v>JERICÓ - ANTIOQUIA</v>
          </cell>
          <cell r="D59">
            <v>1289.423</v>
          </cell>
        </row>
        <row r="60">
          <cell r="B60">
            <v>5380</v>
          </cell>
          <cell r="C60" t="str">
            <v>LA ESTRELLA</v>
          </cell>
          <cell r="D60">
            <v>12819.235000000001</v>
          </cell>
        </row>
        <row r="61">
          <cell r="B61">
            <v>5390</v>
          </cell>
          <cell r="C61" t="str">
            <v>LA PINTADA</v>
          </cell>
          <cell r="D61">
            <v>3185.2890000000002</v>
          </cell>
        </row>
        <row r="62">
          <cell r="B62">
            <v>5400</v>
          </cell>
          <cell r="C62" t="str">
            <v>LA UNIÓN - ANTIOQUIA</v>
          </cell>
          <cell r="D62">
            <v>4155.8890000000001</v>
          </cell>
        </row>
        <row r="63">
          <cell r="B63">
            <v>5411</v>
          </cell>
          <cell r="C63" t="str">
            <v>LIBORINA</v>
          </cell>
          <cell r="D63">
            <v>127.133</v>
          </cell>
        </row>
        <row r="64">
          <cell r="B64">
            <v>5440</v>
          </cell>
          <cell r="C64" t="str">
            <v>MARINILLA</v>
          </cell>
          <cell r="D64">
            <v>10315.855</v>
          </cell>
        </row>
        <row r="65">
          <cell r="B65">
            <v>5001</v>
          </cell>
          <cell r="C65" t="str">
            <v>MEDELLÍN</v>
          </cell>
          <cell r="D65">
            <v>1838791.25</v>
          </cell>
        </row>
        <row r="66">
          <cell r="B66">
            <v>5467</v>
          </cell>
          <cell r="C66" t="str">
            <v>MONTEBELLO</v>
          </cell>
          <cell r="D66">
            <v>263.315</v>
          </cell>
        </row>
        <row r="67">
          <cell r="B67">
            <v>5475</v>
          </cell>
          <cell r="C67" t="str">
            <v>MURINDÓ</v>
          </cell>
          <cell r="D67">
            <v>16.402000000000001</v>
          </cell>
        </row>
        <row r="68">
          <cell r="B68">
            <v>5480</v>
          </cell>
          <cell r="C68" t="str">
            <v>MUTATÁ</v>
          </cell>
          <cell r="D68">
            <v>4605.9709999999995</v>
          </cell>
        </row>
        <row r="69">
          <cell r="B69">
            <v>5483</v>
          </cell>
          <cell r="C69" t="str">
            <v>NARIÑO - ANTIOQUIA</v>
          </cell>
          <cell r="D69">
            <v>762.75</v>
          </cell>
        </row>
        <row r="70">
          <cell r="B70">
            <v>5490</v>
          </cell>
          <cell r="C70" t="str">
            <v>NECOCLÍ</v>
          </cell>
          <cell r="D70">
            <v>8934.0190000000002</v>
          </cell>
        </row>
        <row r="71">
          <cell r="B71">
            <v>5543</v>
          </cell>
          <cell r="C71" t="str">
            <v>PEQUE</v>
          </cell>
          <cell r="D71">
            <v>941.63199999999995</v>
          </cell>
        </row>
        <row r="72">
          <cell r="B72">
            <v>5576</v>
          </cell>
          <cell r="C72" t="str">
            <v>PUEBLORRICO - ANTIOQUIA</v>
          </cell>
          <cell r="D72">
            <v>1603.7339999999999</v>
          </cell>
        </row>
        <row r="73">
          <cell r="B73">
            <v>5585</v>
          </cell>
          <cell r="C73" t="str">
            <v>PUERTO NARE (LA MAGDALENA)</v>
          </cell>
          <cell r="D73">
            <v>348.02699999999999</v>
          </cell>
        </row>
        <row r="74">
          <cell r="B74">
            <v>5591</v>
          </cell>
          <cell r="C74" t="str">
            <v>PUERTO TRIUNFO</v>
          </cell>
          <cell r="D74">
            <v>4352.2820000000002</v>
          </cell>
        </row>
        <row r="75">
          <cell r="B75">
            <v>5604</v>
          </cell>
          <cell r="C75" t="str">
            <v>REMEDIOS</v>
          </cell>
          <cell r="D75">
            <v>849.92700000000002</v>
          </cell>
        </row>
        <row r="76">
          <cell r="B76">
            <v>5615</v>
          </cell>
          <cell r="C76" t="str">
            <v>RIONEGRO - ANTIOQUIA</v>
          </cell>
          <cell r="D76">
            <v>184403.568</v>
          </cell>
        </row>
        <row r="77">
          <cell r="B77">
            <v>5628</v>
          </cell>
          <cell r="C77" t="str">
            <v>SABANALARGA - ANTIOQUIA</v>
          </cell>
          <cell r="D77">
            <v>1.1479999999999999</v>
          </cell>
        </row>
        <row r="78">
          <cell r="B78">
            <v>5631</v>
          </cell>
          <cell r="C78" t="str">
            <v>SABANETA</v>
          </cell>
          <cell r="D78">
            <v>19569.788</v>
          </cell>
        </row>
        <row r="79">
          <cell r="B79">
            <v>5642</v>
          </cell>
          <cell r="C79" t="str">
            <v>SALGAR</v>
          </cell>
          <cell r="D79">
            <v>1428.3510000000001</v>
          </cell>
        </row>
        <row r="80">
          <cell r="B80">
            <v>5647</v>
          </cell>
          <cell r="C80" t="str">
            <v>SAN ANDRÉS DE CUERQUIA</v>
          </cell>
          <cell r="D80">
            <v>903.30100000000004</v>
          </cell>
        </row>
        <row r="81">
          <cell r="B81">
            <v>5649</v>
          </cell>
          <cell r="C81" t="str">
            <v>SAN CARLOS - ANTIOQUIA</v>
          </cell>
          <cell r="D81">
            <v>1679.395</v>
          </cell>
        </row>
        <row r="82">
          <cell r="B82">
            <v>5652</v>
          </cell>
          <cell r="C82" t="str">
            <v>SAN FRANCISCO - ANTIOQUIA</v>
          </cell>
          <cell r="D82">
            <v>486.101</v>
          </cell>
        </row>
        <row r="83">
          <cell r="B83">
            <v>5656</v>
          </cell>
          <cell r="C83" t="str">
            <v>SAN JERÓNIMO</v>
          </cell>
          <cell r="D83">
            <v>3932.4789999999998</v>
          </cell>
        </row>
        <row r="84">
          <cell r="B84">
            <v>5658</v>
          </cell>
          <cell r="C84" t="str">
            <v>SAN JOSÉ DE LA MONTAÑA</v>
          </cell>
          <cell r="D84">
            <v>104.11199999999999</v>
          </cell>
        </row>
        <row r="85">
          <cell r="B85">
            <v>5659</v>
          </cell>
          <cell r="C85" t="str">
            <v>SAN JUAN DE URABÁ</v>
          </cell>
          <cell r="D85">
            <v>3422.8850000000002</v>
          </cell>
        </row>
        <row r="86">
          <cell r="B86">
            <v>5660</v>
          </cell>
          <cell r="C86" t="str">
            <v>SAN LUIS - ANTIOQUIA</v>
          </cell>
          <cell r="D86">
            <v>311.31599999999997</v>
          </cell>
        </row>
        <row r="87">
          <cell r="B87">
            <v>5664</v>
          </cell>
          <cell r="C87" t="str">
            <v>SAN PEDRO DE LOS MILAGROS</v>
          </cell>
          <cell r="D87">
            <v>8822.625</v>
          </cell>
        </row>
        <row r="88">
          <cell r="B88">
            <v>5665</v>
          </cell>
          <cell r="C88" t="str">
            <v>SAN PEDRO DE URABA</v>
          </cell>
          <cell r="D88">
            <v>5729.7240000000002</v>
          </cell>
        </row>
        <row r="89">
          <cell r="B89">
            <v>5667</v>
          </cell>
          <cell r="C89" t="str">
            <v>SAN RAFAEL</v>
          </cell>
          <cell r="D89">
            <v>3091.6480000000001</v>
          </cell>
        </row>
        <row r="90">
          <cell r="B90">
            <v>5670</v>
          </cell>
          <cell r="C90" t="str">
            <v>SAN ROQUE</v>
          </cell>
          <cell r="D90">
            <v>1461.588</v>
          </cell>
        </row>
        <row r="91">
          <cell r="B91">
            <v>5674</v>
          </cell>
          <cell r="C91" t="str">
            <v>SAN VICENTE</v>
          </cell>
          <cell r="D91">
            <v>3005.355</v>
          </cell>
        </row>
        <row r="92">
          <cell r="B92">
            <v>5679</v>
          </cell>
          <cell r="C92" t="str">
            <v>SANTA BÁRBARA - ANTIOQUIA</v>
          </cell>
          <cell r="D92">
            <v>168.01300000000001</v>
          </cell>
        </row>
        <row r="93">
          <cell r="B93">
            <v>5042</v>
          </cell>
          <cell r="C93" t="str">
            <v>SANTAFE DE ANTIOQUIA</v>
          </cell>
          <cell r="D93">
            <v>6035.4790000000003</v>
          </cell>
        </row>
        <row r="94">
          <cell r="B94">
            <v>5690</v>
          </cell>
          <cell r="C94" t="str">
            <v>SANTO DOMINGO</v>
          </cell>
          <cell r="D94">
            <v>4960.2439999999997</v>
          </cell>
        </row>
        <row r="95">
          <cell r="B95">
            <v>5697</v>
          </cell>
          <cell r="C95" t="str">
            <v>SANTUARIO - ANTIOQUIA</v>
          </cell>
          <cell r="D95">
            <v>2409.71</v>
          </cell>
        </row>
        <row r="96">
          <cell r="B96">
            <v>5736</v>
          </cell>
          <cell r="C96" t="str">
            <v>SEGOVIA</v>
          </cell>
          <cell r="D96">
            <v>2448.8989999999999</v>
          </cell>
        </row>
        <row r="97">
          <cell r="B97">
            <v>5756</v>
          </cell>
          <cell r="C97" t="str">
            <v>SONSÓN</v>
          </cell>
          <cell r="D97">
            <v>2880.3539999999998</v>
          </cell>
        </row>
        <row r="98">
          <cell r="B98">
            <v>5761</v>
          </cell>
          <cell r="C98" t="str">
            <v>SOPETRÁN</v>
          </cell>
          <cell r="D98">
            <v>1220.0350000000001</v>
          </cell>
        </row>
        <row r="99">
          <cell r="B99">
            <v>5790</v>
          </cell>
          <cell r="C99" t="str">
            <v>TARAZÁ</v>
          </cell>
          <cell r="D99">
            <v>5221.0339999999997</v>
          </cell>
        </row>
        <row r="100">
          <cell r="B100">
            <v>5792</v>
          </cell>
          <cell r="C100" t="str">
            <v>TARSO</v>
          </cell>
          <cell r="D100">
            <v>447.32499999999999</v>
          </cell>
        </row>
        <row r="101">
          <cell r="B101">
            <v>5809</v>
          </cell>
          <cell r="C101" t="str">
            <v>TITIRIBÍ</v>
          </cell>
          <cell r="D101">
            <v>1146.921</v>
          </cell>
        </row>
        <row r="102">
          <cell r="B102">
            <v>5837</v>
          </cell>
          <cell r="C102" t="str">
            <v>TURBO</v>
          </cell>
          <cell r="D102">
            <v>11952.084000000001</v>
          </cell>
        </row>
        <row r="103">
          <cell r="B103">
            <v>5847</v>
          </cell>
          <cell r="C103" t="str">
            <v>URRAO</v>
          </cell>
          <cell r="D103">
            <v>2844.2550000000001</v>
          </cell>
        </row>
        <row r="104">
          <cell r="B104">
            <v>5856</v>
          </cell>
          <cell r="C104" t="str">
            <v>VALPARAÍSO - ANTIOQUIA</v>
          </cell>
          <cell r="D104">
            <v>694.47699999999998</v>
          </cell>
        </row>
        <row r="105">
          <cell r="B105">
            <v>5858</v>
          </cell>
          <cell r="C105" t="str">
            <v>VEGACHÍ</v>
          </cell>
          <cell r="D105">
            <v>915.56399999999996</v>
          </cell>
        </row>
        <row r="106">
          <cell r="B106">
            <v>5861</v>
          </cell>
          <cell r="C106" t="str">
            <v>VENECIA - ANTIOQUIA</v>
          </cell>
          <cell r="D106">
            <v>535.47500000000002</v>
          </cell>
        </row>
        <row r="107">
          <cell r="B107">
            <v>5873</v>
          </cell>
          <cell r="C107" t="str">
            <v>VIGÍA DEL FUERTE</v>
          </cell>
          <cell r="D107">
            <v>1889.6579999999999</v>
          </cell>
        </row>
        <row r="108">
          <cell r="B108">
            <v>5885</v>
          </cell>
          <cell r="C108" t="str">
            <v>YALÍ</v>
          </cell>
          <cell r="D108">
            <v>907.42899999999997</v>
          </cell>
        </row>
        <row r="109">
          <cell r="B109">
            <v>5887</v>
          </cell>
          <cell r="C109" t="str">
            <v>YARUMAL</v>
          </cell>
          <cell r="D109">
            <v>9129.4290000000001</v>
          </cell>
        </row>
        <row r="110">
          <cell r="B110">
            <v>5890</v>
          </cell>
          <cell r="C110" t="str">
            <v>YOLOMBÓ</v>
          </cell>
          <cell r="D110">
            <v>1528.6990000000001</v>
          </cell>
        </row>
        <row r="111">
          <cell r="B111">
            <v>5893</v>
          </cell>
          <cell r="C111" t="str">
            <v>YONDÓ (CASABE)</v>
          </cell>
          <cell r="D111">
            <v>174.357</v>
          </cell>
        </row>
        <row r="112">
          <cell r="B112">
            <v>5895</v>
          </cell>
          <cell r="C112" t="str">
            <v>ZARAGOZA</v>
          </cell>
          <cell r="D112">
            <v>4294.4449999999997</v>
          </cell>
        </row>
        <row r="113">
          <cell r="B113">
            <v>8078</v>
          </cell>
          <cell r="C113" t="str">
            <v>BARANOA</v>
          </cell>
          <cell r="D113">
            <v>3979.4560000000001</v>
          </cell>
        </row>
        <row r="114">
          <cell r="B114">
            <v>8001</v>
          </cell>
          <cell r="C114" t="str">
            <v>BARRANQUILLA, DISTRITO ESPECIAL, INDUSTRIAL Y PORTUARIO</v>
          </cell>
          <cell r="D114">
            <v>1177536.4720000001</v>
          </cell>
        </row>
        <row r="115">
          <cell r="B115">
            <v>8137</v>
          </cell>
          <cell r="C115" t="str">
            <v>CAMPO DE LA CRUZ</v>
          </cell>
          <cell r="D115">
            <v>1500</v>
          </cell>
        </row>
        <row r="116">
          <cell r="B116">
            <v>8000</v>
          </cell>
          <cell r="C116" t="str">
            <v>DEPARTAMENTO DEL ATLANTICO</v>
          </cell>
          <cell r="D116">
            <v>337481.33</v>
          </cell>
        </row>
        <row r="117">
          <cell r="B117">
            <v>8296</v>
          </cell>
          <cell r="C117" t="str">
            <v>GALAPA</v>
          </cell>
          <cell r="D117">
            <v>2614.5830000000001</v>
          </cell>
        </row>
        <row r="118">
          <cell r="B118">
            <v>8421</v>
          </cell>
          <cell r="C118" t="str">
            <v>LURUACO</v>
          </cell>
          <cell r="D118">
            <v>47.917000000000002</v>
          </cell>
        </row>
        <row r="119">
          <cell r="B119">
            <v>8433</v>
          </cell>
          <cell r="C119" t="str">
            <v>MALAMBO</v>
          </cell>
          <cell r="D119">
            <v>16176.342000000001</v>
          </cell>
        </row>
        <row r="120">
          <cell r="B120">
            <v>8558</v>
          </cell>
          <cell r="C120" t="str">
            <v>POLONUEVO</v>
          </cell>
          <cell r="D120">
            <v>2100.2260000000001</v>
          </cell>
        </row>
        <row r="121">
          <cell r="B121">
            <v>8573</v>
          </cell>
          <cell r="C121" t="str">
            <v>PUERTO COLOMBIA</v>
          </cell>
          <cell r="D121">
            <v>404.71499999999997</v>
          </cell>
        </row>
        <row r="122">
          <cell r="B122">
            <v>8634</v>
          </cell>
          <cell r="C122" t="str">
            <v>SABANAGRANDE</v>
          </cell>
          <cell r="D122">
            <v>1230.828</v>
          </cell>
        </row>
        <row r="123">
          <cell r="B123">
            <v>8638</v>
          </cell>
          <cell r="C123" t="str">
            <v>SABANALARGA - ATLANTICO</v>
          </cell>
          <cell r="D123">
            <v>807.05600000000004</v>
          </cell>
        </row>
        <row r="124">
          <cell r="B124">
            <v>8675</v>
          </cell>
          <cell r="C124" t="str">
            <v>SANTA LUCÍA</v>
          </cell>
          <cell r="D124">
            <v>532.36099999999999</v>
          </cell>
        </row>
        <row r="125">
          <cell r="B125">
            <v>8758</v>
          </cell>
          <cell r="C125" t="str">
            <v>SOLEDAD</v>
          </cell>
          <cell r="D125">
            <v>39999.997000000003</v>
          </cell>
        </row>
        <row r="126">
          <cell r="B126">
            <v>8832</v>
          </cell>
          <cell r="C126" t="str">
            <v>TUBARÁ</v>
          </cell>
          <cell r="D126">
            <v>1949.097</v>
          </cell>
        </row>
        <row r="127">
          <cell r="B127">
            <v>13042</v>
          </cell>
          <cell r="C127" t="str">
            <v>ARENAL</v>
          </cell>
          <cell r="D127">
            <v>3046.49</v>
          </cell>
        </row>
        <row r="128">
          <cell r="B128">
            <v>13052</v>
          </cell>
          <cell r="C128" t="str">
            <v>ARJONA</v>
          </cell>
          <cell r="D128">
            <v>3332.41</v>
          </cell>
        </row>
        <row r="129">
          <cell r="B129">
            <v>13062</v>
          </cell>
          <cell r="C129" t="str">
            <v>ARROYOHONDO</v>
          </cell>
          <cell r="D129">
            <v>757.27499999999998</v>
          </cell>
        </row>
        <row r="130">
          <cell r="B130">
            <v>13001</v>
          </cell>
          <cell r="C130" t="str">
            <v>CARTAGENA DE INDIAS, DISTRITO TURISTICO Y CULTURAL</v>
          </cell>
          <cell r="D130">
            <v>229915.592</v>
          </cell>
        </row>
        <row r="131">
          <cell r="B131">
            <v>13222</v>
          </cell>
          <cell r="C131" t="str">
            <v>CLEMENCIA</v>
          </cell>
          <cell r="D131">
            <v>1915.06</v>
          </cell>
        </row>
        <row r="132">
          <cell r="B132">
            <v>13000</v>
          </cell>
          <cell r="C132" t="str">
            <v>DEPARTAMENTO DE BOLIVAR</v>
          </cell>
          <cell r="D132">
            <v>106004.289</v>
          </cell>
        </row>
        <row r="133">
          <cell r="B133">
            <v>13248</v>
          </cell>
          <cell r="C133" t="str">
            <v>EL GUAMO - BOLIVAR</v>
          </cell>
          <cell r="D133">
            <v>1295.605</v>
          </cell>
        </row>
        <row r="134">
          <cell r="B134">
            <v>13300</v>
          </cell>
          <cell r="C134" t="str">
            <v>HATILLO DE LOBA</v>
          </cell>
          <cell r="D134">
            <v>2976.7150000000001</v>
          </cell>
        </row>
        <row r="135">
          <cell r="B135">
            <v>13430</v>
          </cell>
          <cell r="C135" t="str">
            <v>MAGANGUÉ</v>
          </cell>
          <cell r="D135">
            <v>5527.3209999999999</v>
          </cell>
        </row>
        <row r="136">
          <cell r="B136">
            <v>13433</v>
          </cell>
          <cell r="C136" t="str">
            <v>MAHATES</v>
          </cell>
          <cell r="D136">
            <v>250</v>
          </cell>
        </row>
        <row r="137">
          <cell r="B137">
            <v>13440</v>
          </cell>
          <cell r="C137" t="str">
            <v>MARGARITA</v>
          </cell>
          <cell r="D137">
            <v>2600.8879999999999</v>
          </cell>
        </row>
        <row r="138">
          <cell r="B138">
            <v>13473</v>
          </cell>
          <cell r="C138" t="str">
            <v>MORALES - BOLIVAR</v>
          </cell>
          <cell r="D138">
            <v>4187.3469999999998</v>
          </cell>
        </row>
        <row r="139">
          <cell r="B139">
            <v>13620</v>
          </cell>
          <cell r="C139" t="str">
            <v>SAN CRISTÓBAL</v>
          </cell>
          <cell r="D139">
            <v>915</v>
          </cell>
        </row>
        <row r="140">
          <cell r="B140">
            <v>13647</v>
          </cell>
          <cell r="C140" t="str">
            <v>SAN ESTANISLAO</v>
          </cell>
          <cell r="D140">
            <v>2705.1239999999998</v>
          </cell>
        </row>
        <row r="141">
          <cell r="B141">
            <v>13650</v>
          </cell>
          <cell r="C141" t="str">
            <v>SAN FERNANDO</v>
          </cell>
          <cell r="D141">
            <v>3313.1529999999998</v>
          </cell>
        </row>
        <row r="142">
          <cell r="B142">
            <v>13655</v>
          </cell>
          <cell r="C142" t="str">
            <v>SAN JACINTO DEL CAUCA</v>
          </cell>
          <cell r="D142">
            <v>2059.8679999999999</v>
          </cell>
        </row>
        <row r="143">
          <cell r="B143">
            <v>13667</v>
          </cell>
          <cell r="C143" t="str">
            <v>SAN MARTÍN DE LOBA</v>
          </cell>
          <cell r="D143">
            <v>4774.326</v>
          </cell>
        </row>
        <row r="144">
          <cell r="B144">
            <v>13670</v>
          </cell>
          <cell r="C144" t="str">
            <v>SAN PABLO - BOLIVAR</v>
          </cell>
          <cell r="D144">
            <v>4020.08</v>
          </cell>
        </row>
        <row r="145">
          <cell r="B145">
            <v>13673</v>
          </cell>
          <cell r="C145" t="str">
            <v>SANTA CATALINA - BOLIVAR</v>
          </cell>
          <cell r="D145">
            <v>1754</v>
          </cell>
        </row>
        <row r="146">
          <cell r="B146">
            <v>13683</v>
          </cell>
          <cell r="C146" t="str">
            <v>SANTA ROSA NORTE</v>
          </cell>
          <cell r="D146">
            <v>3864.2939999999999</v>
          </cell>
        </row>
        <row r="147">
          <cell r="B147">
            <v>13838</v>
          </cell>
          <cell r="C147" t="str">
            <v>TURBANA</v>
          </cell>
          <cell r="D147">
            <v>221.262</v>
          </cell>
        </row>
        <row r="148">
          <cell r="B148">
            <v>15047</v>
          </cell>
          <cell r="C148" t="str">
            <v>AQUITANIA</v>
          </cell>
          <cell r="D148">
            <v>38</v>
          </cell>
        </row>
        <row r="149">
          <cell r="B149">
            <v>15051</v>
          </cell>
          <cell r="C149" t="str">
            <v>ARCABUCO</v>
          </cell>
          <cell r="D149">
            <v>362.077</v>
          </cell>
        </row>
        <row r="150">
          <cell r="B150">
            <v>15087</v>
          </cell>
          <cell r="C150" t="str">
            <v>BELÉN - BOYACA</v>
          </cell>
          <cell r="D150">
            <v>440</v>
          </cell>
        </row>
        <row r="151">
          <cell r="B151">
            <v>15097</v>
          </cell>
          <cell r="C151" t="str">
            <v>BOAVITA</v>
          </cell>
          <cell r="D151">
            <v>1000</v>
          </cell>
        </row>
        <row r="152">
          <cell r="B152">
            <v>15104</v>
          </cell>
          <cell r="C152" t="str">
            <v>BOYACÁ</v>
          </cell>
          <cell r="D152">
            <v>879.54200000000003</v>
          </cell>
        </row>
        <row r="153">
          <cell r="B153">
            <v>15106</v>
          </cell>
          <cell r="C153" t="str">
            <v>BRICEÑO - BOYACA</v>
          </cell>
          <cell r="D153">
            <v>800</v>
          </cell>
        </row>
        <row r="154">
          <cell r="B154">
            <v>15109</v>
          </cell>
          <cell r="C154" t="str">
            <v>BUENAVISTA - BOYACA</v>
          </cell>
          <cell r="D154">
            <v>354.16699999999997</v>
          </cell>
        </row>
        <row r="155">
          <cell r="B155">
            <v>15131</v>
          </cell>
          <cell r="C155" t="str">
            <v>CALDAS - BOYACA</v>
          </cell>
          <cell r="D155">
            <v>1247.915</v>
          </cell>
        </row>
        <row r="156">
          <cell r="B156">
            <v>15176</v>
          </cell>
          <cell r="C156" t="str">
            <v>CHIQUINQUIRÁ</v>
          </cell>
          <cell r="D156">
            <v>5121.9520000000002</v>
          </cell>
        </row>
        <row r="157">
          <cell r="B157">
            <v>15232</v>
          </cell>
          <cell r="C157" t="str">
            <v>CHÍQUIZA (SAN PEDRO DE IGUAQUE)</v>
          </cell>
          <cell r="D157">
            <v>815</v>
          </cell>
        </row>
        <row r="158">
          <cell r="B158">
            <v>15180</v>
          </cell>
          <cell r="C158" t="str">
            <v>CHISCAS</v>
          </cell>
          <cell r="D158">
            <v>870</v>
          </cell>
        </row>
        <row r="159">
          <cell r="B159">
            <v>15183</v>
          </cell>
          <cell r="C159" t="str">
            <v>CHITA</v>
          </cell>
          <cell r="D159">
            <v>461.53800000000001</v>
          </cell>
        </row>
        <row r="160">
          <cell r="B160">
            <v>15185</v>
          </cell>
          <cell r="C160" t="str">
            <v>CHITARAQUE</v>
          </cell>
          <cell r="D160">
            <v>1800.8119999999999</v>
          </cell>
        </row>
        <row r="161">
          <cell r="B161">
            <v>15236</v>
          </cell>
          <cell r="C161" t="str">
            <v>CHIVOR</v>
          </cell>
          <cell r="D161">
            <v>320</v>
          </cell>
        </row>
        <row r="162">
          <cell r="B162">
            <v>15189</v>
          </cell>
          <cell r="C162" t="str">
            <v>CIÉNEGA - BOYACA</v>
          </cell>
          <cell r="D162">
            <v>916.17700000000002</v>
          </cell>
        </row>
        <row r="163">
          <cell r="B163">
            <v>15204</v>
          </cell>
          <cell r="C163" t="str">
            <v>CÓMBITA</v>
          </cell>
          <cell r="D163">
            <v>956.47199999999998</v>
          </cell>
        </row>
        <row r="164">
          <cell r="B164">
            <v>15218</v>
          </cell>
          <cell r="C164" t="str">
            <v>COVARACHÍA</v>
          </cell>
          <cell r="D164">
            <v>1100</v>
          </cell>
        </row>
        <row r="165">
          <cell r="B165">
            <v>15224</v>
          </cell>
          <cell r="C165" t="str">
            <v>CUCAITA</v>
          </cell>
          <cell r="D165">
            <v>259.99700000000001</v>
          </cell>
        </row>
        <row r="166">
          <cell r="B166">
            <v>15226</v>
          </cell>
          <cell r="C166" t="str">
            <v>CUÍTIVA</v>
          </cell>
          <cell r="D166">
            <v>311.12099999999998</v>
          </cell>
        </row>
        <row r="167">
          <cell r="B167">
            <v>15000</v>
          </cell>
          <cell r="C167" t="str">
            <v>DEPARTAMENTO DE BOYACÁ</v>
          </cell>
          <cell r="D167">
            <v>107359.84299999999</v>
          </cell>
        </row>
        <row r="168">
          <cell r="B168">
            <v>15238</v>
          </cell>
          <cell r="C168" t="str">
            <v>DUITAMA</v>
          </cell>
          <cell r="D168">
            <v>4012.4839999999999</v>
          </cell>
        </row>
        <row r="169">
          <cell r="B169">
            <v>15293</v>
          </cell>
          <cell r="C169" t="str">
            <v>GACHANTIVÁ</v>
          </cell>
          <cell r="D169">
            <v>759.404</v>
          </cell>
        </row>
        <row r="170">
          <cell r="B170">
            <v>15296</v>
          </cell>
          <cell r="C170" t="str">
            <v>GÁMEZA</v>
          </cell>
          <cell r="D170">
            <v>293.137</v>
          </cell>
        </row>
        <row r="171">
          <cell r="B171">
            <v>15299</v>
          </cell>
          <cell r="C171" t="str">
            <v>GARAGOA</v>
          </cell>
          <cell r="D171">
            <v>3101.5610000000001</v>
          </cell>
        </row>
        <row r="172">
          <cell r="B172">
            <v>15317</v>
          </cell>
          <cell r="C172" t="str">
            <v>GUACAMAYAS</v>
          </cell>
          <cell r="D172">
            <v>600</v>
          </cell>
        </row>
        <row r="173">
          <cell r="B173">
            <v>15322</v>
          </cell>
          <cell r="C173" t="str">
            <v>GUATEQUE</v>
          </cell>
          <cell r="D173">
            <v>963.62099999999998</v>
          </cell>
        </row>
        <row r="174">
          <cell r="B174">
            <v>15325</v>
          </cell>
          <cell r="C174" t="str">
            <v>GUAYATÁ</v>
          </cell>
          <cell r="D174">
            <v>379.738</v>
          </cell>
        </row>
        <row r="175">
          <cell r="B175">
            <v>15367</v>
          </cell>
          <cell r="C175" t="str">
            <v>JENESANO</v>
          </cell>
          <cell r="D175">
            <v>636.65</v>
          </cell>
        </row>
        <row r="176">
          <cell r="B176">
            <v>15380</v>
          </cell>
          <cell r="C176" t="str">
            <v>LA CAPILLA</v>
          </cell>
          <cell r="D176">
            <v>50.164000000000001</v>
          </cell>
        </row>
        <row r="177">
          <cell r="B177">
            <v>15403</v>
          </cell>
          <cell r="C177" t="str">
            <v>LA UVITA</v>
          </cell>
          <cell r="D177">
            <v>178.63800000000001</v>
          </cell>
        </row>
        <row r="178">
          <cell r="B178">
            <v>15401</v>
          </cell>
          <cell r="C178" t="str">
            <v>LA VICTORIA -BOYACA</v>
          </cell>
          <cell r="D178">
            <v>11.323</v>
          </cell>
        </row>
        <row r="179">
          <cell r="B179">
            <v>15377</v>
          </cell>
          <cell r="C179" t="str">
            <v>LABRANZAGRANDE</v>
          </cell>
          <cell r="D179">
            <v>2547.2220000000002</v>
          </cell>
        </row>
        <row r="180">
          <cell r="B180">
            <v>15425</v>
          </cell>
          <cell r="C180" t="str">
            <v>MACANAL</v>
          </cell>
          <cell r="D180">
            <v>263.05700000000002</v>
          </cell>
        </row>
        <row r="181">
          <cell r="B181">
            <v>15455</v>
          </cell>
          <cell r="C181" t="str">
            <v>MIRAFLORES - BOYACÁ</v>
          </cell>
          <cell r="D181">
            <v>200</v>
          </cell>
        </row>
        <row r="182">
          <cell r="B182">
            <v>15464</v>
          </cell>
          <cell r="C182" t="str">
            <v>MONGUA</v>
          </cell>
          <cell r="D182">
            <v>1626.0940000000001</v>
          </cell>
        </row>
        <row r="183">
          <cell r="B183">
            <v>15480</v>
          </cell>
          <cell r="C183" t="str">
            <v>MUZO</v>
          </cell>
          <cell r="D183">
            <v>1270.5809999999999</v>
          </cell>
        </row>
        <row r="184">
          <cell r="B184">
            <v>15507</v>
          </cell>
          <cell r="C184" t="str">
            <v>OTANCHE</v>
          </cell>
          <cell r="D184">
            <v>2261.866</v>
          </cell>
        </row>
        <row r="185">
          <cell r="B185">
            <v>15511</v>
          </cell>
          <cell r="C185" t="str">
            <v>PACHAVITA</v>
          </cell>
          <cell r="D185">
            <v>204.167</v>
          </cell>
        </row>
        <row r="186">
          <cell r="B186">
            <v>15518</v>
          </cell>
          <cell r="C186" t="str">
            <v>PAJARITO</v>
          </cell>
          <cell r="D186">
            <v>341.19</v>
          </cell>
        </row>
        <row r="187">
          <cell r="B187">
            <v>15522</v>
          </cell>
          <cell r="C187" t="str">
            <v>PANQUEBA</v>
          </cell>
          <cell r="D187">
            <v>144.94499999999999</v>
          </cell>
        </row>
        <row r="188">
          <cell r="B188">
            <v>15531</v>
          </cell>
          <cell r="C188" t="str">
            <v>PAUNA</v>
          </cell>
          <cell r="D188">
            <v>968.40300000000002</v>
          </cell>
        </row>
        <row r="189">
          <cell r="B189">
            <v>15533</v>
          </cell>
          <cell r="C189" t="str">
            <v>PAYA</v>
          </cell>
          <cell r="D189">
            <v>1415</v>
          </cell>
        </row>
        <row r="190">
          <cell r="B190">
            <v>15572</v>
          </cell>
          <cell r="C190" t="str">
            <v>PUERTO BOYACÁ</v>
          </cell>
          <cell r="D190">
            <v>8101.5690000000004</v>
          </cell>
        </row>
        <row r="191">
          <cell r="B191">
            <v>15580</v>
          </cell>
          <cell r="C191" t="str">
            <v>QUÍPAMA</v>
          </cell>
          <cell r="D191">
            <v>1063.7059999999999</v>
          </cell>
        </row>
        <row r="192">
          <cell r="B192">
            <v>15599</v>
          </cell>
          <cell r="C192" t="str">
            <v>RAMIRIQUÍ</v>
          </cell>
          <cell r="D192">
            <v>434.92500000000001</v>
          </cell>
        </row>
        <row r="193">
          <cell r="B193">
            <v>15600</v>
          </cell>
          <cell r="C193" t="str">
            <v>RÁQUIRA</v>
          </cell>
          <cell r="D193">
            <v>1330</v>
          </cell>
        </row>
        <row r="194">
          <cell r="B194">
            <v>15621</v>
          </cell>
          <cell r="C194" t="str">
            <v>RONDÓN</v>
          </cell>
          <cell r="D194">
            <v>922.5</v>
          </cell>
        </row>
        <row r="195">
          <cell r="B195">
            <v>15646</v>
          </cell>
          <cell r="C195" t="str">
            <v>SAMACÁ</v>
          </cell>
          <cell r="D195">
            <v>1245.8330000000001</v>
          </cell>
        </row>
        <row r="196">
          <cell r="B196">
            <v>15664</v>
          </cell>
          <cell r="C196" t="str">
            <v>SAN JOSÉ DE PARE</v>
          </cell>
          <cell r="D196">
            <v>100</v>
          </cell>
        </row>
        <row r="197">
          <cell r="B197">
            <v>15667</v>
          </cell>
          <cell r="C197" t="str">
            <v>SAN LUIS DE GACENO</v>
          </cell>
          <cell r="D197">
            <v>995.327</v>
          </cell>
        </row>
        <row r="198">
          <cell r="B198">
            <v>15673</v>
          </cell>
          <cell r="C198" t="str">
            <v>SAN MATEO</v>
          </cell>
          <cell r="D198">
            <v>1065.8330000000001</v>
          </cell>
        </row>
        <row r="199">
          <cell r="B199">
            <v>15681</v>
          </cell>
          <cell r="C199" t="str">
            <v>SAN PABLO DE BORBUR</v>
          </cell>
          <cell r="D199">
            <v>225</v>
          </cell>
        </row>
        <row r="200">
          <cell r="B200">
            <v>15690</v>
          </cell>
          <cell r="C200" t="str">
            <v>SANTA MARÍA - BOYACÁ</v>
          </cell>
          <cell r="D200">
            <v>817.48</v>
          </cell>
        </row>
        <row r="201">
          <cell r="B201">
            <v>15686</v>
          </cell>
          <cell r="C201" t="str">
            <v>SANTANA</v>
          </cell>
          <cell r="D201">
            <v>2717.8560000000002</v>
          </cell>
        </row>
        <row r="202">
          <cell r="B202">
            <v>15740</v>
          </cell>
          <cell r="C202" t="str">
            <v>SIACHOQUE</v>
          </cell>
          <cell r="D202">
            <v>175.08500000000001</v>
          </cell>
        </row>
        <row r="203">
          <cell r="B203">
            <v>15753</v>
          </cell>
          <cell r="C203" t="str">
            <v>SOATÁ</v>
          </cell>
          <cell r="D203">
            <v>116.02500000000001</v>
          </cell>
        </row>
        <row r="204">
          <cell r="B204">
            <v>15755</v>
          </cell>
          <cell r="C204" t="str">
            <v>SOCOTÁ</v>
          </cell>
          <cell r="D204">
            <v>317.51900000000001</v>
          </cell>
        </row>
        <row r="205">
          <cell r="B205">
            <v>15759</v>
          </cell>
          <cell r="C205" t="str">
            <v>SOGAMOSO</v>
          </cell>
          <cell r="D205">
            <v>25937.258000000002</v>
          </cell>
        </row>
        <row r="206">
          <cell r="B206">
            <v>15761</v>
          </cell>
          <cell r="C206" t="str">
            <v>SOMONDOCO</v>
          </cell>
          <cell r="D206">
            <v>18.024999999999999</v>
          </cell>
        </row>
        <row r="207">
          <cell r="B207">
            <v>15762</v>
          </cell>
          <cell r="C207" t="str">
            <v>SORA</v>
          </cell>
          <cell r="D207">
            <v>901.173</v>
          </cell>
        </row>
        <row r="208">
          <cell r="B208">
            <v>15764</v>
          </cell>
          <cell r="C208" t="str">
            <v>SORACÁ</v>
          </cell>
          <cell r="D208">
            <v>236.25</v>
          </cell>
        </row>
        <row r="209">
          <cell r="B209">
            <v>15763</v>
          </cell>
          <cell r="C209" t="str">
            <v>SOTAQUIRÁ</v>
          </cell>
          <cell r="D209">
            <v>154.1</v>
          </cell>
        </row>
        <row r="210">
          <cell r="B210">
            <v>15776</v>
          </cell>
          <cell r="C210" t="str">
            <v>SUTAMARCHÁN</v>
          </cell>
          <cell r="D210">
            <v>1818.038</v>
          </cell>
        </row>
        <row r="211">
          <cell r="B211">
            <v>15778</v>
          </cell>
          <cell r="C211" t="str">
            <v>SUTATENZA</v>
          </cell>
          <cell r="D211">
            <v>77.036000000000001</v>
          </cell>
        </row>
        <row r="212">
          <cell r="B212">
            <v>15798</v>
          </cell>
          <cell r="C212" t="str">
            <v>TENZA</v>
          </cell>
          <cell r="D212">
            <v>436.41899999999998</v>
          </cell>
        </row>
        <row r="213">
          <cell r="B213">
            <v>15814</v>
          </cell>
          <cell r="C213" t="str">
            <v>TOCA</v>
          </cell>
          <cell r="D213">
            <v>490</v>
          </cell>
        </row>
        <row r="214">
          <cell r="B214">
            <v>15816</v>
          </cell>
          <cell r="C214" t="str">
            <v>TOGÜÍ</v>
          </cell>
          <cell r="D214">
            <v>1126.4449999999999</v>
          </cell>
        </row>
        <row r="215">
          <cell r="B215">
            <v>15001</v>
          </cell>
          <cell r="C215" t="str">
            <v>TUNJA</v>
          </cell>
          <cell r="D215">
            <v>49144.762000000002</v>
          </cell>
        </row>
        <row r="216">
          <cell r="B216">
            <v>15835</v>
          </cell>
          <cell r="C216" t="str">
            <v>TURMEQUÉ</v>
          </cell>
          <cell r="D216">
            <v>987.41099999999994</v>
          </cell>
        </row>
        <row r="217">
          <cell r="B217">
            <v>15842</v>
          </cell>
          <cell r="C217" t="str">
            <v>ÚMBITA</v>
          </cell>
          <cell r="D217">
            <v>398.75</v>
          </cell>
        </row>
        <row r="218">
          <cell r="B218">
            <v>15861</v>
          </cell>
          <cell r="C218" t="str">
            <v>VENTAQUEMADA</v>
          </cell>
          <cell r="D218">
            <v>625</v>
          </cell>
        </row>
        <row r="219">
          <cell r="B219">
            <v>15879</v>
          </cell>
          <cell r="C219" t="str">
            <v>VIRACACHÁ</v>
          </cell>
          <cell r="D219">
            <v>327.03699999999998</v>
          </cell>
        </row>
        <row r="220">
          <cell r="B220">
            <v>15897</v>
          </cell>
          <cell r="C220" t="str">
            <v>ZETAQUIRA</v>
          </cell>
          <cell r="D220">
            <v>513.29999999999995</v>
          </cell>
        </row>
        <row r="221">
          <cell r="B221">
            <v>17013</v>
          </cell>
          <cell r="C221" t="str">
            <v>AGUADAS - CALDAS</v>
          </cell>
          <cell r="D221">
            <v>1714.2860000000001</v>
          </cell>
        </row>
        <row r="222">
          <cell r="B222">
            <v>17042</v>
          </cell>
          <cell r="C222" t="str">
            <v>ANSERMA DE LOS CABALLEROS</v>
          </cell>
          <cell r="D222">
            <v>718.73299999999995</v>
          </cell>
        </row>
        <row r="223">
          <cell r="B223">
            <v>17050</v>
          </cell>
          <cell r="C223" t="str">
            <v>ARANZAZU</v>
          </cell>
          <cell r="D223">
            <v>579.03800000000001</v>
          </cell>
        </row>
        <row r="224">
          <cell r="B224">
            <v>17088</v>
          </cell>
          <cell r="C224" t="str">
            <v>BELALCÁZAR</v>
          </cell>
          <cell r="D224">
            <v>1200</v>
          </cell>
        </row>
        <row r="225">
          <cell r="B225">
            <v>17174</v>
          </cell>
          <cell r="C225" t="str">
            <v>CHINCHINÁ</v>
          </cell>
          <cell r="D225">
            <v>466.66699999999997</v>
          </cell>
        </row>
        <row r="226">
          <cell r="B226">
            <v>17000</v>
          </cell>
          <cell r="C226" t="str">
            <v>DEPARTAMENTO DE CALDAS</v>
          </cell>
          <cell r="D226">
            <v>34324</v>
          </cell>
        </row>
        <row r="227">
          <cell r="B227">
            <v>17272</v>
          </cell>
          <cell r="C227" t="str">
            <v>FILADELFIA</v>
          </cell>
          <cell r="D227">
            <v>335.41699999999997</v>
          </cell>
        </row>
        <row r="228">
          <cell r="B228">
            <v>17380</v>
          </cell>
          <cell r="C228" t="str">
            <v>LA DORADA</v>
          </cell>
          <cell r="D228">
            <v>2890.9879999999998</v>
          </cell>
        </row>
        <row r="229">
          <cell r="B229">
            <v>17388</v>
          </cell>
          <cell r="C229" t="str">
            <v>LA MERCED</v>
          </cell>
          <cell r="D229">
            <v>156.91200000000001</v>
          </cell>
        </row>
        <row r="230">
          <cell r="B230">
            <v>17001</v>
          </cell>
          <cell r="C230" t="str">
            <v>MANIZALES</v>
          </cell>
          <cell r="D230">
            <v>81095.376000000004</v>
          </cell>
        </row>
        <row r="231">
          <cell r="B231">
            <v>17433</v>
          </cell>
          <cell r="C231" t="str">
            <v>MANZANARES</v>
          </cell>
          <cell r="D231">
            <v>753.02700000000004</v>
          </cell>
        </row>
        <row r="232">
          <cell r="B232">
            <v>17442</v>
          </cell>
          <cell r="C232" t="str">
            <v>MARMATO</v>
          </cell>
          <cell r="D232">
            <v>116.82</v>
          </cell>
        </row>
        <row r="233">
          <cell r="B233">
            <v>17486</v>
          </cell>
          <cell r="C233" t="str">
            <v>NEIRA</v>
          </cell>
          <cell r="D233">
            <v>199.333</v>
          </cell>
        </row>
        <row r="234">
          <cell r="B234">
            <v>17513</v>
          </cell>
          <cell r="C234" t="str">
            <v>PÁCORA</v>
          </cell>
          <cell r="D234">
            <v>1964.1030000000001</v>
          </cell>
        </row>
        <row r="235">
          <cell r="B235">
            <v>17541</v>
          </cell>
          <cell r="C235" t="str">
            <v>PENSILVANIA</v>
          </cell>
          <cell r="D235">
            <v>1850</v>
          </cell>
        </row>
        <row r="236">
          <cell r="B236">
            <v>17614</v>
          </cell>
          <cell r="C236" t="str">
            <v>RIOSUCIO - CALDAS</v>
          </cell>
          <cell r="D236">
            <v>1062.3869999999999</v>
          </cell>
        </row>
        <row r="237">
          <cell r="B237">
            <v>17662</v>
          </cell>
          <cell r="C237" t="str">
            <v>SAMANÁ</v>
          </cell>
          <cell r="D237">
            <v>124.996</v>
          </cell>
        </row>
        <row r="238">
          <cell r="B238">
            <v>17665</v>
          </cell>
          <cell r="C238" t="str">
            <v>SAN JOSÉ - CALDAS</v>
          </cell>
          <cell r="D238">
            <v>900</v>
          </cell>
        </row>
        <row r="239">
          <cell r="B239">
            <v>17777</v>
          </cell>
          <cell r="C239" t="str">
            <v>SUPÍA</v>
          </cell>
          <cell r="D239">
            <v>343.37599999999998</v>
          </cell>
        </row>
        <row r="240">
          <cell r="B240">
            <v>17873</v>
          </cell>
          <cell r="C240" t="str">
            <v>VILLAMARÍA</v>
          </cell>
          <cell r="D240">
            <v>2141.3870000000002</v>
          </cell>
        </row>
        <row r="241">
          <cell r="B241">
            <v>17877</v>
          </cell>
          <cell r="C241" t="str">
            <v>VITERBO</v>
          </cell>
          <cell r="D241">
            <v>1078.7860000000001</v>
          </cell>
        </row>
        <row r="242">
          <cell r="B242">
            <v>18150</v>
          </cell>
          <cell r="C242" t="str">
            <v>CARTAGENA DEL CHAIRÁ</v>
          </cell>
          <cell r="D242">
            <v>1408</v>
          </cell>
        </row>
        <row r="243">
          <cell r="B243">
            <v>18001</v>
          </cell>
          <cell r="C243" t="str">
            <v>FLORENCIA - CAQUETÁ</v>
          </cell>
          <cell r="D243">
            <v>9536</v>
          </cell>
        </row>
        <row r="244">
          <cell r="B244">
            <v>18860</v>
          </cell>
          <cell r="C244" t="str">
            <v>VALPARAÍSO - CAQUETÁ</v>
          </cell>
          <cell r="D244">
            <v>252.12899999999999</v>
          </cell>
        </row>
        <row r="245">
          <cell r="B245">
            <v>85000</v>
          </cell>
          <cell r="C245" t="str">
            <v>DEPARTAMENTO DEL CASANARE</v>
          </cell>
          <cell r="D245">
            <v>65873</v>
          </cell>
        </row>
        <row r="246">
          <cell r="B246">
            <v>85139</v>
          </cell>
          <cell r="C246" t="str">
            <v>MANÍ</v>
          </cell>
          <cell r="D246">
            <v>7350.4539999999997</v>
          </cell>
        </row>
        <row r="247">
          <cell r="B247">
            <v>85230</v>
          </cell>
          <cell r="C247" t="str">
            <v>OROCUÉ</v>
          </cell>
          <cell r="D247">
            <v>8688.8279999999995</v>
          </cell>
        </row>
        <row r="248">
          <cell r="B248">
            <v>85250</v>
          </cell>
          <cell r="C248" t="str">
            <v>PAZ DE ARIPORO</v>
          </cell>
          <cell r="D248">
            <v>4800</v>
          </cell>
        </row>
        <row r="249">
          <cell r="B249">
            <v>85263</v>
          </cell>
          <cell r="C249" t="str">
            <v>PORE</v>
          </cell>
          <cell r="D249">
            <v>1403.1010000000001</v>
          </cell>
        </row>
        <row r="250">
          <cell r="B250">
            <v>85325</v>
          </cell>
          <cell r="C250" t="str">
            <v>SAN LUIS DE PALENQUE</v>
          </cell>
          <cell r="D250">
            <v>1093.75</v>
          </cell>
        </row>
        <row r="251">
          <cell r="B251">
            <v>85400</v>
          </cell>
          <cell r="C251" t="str">
            <v>TÁMARA</v>
          </cell>
          <cell r="D251">
            <v>1100</v>
          </cell>
        </row>
        <row r="252">
          <cell r="B252">
            <v>85430</v>
          </cell>
          <cell r="C252" t="str">
            <v>TRINIDAD</v>
          </cell>
          <cell r="D252">
            <v>1811.607</v>
          </cell>
        </row>
        <row r="253">
          <cell r="B253">
            <v>85001</v>
          </cell>
          <cell r="C253" t="str">
            <v>YOPAL</v>
          </cell>
          <cell r="D253">
            <v>21693.111000000001</v>
          </cell>
        </row>
        <row r="254">
          <cell r="B254">
            <v>19110</v>
          </cell>
          <cell r="C254" t="str">
            <v>BUENOS AIRES</v>
          </cell>
          <cell r="D254">
            <v>2397.4609999999998</v>
          </cell>
        </row>
        <row r="255">
          <cell r="B255">
            <v>19130</v>
          </cell>
          <cell r="C255" t="str">
            <v>CAJIBÍO</v>
          </cell>
          <cell r="D255">
            <v>1050</v>
          </cell>
        </row>
        <row r="256">
          <cell r="B256">
            <v>19142</v>
          </cell>
          <cell r="C256" t="str">
            <v>CALOTO</v>
          </cell>
          <cell r="D256">
            <v>4505.5910000000003</v>
          </cell>
        </row>
        <row r="257">
          <cell r="B257">
            <v>19212</v>
          </cell>
          <cell r="C257" t="str">
            <v>CORINTO</v>
          </cell>
          <cell r="D257">
            <v>3500</v>
          </cell>
        </row>
        <row r="258">
          <cell r="B258">
            <v>19000</v>
          </cell>
          <cell r="C258" t="str">
            <v>DEPARTAMENTO DEL CAUCA</v>
          </cell>
          <cell r="D258">
            <v>13757.177</v>
          </cell>
        </row>
        <row r="259">
          <cell r="B259">
            <v>19256</v>
          </cell>
          <cell r="C259" t="str">
            <v>EL TAMBO - CAUCA</v>
          </cell>
          <cell r="D259">
            <v>3615.377</v>
          </cell>
        </row>
        <row r="260">
          <cell r="B260">
            <v>19300</v>
          </cell>
          <cell r="C260" t="str">
            <v>GUACHENÉ</v>
          </cell>
          <cell r="D260">
            <v>4978.71</v>
          </cell>
        </row>
        <row r="261">
          <cell r="B261">
            <v>19355</v>
          </cell>
          <cell r="C261" t="str">
            <v>INZÁ</v>
          </cell>
          <cell r="D261">
            <v>647.59100000000001</v>
          </cell>
        </row>
        <row r="262">
          <cell r="B262">
            <v>19392</v>
          </cell>
          <cell r="C262" t="str">
            <v>LA SIERRA</v>
          </cell>
          <cell r="D262">
            <v>1005.266</v>
          </cell>
        </row>
        <row r="263">
          <cell r="B263">
            <v>19455</v>
          </cell>
          <cell r="C263" t="str">
            <v>MIRANDA</v>
          </cell>
          <cell r="D263">
            <v>3112.3429999999998</v>
          </cell>
        </row>
        <row r="264">
          <cell r="B264">
            <v>19513</v>
          </cell>
          <cell r="C264" t="str">
            <v>PADILLA</v>
          </cell>
          <cell r="D264">
            <v>254.328</v>
          </cell>
        </row>
        <row r="265">
          <cell r="B265">
            <v>19532</v>
          </cell>
          <cell r="C265" t="str">
            <v>PATÍA (EL BORDO)</v>
          </cell>
          <cell r="D265">
            <v>1347.703</v>
          </cell>
        </row>
        <row r="266">
          <cell r="B266">
            <v>19548</v>
          </cell>
          <cell r="C266" t="str">
            <v>PIENDAMÓ</v>
          </cell>
          <cell r="D266">
            <v>1044.317</v>
          </cell>
        </row>
        <row r="267">
          <cell r="B267">
            <v>19001</v>
          </cell>
          <cell r="C267" t="str">
            <v>POPAYÁN</v>
          </cell>
          <cell r="D267">
            <v>1939</v>
          </cell>
        </row>
        <row r="268">
          <cell r="B268">
            <v>19573</v>
          </cell>
          <cell r="C268" t="str">
            <v>PUERTO TEJADA</v>
          </cell>
          <cell r="D268">
            <v>2625</v>
          </cell>
        </row>
        <row r="269">
          <cell r="B269">
            <v>19693</v>
          </cell>
          <cell r="C269" t="str">
            <v>SAN SEBASTIÁN</v>
          </cell>
          <cell r="D269">
            <v>270.36</v>
          </cell>
        </row>
        <row r="270">
          <cell r="B270">
            <v>19698</v>
          </cell>
          <cell r="C270" t="str">
            <v>SANTANDER DE QUILICHAO</v>
          </cell>
          <cell r="D270">
            <v>5427.4430000000002</v>
          </cell>
        </row>
        <row r="271">
          <cell r="B271">
            <v>19760</v>
          </cell>
          <cell r="C271" t="str">
            <v>SOTARÁ (PAISPAMBA)</v>
          </cell>
          <cell r="D271">
            <v>1061.087</v>
          </cell>
        </row>
        <row r="272">
          <cell r="B272">
            <v>19780</v>
          </cell>
          <cell r="C272" t="str">
            <v>SUÁREZ - CAUCA</v>
          </cell>
          <cell r="D272">
            <v>2184.7220000000002</v>
          </cell>
        </row>
        <row r="273">
          <cell r="B273">
            <v>19807</v>
          </cell>
          <cell r="C273" t="str">
            <v>TIMBÍO</v>
          </cell>
          <cell r="D273">
            <v>209.697</v>
          </cell>
        </row>
        <row r="274">
          <cell r="B274">
            <v>19809</v>
          </cell>
          <cell r="C274" t="str">
            <v>TIMBIQUÍ</v>
          </cell>
          <cell r="D274">
            <v>158.76300000000001</v>
          </cell>
        </row>
        <row r="275">
          <cell r="B275">
            <v>19845</v>
          </cell>
          <cell r="C275" t="str">
            <v>VILLARRICA - CAUCA</v>
          </cell>
          <cell r="D275">
            <v>656.25</v>
          </cell>
        </row>
        <row r="276">
          <cell r="B276">
            <v>20011</v>
          </cell>
          <cell r="C276" t="str">
            <v>AGUACHICA</v>
          </cell>
          <cell r="D276">
            <v>1425.509</v>
          </cell>
        </row>
        <row r="277">
          <cell r="B277">
            <v>20013</v>
          </cell>
          <cell r="C277" t="str">
            <v>AGUSTÍN CODAZZI</v>
          </cell>
          <cell r="D277">
            <v>5350</v>
          </cell>
        </row>
        <row r="278">
          <cell r="B278">
            <v>20032</v>
          </cell>
          <cell r="C278" t="str">
            <v>ASTREA</v>
          </cell>
          <cell r="D278">
            <v>1932.604</v>
          </cell>
        </row>
        <row r="279">
          <cell r="B279">
            <v>20060</v>
          </cell>
          <cell r="C279" t="str">
            <v>BOSCONIA</v>
          </cell>
          <cell r="D279">
            <v>5401.5829999999996</v>
          </cell>
        </row>
        <row r="280">
          <cell r="B280">
            <v>20178</v>
          </cell>
          <cell r="C280" t="str">
            <v>CHIRIGUANÁ</v>
          </cell>
          <cell r="D280">
            <v>1400</v>
          </cell>
        </row>
        <row r="281">
          <cell r="B281">
            <v>20228</v>
          </cell>
          <cell r="C281" t="str">
            <v>CURUMANÍ</v>
          </cell>
          <cell r="D281">
            <v>458.46699999999998</v>
          </cell>
        </row>
        <row r="282">
          <cell r="B282">
            <v>20000</v>
          </cell>
          <cell r="C282" t="str">
            <v>DEPARTAMENTO DEL CESAR</v>
          </cell>
          <cell r="D282">
            <v>192734.75</v>
          </cell>
        </row>
        <row r="283">
          <cell r="B283">
            <v>20238</v>
          </cell>
          <cell r="C283" t="str">
            <v>EL COPEY</v>
          </cell>
          <cell r="D283">
            <v>5367.0569999999998</v>
          </cell>
        </row>
        <row r="284">
          <cell r="B284">
            <v>20250</v>
          </cell>
          <cell r="C284" t="str">
            <v>EL PASO</v>
          </cell>
          <cell r="D284">
            <v>4773.8100000000004</v>
          </cell>
        </row>
        <row r="285">
          <cell r="B285">
            <v>20295</v>
          </cell>
          <cell r="C285" t="str">
            <v>GAMARRA</v>
          </cell>
          <cell r="D285">
            <v>1218.085</v>
          </cell>
        </row>
        <row r="286">
          <cell r="B286">
            <v>20310</v>
          </cell>
          <cell r="C286" t="str">
            <v>GONZÁLEZ</v>
          </cell>
          <cell r="D286">
            <v>1883.3330000000001</v>
          </cell>
        </row>
        <row r="287">
          <cell r="B287">
            <v>20383</v>
          </cell>
          <cell r="C287" t="str">
            <v>LA GLORIA</v>
          </cell>
          <cell r="D287">
            <v>1723.847</v>
          </cell>
        </row>
        <row r="288">
          <cell r="B288">
            <v>20621</v>
          </cell>
          <cell r="C288" t="str">
            <v>LA PAZ (ROBLES) - CESAR</v>
          </cell>
          <cell r="D288">
            <v>2665.2809999999999</v>
          </cell>
        </row>
        <row r="289">
          <cell r="B289">
            <v>20550</v>
          </cell>
          <cell r="C289" t="str">
            <v>PELAYA</v>
          </cell>
          <cell r="D289">
            <v>500</v>
          </cell>
        </row>
        <row r="290">
          <cell r="B290">
            <v>20570</v>
          </cell>
          <cell r="C290" t="str">
            <v>PUEBLO BELLO</v>
          </cell>
          <cell r="D290">
            <v>745.66300000000001</v>
          </cell>
        </row>
        <row r="291">
          <cell r="B291">
            <v>20614</v>
          </cell>
          <cell r="C291" t="str">
            <v>RÍO DE ORO</v>
          </cell>
          <cell r="D291">
            <v>472.41500000000002</v>
          </cell>
        </row>
        <row r="292">
          <cell r="B292">
            <v>20710</v>
          </cell>
          <cell r="C292" t="str">
            <v>SAN ALBERTO</v>
          </cell>
          <cell r="D292">
            <v>5215.598</v>
          </cell>
        </row>
        <row r="293">
          <cell r="B293">
            <v>20750</v>
          </cell>
          <cell r="C293" t="str">
            <v>SAN DIEGO</v>
          </cell>
          <cell r="D293">
            <v>969.31500000000005</v>
          </cell>
        </row>
        <row r="294">
          <cell r="B294">
            <v>20001</v>
          </cell>
          <cell r="C294" t="str">
            <v>VALLEDUPAR</v>
          </cell>
          <cell r="D294">
            <v>87938</v>
          </cell>
        </row>
        <row r="295">
          <cell r="B295">
            <v>27025</v>
          </cell>
          <cell r="C295" t="str">
            <v>ALTO BAUDÓ  (PIE DE PATO)</v>
          </cell>
          <cell r="D295">
            <v>7124.0010000000002</v>
          </cell>
        </row>
        <row r="296">
          <cell r="B296">
            <v>27077</v>
          </cell>
          <cell r="C296" t="str">
            <v>BAJO BAUDÓ - PIZARRO</v>
          </cell>
          <cell r="D296">
            <v>2366.2460000000001</v>
          </cell>
        </row>
        <row r="297">
          <cell r="B297">
            <v>27150</v>
          </cell>
          <cell r="C297" t="str">
            <v>CARMEN DEL DARIEN</v>
          </cell>
          <cell r="D297">
            <v>3137.1129999999998</v>
          </cell>
        </row>
        <row r="298">
          <cell r="B298">
            <v>27160</v>
          </cell>
          <cell r="C298" t="str">
            <v>CERTEGUÍ</v>
          </cell>
          <cell r="D298">
            <v>1899.373</v>
          </cell>
        </row>
        <row r="299">
          <cell r="B299">
            <v>27000</v>
          </cell>
          <cell r="C299" t="str">
            <v>DEPARTAMENTO DEL CHOCO</v>
          </cell>
          <cell r="D299">
            <v>53684.112999999998</v>
          </cell>
        </row>
        <row r="300">
          <cell r="B300">
            <v>27135</v>
          </cell>
          <cell r="C300" t="str">
            <v>EL CANTÓN DE SAN PABLO (MANAGRÚ)</v>
          </cell>
          <cell r="D300">
            <v>1237.133</v>
          </cell>
        </row>
        <row r="301">
          <cell r="B301">
            <v>27413</v>
          </cell>
          <cell r="C301" t="str">
            <v>LLORÓ</v>
          </cell>
          <cell r="D301">
            <v>2421.6329999999998</v>
          </cell>
        </row>
        <row r="302">
          <cell r="B302">
            <v>27660</v>
          </cell>
          <cell r="C302" t="str">
            <v>SAN JOSÉ DEL PALMAR</v>
          </cell>
          <cell r="D302">
            <v>1780.1869999999999</v>
          </cell>
        </row>
        <row r="303">
          <cell r="B303">
            <v>27745</v>
          </cell>
          <cell r="C303" t="str">
            <v>SIPÍ</v>
          </cell>
          <cell r="D303">
            <v>442.10500000000002</v>
          </cell>
        </row>
        <row r="304">
          <cell r="B304">
            <v>27800</v>
          </cell>
          <cell r="C304" t="str">
            <v>UNGUÍA</v>
          </cell>
          <cell r="D304">
            <v>2326.3809999999999</v>
          </cell>
        </row>
        <row r="305">
          <cell r="B305">
            <v>27810</v>
          </cell>
          <cell r="C305" t="str">
            <v>UNIÓN PANAMERICANA</v>
          </cell>
          <cell r="D305">
            <v>576.24300000000005</v>
          </cell>
        </row>
        <row r="306">
          <cell r="B306">
            <v>23090</v>
          </cell>
          <cell r="C306" t="str">
            <v>CANALETE</v>
          </cell>
          <cell r="D306">
            <v>2825.8580000000002</v>
          </cell>
        </row>
        <row r="307">
          <cell r="B307">
            <v>23162</v>
          </cell>
          <cell r="C307" t="str">
            <v>CERETÉ</v>
          </cell>
          <cell r="D307">
            <v>14000</v>
          </cell>
        </row>
        <row r="308">
          <cell r="B308">
            <v>23182</v>
          </cell>
          <cell r="C308" t="str">
            <v>CHINÚ</v>
          </cell>
          <cell r="D308">
            <v>4924.8209999999999</v>
          </cell>
        </row>
        <row r="309">
          <cell r="B309">
            <v>23300</v>
          </cell>
          <cell r="C309" t="str">
            <v>COTORRA</v>
          </cell>
          <cell r="D309">
            <v>833.33299999999997</v>
          </cell>
        </row>
        <row r="310">
          <cell r="B310">
            <v>23000</v>
          </cell>
          <cell r="C310" t="str">
            <v>DEPARTAMENTO DE CÓRDOBA</v>
          </cell>
          <cell r="D310">
            <v>47269</v>
          </cell>
        </row>
        <row r="311">
          <cell r="B311">
            <v>23350</v>
          </cell>
          <cell r="C311" t="str">
            <v>LA APARTADA</v>
          </cell>
          <cell r="D311">
            <v>1430.6289999999999</v>
          </cell>
        </row>
        <row r="312">
          <cell r="B312">
            <v>23419</v>
          </cell>
          <cell r="C312" t="str">
            <v>LOS CÓRDOBAS</v>
          </cell>
          <cell r="D312">
            <v>4503.22</v>
          </cell>
        </row>
        <row r="313">
          <cell r="B313">
            <v>23464</v>
          </cell>
          <cell r="C313" t="str">
            <v>MOMÍL</v>
          </cell>
          <cell r="D313">
            <v>2000</v>
          </cell>
        </row>
        <row r="314">
          <cell r="B314">
            <v>23466</v>
          </cell>
          <cell r="C314" t="str">
            <v>MONTELÍBANO</v>
          </cell>
          <cell r="D314">
            <v>9717.7839999999997</v>
          </cell>
        </row>
        <row r="315">
          <cell r="B315">
            <v>23001</v>
          </cell>
          <cell r="C315" t="str">
            <v>MONTERÍA</v>
          </cell>
          <cell r="D315">
            <v>59970</v>
          </cell>
        </row>
        <row r="316">
          <cell r="B316">
            <v>23555</v>
          </cell>
          <cell r="C316" t="str">
            <v>PLANETA RICA</v>
          </cell>
          <cell r="D316">
            <v>5.4720000000000004</v>
          </cell>
        </row>
        <row r="317">
          <cell r="B317">
            <v>23570</v>
          </cell>
          <cell r="C317" t="str">
            <v>PUEBLO NUEVO</v>
          </cell>
          <cell r="D317">
            <v>2747.2269999999999</v>
          </cell>
        </row>
        <row r="318">
          <cell r="B318">
            <v>23574</v>
          </cell>
          <cell r="C318" t="str">
            <v>PUERTO ESCONDIDO</v>
          </cell>
          <cell r="D318">
            <v>2731.4160000000002</v>
          </cell>
        </row>
        <row r="319">
          <cell r="B319">
            <v>23672</v>
          </cell>
          <cell r="C319" t="str">
            <v>SAN ANTERO</v>
          </cell>
          <cell r="D319">
            <v>1442.6030000000001</v>
          </cell>
        </row>
        <row r="320">
          <cell r="B320">
            <v>23675</v>
          </cell>
          <cell r="C320" t="str">
            <v>SAN BERNARDO DEL VIENTO</v>
          </cell>
          <cell r="D320">
            <v>3439.625</v>
          </cell>
        </row>
        <row r="321">
          <cell r="B321">
            <v>23678</v>
          </cell>
          <cell r="C321" t="str">
            <v>SAN CARLOS - CORDOBA</v>
          </cell>
          <cell r="D321">
            <v>5193.5060000000003</v>
          </cell>
        </row>
        <row r="322">
          <cell r="B322">
            <v>23682</v>
          </cell>
          <cell r="C322" t="str">
            <v>SAN JOSE DE URE</v>
          </cell>
          <cell r="D322">
            <v>6207.1850000000004</v>
          </cell>
        </row>
        <row r="323">
          <cell r="B323">
            <v>23807</v>
          </cell>
          <cell r="C323" t="str">
            <v>TIERRALTA</v>
          </cell>
          <cell r="D323">
            <v>336.98399999999998</v>
          </cell>
        </row>
        <row r="324">
          <cell r="B324">
            <v>23855</v>
          </cell>
          <cell r="C324" t="str">
            <v>VALENCIA</v>
          </cell>
          <cell r="D324">
            <v>1460.423</v>
          </cell>
        </row>
        <row r="325">
          <cell r="B325">
            <v>25019</v>
          </cell>
          <cell r="C325" t="str">
            <v>ALBÁN</v>
          </cell>
          <cell r="D325">
            <v>753</v>
          </cell>
        </row>
        <row r="326">
          <cell r="B326">
            <v>25040</v>
          </cell>
          <cell r="C326" t="str">
            <v>ANOLAIMA</v>
          </cell>
          <cell r="D326">
            <v>207.125</v>
          </cell>
        </row>
        <row r="327">
          <cell r="B327">
            <v>25599</v>
          </cell>
          <cell r="C327" t="str">
            <v>APULO - RAFAEL REYES</v>
          </cell>
          <cell r="D327">
            <v>525</v>
          </cell>
        </row>
        <row r="328">
          <cell r="B328">
            <v>25053</v>
          </cell>
          <cell r="C328" t="str">
            <v>ARBELÁEZ</v>
          </cell>
          <cell r="D328">
            <v>465.089</v>
          </cell>
        </row>
        <row r="329">
          <cell r="B329">
            <v>11001</v>
          </cell>
          <cell r="C329" t="str">
            <v>BOGOTÁ D.C.</v>
          </cell>
          <cell r="D329">
            <v>1192080.5530000001</v>
          </cell>
        </row>
        <row r="330">
          <cell r="B330">
            <v>25099</v>
          </cell>
          <cell r="C330" t="str">
            <v>BOJACÁ</v>
          </cell>
          <cell r="D330">
            <v>325</v>
          </cell>
        </row>
        <row r="331">
          <cell r="B331">
            <v>25120</v>
          </cell>
          <cell r="C331" t="str">
            <v>CABRERA - CUNDINAMARCA</v>
          </cell>
          <cell r="D331">
            <v>43</v>
          </cell>
        </row>
        <row r="332">
          <cell r="B332">
            <v>25126</v>
          </cell>
          <cell r="C332" t="str">
            <v>CAJICA</v>
          </cell>
          <cell r="D332">
            <v>11127.5</v>
          </cell>
        </row>
        <row r="333">
          <cell r="B333">
            <v>25151</v>
          </cell>
          <cell r="C333" t="str">
            <v>CÁQUEZA</v>
          </cell>
          <cell r="D333">
            <v>749.83299999999997</v>
          </cell>
        </row>
        <row r="334">
          <cell r="B334">
            <v>25175</v>
          </cell>
          <cell r="C334" t="str">
            <v>CHIA</v>
          </cell>
          <cell r="D334">
            <v>3.2000000000000001E-2</v>
          </cell>
        </row>
        <row r="335">
          <cell r="B335">
            <v>25178</v>
          </cell>
          <cell r="C335" t="str">
            <v>CHIPAQUE</v>
          </cell>
          <cell r="D335">
            <v>700</v>
          </cell>
        </row>
        <row r="336">
          <cell r="B336">
            <v>25181</v>
          </cell>
          <cell r="C336" t="str">
            <v>CHOACHÍ</v>
          </cell>
          <cell r="D336">
            <v>89.334999999999994</v>
          </cell>
        </row>
        <row r="337">
          <cell r="B337">
            <v>25200</v>
          </cell>
          <cell r="C337" t="str">
            <v>COGUA</v>
          </cell>
          <cell r="D337">
            <v>4.2859999999999996</v>
          </cell>
        </row>
        <row r="338">
          <cell r="B338">
            <v>25214</v>
          </cell>
          <cell r="C338" t="str">
            <v>COTA</v>
          </cell>
          <cell r="D338">
            <v>27481.083999999999</v>
          </cell>
        </row>
        <row r="339">
          <cell r="B339">
            <v>25000</v>
          </cell>
          <cell r="C339" t="str">
            <v>DEPARTAMENTO DE CUNDINAMARCA</v>
          </cell>
          <cell r="D339">
            <v>769965.576</v>
          </cell>
        </row>
        <row r="340">
          <cell r="B340">
            <v>25258</v>
          </cell>
          <cell r="C340" t="str">
            <v>EL PEÑÓN - CUNDINAMARCA</v>
          </cell>
          <cell r="D340">
            <v>512.5</v>
          </cell>
        </row>
        <row r="341">
          <cell r="B341">
            <v>25269</v>
          </cell>
          <cell r="C341" t="str">
            <v>FACATATIVÁ</v>
          </cell>
          <cell r="D341">
            <v>17652.048999999999</v>
          </cell>
        </row>
        <row r="342">
          <cell r="B342">
            <v>25286</v>
          </cell>
          <cell r="C342" t="str">
            <v>FUNZA</v>
          </cell>
          <cell r="D342">
            <v>12475.913</v>
          </cell>
        </row>
        <row r="343">
          <cell r="B343">
            <v>25288</v>
          </cell>
          <cell r="C343" t="str">
            <v>FÚQUENE</v>
          </cell>
          <cell r="D343">
            <v>75</v>
          </cell>
        </row>
        <row r="344">
          <cell r="B344">
            <v>25295</v>
          </cell>
          <cell r="C344" t="str">
            <v>GACHANCIPÁ</v>
          </cell>
          <cell r="D344">
            <v>1823.752</v>
          </cell>
        </row>
        <row r="345">
          <cell r="B345">
            <v>25297</v>
          </cell>
          <cell r="C345" t="str">
            <v>GACHETÁ</v>
          </cell>
          <cell r="D345">
            <v>1550</v>
          </cell>
        </row>
        <row r="346">
          <cell r="B346">
            <v>25307</v>
          </cell>
          <cell r="C346" t="str">
            <v>GIRARDOT</v>
          </cell>
          <cell r="D346">
            <v>11720.509</v>
          </cell>
        </row>
        <row r="347">
          <cell r="B347">
            <v>25320</v>
          </cell>
          <cell r="C347" t="str">
            <v>GUADUAS</v>
          </cell>
          <cell r="D347">
            <v>96.25</v>
          </cell>
        </row>
        <row r="348">
          <cell r="B348">
            <v>25322</v>
          </cell>
          <cell r="C348" t="str">
            <v>GUASCA</v>
          </cell>
          <cell r="D348">
            <v>1400</v>
          </cell>
        </row>
        <row r="349">
          <cell r="B349">
            <v>25335</v>
          </cell>
          <cell r="C349" t="str">
            <v>GUAYABETAL</v>
          </cell>
          <cell r="D349">
            <v>613.33299999999997</v>
          </cell>
        </row>
        <row r="350">
          <cell r="B350">
            <v>25368</v>
          </cell>
          <cell r="C350" t="str">
            <v>JERUSALÉN</v>
          </cell>
          <cell r="D350">
            <v>140</v>
          </cell>
        </row>
        <row r="351">
          <cell r="B351">
            <v>25377</v>
          </cell>
          <cell r="C351" t="str">
            <v>LA CALERA</v>
          </cell>
          <cell r="D351">
            <v>2423.7150000000001</v>
          </cell>
        </row>
        <row r="352">
          <cell r="B352">
            <v>25386</v>
          </cell>
          <cell r="C352" t="str">
            <v>LA MESA</v>
          </cell>
          <cell r="D352">
            <v>9075</v>
          </cell>
        </row>
        <row r="353">
          <cell r="B353">
            <v>25402</v>
          </cell>
          <cell r="C353" t="str">
            <v>LA VEGA - CUNDINAMARCA</v>
          </cell>
          <cell r="D353">
            <v>2390</v>
          </cell>
        </row>
        <row r="354">
          <cell r="B354">
            <v>25407</v>
          </cell>
          <cell r="C354" t="str">
            <v>LENGUAZAQUE</v>
          </cell>
          <cell r="D354">
            <v>360</v>
          </cell>
        </row>
        <row r="355">
          <cell r="B355">
            <v>25430</v>
          </cell>
          <cell r="C355" t="str">
            <v>MADRID - CUNDINAMARCA</v>
          </cell>
          <cell r="D355">
            <v>8586.3430000000008</v>
          </cell>
        </row>
        <row r="356">
          <cell r="B356">
            <v>25438</v>
          </cell>
          <cell r="C356" t="str">
            <v>MEDINA</v>
          </cell>
          <cell r="D356">
            <v>800</v>
          </cell>
        </row>
        <row r="357">
          <cell r="B357">
            <v>25473</v>
          </cell>
          <cell r="C357" t="str">
            <v>MOSQUERA - CUNDINAMARCA</v>
          </cell>
          <cell r="D357">
            <v>28239.823</v>
          </cell>
        </row>
        <row r="358">
          <cell r="B358">
            <v>25486</v>
          </cell>
          <cell r="C358" t="str">
            <v>NEMOCÓN</v>
          </cell>
          <cell r="D358">
            <v>2420</v>
          </cell>
        </row>
        <row r="359">
          <cell r="B359">
            <v>25488</v>
          </cell>
          <cell r="C359" t="str">
            <v>NILO</v>
          </cell>
          <cell r="D359">
            <v>409.33199999999999</v>
          </cell>
        </row>
        <row r="360">
          <cell r="B360">
            <v>25513</v>
          </cell>
          <cell r="C360" t="str">
            <v>PACHO</v>
          </cell>
          <cell r="D360">
            <v>250</v>
          </cell>
        </row>
        <row r="361">
          <cell r="B361">
            <v>25535</v>
          </cell>
          <cell r="C361" t="str">
            <v>PASCA</v>
          </cell>
          <cell r="D361">
            <v>136.93799999999999</v>
          </cell>
        </row>
        <row r="362">
          <cell r="B362">
            <v>25596</v>
          </cell>
          <cell r="C362" t="str">
            <v>QUIPILE</v>
          </cell>
          <cell r="D362">
            <v>267.512</v>
          </cell>
        </row>
        <row r="363">
          <cell r="B363">
            <v>25612</v>
          </cell>
          <cell r="C363" t="str">
            <v>RICAURTE - CUNDINAMARCA</v>
          </cell>
          <cell r="D363">
            <v>16895.712</v>
          </cell>
        </row>
        <row r="364">
          <cell r="B364">
            <v>25718</v>
          </cell>
          <cell r="C364" t="str">
            <v>SASAIMA</v>
          </cell>
          <cell r="D364">
            <v>1336.787</v>
          </cell>
        </row>
        <row r="365">
          <cell r="B365">
            <v>25740</v>
          </cell>
          <cell r="C365" t="str">
            <v>SIBATÉ</v>
          </cell>
          <cell r="D365">
            <v>3.45</v>
          </cell>
        </row>
        <row r="366">
          <cell r="B366">
            <v>25743</v>
          </cell>
          <cell r="C366" t="str">
            <v>SILVANIA</v>
          </cell>
          <cell r="D366">
            <v>3500</v>
          </cell>
        </row>
        <row r="367">
          <cell r="B367">
            <v>25754</v>
          </cell>
          <cell r="C367" t="str">
            <v>SOACHA</v>
          </cell>
          <cell r="D367">
            <v>36395.962</v>
          </cell>
        </row>
        <row r="368">
          <cell r="B368">
            <v>25758</v>
          </cell>
          <cell r="C368" t="str">
            <v>SOPÓ</v>
          </cell>
          <cell r="D368">
            <v>357.14299999999997</v>
          </cell>
        </row>
        <row r="369">
          <cell r="B369">
            <v>25777</v>
          </cell>
          <cell r="C369" t="str">
            <v>SUPATÁ</v>
          </cell>
          <cell r="D369">
            <v>7.141</v>
          </cell>
        </row>
        <row r="370">
          <cell r="B370">
            <v>25785</v>
          </cell>
          <cell r="C370" t="str">
            <v>TABIO</v>
          </cell>
          <cell r="D370">
            <v>4119.4440000000004</v>
          </cell>
        </row>
        <row r="371">
          <cell r="B371">
            <v>25793</v>
          </cell>
          <cell r="C371" t="str">
            <v>TAUSA</v>
          </cell>
          <cell r="D371">
            <v>132.16499999999999</v>
          </cell>
        </row>
        <row r="372">
          <cell r="B372">
            <v>25797</v>
          </cell>
          <cell r="C372" t="str">
            <v>TENA</v>
          </cell>
          <cell r="D372">
            <v>1020.803</v>
          </cell>
        </row>
        <row r="373">
          <cell r="B373">
            <v>25799</v>
          </cell>
          <cell r="C373" t="str">
            <v>TENJO</v>
          </cell>
          <cell r="D373">
            <v>9532.9159999999993</v>
          </cell>
        </row>
        <row r="374">
          <cell r="B374">
            <v>25815</v>
          </cell>
          <cell r="C374" t="str">
            <v>TOCAIMA</v>
          </cell>
          <cell r="D374">
            <v>591.86500000000001</v>
          </cell>
        </row>
        <row r="375">
          <cell r="B375">
            <v>25817</v>
          </cell>
          <cell r="C375" t="str">
            <v>TOCANCIPÁ</v>
          </cell>
          <cell r="D375">
            <v>5513.152</v>
          </cell>
        </row>
        <row r="376">
          <cell r="B376">
            <v>25843</v>
          </cell>
          <cell r="C376" t="str">
            <v>UBATÉ</v>
          </cell>
          <cell r="D376">
            <v>494.44400000000002</v>
          </cell>
        </row>
        <row r="377">
          <cell r="B377">
            <v>25845</v>
          </cell>
          <cell r="C377" t="str">
            <v>UNE</v>
          </cell>
          <cell r="D377">
            <v>300</v>
          </cell>
        </row>
        <row r="378">
          <cell r="B378">
            <v>25862</v>
          </cell>
          <cell r="C378" t="str">
            <v>VERGARA</v>
          </cell>
          <cell r="D378">
            <v>306.233</v>
          </cell>
        </row>
        <row r="379">
          <cell r="B379">
            <v>25873</v>
          </cell>
          <cell r="C379" t="str">
            <v>VILLAPINZÓN</v>
          </cell>
          <cell r="D379">
            <v>393.745</v>
          </cell>
        </row>
        <row r="380">
          <cell r="B380">
            <v>25878</v>
          </cell>
          <cell r="C380" t="str">
            <v>VIOTÁ</v>
          </cell>
          <cell r="D380">
            <v>1714.9580000000001</v>
          </cell>
        </row>
        <row r="381">
          <cell r="B381">
            <v>25899</v>
          </cell>
          <cell r="C381" t="str">
            <v>ZIPAQUIRÁ</v>
          </cell>
          <cell r="D381">
            <v>23757.469000000001</v>
          </cell>
        </row>
        <row r="382">
          <cell r="B382">
            <v>44035</v>
          </cell>
          <cell r="C382" t="str">
            <v>ALBANIA - GUAJIRA</v>
          </cell>
          <cell r="D382">
            <v>4529.7619999999997</v>
          </cell>
        </row>
        <row r="383">
          <cell r="B383">
            <v>44000</v>
          </cell>
          <cell r="C383" t="str">
            <v>DEPARTAMENTO DE LA GUAJIRA</v>
          </cell>
          <cell r="D383">
            <v>100126</v>
          </cell>
        </row>
        <row r="384">
          <cell r="B384">
            <v>44090</v>
          </cell>
          <cell r="C384" t="str">
            <v>DIBULLA</v>
          </cell>
          <cell r="D384">
            <v>4146.1149999999998</v>
          </cell>
        </row>
        <row r="385">
          <cell r="B385">
            <v>44098</v>
          </cell>
          <cell r="C385" t="str">
            <v>DISTRACCIÓN</v>
          </cell>
          <cell r="D385">
            <v>1085.1289999999999</v>
          </cell>
        </row>
        <row r="386">
          <cell r="B386">
            <v>44279</v>
          </cell>
          <cell r="C386" t="str">
            <v>FONSECA</v>
          </cell>
          <cell r="D386">
            <v>1671.434</v>
          </cell>
        </row>
        <row r="387">
          <cell r="B387">
            <v>44378</v>
          </cell>
          <cell r="C387" t="str">
            <v>HATO NUEVO</v>
          </cell>
          <cell r="D387">
            <v>562.5</v>
          </cell>
        </row>
        <row r="388">
          <cell r="B388">
            <v>44420</v>
          </cell>
          <cell r="C388" t="str">
            <v>LA JAGUA DEL PILAR</v>
          </cell>
          <cell r="D388">
            <v>3000</v>
          </cell>
        </row>
        <row r="389">
          <cell r="B389">
            <v>44001</v>
          </cell>
          <cell r="C389" t="str">
            <v>RIOHACHA</v>
          </cell>
          <cell r="D389">
            <v>12253.041999999999</v>
          </cell>
        </row>
        <row r="390">
          <cell r="B390">
            <v>44650</v>
          </cell>
          <cell r="C390" t="str">
            <v>SAN JUAN DEL CESAR</v>
          </cell>
          <cell r="D390">
            <v>242.464</v>
          </cell>
        </row>
        <row r="391">
          <cell r="B391">
            <v>44847</v>
          </cell>
          <cell r="C391" t="str">
            <v>URIBIA</v>
          </cell>
          <cell r="D391">
            <v>2000</v>
          </cell>
        </row>
        <row r="392">
          <cell r="B392">
            <v>44855</v>
          </cell>
          <cell r="C392" t="str">
            <v>URUMITA</v>
          </cell>
          <cell r="D392">
            <v>3000</v>
          </cell>
        </row>
        <row r="393">
          <cell r="B393">
            <v>44874</v>
          </cell>
          <cell r="C393" t="str">
            <v>VILLANUEVA - GUAJIRA</v>
          </cell>
          <cell r="D393">
            <v>2350</v>
          </cell>
        </row>
        <row r="394">
          <cell r="B394">
            <v>95000</v>
          </cell>
          <cell r="C394" t="str">
            <v>DEPARTAMENTO DEL GUAVIARE</v>
          </cell>
          <cell r="D394">
            <v>5076</v>
          </cell>
        </row>
        <row r="395">
          <cell r="B395">
            <v>95025</v>
          </cell>
          <cell r="C395" t="str">
            <v>EL RETORNO</v>
          </cell>
          <cell r="D395">
            <v>787.5</v>
          </cell>
        </row>
        <row r="396">
          <cell r="B396">
            <v>95001</v>
          </cell>
          <cell r="C396" t="str">
            <v>SAN JOSÉ DEL GUAVIARE</v>
          </cell>
          <cell r="D396">
            <v>1660</v>
          </cell>
        </row>
        <row r="397">
          <cell r="B397">
            <v>41006</v>
          </cell>
          <cell r="C397" t="str">
            <v>ACEVEDO</v>
          </cell>
          <cell r="D397">
            <v>2306.4699999999998</v>
          </cell>
        </row>
        <row r="398">
          <cell r="B398">
            <v>41016</v>
          </cell>
          <cell r="C398" t="str">
            <v>AIPE</v>
          </cell>
          <cell r="D398">
            <v>275.78800000000001</v>
          </cell>
        </row>
        <row r="399">
          <cell r="B399">
            <v>41020</v>
          </cell>
          <cell r="C399" t="str">
            <v>ALGECIRAS</v>
          </cell>
          <cell r="D399">
            <v>325.83300000000003</v>
          </cell>
        </row>
        <row r="400">
          <cell r="B400">
            <v>41078</v>
          </cell>
          <cell r="C400" t="str">
            <v>BARAYA</v>
          </cell>
          <cell r="D400">
            <v>981.87800000000004</v>
          </cell>
        </row>
        <row r="401">
          <cell r="B401">
            <v>41132</v>
          </cell>
          <cell r="C401" t="str">
            <v>CAMPOALEGRE</v>
          </cell>
          <cell r="D401">
            <v>3143.6469999999999</v>
          </cell>
        </row>
        <row r="402">
          <cell r="B402">
            <v>41000</v>
          </cell>
          <cell r="C402" t="str">
            <v>DEPARTAMENTO DEL HUILA</v>
          </cell>
          <cell r="D402">
            <v>27250</v>
          </cell>
        </row>
        <row r="403">
          <cell r="B403">
            <v>41013</v>
          </cell>
          <cell r="C403" t="str">
            <v>EL AGRADO</v>
          </cell>
          <cell r="D403">
            <v>1102</v>
          </cell>
        </row>
        <row r="404">
          <cell r="B404">
            <v>41548</v>
          </cell>
          <cell r="C404" t="str">
            <v>EL PITAL</v>
          </cell>
          <cell r="D404">
            <v>190.12299999999999</v>
          </cell>
        </row>
        <row r="405">
          <cell r="B405">
            <v>41298</v>
          </cell>
          <cell r="C405" t="str">
            <v>GARZÓN</v>
          </cell>
          <cell r="D405">
            <v>4308.8180000000002</v>
          </cell>
        </row>
        <row r="406">
          <cell r="B406">
            <v>41306</v>
          </cell>
          <cell r="C406" t="str">
            <v>GIGANTE</v>
          </cell>
          <cell r="D406">
            <v>2893.0030000000002</v>
          </cell>
        </row>
        <row r="407">
          <cell r="B407">
            <v>41319</v>
          </cell>
          <cell r="C407" t="str">
            <v>GUADALUPE - HUILA</v>
          </cell>
          <cell r="D407">
            <v>2247.165</v>
          </cell>
        </row>
        <row r="408">
          <cell r="B408">
            <v>41359</v>
          </cell>
          <cell r="C408" t="str">
            <v>ISNOS</v>
          </cell>
          <cell r="D408">
            <v>0.215</v>
          </cell>
        </row>
        <row r="409">
          <cell r="B409">
            <v>41378</v>
          </cell>
          <cell r="C409" t="str">
            <v>LA ARGENTINA</v>
          </cell>
          <cell r="D409">
            <v>1277.7449999999999</v>
          </cell>
        </row>
        <row r="410">
          <cell r="B410">
            <v>41396</v>
          </cell>
          <cell r="C410" t="str">
            <v>LA PLATA</v>
          </cell>
          <cell r="D410">
            <v>1558.5219999999999</v>
          </cell>
        </row>
        <row r="411">
          <cell r="B411">
            <v>41483</v>
          </cell>
          <cell r="C411" t="str">
            <v>NÁTAGA</v>
          </cell>
          <cell r="D411">
            <v>325.10700000000003</v>
          </cell>
        </row>
        <row r="412">
          <cell r="B412">
            <v>41001</v>
          </cell>
          <cell r="C412" t="str">
            <v>NEIVA</v>
          </cell>
          <cell r="D412">
            <v>57495.47</v>
          </cell>
        </row>
        <row r="413">
          <cell r="B413">
            <v>41503</v>
          </cell>
          <cell r="C413" t="str">
            <v>OPORAPA</v>
          </cell>
          <cell r="D413">
            <v>1736.2329999999999</v>
          </cell>
        </row>
        <row r="414">
          <cell r="B414">
            <v>41518</v>
          </cell>
          <cell r="C414" t="str">
            <v>PAICOL</v>
          </cell>
          <cell r="D414">
            <v>622.15</v>
          </cell>
        </row>
        <row r="415">
          <cell r="B415">
            <v>41524</v>
          </cell>
          <cell r="C415" t="str">
            <v>PALERMO</v>
          </cell>
          <cell r="D415">
            <v>2949.7930000000001</v>
          </cell>
        </row>
        <row r="416">
          <cell r="B416">
            <v>41530</v>
          </cell>
          <cell r="C416" t="str">
            <v>PALESTINA - HUILA</v>
          </cell>
          <cell r="D416">
            <v>636.20299999999997</v>
          </cell>
        </row>
        <row r="417">
          <cell r="B417">
            <v>41551</v>
          </cell>
          <cell r="C417" t="str">
            <v>PITALITO</v>
          </cell>
          <cell r="D417">
            <v>8930.4120000000003</v>
          </cell>
        </row>
        <row r="418">
          <cell r="B418">
            <v>41615</v>
          </cell>
          <cell r="C418" t="str">
            <v>RIVERA</v>
          </cell>
          <cell r="D418">
            <v>6358.75</v>
          </cell>
        </row>
        <row r="419">
          <cell r="B419">
            <v>41660</v>
          </cell>
          <cell r="C419" t="str">
            <v>SALADOBLANCO</v>
          </cell>
          <cell r="D419">
            <v>1513.64</v>
          </cell>
        </row>
        <row r="420">
          <cell r="B420">
            <v>41668</v>
          </cell>
          <cell r="C420" t="str">
            <v>SAN AGUSTÍN</v>
          </cell>
          <cell r="D420">
            <v>517.31299999999999</v>
          </cell>
        </row>
        <row r="421">
          <cell r="B421">
            <v>41676</v>
          </cell>
          <cell r="C421" t="str">
            <v>SANTA MARÍA - HUILA</v>
          </cell>
          <cell r="D421">
            <v>106</v>
          </cell>
        </row>
        <row r="422">
          <cell r="B422">
            <v>41770</v>
          </cell>
          <cell r="C422" t="str">
            <v>SUAZA</v>
          </cell>
          <cell r="D422">
            <v>1937.4369999999999</v>
          </cell>
        </row>
        <row r="423">
          <cell r="B423">
            <v>41791</v>
          </cell>
          <cell r="C423" t="str">
            <v>TÁRQUI</v>
          </cell>
          <cell r="D423">
            <v>1306.7380000000001</v>
          </cell>
        </row>
        <row r="424">
          <cell r="B424">
            <v>41799</v>
          </cell>
          <cell r="C424" t="str">
            <v>TELLO</v>
          </cell>
          <cell r="D424">
            <v>1913.5</v>
          </cell>
        </row>
        <row r="425">
          <cell r="B425">
            <v>41801</v>
          </cell>
          <cell r="C425" t="str">
            <v>TERUEL</v>
          </cell>
          <cell r="D425">
            <v>50</v>
          </cell>
        </row>
        <row r="426">
          <cell r="B426">
            <v>41797</v>
          </cell>
          <cell r="C426" t="str">
            <v>TESALIA</v>
          </cell>
          <cell r="D426">
            <v>1439.4549999999999</v>
          </cell>
        </row>
        <row r="427">
          <cell r="B427">
            <v>41807</v>
          </cell>
          <cell r="C427" t="str">
            <v>TIMANÁ</v>
          </cell>
          <cell r="D427">
            <v>386.85300000000001</v>
          </cell>
        </row>
        <row r="428">
          <cell r="B428">
            <v>41872</v>
          </cell>
          <cell r="C428" t="str">
            <v>VILLAVIEJA</v>
          </cell>
          <cell r="D428">
            <v>414.7</v>
          </cell>
        </row>
        <row r="429">
          <cell r="B429">
            <v>41885</v>
          </cell>
          <cell r="C429" t="str">
            <v>YAGUARA</v>
          </cell>
          <cell r="D429">
            <v>1666.7850000000001</v>
          </cell>
        </row>
        <row r="430">
          <cell r="B430">
            <v>47030</v>
          </cell>
          <cell r="C430" t="str">
            <v>ALGARROBO</v>
          </cell>
          <cell r="D430">
            <v>2657.3310000000001</v>
          </cell>
        </row>
        <row r="431">
          <cell r="B431">
            <v>47053</v>
          </cell>
          <cell r="C431" t="str">
            <v>ARACATACA</v>
          </cell>
          <cell r="D431">
            <v>5000</v>
          </cell>
        </row>
        <row r="432">
          <cell r="B432">
            <v>47058</v>
          </cell>
          <cell r="C432" t="str">
            <v>ARIGUANÍ</v>
          </cell>
          <cell r="D432">
            <v>1733.943</v>
          </cell>
        </row>
        <row r="433">
          <cell r="B433">
            <v>47161</v>
          </cell>
          <cell r="C433" t="str">
            <v>CERRO DE SAN ANTONIO</v>
          </cell>
          <cell r="D433">
            <v>343.75</v>
          </cell>
        </row>
        <row r="434">
          <cell r="B434">
            <v>47189</v>
          </cell>
          <cell r="C434" t="str">
            <v>CIÉNAGA</v>
          </cell>
          <cell r="D434">
            <v>4810</v>
          </cell>
        </row>
        <row r="435">
          <cell r="B435">
            <v>47000</v>
          </cell>
          <cell r="C435" t="str">
            <v>DEPARTAMENTO DEL MAGDALENA</v>
          </cell>
          <cell r="D435">
            <v>20141</v>
          </cell>
        </row>
        <row r="436">
          <cell r="B436">
            <v>47245</v>
          </cell>
          <cell r="C436" t="str">
            <v>EL BANCO</v>
          </cell>
          <cell r="D436">
            <v>6747.4920000000002</v>
          </cell>
        </row>
        <row r="437">
          <cell r="B437">
            <v>47258</v>
          </cell>
          <cell r="C437" t="str">
            <v>EL PIÑÓN</v>
          </cell>
          <cell r="D437">
            <v>2496.8249999999998</v>
          </cell>
        </row>
        <row r="438">
          <cell r="B438">
            <v>47268</v>
          </cell>
          <cell r="C438" t="str">
            <v>EL RETÉN</v>
          </cell>
          <cell r="D438">
            <v>4035</v>
          </cell>
        </row>
        <row r="439">
          <cell r="B439">
            <v>47288</v>
          </cell>
          <cell r="C439" t="str">
            <v>FUNDACIÓN</v>
          </cell>
          <cell r="D439">
            <v>3476.192</v>
          </cell>
        </row>
        <row r="440">
          <cell r="B440">
            <v>47460</v>
          </cell>
          <cell r="C440" t="str">
            <v>NUEVA GRANADA</v>
          </cell>
          <cell r="D440">
            <v>5262.0820000000003</v>
          </cell>
        </row>
        <row r="441">
          <cell r="B441">
            <v>47541</v>
          </cell>
          <cell r="C441" t="str">
            <v>PEDRAZA</v>
          </cell>
          <cell r="D441">
            <v>2275.2689999999998</v>
          </cell>
        </row>
        <row r="442">
          <cell r="B442">
            <v>47545</v>
          </cell>
          <cell r="C442" t="str">
            <v>PIJIÑO DEL CARMEN</v>
          </cell>
          <cell r="D442">
            <v>789.202</v>
          </cell>
        </row>
        <row r="443">
          <cell r="B443">
            <v>47551</v>
          </cell>
          <cell r="C443" t="str">
            <v>PIVIJAY</v>
          </cell>
          <cell r="D443">
            <v>3513.453</v>
          </cell>
        </row>
        <row r="444">
          <cell r="B444">
            <v>47570</v>
          </cell>
          <cell r="C444" t="str">
            <v>PUEBLOVIEJO</v>
          </cell>
          <cell r="D444">
            <v>3146.7179999999998</v>
          </cell>
        </row>
        <row r="445">
          <cell r="B445">
            <v>47675</v>
          </cell>
          <cell r="C445" t="str">
            <v>SALAMINA - MAGDALENA</v>
          </cell>
          <cell r="D445">
            <v>1741.6669999999999</v>
          </cell>
        </row>
        <row r="446">
          <cell r="B446">
            <v>47692</v>
          </cell>
          <cell r="C446" t="str">
            <v>SAN SEBASTIAN DE BUENAVISTA</v>
          </cell>
          <cell r="D446">
            <v>525</v>
          </cell>
        </row>
        <row r="447">
          <cell r="B447">
            <v>47703</v>
          </cell>
          <cell r="C447" t="str">
            <v>SAN ZENÓN</v>
          </cell>
          <cell r="D447">
            <v>2021.3240000000001</v>
          </cell>
        </row>
        <row r="448">
          <cell r="B448">
            <v>47707</v>
          </cell>
          <cell r="C448" t="str">
            <v>SANTA ANA</v>
          </cell>
          <cell r="D448">
            <v>4955.4319999999998</v>
          </cell>
        </row>
        <row r="449">
          <cell r="B449">
            <v>47720</v>
          </cell>
          <cell r="C449" t="str">
            <v>SANTA BÁRBARA DE PINTO</v>
          </cell>
          <cell r="D449">
            <v>1857.9949999999999</v>
          </cell>
        </row>
        <row r="450">
          <cell r="B450">
            <v>47001</v>
          </cell>
          <cell r="C450" t="str">
            <v>SANTA MARTA, DISTRITO TURISTICO, CULTURAL E HISTORICO</v>
          </cell>
          <cell r="D450">
            <v>110716</v>
          </cell>
        </row>
        <row r="451">
          <cell r="B451">
            <v>47980</v>
          </cell>
          <cell r="C451" t="str">
            <v>ZONA BANANERA</v>
          </cell>
          <cell r="D451">
            <v>5204.0079999999998</v>
          </cell>
        </row>
        <row r="452">
          <cell r="B452">
            <v>50006</v>
          </cell>
          <cell r="C452" t="str">
            <v>ACACÍAS</v>
          </cell>
          <cell r="D452">
            <v>2776.1889999999999</v>
          </cell>
        </row>
        <row r="453">
          <cell r="B453">
            <v>50223</v>
          </cell>
          <cell r="C453" t="str">
            <v>CUBARRAL</v>
          </cell>
          <cell r="D453">
            <v>467.61599999999999</v>
          </cell>
        </row>
        <row r="454">
          <cell r="B454">
            <v>50226</v>
          </cell>
          <cell r="C454" t="str">
            <v>CUMARAL</v>
          </cell>
          <cell r="D454">
            <v>7000</v>
          </cell>
        </row>
        <row r="455">
          <cell r="B455">
            <v>50000</v>
          </cell>
          <cell r="C455" t="str">
            <v>DEPARTAMENTO DEL META</v>
          </cell>
          <cell r="D455">
            <v>272569.42</v>
          </cell>
        </row>
        <row r="456">
          <cell r="B456">
            <v>50287</v>
          </cell>
          <cell r="C456" t="str">
            <v>FUENTE DE ORO</v>
          </cell>
          <cell r="D456">
            <v>1211.905</v>
          </cell>
        </row>
        <row r="457">
          <cell r="B457">
            <v>50313</v>
          </cell>
          <cell r="C457" t="str">
            <v>GRANADA - META</v>
          </cell>
          <cell r="D457">
            <v>1710.1110000000001</v>
          </cell>
        </row>
        <row r="458">
          <cell r="B458">
            <v>50450</v>
          </cell>
          <cell r="C458" t="str">
            <v>PUERTO CONCORDIA</v>
          </cell>
          <cell r="D458">
            <v>927.65899999999999</v>
          </cell>
        </row>
        <row r="459">
          <cell r="B459">
            <v>50577</v>
          </cell>
          <cell r="C459" t="str">
            <v>PUERTO LLERAS</v>
          </cell>
          <cell r="D459">
            <v>1507.24</v>
          </cell>
        </row>
        <row r="460">
          <cell r="B460">
            <v>50573</v>
          </cell>
          <cell r="C460" t="str">
            <v>PUERTO LÓPEZ</v>
          </cell>
          <cell r="D460">
            <v>12279.109</v>
          </cell>
        </row>
        <row r="461">
          <cell r="B461">
            <v>50590</v>
          </cell>
          <cell r="C461" t="str">
            <v>PUERTO RICO - META</v>
          </cell>
          <cell r="D461">
            <v>4000</v>
          </cell>
        </row>
        <row r="462">
          <cell r="B462">
            <v>50606</v>
          </cell>
          <cell r="C462" t="str">
            <v>RESTREPO - META</v>
          </cell>
          <cell r="D462">
            <v>15.664</v>
          </cell>
        </row>
        <row r="463">
          <cell r="B463">
            <v>50680</v>
          </cell>
          <cell r="C463" t="str">
            <v>SAN CARLOS DE GUAROA</v>
          </cell>
          <cell r="D463">
            <v>1620.1559999999999</v>
          </cell>
        </row>
        <row r="464">
          <cell r="B464">
            <v>50689</v>
          </cell>
          <cell r="C464" t="str">
            <v>SAN MARTÍN - META</v>
          </cell>
          <cell r="D464">
            <v>2309.634</v>
          </cell>
        </row>
        <row r="465">
          <cell r="B465">
            <v>50001</v>
          </cell>
          <cell r="C465" t="str">
            <v>VILLAVICENCIO</v>
          </cell>
          <cell r="D465">
            <v>64081</v>
          </cell>
        </row>
        <row r="466">
          <cell r="B466">
            <v>52019</v>
          </cell>
          <cell r="C466" t="str">
            <v>ALBÁN (SAN JOSÉ)</v>
          </cell>
          <cell r="D466">
            <v>2220.8330000000001</v>
          </cell>
        </row>
        <row r="467">
          <cell r="B467">
            <v>52051</v>
          </cell>
          <cell r="C467" t="str">
            <v>ARBOLEDA - BERRUECOS</v>
          </cell>
          <cell r="D467">
            <v>1847.2760000000001</v>
          </cell>
        </row>
        <row r="468">
          <cell r="B468">
            <v>52083</v>
          </cell>
          <cell r="C468" t="str">
            <v>BELÉN - NARIÑO</v>
          </cell>
          <cell r="D468">
            <v>774.92499999999995</v>
          </cell>
        </row>
        <row r="469">
          <cell r="B469">
            <v>52110</v>
          </cell>
          <cell r="C469" t="str">
            <v>BUESACO</v>
          </cell>
          <cell r="D469">
            <v>330.34699999999998</v>
          </cell>
        </row>
        <row r="470">
          <cell r="B470">
            <v>52240</v>
          </cell>
          <cell r="C470" t="str">
            <v>CHACHAGüÍ</v>
          </cell>
          <cell r="D470">
            <v>1682.9549999999999</v>
          </cell>
        </row>
        <row r="471">
          <cell r="B471">
            <v>52203</v>
          </cell>
          <cell r="C471" t="str">
            <v>COLÓN (GÉNOVA) - NARIÑO</v>
          </cell>
          <cell r="D471">
            <v>1000</v>
          </cell>
        </row>
        <row r="472">
          <cell r="B472">
            <v>52207</v>
          </cell>
          <cell r="C472" t="str">
            <v>CONSACÁ</v>
          </cell>
          <cell r="D472">
            <v>492.35899999999998</v>
          </cell>
        </row>
        <row r="473">
          <cell r="B473">
            <v>52210</v>
          </cell>
          <cell r="C473" t="str">
            <v>CONTADERO</v>
          </cell>
          <cell r="D473">
            <v>1250</v>
          </cell>
        </row>
        <row r="474">
          <cell r="B474">
            <v>52215</v>
          </cell>
          <cell r="C474" t="str">
            <v>CÓRDOBA - NARIÑO</v>
          </cell>
          <cell r="D474">
            <v>752.99</v>
          </cell>
        </row>
        <row r="475">
          <cell r="B475">
            <v>52224</v>
          </cell>
          <cell r="C475" t="str">
            <v>CUASPUD (CARLOSAMA)</v>
          </cell>
          <cell r="D475">
            <v>1539.915</v>
          </cell>
        </row>
        <row r="476">
          <cell r="B476">
            <v>52000</v>
          </cell>
          <cell r="C476" t="str">
            <v>DEPARTAMENTO DE NARIÑO</v>
          </cell>
          <cell r="D476">
            <v>4429</v>
          </cell>
        </row>
        <row r="477">
          <cell r="B477">
            <v>52250</v>
          </cell>
          <cell r="C477" t="str">
            <v>EL CHARCO</v>
          </cell>
          <cell r="D477">
            <v>897.11900000000003</v>
          </cell>
        </row>
        <row r="478">
          <cell r="B478">
            <v>52254</v>
          </cell>
          <cell r="C478" t="str">
            <v>EL PEÑOL - NARIÑO</v>
          </cell>
          <cell r="D478">
            <v>121.209</v>
          </cell>
        </row>
        <row r="479">
          <cell r="B479">
            <v>52258</v>
          </cell>
          <cell r="C479" t="str">
            <v>EL TABLÓN DE GÓMEZ</v>
          </cell>
          <cell r="D479">
            <v>130</v>
          </cell>
        </row>
        <row r="480">
          <cell r="B480">
            <v>52520</v>
          </cell>
          <cell r="C480" t="str">
            <v>FRANCISCO PIZARRO (SALAHONDA)</v>
          </cell>
          <cell r="D480">
            <v>527.77800000000002</v>
          </cell>
        </row>
        <row r="481">
          <cell r="B481">
            <v>52287</v>
          </cell>
          <cell r="C481" t="str">
            <v>FUNES</v>
          </cell>
          <cell r="D481">
            <v>974.28200000000004</v>
          </cell>
        </row>
        <row r="482">
          <cell r="B482">
            <v>52317</v>
          </cell>
          <cell r="C482" t="str">
            <v>GUACHUCAL</v>
          </cell>
          <cell r="D482">
            <v>1155</v>
          </cell>
        </row>
        <row r="483">
          <cell r="B483">
            <v>52320</v>
          </cell>
          <cell r="C483" t="str">
            <v>GUAITARILLA</v>
          </cell>
          <cell r="D483">
            <v>1507.0930000000001</v>
          </cell>
        </row>
        <row r="484">
          <cell r="B484">
            <v>52323</v>
          </cell>
          <cell r="C484" t="str">
            <v>GUALMATÁN</v>
          </cell>
          <cell r="D484">
            <v>830.01300000000003</v>
          </cell>
        </row>
        <row r="485">
          <cell r="B485">
            <v>52352</v>
          </cell>
          <cell r="C485" t="str">
            <v>ILES</v>
          </cell>
          <cell r="D485">
            <v>957.48900000000003</v>
          </cell>
        </row>
        <row r="486">
          <cell r="B486">
            <v>52354</v>
          </cell>
          <cell r="C486" t="str">
            <v>IMUÉS</v>
          </cell>
          <cell r="D486">
            <v>585.72</v>
          </cell>
        </row>
        <row r="487">
          <cell r="B487">
            <v>52356</v>
          </cell>
          <cell r="C487" t="str">
            <v>IPIALES</v>
          </cell>
          <cell r="D487">
            <v>15531.004999999999</v>
          </cell>
        </row>
        <row r="488">
          <cell r="B488">
            <v>52378</v>
          </cell>
          <cell r="C488" t="str">
            <v>LA CRUZ</v>
          </cell>
          <cell r="D488">
            <v>1050</v>
          </cell>
        </row>
        <row r="489">
          <cell r="B489">
            <v>52399</v>
          </cell>
          <cell r="C489" t="str">
            <v>LA UNIÓN - NARIÑO</v>
          </cell>
          <cell r="D489">
            <v>191.67099999999999</v>
          </cell>
        </row>
        <row r="490">
          <cell r="B490">
            <v>52411</v>
          </cell>
          <cell r="C490" t="str">
            <v>LINARES</v>
          </cell>
          <cell r="D490">
            <v>229.1</v>
          </cell>
        </row>
        <row r="491">
          <cell r="B491">
            <v>52435</v>
          </cell>
          <cell r="C491" t="str">
            <v>MALLAMA (PIEDRANCHA)</v>
          </cell>
          <cell r="D491">
            <v>1184.028</v>
          </cell>
        </row>
        <row r="492">
          <cell r="B492">
            <v>52473</v>
          </cell>
          <cell r="C492" t="str">
            <v>MOSQUERA - NARIÑO</v>
          </cell>
          <cell r="D492">
            <v>1500</v>
          </cell>
        </row>
        <row r="493">
          <cell r="B493">
            <v>52480</v>
          </cell>
          <cell r="C493" t="str">
            <v>NARIÑO - NARIÑO</v>
          </cell>
          <cell r="D493">
            <v>700</v>
          </cell>
        </row>
        <row r="494">
          <cell r="B494">
            <v>52490</v>
          </cell>
          <cell r="C494" t="str">
            <v>OLAYA HERRERA (BOCAS DE SATINGA)</v>
          </cell>
          <cell r="D494">
            <v>3000</v>
          </cell>
        </row>
        <row r="495">
          <cell r="B495">
            <v>52506</v>
          </cell>
          <cell r="C495" t="str">
            <v>OSPINA</v>
          </cell>
          <cell r="D495">
            <v>855.63599999999997</v>
          </cell>
        </row>
        <row r="496">
          <cell r="B496">
            <v>52573</v>
          </cell>
          <cell r="C496" t="str">
            <v>PUERRES</v>
          </cell>
          <cell r="D496">
            <v>31.25</v>
          </cell>
        </row>
        <row r="497">
          <cell r="B497">
            <v>52585</v>
          </cell>
          <cell r="C497" t="str">
            <v>PUPIALES</v>
          </cell>
          <cell r="D497">
            <v>489.66</v>
          </cell>
        </row>
        <row r="498">
          <cell r="B498">
            <v>52612</v>
          </cell>
          <cell r="C498" t="str">
            <v>RICAURTE - NARIÑO</v>
          </cell>
          <cell r="D498">
            <v>1156.25</v>
          </cell>
        </row>
        <row r="499">
          <cell r="B499">
            <v>52621</v>
          </cell>
          <cell r="C499" t="str">
            <v>ROBERTO PAYÁN (SAN JOSÉ)</v>
          </cell>
          <cell r="D499">
            <v>766.59500000000003</v>
          </cell>
        </row>
        <row r="500">
          <cell r="B500">
            <v>52685</v>
          </cell>
          <cell r="C500" t="str">
            <v>SAN BERNARDO - NARIÑO</v>
          </cell>
          <cell r="D500">
            <v>355.70400000000001</v>
          </cell>
        </row>
        <row r="501">
          <cell r="B501">
            <v>52001</v>
          </cell>
          <cell r="C501" t="str">
            <v>SAN JUAN DE PASTO</v>
          </cell>
          <cell r="D501">
            <v>61780.726000000002</v>
          </cell>
        </row>
        <row r="502">
          <cell r="B502">
            <v>52687</v>
          </cell>
          <cell r="C502" t="str">
            <v>SAN LORENZO</v>
          </cell>
          <cell r="D502">
            <v>1976.25</v>
          </cell>
        </row>
        <row r="503">
          <cell r="B503">
            <v>52693</v>
          </cell>
          <cell r="C503" t="str">
            <v>SAN PABLO - NARIÑO</v>
          </cell>
          <cell r="D503">
            <v>344.91800000000001</v>
          </cell>
        </row>
        <row r="504">
          <cell r="B504">
            <v>52694</v>
          </cell>
          <cell r="C504" t="str">
            <v>SAN PEDRO DE CARTAGO</v>
          </cell>
          <cell r="D504">
            <v>2700</v>
          </cell>
        </row>
        <row r="505">
          <cell r="B505">
            <v>52683</v>
          </cell>
          <cell r="C505" t="str">
            <v>SANDONÁ</v>
          </cell>
          <cell r="D505">
            <v>1949.8489999999999</v>
          </cell>
        </row>
        <row r="506">
          <cell r="B506">
            <v>52696</v>
          </cell>
          <cell r="C506" t="str">
            <v>SANTA BÁRBARA  (ISCUANDÉ)</v>
          </cell>
          <cell r="D506">
            <v>1550</v>
          </cell>
        </row>
        <row r="507">
          <cell r="B507">
            <v>52720</v>
          </cell>
          <cell r="C507" t="str">
            <v>SAPUYES</v>
          </cell>
          <cell r="D507">
            <v>87.5</v>
          </cell>
        </row>
        <row r="508">
          <cell r="B508">
            <v>52786</v>
          </cell>
          <cell r="C508" t="str">
            <v>TAMINANGO</v>
          </cell>
          <cell r="D508">
            <v>1177.2280000000001</v>
          </cell>
        </row>
        <row r="509">
          <cell r="B509">
            <v>52788</v>
          </cell>
          <cell r="C509" t="str">
            <v>TANGUA</v>
          </cell>
          <cell r="D509">
            <v>408.61200000000002</v>
          </cell>
        </row>
        <row r="510">
          <cell r="B510">
            <v>52838</v>
          </cell>
          <cell r="C510" t="str">
            <v>TUQUERRES</v>
          </cell>
          <cell r="D510">
            <v>2281.605</v>
          </cell>
        </row>
        <row r="511">
          <cell r="B511">
            <v>52885</v>
          </cell>
          <cell r="C511" t="str">
            <v>YACUANQUER</v>
          </cell>
          <cell r="D511">
            <v>1562.2909999999999</v>
          </cell>
        </row>
        <row r="512">
          <cell r="B512">
            <v>54003</v>
          </cell>
          <cell r="C512" t="str">
            <v>ÁBREGO</v>
          </cell>
          <cell r="D512">
            <v>1842.664</v>
          </cell>
        </row>
        <row r="513">
          <cell r="B513">
            <v>54099</v>
          </cell>
          <cell r="C513" t="str">
            <v>BOCHALEMA</v>
          </cell>
          <cell r="D513">
            <v>190</v>
          </cell>
        </row>
        <row r="514">
          <cell r="B514">
            <v>54109</v>
          </cell>
          <cell r="C514" t="str">
            <v>BUCARASICA</v>
          </cell>
          <cell r="D514">
            <v>119.762</v>
          </cell>
        </row>
        <row r="515">
          <cell r="B515">
            <v>54128</v>
          </cell>
          <cell r="C515" t="str">
            <v>CÁCHIRA</v>
          </cell>
          <cell r="D515">
            <v>41.667000000000002</v>
          </cell>
        </row>
        <row r="516">
          <cell r="B516">
            <v>54125</v>
          </cell>
          <cell r="C516" t="str">
            <v>CÁCOTA</v>
          </cell>
          <cell r="D516">
            <v>1258.5319999999999</v>
          </cell>
        </row>
        <row r="517">
          <cell r="B517">
            <v>54172</v>
          </cell>
          <cell r="C517" t="str">
            <v>CHINÁCOTA</v>
          </cell>
          <cell r="D517">
            <v>2580</v>
          </cell>
        </row>
        <row r="518">
          <cell r="B518">
            <v>54174</v>
          </cell>
          <cell r="C518" t="str">
            <v>CHITAGÁ</v>
          </cell>
          <cell r="D518">
            <v>1921.559</v>
          </cell>
        </row>
        <row r="519">
          <cell r="B519">
            <v>54206</v>
          </cell>
          <cell r="C519" t="str">
            <v>CONVENCIÓN</v>
          </cell>
          <cell r="D519">
            <v>1932.914</v>
          </cell>
        </row>
        <row r="520">
          <cell r="B520">
            <v>54223</v>
          </cell>
          <cell r="C520" t="str">
            <v>CUCUTILLA</v>
          </cell>
          <cell r="D520">
            <v>270</v>
          </cell>
        </row>
        <row r="521">
          <cell r="B521">
            <v>54000</v>
          </cell>
          <cell r="C521" t="str">
            <v>DEPARTAMENTO DEL NORTE DE SANTANDER</v>
          </cell>
          <cell r="D521">
            <v>75463.062000000005</v>
          </cell>
        </row>
        <row r="522">
          <cell r="B522">
            <v>54239</v>
          </cell>
          <cell r="C522" t="str">
            <v>DURANIA</v>
          </cell>
          <cell r="D522">
            <v>423.14800000000002</v>
          </cell>
        </row>
        <row r="523">
          <cell r="B523">
            <v>54245</v>
          </cell>
          <cell r="C523" t="str">
            <v>EL CARMEN</v>
          </cell>
          <cell r="D523">
            <v>333.33300000000003</v>
          </cell>
        </row>
        <row r="524">
          <cell r="B524">
            <v>54250</v>
          </cell>
          <cell r="C524" t="str">
            <v>EL TARRA</v>
          </cell>
          <cell r="D524">
            <v>187.5</v>
          </cell>
        </row>
        <row r="525">
          <cell r="B525">
            <v>54261</v>
          </cell>
          <cell r="C525" t="str">
            <v>EL ZULIA</v>
          </cell>
          <cell r="D525">
            <v>0.89700000000000002</v>
          </cell>
        </row>
        <row r="526">
          <cell r="B526">
            <v>54313</v>
          </cell>
          <cell r="C526" t="str">
            <v>GRAMALOTE</v>
          </cell>
          <cell r="D526">
            <v>86.667000000000002</v>
          </cell>
        </row>
        <row r="527">
          <cell r="B527">
            <v>54344</v>
          </cell>
          <cell r="C527" t="str">
            <v>HACARÍ</v>
          </cell>
          <cell r="D527">
            <v>272.65499999999997</v>
          </cell>
        </row>
        <row r="528">
          <cell r="B528">
            <v>54347</v>
          </cell>
          <cell r="C528" t="str">
            <v>HERRÁN</v>
          </cell>
          <cell r="D528">
            <v>991.79200000000003</v>
          </cell>
        </row>
        <row r="529">
          <cell r="B529">
            <v>54385</v>
          </cell>
          <cell r="C529" t="str">
            <v>LA ESPERANZA</v>
          </cell>
          <cell r="D529">
            <v>983.33299999999997</v>
          </cell>
        </row>
        <row r="530">
          <cell r="B530">
            <v>54398</v>
          </cell>
          <cell r="C530" t="str">
            <v>LA PLAYA DE BELEN</v>
          </cell>
          <cell r="D530">
            <v>1738.8820000000001</v>
          </cell>
        </row>
        <row r="531">
          <cell r="B531">
            <v>54377</v>
          </cell>
          <cell r="C531" t="str">
            <v>LABATECA</v>
          </cell>
          <cell r="D531">
            <v>33</v>
          </cell>
        </row>
        <row r="532">
          <cell r="B532">
            <v>54405</v>
          </cell>
          <cell r="C532" t="str">
            <v>LOS PATIOS</v>
          </cell>
          <cell r="D532">
            <v>19644.75</v>
          </cell>
        </row>
        <row r="533">
          <cell r="B533">
            <v>54418</v>
          </cell>
          <cell r="C533" t="str">
            <v>LOURDES</v>
          </cell>
          <cell r="D533">
            <v>0.55400000000000005</v>
          </cell>
        </row>
        <row r="534">
          <cell r="B534">
            <v>54498</v>
          </cell>
          <cell r="C534" t="str">
            <v>OCAÑA</v>
          </cell>
          <cell r="D534">
            <v>7810.8469999999998</v>
          </cell>
        </row>
        <row r="535">
          <cell r="B535">
            <v>54518</v>
          </cell>
          <cell r="C535" t="str">
            <v>PAMPLONA</v>
          </cell>
          <cell r="D535">
            <v>1493.075</v>
          </cell>
        </row>
        <row r="536">
          <cell r="B536">
            <v>54553</v>
          </cell>
          <cell r="C536" t="str">
            <v>PUERTO SANTANDER</v>
          </cell>
          <cell r="D536">
            <v>416.41</v>
          </cell>
        </row>
        <row r="537">
          <cell r="B537">
            <v>54599</v>
          </cell>
          <cell r="C537" t="str">
            <v>RAGONVALIA</v>
          </cell>
          <cell r="D537">
            <v>360</v>
          </cell>
        </row>
        <row r="538">
          <cell r="B538">
            <v>54660</v>
          </cell>
          <cell r="C538" t="str">
            <v>SALAZAR DE LAS PALMAS</v>
          </cell>
          <cell r="D538">
            <v>1670.8330000000001</v>
          </cell>
        </row>
        <row r="539">
          <cell r="B539">
            <v>54670</v>
          </cell>
          <cell r="C539" t="str">
            <v>SAN CALIXTO</v>
          </cell>
          <cell r="D539">
            <v>1000</v>
          </cell>
        </row>
        <row r="540">
          <cell r="B540">
            <v>54001</v>
          </cell>
          <cell r="C540" t="str">
            <v>SAN JOSÉ DE CUCUTA</v>
          </cell>
          <cell r="D540">
            <v>73966.667000000001</v>
          </cell>
        </row>
        <row r="541">
          <cell r="B541">
            <v>54743</v>
          </cell>
          <cell r="C541" t="str">
            <v>SANTO DOMINGO DE SILOS</v>
          </cell>
          <cell r="D541">
            <v>341.66699999999997</v>
          </cell>
        </row>
        <row r="542">
          <cell r="B542">
            <v>54800</v>
          </cell>
          <cell r="C542" t="str">
            <v>TEORAMA</v>
          </cell>
          <cell r="D542">
            <v>1823.0039999999999</v>
          </cell>
        </row>
        <row r="543">
          <cell r="B543">
            <v>54810</v>
          </cell>
          <cell r="C543" t="str">
            <v>TIBÚ</v>
          </cell>
          <cell r="D543">
            <v>2100</v>
          </cell>
        </row>
        <row r="544">
          <cell r="B544">
            <v>54874</v>
          </cell>
          <cell r="C544" t="str">
            <v>VILLA DEL ROSARIO</v>
          </cell>
          <cell r="D544">
            <v>4759.8879999999999</v>
          </cell>
        </row>
        <row r="545">
          <cell r="B545">
            <v>86320</v>
          </cell>
          <cell r="C545" t="str">
            <v>ORITO</v>
          </cell>
          <cell r="D545">
            <v>1062.221</v>
          </cell>
        </row>
        <row r="546">
          <cell r="B546">
            <v>86571</v>
          </cell>
          <cell r="C546" t="str">
            <v>PUERTO GUZMÁN</v>
          </cell>
          <cell r="D546">
            <v>4500</v>
          </cell>
        </row>
        <row r="547">
          <cell r="B547">
            <v>86573</v>
          </cell>
          <cell r="C547" t="str">
            <v>PUERTO LEGUÍZAMO</v>
          </cell>
          <cell r="D547">
            <v>273.601</v>
          </cell>
        </row>
        <row r="548">
          <cell r="B548">
            <v>86755</v>
          </cell>
          <cell r="C548" t="str">
            <v>SAN FRANCISCO - PUTUMAYO</v>
          </cell>
          <cell r="D548">
            <v>15.625</v>
          </cell>
        </row>
        <row r="549">
          <cell r="B549">
            <v>86757</v>
          </cell>
          <cell r="C549" t="str">
            <v>SAN MIGUEL - PUTUMAYO</v>
          </cell>
          <cell r="D549">
            <v>37.5</v>
          </cell>
        </row>
        <row r="550">
          <cell r="B550">
            <v>86001</v>
          </cell>
          <cell r="C550" t="str">
            <v>SAN MIGUEL DE MOCOA</v>
          </cell>
          <cell r="D550">
            <v>360</v>
          </cell>
        </row>
        <row r="551">
          <cell r="B551">
            <v>86760</v>
          </cell>
          <cell r="C551" t="str">
            <v>SANTIAGO - PUTUMAYO</v>
          </cell>
          <cell r="D551">
            <v>500</v>
          </cell>
        </row>
        <row r="552">
          <cell r="B552">
            <v>86749</v>
          </cell>
          <cell r="C552" t="str">
            <v>SIBUNDOY</v>
          </cell>
          <cell r="D552">
            <v>450</v>
          </cell>
        </row>
        <row r="553">
          <cell r="B553">
            <v>86865</v>
          </cell>
          <cell r="C553" t="str">
            <v>VALLE DEL GUAMUEZ (LA HORMIGA)</v>
          </cell>
          <cell r="D553">
            <v>1171.885</v>
          </cell>
        </row>
        <row r="554">
          <cell r="B554">
            <v>86885</v>
          </cell>
          <cell r="C554" t="str">
            <v>VILLAGARZÓN (VILLA AMAZONICA)</v>
          </cell>
          <cell r="D554">
            <v>4514.9840000000004</v>
          </cell>
        </row>
        <row r="555">
          <cell r="B555">
            <v>63001</v>
          </cell>
          <cell r="C555" t="str">
            <v>ARMENIA</v>
          </cell>
          <cell r="D555">
            <v>62691.62</v>
          </cell>
        </row>
        <row r="556">
          <cell r="B556">
            <v>63130</v>
          </cell>
          <cell r="C556" t="str">
            <v>CALARCÁ</v>
          </cell>
          <cell r="D556">
            <v>7566.625</v>
          </cell>
        </row>
        <row r="557">
          <cell r="B557">
            <v>63212</v>
          </cell>
          <cell r="C557" t="str">
            <v>CÓRDOBA - QUINDIO</v>
          </cell>
          <cell r="D557">
            <v>37.5</v>
          </cell>
        </row>
        <row r="558">
          <cell r="B558">
            <v>63000</v>
          </cell>
          <cell r="C558" t="str">
            <v>DEPARTAMENTO DEL QUINDIO</v>
          </cell>
          <cell r="D558">
            <v>35169.156000000003</v>
          </cell>
        </row>
        <row r="559">
          <cell r="B559">
            <v>63302</v>
          </cell>
          <cell r="C559" t="str">
            <v>GÉNOVA</v>
          </cell>
          <cell r="D559">
            <v>1025.8789999999999</v>
          </cell>
        </row>
        <row r="560">
          <cell r="B560">
            <v>63401</v>
          </cell>
          <cell r="C560" t="str">
            <v>LA TEBAIDA</v>
          </cell>
          <cell r="D560">
            <v>3538.422</v>
          </cell>
        </row>
        <row r="561">
          <cell r="B561">
            <v>63470</v>
          </cell>
          <cell r="C561" t="str">
            <v>MONTENEGRO</v>
          </cell>
          <cell r="D561">
            <v>1818.912</v>
          </cell>
        </row>
        <row r="562">
          <cell r="B562">
            <v>63548</v>
          </cell>
          <cell r="C562" t="str">
            <v>PIJAO</v>
          </cell>
          <cell r="D562">
            <v>950</v>
          </cell>
        </row>
        <row r="563">
          <cell r="B563">
            <v>63594</v>
          </cell>
          <cell r="C563" t="str">
            <v>QUIMBAYA</v>
          </cell>
          <cell r="D563">
            <v>4247.5</v>
          </cell>
        </row>
        <row r="564">
          <cell r="B564">
            <v>63690</v>
          </cell>
          <cell r="C564" t="str">
            <v>SALENTO</v>
          </cell>
          <cell r="D564">
            <v>2590.2779999999998</v>
          </cell>
        </row>
        <row r="565">
          <cell r="B565">
            <v>66075</v>
          </cell>
          <cell r="C565" t="str">
            <v>BALBOA - RISARALDA</v>
          </cell>
          <cell r="D565">
            <v>828.53599999999994</v>
          </cell>
        </row>
        <row r="566">
          <cell r="B566">
            <v>66000</v>
          </cell>
          <cell r="C566" t="str">
            <v>DEPARTAMENTO DE RISARALDA</v>
          </cell>
          <cell r="D566">
            <v>20680.638999999999</v>
          </cell>
        </row>
        <row r="567">
          <cell r="B567">
            <v>66170</v>
          </cell>
          <cell r="C567" t="str">
            <v>DOSQUEBRADAS</v>
          </cell>
          <cell r="D567">
            <v>23944.692999999999</v>
          </cell>
        </row>
        <row r="568">
          <cell r="B568">
            <v>66318</v>
          </cell>
          <cell r="C568" t="str">
            <v>GUÁTICA</v>
          </cell>
          <cell r="D568">
            <v>544.44399999999996</v>
          </cell>
        </row>
        <row r="569">
          <cell r="B569">
            <v>66456</v>
          </cell>
          <cell r="C569" t="str">
            <v>MISTRATÓ</v>
          </cell>
          <cell r="D569">
            <v>596.524</v>
          </cell>
        </row>
        <row r="570">
          <cell r="B570">
            <v>66001</v>
          </cell>
          <cell r="C570" t="str">
            <v>PEREIRA</v>
          </cell>
          <cell r="D570">
            <v>88894.404999999999</v>
          </cell>
        </row>
        <row r="571">
          <cell r="B571">
            <v>66682</v>
          </cell>
          <cell r="C571" t="str">
            <v>SANTA ROSA DE CABAL</v>
          </cell>
          <cell r="D571">
            <v>482.85700000000003</v>
          </cell>
        </row>
        <row r="572">
          <cell r="B572">
            <v>66687</v>
          </cell>
          <cell r="C572" t="str">
            <v>SANTUARIO - RISARALDA</v>
          </cell>
          <cell r="D572">
            <v>243.4</v>
          </cell>
        </row>
        <row r="573">
          <cell r="B573">
            <v>68013</v>
          </cell>
          <cell r="C573" t="str">
            <v>AGUADA - SANTANDER</v>
          </cell>
          <cell r="D573">
            <v>284.26</v>
          </cell>
        </row>
        <row r="574">
          <cell r="B574">
            <v>68020</v>
          </cell>
          <cell r="C574" t="str">
            <v>ALBANIA - SANTANDER</v>
          </cell>
          <cell r="D574">
            <v>1068.8399999999999</v>
          </cell>
        </row>
        <row r="575">
          <cell r="B575">
            <v>68051</v>
          </cell>
          <cell r="C575" t="str">
            <v>ARATOCA</v>
          </cell>
          <cell r="D575">
            <v>625</v>
          </cell>
        </row>
        <row r="576">
          <cell r="B576">
            <v>68079</v>
          </cell>
          <cell r="C576" t="str">
            <v>BARICHARA</v>
          </cell>
          <cell r="D576">
            <v>881.18899999999996</v>
          </cell>
        </row>
        <row r="577">
          <cell r="B577">
            <v>68081</v>
          </cell>
          <cell r="C577" t="str">
            <v>BARRANCABERMEJA</v>
          </cell>
          <cell r="D577">
            <v>181166.617</v>
          </cell>
        </row>
        <row r="578">
          <cell r="B578">
            <v>68092</v>
          </cell>
          <cell r="C578" t="str">
            <v>BETULIA - SANTANDER</v>
          </cell>
          <cell r="D578">
            <v>4000</v>
          </cell>
        </row>
        <row r="579">
          <cell r="B579">
            <v>68101</v>
          </cell>
          <cell r="C579" t="str">
            <v>BOLÍVAR - SANTANDER</v>
          </cell>
          <cell r="D579">
            <v>2532.4299999999998</v>
          </cell>
        </row>
        <row r="580">
          <cell r="B580">
            <v>68001</v>
          </cell>
          <cell r="C580" t="str">
            <v>BUCARAMANGA</v>
          </cell>
          <cell r="D580">
            <v>204213.8</v>
          </cell>
        </row>
        <row r="581">
          <cell r="B581">
            <v>68132</v>
          </cell>
          <cell r="C581" t="str">
            <v>CALIFORNIA</v>
          </cell>
          <cell r="D581">
            <v>17.975000000000001</v>
          </cell>
        </row>
        <row r="582">
          <cell r="B582">
            <v>68147</v>
          </cell>
          <cell r="C582" t="str">
            <v>CAPITANEJO</v>
          </cell>
          <cell r="D582">
            <v>1137.5070000000001</v>
          </cell>
        </row>
        <row r="583">
          <cell r="B583">
            <v>68162</v>
          </cell>
          <cell r="C583" t="str">
            <v>CERRITO</v>
          </cell>
          <cell r="D583">
            <v>412.072</v>
          </cell>
        </row>
        <row r="584">
          <cell r="B584">
            <v>68169</v>
          </cell>
          <cell r="C584" t="str">
            <v>CHARTA</v>
          </cell>
          <cell r="D584">
            <v>128.64400000000001</v>
          </cell>
        </row>
        <row r="585">
          <cell r="B585">
            <v>68179</v>
          </cell>
          <cell r="C585" t="str">
            <v>CHIPATÁ</v>
          </cell>
          <cell r="D585">
            <v>115.95</v>
          </cell>
        </row>
        <row r="586">
          <cell r="B586">
            <v>68190</v>
          </cell>
          <cell r="C586" t="str">
            <v>CIMITARRA</v>
          </cell>
          <cell r="D586">
            <v>2757.9009999999998</v>
          </cell>
        </row>
        <row r="587">
          <cell r="B587">
            <v>68209</v>
          </cell>
          <cell r="C587" t="str">
            <v>CONFINES</v>
          </cell>
          <cell r="D587">
            <v>180</v>
          </cell>
        </row>
        <row r="588">
          <cell r="B588">
            <v>68211</v>
          </cell>
          <cell r="C588" t="str">
            <v>CONTRATACIÓN</v>
          </cell>
          <cell r="D588">
            <v>500</v>
          </cell>
        </row>
        <row r="589">
          <cell r="B589">
            <v>68229</v>
          </cell>
          <cell r="C589" t="str">
            <v>CURITÍ</v>
          </cell>
          <cell r="D589">
            <v>372.50400000000002</v>
          </cell>
        </row>
        <row r="590">
          <cell r="B590">
            <v>68000</v>
          </cell>
          <cell r="C590" t="str">
            <v>DEPARTAMENTO DE SANTANDER</v>
          </cell>
          <cell r="D590">
            <v>313634.96299999999</v>
          </cell>
        </row>
        <row r="591">
          <cell r="B591">
            <v>68235</v>
          </cell>
          <cell r="C591" t="str">
            <v>EL CARMEN DE CHUCURI</v>
          </cell>
          <cell r="D591">
            <v>2672.3139999999999</v>
          </cell>
        </row>
        <row r="592">
          <cell r="B592">
            <v>68245</v>
          </cell>
          <cell r="C592" t="str">
            <v>EL GUACAMAYO</v>
          </cell>
          <cell r="D592">
            <v>95.977999999999994</v>
          </cell>
        </row>
        <row r="593">
          <cell r="B593">
            <v>68250</v>
          </cell>
          <cell r="C593" t="str">
            <v>EL PEÑÓN - SANTANDER</v>
          </cell>
          <cell r="D593">
            <v>1032.1590000000001</v>
          </cell>
        </row>
        <row r="594">
          <cell r="B594">
            <v>68255</v>
          </cell>
          <cell r="C594" t="str">
            <v>EL PLAYÓN</v>
          </cell>
          <cell r="D594">
            <v>131.88499999999999</v>
          </cell>
        </row>
        <row r="595">
          <cell r="B595">
            <v>68266</v>
          </cell>
          <cell r="C595" t="str">
            <v>ENCISO</v>
          </cell>
          <cell r="D595">
            <v>219.727</v>
          </cell>
        </row>
        <row r="596">
          <cell r="B596">
            <v>68276</v>
          </cell>
          <cell r="C596" t="str">
            <v>FLORIDABLANCA</v>
          </cell>
          <cell r="D596">
            <v>84179.365999999995</v>
          </cell>
        </row>
        <row r="597">
          <cell r="B597">
            <v>68298</v>
          </cell>
          <cell r="C597" t="str">
            <v>GÁMBITA</v>
          </cell>
          <cell r="D597">
            <v>2865.5369999999998</v>
          </cell>
        </row>
        <row r="598">
          <cell r="B598">
            <v>68307</v>
          </cell>
          <cell r="C598" t="str">
            <v>GIRÓN</v>
          </cell>
          <cell r="D598">
            <v>90651.099000000002</v>
          </cell>
        </row>
        <row r="599">
          <cell r="B599">
            <v>68318</v>
          </cell>
          <cell r="C599" t="str">
            <v>GUACA</v>
          </cell>
          <cell r="D599">
            <v>1649.412</v>
          </cell>
        </row>
        <row r="600">
          <cell r="B600">
            <v>68320</v>
          </cell>
          <cell r="C600" t="str">
            <v>GUADALUPE - SANTANDER</v>
          </cell>
          <cell r="D600">
            <v>123.429</v>
          </cell>
        </row>
        <row r="601">
          <cell r="B601">
            <v>68322</v>
          </cell>
          <cell r="C601" t="str">
            <v>GUAPOTÁ</v>
          </cell>
          <cell r="D601">
            <v>97.992999999999995</v>
          </cell>
        </row>
        <row r="602">
          <cell r="B602">
            <v>68327</v>
          </cell>
          <cell r="C602" t="str">
            <v>GÜEPSA</v>
          </cell>
          <cell r="D602">
            <v>942.77800000000002</v>
          </cell>
        </row>
        <row r="603">
          <cell r="B603">
            <v>68344</v>
          </cell>
          <cell r="C603" t="str">
            <v>HATO</v>
          </cell>
          <cell r="D603">
            <v>20.308</v>
          </cell>
        </row>
        <row r="604">
          <cell r="B604">
            <v>68368</v>
          </cell>
          <cell r="C604" t="str">
            <v>JESÚS MARÍA</v>
          </cell>
          <cell r="D604">
            <v>500.33300000000003</v>
          </cell>
        </row>
        <row r="605">
          <cell r="B605">
            <v>68377</v>
          </cell>
          <cell r="C605" t="str">
            <v>LA BELLEZA</v>
          </cell>
          <cell r="D605">
            <v>585.81399999999996</v>
          </cell>
        </row>
        <row r="606">
          <cell r="B606">
            <v>68397</v>
          </cell>
          <cell r="C606" t="str">
            <v>LA PAZ - SANTANDER</v>
          </cell>
          <cell r="D606">
            <v>104.661</v>
          </cell>
        </row>
        <row r="607">
          <cell r="B607">
            <v>68385</v>
          </cell>
          <cell r="C607" t="str">
            <v>LANDÁZURI</v>
          </cell>
          <cell r="D607">
            <v>831.21500000000003</v>
          </cell>
        </row>
        <row r="608">
          <cell r="B608">
            <v>68406</v>
          </cell>
          <cell r="C608" t="str">
            <v>LEBRIJA</v>
          </cell>
          <cell r="D608">
            <v>2973.393</v>
          </cell>
        </row>
        <row r="609">
          <cell r="B609">
            <v>68418</v>
          </cell>
          <cell r="C609" t="str">
            <v>LOS SANTOS</v>
          </cell>
          <cell r="D609">
            <v>2489.0590000000002</v>
          </cell>
        </row>
        <row r="610">
          <cell r="B610">
            <v>68432</v>
          </cell>
          <cell r="C610" t="str">
            <v>MÁLAGA</v>
          </cell>
          <cell r="D610">
            <v>552.5</v>
          </cell>
        </row>
        <row r="611">
          <cell r="B611">
            <v>68468</v>
          </cell>
          <cell r="C611" t="str">
            <v>MOLAGAVITA</v>
          </cell>
          <cell r="D611">
            <v>93.75</v>
          </cell>
        </row>
        <row r="612">
          <cell r="B612">
            <v>68500</v>
          </cell>
          <cell r="C612" t="str">
            <v>OIBA</v>
          </cell>
          <cell r="D612">
            <v>917.47</v>
          </cell>
        </row>
        <row r="613">
          <cell r="B613">
            <v>68502</v>
          </cell>
          <cell r="C613" t="str">
            <v>ONZAGA</v>
          </cell>
          <cell r="D613">
            <v>2307.7809999999999</v>
          </cell>
        </row>
        <row r="614">
          <cell r="B614">
            <v>68522</v>
          </cell>
          <cell r="C614" t="str">
            <v>PALMAR</v>
          </cell>
          <cell r="D614">
            <v>277.82900000000001</v>
          </cell>
        </row>
        <row r="615">
          <cell r="B615">
            <v>68547</v>
          </cell>
          <cell r="C615" t="str">
            <v>PIEDECUESTA</v>
          </cell>
          <cell r="D615">
            <v>31469.177</v>
          </cell>
        </row>
        <row r="616">
          <cell r="B616">
            <v>68549</v>
          </cell>
          <cell r="C616" t="str">
            <v>PINCHOTE</v>
          </cell>
          <cell r="D616">
            <v>286.32299999999998</v>
          </cell>
        </row>
        <row r="617">
          <cell r="B617">
            <v>68572</v>
          </cell>
          <cell r="C617" t="str">
            <v>PUENTE NACIONAL</v>
          </cell>
          <cell r="D617">
            <v>136.23599999999999</v>
          </cell>
        </row>
        <row r="618">
          <cell r="B618">
            <v>68573</v>
          </cell>
          <cell r="C618" t="str">
            <v>PUERTO PARRA</v>
          </cell>
          <cell r="D618">
            <v>763.88900000000001</v>
          </cell>
        </row>
        <row r="619">
          <cell r="B619">
            <v>68575</v>
          </cell>
          <cell r="C619" t="str">
            <v>PUERTO WILCHES</v>
          </cell>
          <cell r="D619">
            <v>125</v>
          </cell>
        </row>
        <row r="620">
          <cell r="B620">
            <v>68615</v>
          </cell>
          <cell r="C620" t="str">
            <v>RIONEGRO - SANTANDER</v>
          </cell>
          <cell r="D620">
            <v>3744.3449999999998</v>
          </cell>
        </row>
        <row r="621">
          <cell r="B621">
            <v>68655</v>
          </cell>
          <cell r="C621" t="str">
            <v>SABANA DE TORRES</v>
          </cell>
          <cell r="D621">
            <v>10626.555</v>
          </cell>
        </row>
        <row r="622">
          <cell r="B622">
            <v>68673</v>
          </cell>
          <cell r="C622" t="str">
            <v>SAN BENITO</v>
          </cell>
          <cell r="D622">
            <v>55</v>
          </cell>
        </row>
        <row r="623">
          <cell r="B623">
            <v>68679</v>
          </cell>
          <cell r="C623" t="str">
            <v>SAN GIL</v>
          </cell>
          <cell r="D623">
            <v>1028.2539999999999</v>
          </cell>
        </row>
        <row r="624">
          <cell r="B624">
            <v>68682</v>
          </cell>
          <cell r="C624" t="str">
            <v>SAN JOAQUÍN</v>
          </cell>
          <cell r="D624">
            <v>1516.021</v>
          </cell>
        </row>
        <row r="625">
          <cell r="B625">
            <v>68755</v>
          </cell>
          <cell r="C625" t="str">
            <v>SOCORRO</v>
          </cell>
          <cell r="D625">
            <v>4000</v>
          </cell>
        </row>
        <row r="626">
          <cell r="B626">
            <v>68770</v>
          </cell>
          <cell r="C626" t="str">
            <v>SUAITA</v>
          </cell>
          <cell r="D626">
            <v>2931.998</v>
          </cell>
        </row>
        <row r="627">
          <cell r="B627">
            <v>68773</v>
          </cell>
          <cell r="C627" t="str">
            <v>SUCRE - SANTANDER</v>
          </cell>
          <cell r="D627">
            <v>340.08300000000003</v>
          </cell>
        </row>
        <row r="628">
          <cell r="B628">
            <v>68855</v>
          </cell>
          <cell r="C628" t="str">
            <v>VALLE DE SAN JOSÉ</v>
          </cell>
          <cell r="D628">
            <v>432.709</v>
          </cell>
        </row>
        <row r="629">
          <cell r="B629">
            <v>68861</v>
          </cell>
          <cell r="C629" t="str">
            <v>VÉLEZ</v>
          </cell>
          <cell r="D629">
            <v>1574.8489999999999</v>
          </cell>
        </row>
        <row r="630">
          <cell r="B630">
            <v>68872</v>
          </cell>
          <cell r="C630" t="str">
            <v>VILLANUEVA - SANTANDER</v>
          </cell>
          <cell r="D630">
            <v>438.072</v>
          </cell>
        </row>
        <row r="631">
          <cell r="B631">
            <v>70204</v>
          </cell>
          <cell r="C631" t="str">
            <v>COLOSÓ (RICAURTE)</v>
          </cell>
          <cell r="D631">
            <v>2549</v>
          </cell>
        </row>
        <row r="632">
          <cell r="B632">
            <v>70215</v>
          </cell>
          <cell r="C632" t="str">
            <v>COROZAL</v>
          </cell>
          <cell r="D632">
            <v>2823.3209999999999</v>
          </cell>
        </row>
        <row r="633">
          <cell r="B633">
            <v>70221</v>
          </cell>
          <cell r="C633" t="str">
            <v>COVEÑAS</v>
          </cell>
          <cell r="D633">
            <v>5873.4059999999999</v>
          </cell>
        </row>
        <row r="634">
          <cell r="B634">
            <v>70233</v>
          </cell>
          <cell r="C634" t="str">
            <v>EL ROBLE</v>
          </cell>
          <cell r="D634">
            <v>1117.0909999999999</v>
          </cell>
        </row>
        <row r="635">
          <cell r="B635">
            <v>70235</v>
          </cell>
          <cell r="C635" t="str">
            <v>GALERAS</v>
          </cell>
          <cell r="D635">
            <v>3541.2179999999998</v>
          </cell>
        </row>
        <row r="636">
          <cell r="B636">
            <v>70265</v>
          </cell>
          <cell r="C636" t="str">
            <v>GUARANDA</v>
          </cell>
          <cell r="D636">
            <v>1920</v>
          </cell>
        </row>
        <row r="637">
          <cell r="B637">
            <v>70400</v>
          </cell>
          <cell r="C637" t="str">
            <v>LA UNIÓN DE SUCRE</v>
          </cell>
          <cell r="D637">
            <v>2343.4319999999998</v>
          </cell>
        </row>
        <row r="638">
          <cell r="B638">
            <v>70418</v>
          </cell>
          <cell r="C638" t="str">
            <v>LOS PALMITOS</v>
          </cell>
          <cell r="D638">
            <v>1666.6669999999999</v>
          </cell>
        </row>
        <row r="639">
          <cell r="B639">
            <v>70429</v>
          </cell>
          <cell r="C639" t="str">
            <v>MAJAGUAL</v>
          </cell>
          <cell r="D639">
            <v>2026.6669999999999</v>
          </cell>
        </row>
        <row r="640">
          <cell r="B640">
            <v>70508</v>
          </cell>
          <cell r="C640" t="str">
            <v>OVEJAS</v>
          </cell>
          <cell r="D640">
            <v>1900</v>
          </cell>
        </row>
        <row r="641">
          <cell r="B641">
            <v>70670</v>
          </cell>
          <cell r="C641" t="str">
            <v>SAMPUÉS</v>
          </cell>
          <cell r="D641">
            <v>5513.09</v>
          </cell>
        </row>
        <row r="642">
          <cell r="B642">
            <v>70702</v>
          </cell>
          <cell r="C642" t="str">
            <v>SAN JUAN DE BETULIA</v>
          </cell>
          <cell r="D642">
            <v>2136.375</v>
          </cell>
        </row>
        <row r="643">
          <cell r="B643">
            <v>70708</v>
          </cell>
          <cell r="C643" t="str">
            <v>SAN MARCOS</v>
          </cell>
          <cell r="D643">
            <v>211.81</v>
          </cell>
        </row>
        <row r="644">
          <cell r="B644">
            <v>70713</v>
          </cell>
          <cell r="C644" t="str">
            <v>SAN ONOFRE</v>
          </cell>
          <cell r="D644">
            <v>1714.2950000000001</v>
          </cell>
        </row>
        <row r="645">
          <cell r="B645">
            <v>70742</v>
          </cell>
          <cell r="C645" t="str">
            <v>SINCÉ</v>
          </cell>
          <cell r="D645">
            <v>1687.0840000000001</v>
          </cell>
        </row>
        <row r="646">
          <cell r="B646">
            <v>70001</v>
          </cell>
          <cell r="C646" t="str">
            <v>SINCELEJO</v>
          </cell>
          <cell r="D646">
            <v>36758.455000000002</v>
          </cell>
        </row>
        <row r="647">
          <cell r="B647">
            <v>70823</v>
          </cell>
          <cell r="C647" t="str">
            <v>TOLUVIEJO</v>
          </cell>
          <cell r="D647">
            <v>6500</v>
          </cell>
        </row>
        <row r="648">
          <cell r="B648">
            <v>73026</v>
          </cell>
          <cell r="C648" t="str">
            <v>ALVARADO</v>
          </cell>
          <cell r="D648">
            <v>1110.4059999999999</v>
          </cell>
        </row>
        <row r="649">
          <cell r="B649">
            <v>73030</v>
          </cell>
          <cell r="C649" t="str">
            <v>AMBALEMA</v>
          </cell>
          <cell r="D649">
            <v>300</v>
          </cell>
        </row>
        <row r="650">
          <cell r="B650">
            <v>73067</v>
          </cell>
          <cell r="C650" t="str">
            <v>ATACO</v>
          </cell>
          <cell r="D650">
            <v>389.911</v>
          </cell>
        </row>
        <row r="651">
          <cell r="B651">
            <v>73124</v>
          </cell>
          <cell r="C651" t="str">
            <v>CAJAMARCA</v>
          </cell>
          <cell r="D651">
            <v>450</v>
          </cell>
        </row>
        <row r="652">
          <cell r="B652">
            <v>73168</v>
          </cell>
          <cell r="C652" t="str">
            <v>CHAPARRAL</v>
          </cell>
          <cell r="D652">
            <v>2081.4369999999999</v>
          </cell>
        </row>
        <row r="653">
          <cell r="B653">
            <v>73200</v>
          </cell>
          <cell r="C653" t="str">
            <v>COELLO</v>
          </cell>
          <cell r="D653">
            <v>2601.3040000000001</v>
          </cell>
        </row>
        <row r="654">
          <cell r="B654">
            <v>73226</v>
          </cell>
          <cell r="C654" t="str">
            <v>CUNDAY</v>
          </cell>
          <cell r="D654">
            <v>167.929</v>
          </cell>
        </row>
        <row r="655">
          <cell r="B655">
            <v>73000</v>
          </cell>
          <cell r="C655" t="str">
            <v>DEPARTAMENTO DEL TOLIMA</v>
          </cell>
          <cell r="D655">
            <v>47319.008999999998</v>
          </cell>
        </row>
        <row r="656">
          <cell r="B656">
            <v>73236</v>
          </cell>
          <cell r="C656" t="str">
            <v>DOLORES</v>
          </cell>
          <cell r="D656">
            <v>699.80700000000002</v>
          </cell>
        </row>
        <row r="657">
          <cell r="B657">
            <v>73319</v>
          </cell>
          <cell r="C657" t="str">
            <v>EL GUAMO - TOLIMA</v>
          </cell>
          <cell r="D657">
            <v>714.149</v>
          </cell>
        </row>
        <row r="658">
          <cell r="B658">
            <v>73001</v>
          </cell>
          <cell r="C658" t="str">
            <v>IBAGUE</v>
          </cell>
          <cell r="D658">
            <v>107911.993</v>
          </cell>
        </row>
        <row r="659">
          <cell r="B659">
            <v>73352</v>
          </cell>
          <cell r="C659" t="str">
            <v>ICONONZO</v>
          </cell>
          <cell r="D659">
            <v>2500</v>
          </cell>
        </row>
        <row r="660">
          <cell r="B660">
            <v>73408</v>
          </cell>
          <cell r="C660" t="str">
            <v>LÉRIDA</v>
          </cell>
          <cell r="D660">
            <v>1388.8889999999999</v>
          </cell>
        </row>
        <row r="661">
          <cell r="B661">
            <v>73449</v>
          </cell>
          <cell r="C661" t="str">
            <v>MELGAR</v>
          </cell>
          <cell r="D661">
            <v>7163.6610000000001</v>
          </cell>
        </row>
        <row r="662">
          <cell r="B662">
            <v>73504</v>
          </cell>
          <cell r="C662" t="str">
            <v>ORTEGA</v>
          </cell>
          <cell r="D662">
            <v>408.44799999999998</v>
          </cell>
        </row>
        <row r="663">
          <cell r="B663">
            <v>73520</v>
          </cell>
          <cell r="C663" t="str">
            <v>PALOCABILDO</v>
          </cell>
          <cell r="D663">
            <v>362.23700000000002</v>
          </cell>
        </row>
        <row r="664">
          <cell r="B664">
            <v>73547</v>
          </cell>
          <cell r="C664" t="str">
            <v>PIEDRAS</v>
          </cell>
          <cell r="D664">
            <v>1500</v>
          </cell>
        </row>
        <row r="665">
          <cell r="B665">
            <v>73563</v>
          </cell>
          <cell r="C665" t="str">
            <v>PRADO</v>
          </cell>
          <cell r="D665">
            <v>300</v>
          </cell>
        </row>
        <row r="666">
          <cell r="B666">
            <v>73585</v>
          </cell>
          <cell r="C666" t="str">
            <v>PURIFICACIÓN</v>
          </cell>
          <cell r="D666">
            <v>2849.1779999999999</v>
          </cell>
        </row>
        <row r="667">
          <cell r="B667">
            <v>73616</v>
          </cell>
          <cell r="C667" t="str">
            <v>RIOBLANCO</v>
          </cell>
          <cell r="D667">
            <v>1130.182</v>
          </cell>
        </row>
        <row r="668">
          <cell r="B668">
            <v>73624</v>
          </cell>
          <cell r="C668" t="str">
            <v>ROVIRA</v>
          </cell>
          <cell r="D668">
            <v>564.89499999999998</v>
          </cell>
        </row>
        <row r="669">
          <cell r="B669">
            <v>73671</v>
          </cell>
          <cell r="C669" t="str">
            <v>SALDAÑA</v>
          </cell>
          <cell r="D669">
            <v>698.10199999999998</v>
          </cell>
        </row>
        <row r="670">
          <cell r="B670">
            <v>73675</v>
          </cell>
          <cell r="C670" t="str">
            <v>SAN ANTONIO</v>
          </cell>
          <cell r="D670">
            <v>620.36400000000003</v>
          </cell>
        </row>
        <row r="671">
          <cell r="B671">
            <v>73678</v>
          </cell>
          <cell r="C671" t="str">
            <v>SAN LUIS - TOLIMA</v>
          </cell>
          <cell r="D671">
            <v>2815.3829999999998</v>
          </cell>
        </row>
        <row r="672">
          <cell r="B672">
            <v>73443</v>
          </cell>
          <cell r="C672" t="str">
            <v>SAN SEBASTIAN DE MARIQUITA</v>
          </cell>
          <cell r="D672">
            <v>432.94</v>
          </cell>
        </row>
        <row r="673">
          <cell r="B673">
            <v>73686</v>
          </cell>
          <cell r="C673" t="str">
            <v>SANTA ISABEL</v>
          </cell>
          <cell r="D673">
            <v>112.5</v>
          </cell>
        </row>
        <row r="674">
          <cell r="B674">
            <v>73770</v>
          </cell>
          <cell r="C674" t="str">
            <v>SUÁREZ - TOLIMA</v>
          </cell>
          <cell r="D674">
            <v>85900</v>
          </cell>
        </row>
        <row r="675">
          <cell r="B675">
            <v>73861</v>
          </cell>
          <cell r="C675" t="str">
            <v>VENADILLO</v>
          </cell>
          <cell r="D675">
            <v>600</v>
          </cell>
        </row>
        <row r="676">
          <cell r="B676">
            <v>73870</v>
          </cell>
          <cell r="C676" t="str">
            <v>VILLAHERMOSA</v>
          </cell>
          <cell r="D676">
            <v>1000</v>
          </cell>
        </row>
        <row r="677">
          <cell r="B677">
            <v>76020</v>
          </cell>
          <cell r="C677" t="str">
            <v>ALCALÁ</v>
          </cell>
          <cell r="D677">
            <v>2348.4169999999999</v>
          </cell>
        </row>
        <row r="678">
          <cell r="B678">
            <v>76036</v>
          </cell>
          <cell r="C678" t="str">
            <v>ANDALUCÍA</v>
          </cell>
          <cell r="D678">
            <v>255.96600000000001</v>
          </cell>
        </row>
        <row r="679">
          <cell r="B679">
            <v>76100</v>
          </cell>
          <cell r="C679" t="str">
            <v>BOLÍVAR - VALLE DEL CAUCA</v>
          </cell>
          <cell r="D679">
            <v>100</v>
          </cell>
        </row>
        <row r="680">
          <cell r="B680">
            <v>76109</v>
          </cell>
          <cell r="C680" t="str">
            <v>BUENAVENTURA</v>
          </cell>
          <cell r="D680">
            <v>40019.627</v>
          </cell>
        </row>
        <row r="681">
          <cell r="B681">
            <v>76113</v>
          </cell>
          <cell r="C681" t="str">
            <v>BUGALAGRANDE</v>
          </cell>
          <cell r="D681">
            <v>1553.962</v>
          </cell>
        </row>
        <row r="682">
          <cell r="B682">
            <v>76122</v>
          </cell>
          <cell r="C682" t="str">
            <v>CAICEDONIA</v>
          </cell>
          <cell r="D682">
            <v>2060.4839999999999</v>
          </cell>
        </row>
        <row r="683">
          <cell r="B683">
            <v>76126</v>
          </cell>
          <cell r="C683" t="str">
            <v>CALIMA DEL DARIEN</v>
          </cell>
          <cell r="D683">
            <v>1835.673</v>
          </cell>
        </row>
        <row r="684">
          <cell r="B684">
            <v>76130</v>
          </cell>
          <cell r="C684" t="str">
            <v>CANDELARIA - VALLE DEL CAUCA</v>
          </cell>
          <cell r="D684">
            <v>13939.448</v>
          </cell>
        </row>
        <row r="685">
          <cell r="B685">
            <v>76147</v>
          </cell>
          <cell r="C685" t="str">
            <v>CARTAGO</v>
          </cell>
          <cell r="D685">
            <v>20761.411</v>
          </cell>
        </row>
        <row r="686">
          <cell r="B686">
            <v>76000</v>
          </cell>
          <cell r="C686" t="str">
            <v>DEPARTAMENTO DEL VALLE DEL CAUCA</v>
          </cell>
          <cell r="D686">
            <v>177871.886</v>
          </cell>
        </row>
        <row r="687">
          <cell r="B687">
            <v>76243</v>
          </cell>
          <cell r="C687" t="str">
            <v>EL AGUILA</v>
          </cell>
          <cell r="D687">
            <v>914.5</v>
          </cell>
        </row>
        <row r="688">
          <cell r="B688">
            <v>76248</v>
          </cell>
          <cell r="C688" t="str">
            <v>EL CERRITO</v>
          </cell>
          <cell r="D688">
            <v>12383.7</v>
          </cell>
        </row>
        <row r="689">
          <cell r="B689">
            <v>76250</v>
          </cell>
          <cell r="C689" t="str">
            <v>EL DOVIO</v>
          </cell>
          <cell r="D689">
            <v>340.23500000000001</v>
          </cell>
        </row>
        <row r="690">
          <cell r="B690">
            <v>76275</v>
          </cell>
          <cell r="C690" t="str">
            <v>FLORIDA</v>
          </cell>
          <cell r="D690">
            <v>2031.5840000000001</v>
          </cell>
        </row>
        <row r="691">
          <cell r="B691">
            <v>76111</v>
          </cell>
          <cell r="C691" t="str">
            <v>GUADALAJARA DE BUGA</v>
          </cell>
          <cell r="D691">
            <v>14231.303</v>
          </cell>
        </row>
        <row r="692">
          <cell r="B692">
            <v>76364</v>
          </cell>
          <cell r="C692" t="str">
            <v>JAMUNDÍ</v>
          </cell>
          <cell r="D692">
            <v>17281.883999999998</v>
          </cell>
        </row>
        <row r="693">
          <cell r="B693">
            <v>76400</v>
          </cell>
          <cell r="C693" t="str">
            <v>LA UNIÓN - VALLE DEL CAUCA</v>
          </cell>
          <cell r="D693">
            <v>4489.0200000000004</v>
          </cell>
        </row>
        <row r="694">
          <cell r="B694">
            <v>76403</v>
          </cell>
          <cell r="C694" t="str">
            <v>LA VICTORIA - VALLE DEL CAUCA</v>
          </cell>
          <cell r="D694">
            <v>108.925</v>
          </cell>
        </row>
        <row r="695">
          <cell r="B695">
            <v>76497</v>
          </cell>
          <cell r="C695" t="str">
            <v>OBANDO</v>
          </cell>
          <cell r="D695">
            <v>241.667</v>
          </cell>
        </row>
        <row r="696">
          <cell r="B696">
            <v>76520</v>
          </cell>
          <cell r="C696" t="str">
            <v>PALMIRA</v>
          </cell>
          <cell r="D696">
            <v>85654.407999999996</v>
          </cell>
        </row>
        <row r="697">
          <cell r="B697">
            <v>76563</v>
          </cell>
          <cell r="C697" t="str">
            <v>PRADERA</v>
          </cell>
          <cell r="D697">
            <v>3004.5309999999999</v>
          </cell>
        </row>
        <row r="698">
          <cell r="B698">
            <v>76606</v>
          </cell>
          <cell r="C698" t="str">
            <v>RESTREPO - VALLE DEL CAUCA</v>
          </cell>
          <cell r="D698">
            <v>2000</v>
          </cell>
        </row>
        <row r="699">
          <cell r="B699">
            <v>76616</v>
          </cell>
          <cell r="C699" t="str">
            <v>RIOFRÍO</v>
          </cell>
          <cell r="D699">
            <v>900</v>
          </cell>
        </row>
        <row r="700">
          <cell r="B700">
            <v>76622</v>
          </cell>
          <cell r="C700" t="str">
            <v>ROLDANILLO</v>
          </cell>
          <cell r="D700">
            <v>2987.5</v>
          </cell>
        </row>
        <row r="701">
          <cell r="B701">
            <v>76318</v>
          </cell>
          <cell r="C701" t="str">
            <v>SAN JUAN BAUTISTA DE GUACARI</v>
          </cell>
          <cell r="D701">
            <v>3244.5819999999999</v>
          </cell>
        </row>
        <row r="702">
          <cell r="B702">
            <v>76670</v>
          </cell>
          <cell r="C702" t="str">
            <v>SAN PEDRO - VALLE DEL CAUCA</v>
          </cell>
          <cell r="D702">
            <v>24.856000000000002</v>
          </cell>
        </row>
        <row r="703">
          <cell r="B703">
            <v>76001</v>
          </cell>
          <cell r="C703" t="str">
            <v>SANTIAGO DE CALI</v>
          </cell>
          <cell r="D703">
            <v>110912.601</v>
          </cell>
        </row>
        <row r="704">
          <cell r="B704">
            <v>76736</v>
          </cell>
          <cell r="C704" t="str">
            <v>SEVILLA</v>
          </cell>
          <cell r="D704">
            <v>3000</v>
          </cell>
        </row>
        <row r="705">
          <cell r="B705">
            <v>76823</v>
          </cell>
          <cell r="C705" t="str">
            <v>TORO</v>
          </cell>
          <cell r="D705">
            <v>15.964</v>
          </cell>
        </row>
        <row r="706">
          <cell r="B706">
            <v>76834</v>
          </cell>
          <cell r="C706" t="str">
            <v>TULUÁ</v>
          </cell>
          <cell r="D706">
            <v>30174.717000000001</v>
          </cell>
        </row>
        <row r="707">
          <cell r="B707">
            <v>76845</v>
          </cell>
          <cell r="C707" t="str">
            <v>ULLOA</v>
          </cell>
          <cell r="D707">
            <v>1008.341</v>
          </cell>
        </row>
        <row r="708">
          <cell r="B708">
            <v>76863</v>
          </cell>
          <cell r="C708" t="str">
            <v>VERSALLES</v>
          </cell>
          <cell r="D708">
            <v>31.411000000000001</v>
          </cell>
        </row>
        <row r="709">
          <cell r="B709">
            <v>76869</v>
          </cell>
          <cell r="C709" t="str">
            <v>VIJES</v>
          </cell>
          <cell r="D709">
            <v>1419.4190000000001</v>
          </cell>
        </row>
        <row r="710">
          <cell r="B710">
            <v>76890</v>
          </cell>
          <cell r="C710" t="str">
            <v>YOTOCO</v>
          </cell>
          <cell r="D710">
            <v>632.86099999999999</v>
          </cell>
        </row>
        <row r="711">
          <cell r="B711">
            <v>76892</v>
          </cell>
          <cell r="C711" t="str">
            <v>YUMBO</v>
          </cell>
          <cell r="D711">
            <v>72.701999999999998</v>
          </cell>
        </row>
        <row r="712">
          <cell r="B712">
            <v>97161</v>
          </cell>
          <cell r="C712" t="str">
            <v>CARURU</v>
          </cell>
          <cell r="D712">
            <v>387.75</v>
          </cell>
        </row>
        <row r="713">
          <cell r="B713">
            <v>97001</v>
          </cell>
          <cell r="C713" t="str">
            <v>MITU</v>
          </cell>
          <cell r="D713">
            <v>4363.07</v>
          </cell>
        </row>
        <row r="714">
          <cell r="B714">
            <v>99000</v>
          </cell>
          <cell r="C714" t="str">
            <v>DEPARTAMENTO DEL VICHADA</v>
          </cell>
          <cell r="D714">
            <v>2858.7020000000002</v>
          </cell>
        </row>
        <row r="715">
          <cell r="B715">
            <v>99524</v>
          </cell>
          <cell r="C715" t="str">
            <v>LA PRIMAVERA</v>
          </cell>
          <cell r="D715">
            <v>2498.7910000000002</v>
          </cell>
        </row>
        <row r="716">
          <cell r="B716">
            <v>99001</v>
          </cell>
          <cell r="C716" t="str">
            <v>PUERTO CARREÑO</v>
          </cell>
          <cell r="D716">
            <v>300</v>
          </cell>
        </row>
        <row r="717">
          <cell r="B717">
            <v>99624</v>
          </cell>
          <cell r="C717" t="str">
            <v>SANTA ROSALÍA</v>
          </cell>
          <cell r="D717">
            <v>1958.3330000000001</v>
          </cell>
        </row>
      </sheetData>
      <sheetData sheetId="6">
        <row r="10">
          <cell r="B10" t="str">
            <v>DEPARTAMENTO DEL QUINDIO</v>
          </cell>
        </row>
        <row r="12">
          <cell r="B12">
            <v>63000</v>
          </cell>
        </row>
        <row r="14">
          <cell r="B14">
            <v>2019</v>
          </cell>
        </row>
      </sheetData>
      <sheetData sheetId="7"/>
      <sheetData sheetId="8">
        <row r="9">
          <cell r="Z9">
            <v>3</v>
          </cell>
          <cell r="AA9">
            <v>3</v>
          </cell>
          <cell r="AB9">
            <v>3</v>
          </cell>
          <cell r="AC9">
            <v>3</v>
          </cell>
          <cell r="AD9">
            <v>3</v>
          </cell>
          <cell r="AE9">
            <v>3</v>
          </cell>
          <cell r="AF9">
            <v>3</v>
          </cell>
          <cell r="AG9">
            <v>3</v>
          </cell>
          <cell r="AH9">
            <v>3</v>
          </cell>
          <cell r="AI9">
            <v>3</v>
          </cell>
          <cell r="AJ9">
            <v>3</v>
          </cell>
        </row>
        <row r="17">
          <cell r="Y17">
            <v>3238</v>
          </cell>
          <cell r="Z17">
            <v>3149.3880195260049</v>
          </cell>
          <cell r="AA17">
            <v>3200.7047513062962</v>
          </cell>
          <cell r="AB17">
            <v>3252.8630774877843</v>
          </cell>
          <cell r="AC17">
            <v>3276.6722053382218</v>
          </cell>
          <cell r="AD17">
            <v>3334.1782358523114</v>
          </cell>
          <cell r="AE17">
            <v>3403.5695180035191</v>
          </cell>
          <cell r="AF17">
            <v>3457.0430731646848</v>
          </cell>
          <cell r="AG17">
            <v>3510.9912439916625</v>
          </cell>
          <cell r="AH17">
            <v>3565.3413440536046</v>
          </cell>
          <cell r="AI17">
            <v>3625.8443198127311</v>
          </cell>
          <cell r="AJ17">
            <v>3686.992098648328</v>
          </cell>
        </row>
      </sheetData>
      <sheetData sheetId="9">
        <row r="4">
          <cell r="E4">
            <v>2017</v>
          </cell>
          <cell r="F4">
            <v>2018</v>
          </cell>
          <cell r="G4">
            <v>2019</v>
          </cell>
          <cell r="H4">
            <v>2020</v>
          </cell>
          <cell r="I4">
            <v>2021</v>
          </cell>
          <cell r="J4">
            <v>2022</v>
          </cell>
          <cell r="K4">
            <v>2023</v>
          </cell>
          <cell r="L4">
            <v>2024</v>
          </cell>
          <cell r="M4">
            <v>2025</v>
          </cell>
          <cell r="N4">
            <v>2026</v>
          </cell>
          <cell r="O4">
            <v>2027</v>
          </cell>
          <cell r="P4">
            <v>2028</v>
          </cell>
          <cell r="Q4">
            <v>2029</v>
          </cell>
          <cell r="R4">
            <v>2030</v>
          </cell>
          <cell r="S4">
            <v>2031</v>
          </cell>
        </row>
        <row r="6">
          <cell r="E6">
            <v>286727.81700000004</v>
          </cell>
          <cell r="F6">
            <v>303699.02398599999</v>
          </cell>
          <cell r="G6">
            <v>329992.30693887989</v>
          </cell>
          <cell r="H6">
            <v>328942</v>
          </cell>
          <cell r="I6">
            <v>362890.32392879983</v>
          </cell>
          <cell r="J6">
            <v>354282.40085805347</v>
          </cell>
          <cell r="K6">
            <v>364910.87288379518</v>
          </cell>
          <cell r="L6">
            <v>375858.199070309</v>
          </cell>
          <cell r="M6">
            <v>387133.94504241826</v>
          </cell>
          <cell r="N6">
            <v>398747.96339369088</v>
          </cell>
          <cell r="O6">
            <v>410710.40229550155</v>
          </cell>
          <cell r="P6">
            <v>423031.71436436661</v>
          </cell>
          <cell r="Q6">
            <v>435722.66579529759</v>
          </cell>
          <cell r="R6">
            <v>448794.34576915659</v>
          </cell>
          <cell r="S6">
            <v>462258.17614223127</v>
          </cell>
        </row>
        <row r="8">
          <cell r="C8" t="str">
            <v>BF_1.1.1.1</v>
          </cell>
        </row>
        <row r="9">
          <cell r="C9" t="str">
            <v>BF_1.1.1.2</v>
          </cell>
        </row>
        <row r="10">
          <cell r="C10" t="str">
            <v>BF_1.1.1.3</v>
          </cell>
        </row>
        <row r="11">
          <cell r="C11" t="str">
            <v>BF_1.1.1.4</v>
          </cell>
        </row>
        <row r="12">
          <cell r="C12" t="str">
            <v>BF_1.1.1.5</v>
          </cell>
        </row>
        <row r="13">
          <cell r="C13" t="str">
            <v>BF_1.1.1.6</v>
          </cell>
        </row>
        <row r="14">
          <cell r="C14" t="str">
            <v>BF_1.1.1.7</v>
          </cell>
        </row>
        <row r="15">
          <cell r="C15" t="str">
            <v>BF_1.1.1.8</v>
          </cell>
        </row>
        <row r="16">
          <cell r="C16" t="str">
            <v>BF_1.1.1.9</v>
          </cell>
        </row>
        <row r="17">
          <cell r="C17" t="str">
            <v>BF_1.1.1.10</v>
          </cell>
        </row>
        <row r="18">
          <cell r="C18" t="str">
            <v>BF_1.1.1.11</v>
          </cell>
        </row>
        <row r="19">
          <cell r="C19" t="str">
            <v>BF_1.1.1.12</v>
          </cell>
        </row>
        <row r="21">
          <cell r="C21" t="str">
            <v>BF_1.1.2.1</v>
          </cell>
        </row>
        <row r="22">
          <cell r="C22" t="str">
            <v>BF_1.1.2.2</v>
          </cell>
        </row>
        <row r="26">
          <cell r="C26" t="str">
            <v>BF_1.1.3.1.1.1</v>
          </cell>
        </row>
        <row r="27">
          <cell r="C27" t="str">
            <v>BF_1.1.3.1.1.2</v>
          </cell>
        </row>
        <row r="29">
          <cell r="C29" t="str">
            <v>BF_1.1.3.1.2.1</v>
          </cell>
        </row>
        <row r="30">
          <cell r="C30" t="str">
            <v>BF_1.1.3.1.2.2</v>
          </cell>
        </row>
        <row r="31">
          <cell r="C31" t="str">
            <v>BF_1.1.3.1.3</v>
          </cell>
        </row>
        <row r="35">
          <cell r="C35" t="str">
            <v>BF_1.1.3.2.1.1.1</v>
          </cell>
        </row>
        <row r="36">
          <cell r="C36" t="str">
            <v>BF_1.1.3.2.1.1.2</v>
          </cell>
        </row>
        <row r="37">
          <cell r="C37" t="str">
            <v>BF_1.1.3.2.1.1.3</v>
          </cell>
        </row>
        <row r="38">
          <cell r="C38" t="str">
            <v>BF_1.1.3.2.1.1.4</v>
          </cell>
        </row>
        <row r="39">
          <cell r="C39" t="str">
            <v>BF_1.1.3.2.1.1.5</v>
          </cell>
        </row>
        <row r="40">
          <cell r="C40" t="str">
            <v>BF_1.1.3.2.1.2</v>
          </cell>
        </row>
        <row r="41">
          <cell r="C41" t="str">
            <v>BF_1.1.3.2.1.3</v>
          </cell>
        </row>
        <row r="42">
          <cell r="C42" t="str">
            <v>BF_1.1.3.2.2</v>
          </cell>
        </row>
        <row r="43">
          <cell r="C43" t="str">
            <v>BF_1.1.3.2.3</v>
          </cell>
        </row>
        <row r="44">
          <cell r="C44" t="str">
            <v>BF_1.1.3.2.4</v>
          </cell>
        </row>
        <row r="45">
          <cell r="C45" t="str">
            <v>BF_1.1.3.2.5</v>
          </cell>
        </row>
        <row r="46">
          <cell r="C46" t="str">
            <v>BF_1.1.3.2.6</v>
          </cell>
        </row>
        <row r="49">
          <cell r="E49">
            <v>75782.722999999998</v>
          </cell>
          <cell r="F49">
            <v>78829.30113800001</v>
          </cell>
          <cell r="G49">
            <v>79934.438266700003</v>
          </cell>
          <cell r="H49">
            <v>76698</v>
          </cell>
          <cell r="I49">
            <v>108192.02991642999</v>
          </cell>
          <cell r="J49">
            <v>84624</v>
          </cell>
          <cell r="K49">
            <v>87162.72</v>
          </cell>
          <cell r="L49">
            <v>89777.601599999995</v>
          </cell>
          <cell r="M49">
            <v>92470.929648000005</v>
          </cell>
          <cell r="N49">
            <v>95245.057537440007</v>
          </cell>
          <cell r="O49">
            <v>98102.409263563226</v>
          </cell>
          <cell r="P49">
            <v>101045.4815414701</v>
          </cell>
          <cell r="Q49">
            <v>104076.84598771422</v>
          </cell>
          <cell r="R49">
            <v>107199.15136734565</v>
          </cell>
          <cell r="S49">
            <v>110415.12590836601</v>
          </cell>
        </row>
        <row r="50">
          <cell r="C50" t="str">
            <v>BF_2.1.1.1</v>
          </cell>
        </row>
        <row r="51">
          <cell r="C51" t="str">
            <v>BF_2.1.1.2</v>
          </cell>
        </row>
        <row r="53">
          <cell r="C53" t="str">
            <v>BF_2.1.1.3.1</v>
          </cell>
        </row>
        <row r="54">
          <cell r="C54" t="str">
            <v>BF_2.1.1.3.2</v>
          </cell>
        </row>
        <row r="55">
          <cell r="C55" t="str">
            <v>BF_2.1.1.3.3</v>
          </cell>
        </row>
        <row r="56">
          <cell r="C56" t="str">
            <v>BF_2.1.1.3.4</v>
          </cell>
        </row>
        <row r="57">
          <cell r="C57" t="str">
            <v>BF_2.1.1.3.5</v>
          </cell>
        </row>
        <row r="58">
          <cell r="C58" t="str">
            <v>BF_2.1.1.3.6</v>
          </cell>
        </row>
        <row r="59">
          <cell r="C59" t="str">
            <v>BF_2.1.1.3.7</v>
          </cell>
        </row>
        <row r="60">
          <cell r="C60" t="str">
            <v>BF_2.1.1.4</v>
          </cell>
        </row>
        <row r="61">
          <cell r="C61" t="str">
            <v>BF_2.1.1.5</v>
          </cell>
        </row>
        <row r="62">
          <cell r="C62" t="str">
            <v>BF_2.1.1.6</v>
          </cell>
        </row>
        <row r="63">
          <cell r="C63" t="str">
            <v>BF_2.1.2</v>
          </cell>
          <cell r="E63">
            <v>0</v>
          </cell>
          <cell r="F63">
            <v>0</v>
          </cell>
          <cell r="G63">
            <v>2996.8530000000001</v>
          </cell>
          <cell r="H63">
            <v>5155</v>
          </cell>
          <cell r="I63">
            <v>0</v>
          </cell>
          <cell r="J63">
            <v>0</v>
          </cell>
          <cell r="K63">
            <v>0</v>
          </cell>
          <cell r="L63">
            <v>0</v>
          </cell>
          <cell r="M63">
            <v>0</v>
          </cell>
          <cell r="N63">
            <v>0</v>
          </cell>
          <cell r="O63">
            <v>0</v>
          </cell>
          <cell r="P63">
            <v>0</v>
          </cell>
          <cell r="Q63">
            <v>0</v>
          </cell>
          <cell r="R63">
            <v>0</v>
          </cell>
          <cell r="S63">
            <v>0</v>
          </cell>
        </row>
        <row r="64">
          <cell r="C64" t="str">
            <v>BF_2.1.3</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row>
        <row r="65">
          <cell r="E65">
            <v>179168.315</v>
          </cell>
          <cell r="F65">
            <v>201004.020793</v>
          </cell>
          <cell r="G65">
            <v>249183.55831686998</v>
          </cell>
          <cell r="H65">
            <v>237263</v>
          </cell>
          <cell r="I65">
            <v>281871.25176350004</v>
          </cell>
          <cell r="J65">
            <v>260338</v>
          </cell>
          <cell r="K65">
            <v>268148.13999999996</v>
          </cell>
          <cell r="L65">
            <v>276192.58419999998</v>
          </cell>
          <cell r="M65">
            <v>284478.36172599997</v>
          </cell>
          <cell r="N65">
            <v>293012.71257778001</v>
          </cell>
          <cell r="O65">
            <v>301803.09395511338</v>
          </cell>
          <cell r="P65">
            <v>310857.18677376682</v>
          </cell>
          <cell r="Q65">
            <v>320182.90237697976</v>
          </cell>
          <cell r="R65">
            <v>329788.38944828924</v>
          </cell>
          <cell r="S65">
            <v>339682.04113173787</v>
          </cell>
        </row>
        <row r="66">
          <cell r="C66" t="str">
            <v>BF_2.1.4.1</v>
          </cell>
        </row>
        <row r="67">
          <cell r="C67" t="str">
            <v>BF_2.1.4.2</v>
          </cell>
        </row>
        <row r="68">
          <cell r="C68" t="str">
            <v>BF_2.1.4.3</v>
          </cell>
        </row>
        <row r="69">
          <cell r="C69" t="str">
            <v>BF_2.1.4.4</v>
          </cell>
        </row>
        <row r="70">
          <cell r="C70" t="str">
            <v>BF_2.1.4.5</v>
          </cell>
        </row>
        <row r="71">
          <cell r="E71">
            <v>3030.623</v>
          </cell>
          <cell r="F71">
            <v>2262.795235</v>
          </cell>
          <cell r="G71">
            <v>2055.1417932200002</v>
          </cell>
          <cell r="H71">
            <v>864</v>
          </cell>
          <cell r="I71">
            <v>2668.456799</v>
          </cell>
          <cell r="J71">
            <v>5044</v>
          </cell>
          <cell r="K71">
            <v>7914</v>
          </cell>
          <cell r="L71">
            <v>6766</v>
          </cell>
          <cell r="M71">
            <v>5769</v>
          </cell>
          <cell r="N71">
            <v>4793</v>
          </cell>
          <cell r="O71">
            <v>3818</v>
          </cell>
          <cell r="P71">
            <v>2842</v>
          </cell>
          <cell r="Q71">
            <v>1909</v>
          </cell>
          <cell r="R71">
            <v>1122</v>
          </cell>
          <cell r="S71">
            <v>677</v>
          </cell>
        </row>
        <row r="72">
          <cell r="C72" t="str">
            <v>BF_2.1.5.1</v>
          </cell>
        </row>
        <row r="73">
          <cell r="C73" t="str">
            <v>BF_2.1.5.2</v>
          </cell>
        </row>
        <row r="75">
          <cell r="E75">
            <v>18273.837</v>
          </cell>
          <cell r="F75">
            <v>9553.7139859999988</v>
          </cell>
          <cell r="G75">
            <v>22521.385139590002</v>
          </cell>
          <cell r="H75">
            <v>9811</v>
          </cell>
          <cell r="I75">
            <v>12843.76543184</v>
          </cell>
          <cell r="J75">
            <v>10017.37866351</v>
          </cell>
          <cell r="K75">
            <v>10330.900023415301</v>
          </cell>
          <cell r="L75">
            <v>10640.82702411776</v>
          </cell>
          <cell r="M75">
            <v>10960.051834841293</v>
          </cell>
          <cell r="N75">
            <v>11288.853389886532</v>
          </cell>
          <cell r="O75">
            <v>11627.518991583129</v>
          </cell>
          <cell r="P75">
            <v>11976.344561330623</v>
          </cell>
          <cell r="Q75">
            <v>12335.634898170543</v>
          </cell>
          <cell r="R75">
            <v>12705.70394511566</v>
          </cell>
          <cell r="S75">
            <v>13086.87506346913</v>
          </cell>
        </row>
        <row r="76">
          <cell r="C76" t="str">
            <v>BF_4.1</v>
          </cell>
        </row>
        <row r="77">
          <cell r="C77" t="str">
            <v>BF_4.2</v>
          </cell>
        </row>
        <row r="78">
          <cell r="C78" t="str">
            <v>BF_4.3</v>
          </cell>
        </row>
        <row r="79">
          <cell r="C79" t="str">
            <v>BF_4.4</v>
          </cell>
        </row>
        <row r="80">
          <cell r="C80" t="str">
            <v>BF_4.5</v>
          </cell>
        </row>
        <row r="82">
          <cell r="C82" t="str">
            <v>BF_4.6.1</v>
          </cell>
        </row>
        <row r="83">
          <cell r="C83" t="str">
            <v>BF_4.6.2</v>
          </cell>
        </row>
        <row r="84">
          <cell r="C84" t="str">
            <v>BF_4.6.3</v>
          </cell>
        </row>
        <row r="85">
          <cell r="C85" t="str">
            <v>BF_4.6.4</v>
          </cell>
        </row>
        <row r="86">
          <cell r="C86" t="str">
            <v>BF_4.7</v>
          </cell>
        </row>
        <row r="87">
          <cell r="E87">
            <v>41980.294000000002</v>
          </cell>
          <cell r="F87">
            <v>36187.638661999998</v>
          </cell>
          <cell r="G87">
            <v>19584.230575699999</v>
          </cell>
          <cell r="H87">
            <v>4066</v>
          </cell>
          <cell r="I87">
            <v>15986.154634140001</v>
          </cell>
          <cell r="J87">
            <v>7154</v>
          </cell>
          <cell r="K87">
            <v>6276.76</v>
          </cell>
          <cell r="L87">
            <v>8777.372800000001</v>
          </cell>
          <cell r="M87">
            <v>10497.026527259623</v>
          </cell>
          <cell r="N87">
            <v>12107.743503520001</v>
          </cell>
          <cell r="O87">
            <v>13736.805808625602</v>
          </cell>
          <cell r="P87">
            <v>15598.32998288437</v>
          </cell>
          <cell r="Q87">
            <v>17953.479882370899</v>
          </cell>
          <cell r="R87">
            <v>21168.424278842027</v>
          </cell>
          <cell r="S87">
            <v>22349.33700720729</v>
          </cell>
        </row>
        <row r="89">
          <cell r="C89" t="str">
            <v>BF_5.1.1</v>
          </cell>
        </row>
        <row r="90">
          <cell r="C90" t="str">
            <v>BF_5.1.2</v>
          </cell>
        </row>
        <row r="91">
          <cell r="C91" t="str">
            <v>BF_5.1.3</v>
          </cell>
        </row>
        <row r="92">
          <cell r="C92" t="str">
            <v>BF_5.1.4</v>
          </cell>
        </row>
        <row r="93">
          <cell r="C93" t="str">
            <v>BF_5.1.5</v>
          </cell>
        </row>
        <row r="94">
          <cell r="C94" t="str">
            <v>BF_5.1.6</v>
          </cell>
        </row>
        <row r="95">
          <cell r="C95" t="str">
            <v>BF_5.2</v>
          </cell>
        </row>
        <row r="101">
          <cell r="C101" t="str">
            <v>BF_8.1.1.1</v>
          </cell>
          <cell r="G101">
            <v>9953.6580334999999</v>
          </cell>
        </row>
        <row r="102">
          <cell r="C102" t="str">
            <v>BF_8.1.1.2</v>
          </cell>
        </row>
        <row r="104">
          <cell r="C104" t="str">
            <v>BF_8.1.2.1</v>
          </cell>
        </row>
        <row r="105">
          <cell r="C105" t="str">
            <v>BF_8.1.2.2</v>
          </cell>
        </row>
        <row r="106">
          <cell r="C106" t="str">
            <v>BF_8.2</v>
          </cell>
          <cell r="E106">
            <v>44876.487000000001</v>
          </cell>
          <cell r="F106">
            <v>44045.961669999997</v>
          </cell>
          <cell r="G106">
            <v>42775.174270419971</v>
          </cell>
          <cell r="H106">
            <v>39942</v>
          </cell>
          <cell r="I106">
            <v>40285.835765429998</v>
          </cell>
          <cell r="J106">
            <v>0</v>
          </cell>
          <cell r="K106">
            <v>0</v>
          </cell>
          <cell r="L106">
            <v>0</v>
          </cell>
          <cell r="M106">
            <v>0</v>
          </cell>
          <cell r="N106">
            <v>0</v>
          </cell>
          <cell r="O106">
            <v>0</v>
          </cell>
          <cell r="P106">
            <v>0</v>
          </cell>
          <cell r="Q106">
            <v>0</v>
          </cell>
          <cell r="R106">
            <v>0</v>
          </cell>
          <cell r="S106">
            <v>0</v>
          </cell>
        </row>
        <row r="107">
          <cell r="C107" t="str">
            <v>BF_8.3</v>
          </cell>
        </row>
        <row r="108">
          <cell r="C108" t="str">
            <v>BF_8.4</v>
          </cell>
        </row>
        <row r="119">
          <cell r="C119" t="str">
            <v>BF_13.1</v>
          </cell>
        </row>
        <row r="120">
          <cell r="C120" t="str">
            <v>BF_13.2</v>
          </cell>
        </row>
        <row r="121">
          <cell r="C121" t="str">
            <v>BF_13.3</v>
          </cell>
        </row>
      </sheetData>
      <sheetData sheetId="10"/>
      <sheetData sheetId="11">
        <row r="6">
          <cell r="A6" t="str">
            <v>CAPEN.1.1</v>
          </cell>
        </row>
        <row r="7">
          <cell r="A7" t="str">
            <v>CAPEN.1.2</v>
          </cell>
        </row>
        <row r="8">
          <cell r="A8" t="str">
            <v>CAPEN.2</v>
          </cell>
        </row>
        <row r="12">
          <cell r="A12" t="str">
            <v>CAPEN.4.1.1</v>
          </cell>
        </row>
        <row r="13">
          <cell r="A13" t="str">
            <v>CAPEN.4.1.2</v>
          </cell>
        </row>
        <row r="17">
          <cell r="A17" t="str">
            <v>CAPEN.4.2.1</v>
          </cell>
        </row>
        <row r="18">
          <cell r="A18" t="str">
            <v>CAPEN.4.2.2</v>
          </cell>
        </row>
        <row r="20">
          <cell r="A20" t="str">
            <v>CAPEN.4.3</v>
          </cell>
        </row>
        <row r="21">
          <cell r="A21" t="str">
            <v>CAPEN.4.4</v>
          </cell>
        </row>
        <row r="23">
          <cell r="A23" t="str">
            <v>CAPEN.5.1</v>
          </cell>
        </row>
        <row r="24">
          <cell r="A24" t="str">
            <v>CAPEN.5.2</v>
          </cell>
        </row>
        <row r="37">
          <cell r="C37">
            <v>0.14443909342038233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Basicos"/>
      <sheetName val="Departamentos"/>
      <sheetName val="EntidadesTerritoriales"/>
      <sheetName val="DAF_BalanceFinanciero"/>
      <sheetName val="DAF_Ley358"/>
      <sheetName val="DAF_SaldoDeuda"/>
      <sheetName val="Entidad"/>
      <sheetName val="Descripción Glosario"/>
      <sheetName val="Supuestos Macro Nación"/>
      <sheetName val="Plan Financiero"/>
      <sheetName val="Superávit Primario"/>
      <sheetName val="Capacidad de Endeudamiento"/>
    </sheetNames>
    <sheetDataSet>
      <sheetData sheetId="0"/>
      <sheetData sheetId="1"/>
      <sheetData sheetId="2"/>
      <sheetData sheetId="3">
        <row r="2">
          <cell r="A2" t="str">
            <v>63000-BF_1</v>
          </cell>
          <cell r="B2" t="str">
            <v>QUINDIO</v>
          </cell>
          <cell r="C2">
            <v>63000</v>
          </cell>
          <cell r="D2" t="str">
            <v>DEPARTAMENTO DEL QUINDIO</v>
          </cell>
          <cell r="E2">
            <v>1</v>
          </cell>
          <cell r="F2" t="str">
            <v>BF_1</v>
          </cell>
          <cell r="G2" t="str">
            <v>INGRESOS TOTALES</v>
          </cell>
          <cell r="H2">
            <v>305001.65399999998</v>
          </cell>
          <cell r="I2">
            <v>313252.73797199997</v>
          </cell>
        </row>
        <row r="3">
          <cell r="A3" t="str">
            <v>63000-BF_1.1</v>
          </cell>
          <cell r="B3" t="str">
            <v>QUINDIO</v>
          </cell>
          <cell r="C3">
            <v>63000</v>
          </cell>
          <cell r="D3" t="str">
            <v>DEPARTAMENTO DEL QUINDIO</v>
          </cell>
          <cell r="E3">
            <v>2</v>
          </cell>
          <cell r="F3" t="str">
            <v>BF_1.1</v>
          </cell>
          <cell r="G3" t="str">
            <v xml:space="preserve">    INGRESOS CORRIENTES</v>
          </cell>
          <cell r="H3">
            <v>286727.81699999998</v>
          </cell>
          <cell r="I3">
            <v>303699.02398599999</v>
          </cell>
        </row>
        <row r="4">
          <cell r="A4" t="str">
            <v>63000-BF_1.1.1</v>
          </cell>
          <cell r="B4" t="str">
            <v>QUINDIO</v>
          </cell>
          <cell r="C4">
            <v>63000</v>
          </cell>
          <cell r="D4" t="str">
            <v>DEPARTAMENTO DEL QUINDIO</v>
          </cell>
          <cell r="E4">
            <v>3</v>
          </cell>
          <cell r="F4" t="str">
            <v>BF_1.1.1</v>
          </cell>
          <cell r="G4" t="str">
            <v xml:space="preserve">        TRIBUTARIOS</v>
          </cell>
          <cell r="H4">
            <v>116340.342</v>
          </cell>
          <cell r="I4">
            <v>118908.05119499999</v>
          </cell>
        </row>
        <row r="5">
          <cell r="A5" t="str">
            <v>63000-BF_1.1.1.1</v>
          </cell>
          <cell r="B5" t="str">
            <v>QUINDIO</v>
          </cell>
          <cell r="C5">
            <v>63000</v>
          </cell>
          <cell r="D5" t="str">
            <v>DEPARTAMENTO DEL QUINDIO</v>
          </cell>
          <cell r="E5">
            <v>4</v>
          </cell>
          <cell r="F5" t="str">
            <v>BF_1.1.1.1</v>
          </cell>
          <cell r="G5" t="str">
            <v xml:space="preserve">             Vehículos Automotores</v>
          </cell>
          <cell r="H5">
            <v>12628.027</v>
          </cell>
          <cell r="I5">
            <v>13740.633217000001</v>
          </cell>
        </row>
        <row r="6">
          <cell r="A6" t="str">
            <v>63000-BF_1.1.1.4</v>
          </cell>
          <cell r="B6" t="str">
            <v>QUINDIO</v>
          </cell>
          <cell r="C6">
            <v>63000</v>
          </cell>
          <cell r="D6" t="str">
            <v>DEPARTAMENTO DEL QUINDIO</v>
          </cell>
          <cell r="E6">
            <v>7</v>
          </cell>
          <cell r="F6" t="str">
            <v>BF_1.1.1.4</v>
          </cell>
          <cell r="G6" t="str">
            <v xml:space="preserve">             Registro y Anotación</v>
          </cell>
          <cell r="H6">
            <v>13064.938</v>
          </cell>
          <cell r="I6">
            <v>13570.933605</v>
          </cell>
        </row>
        <row r="7">
          <cell r="A7" t="str">
            <v>63000-BF_1.1.1.5</v>
          </cell>
          <cell r="B7" t="str">
            <v>QUINDIO</v>
          </cell>
          <cell r="C7">
            <v>63000</v>
          </cell>
          <cell r="D7" t="str">
            <v>DEPARTAMENTO DEL QUINDIO</v>
          </cell>
          <cell r="E7">
            <v>8</v>
          </cell>
          <cell r="F7" t="str">
            <v>BF_1.1.1.5</v>
          </cell>
          <cell r="G7" t="str">
            <v xml:space="preserve">             Licores</v>
          </cell>
          <cell r="H7">
            <v>12378.339</v>
          </cell>
          <cell r="I7">
            <v>12323.33171</v>
          </cell>
        </row>
        <row r="8">
          <cell r="A8" t="str">
            <v>63000-BF_1.1.1.6</v>
          </cell>
          <cell r="B8" t="str">
            <v>QUINDIO</v>
          </cell>
          <cell r="C8">
            <v>63000</v>
          </cell>
          <cell r="D8" t="str">
            <v>DEPARTAMENTO DEL QUINDIO</v>
          </cell>
          <cell r="E8">
            <v>9</v>
          </cell>
          <cell r="F8" t="str">
            <v>BF_1.1.1.6</v>
          </cell>
          <cell r="G8" t="str">
            <v xml:space="preserve">             Cerveza</v>
          </cell>
          <cell r="H8">
            <v>19989.563999999998</v>
          </cell>
          <cell r="I8">
            <v>18447.6194</v>
          </cell>
        </row>
        <row r="9">
          <cell r="A9" t="str">
            <v>63000-BF_1.1.1.7</v>
          </cell>
          <cell r="B9" t="str">
            <v>QUINDIO</v>
          </cell>
          <cell r="C9">
            <v>63000</v>
          </cell>
          <cell r="D9" t="str">
            <v>DEPARTAMENTO DEL QUINDIO</v>
          </cell>
          <cell r="E9">
            <v>10</v>
          </cell>
          <cell r="F9" t="str">
            <v>BF_1.1.1.7</v>
          </cell>
          <cell r="G9" t="str">
            <v xml:space="preserve">             Cigarrillos y Tabaco</v>
          </cell>
          <cell r="H9">
            <v>21721.458999999999</v>
          </cell>
          <cell r="I9">
            <v>22183.786067000001</v>
          </cell>
        </row>
        <row r="10">
          <cell r="A10" t="str">
            <v>63000-BF_1.1.1.8</v>
          </cell>
          <cell r="B10" t="str">
            <v>QUINDIO</v>
          </cell>
          <cell r="C10">
            <v>63000</v>
          </cell>
          <cell r="D10" t="str">
            <v>DEPARTAMENTO DEL QUINDIO</v>
          </cell>
          <cell r="E10">
            <v>11</v>
          </cell>
          <cell r="F10" t="str">
            <v>BF_1.1.1.8</v>
          </cell>
          <cell r="G10" t="str">
            <v xml:space="preserve">             Sobretasa Consumo Gasolina Motor</v>
          </cell>
          <cell r="H10">
            <v>6713.558</v>
          </cell>
          <cell r="I10">
            <v>6992.5485500000004</v>
          </cell>
        </row>
        <row r="11">
          <cell r="A11" t="str">
            <v>63000-BF_1.1.1.9</v>
          </cell>
          <cell r="B11" t="str">
            <v>QUINDIO</v>
          </cell>
          <cell r="C11">
            <v>63000</v>
          </cell>
          <cell r="D11" t="str">
            <v>DEPARTAMENTO DEL QUINDIO</v>
          </cell>
          <cell r="E11">
            <v>12</v>
          </cell>
          <cell r="F11" t="str">
            <v>BF_1.1.1.9</v>
          </cell>
          <cell r="G11" t="str">
            <v xml:space="preserve">             Estampillas</v>
          </cell>
          <cell r="H11">
            <v>25973.508000000002</v>
          </cell>
          <cell r="I11">
            <v>27166.513202999999</v>
          </cell>
        </row>
        <row r="12">
          <cell r="A12" t="str">
            <v>63000-BF_1.1.1.12</v>
          </cell>
          <cell r="B12" t="str">
            <v>QUINDIO</v>
          </cell>
          <cell r="C12">
            <v>63000</v>
          </cell>
          <cell r="D12" t="str">
            <v>DEPARTAMENTO DEL QUINDIO</v>
          </cell>
          <cell r="E12">
            <v>15</v>
          </cell>
          <cell r="F12" t="str">
            <v>BF_1.1.1.12</v>
          </cell>
          <cell r="G12" t="str">
            <v xml:space="preserve">             Otros Ingresos Tributarios</v>
          </cell>
          <cell r="H12">
            <v>3870.9490000000001</v>
          </cell>
          <cell r="I12">
            <v>4482.6854430000003</v>
          </cell>
        </row>
        <row r="13">
          <cell r="A13" t="str">
            <v>63000-BF_1.1.2</v>
          </cell>
          <cell r="B13" t="str">
            <v>QUINDIO</v>
          </cell>
          <cell r="C13">
            <v>63000</v>
          </cell>
          <cell r="D13" t="str">
            <v>DEPARTAMENTO DEL QUINDIO</v>
          </cell>
          <cell r="E13">
            <v>16</v>
          </cell>
          <cell r="F13" t="str">
            <v>BF_1.1.2</v>
          </cell>
          <cell r="G13" t="str">
            <v xml:space="preserve">        NO TRIBUTARIOS</v>
          </cell>
          <cell r="H13">
            <v>22534.028999999999</v>
          </cell>
          <cell r="I13">
            <v>23932.643242999999</v>
          </cell>
        </row>
        <row r="14">
          <cell r="A14" t="str">
            <v>63000-BF_1.1.2.1</v>
          </cell>
          <cell r="B14" t="str">
            <v>QUINDIO</v>
          </cell>
          <cell r="C14">
            <v>63000</v>
          </cell>
          <cell r="D14" t="str">
            <v>DEPARTAMENTO DEL QUINDIO</v>
          </cell>
          <cell r="E14">
            <v>17</v>
          </cell>
          <cell r="F14" t="str">
            <v>BF_1.1.2.1</v>
          </cell>
          <cell r="G14" t="str">
            <v xml:space="preserve">             Ingresos de la Propiedad: Tasas, Derechos, Multas y Sanciones</v>
          </cell>
          <cell r="H14">
            <v>21417.488000000001</v>
          </cell>
          <cell r="I14">
            <v>23028.200915000001</v>
          </cell>
        </row>
        <row r="15">
          <cell r="A15" t="str">
            <v>63000-BF_1.1.2.2</v>
          </cell>
          <cell r="B15" t="str">
            <v>QUINDIO</v>
          </cell>
          <cell r="C15">
            <v>63000</v>
          </cell>
          <cell r="D15" t="str">
            <v>DEPARTAMENTO DEL QUINDIO</v>
          </cell>
          <cell r="E15">
            <v>18</v>
          </cell>
          <cell r="F15" t="str">
            <v>BF_1.1.2.2</v>
          </cell>
          <cell r="G15" t="str">
            <v xml:space="preserve">             Otros No Tributarios</v>
          </cell>
          <cell r="H15">
            <v>1116.5409999999999</v>
          </cell>
          <cell r="I15">
            <v>904.44232799999997</v>
          </cell>
        </row>
        <row r="16">
          <cell r="A16" t="str">
            <v>63000-BF_1.1.3</v>
          </cell>
          <cell r="B16" t="str">
            <v>QUINDIO</v>
          </cell>
          <cell r="C16">
            <v>63000</v>
          </cell>
          <cell r="D16" t="str">
            <v>DEPARTAMENTO DEL QUINDIO</v>
          </cell>
          <cell r="E16">
            <v>19</v>
          </cell>
          <cell r="F16" t="str">
            <v>BF_1.1.3</v>
          </cell>
          <cell r="G16" t="str">
            <v xml:space="preserve">        TRANSFERENCIAS</v>
          </cell>
          <cell r="H16">
            <v>147853.446</v>
          </cell>
          <cell r="I16">
            <v>160858.32954800001</v>
          </cell>
        </row>
        <row r="17">
          <cell r="A17" t="str">
            <v>63000-BF_1.1.3.1</v>
          </cell>
          <cell r="B17" t="str">
            <v>QUINDIO</v>
          </cell>
          <cell r="C17">
            <v>63000</v>
          </cell>
          <cell r="D17" t="str">
            <v>DEPARTAMENTO DEL QUINDIO</v>
          </cell>
          <cell r="E17">
            <v>20</v>
          </cell>
          <cell r="F17" t="str">
            <v>BF_1.1.3.1</v>
          </cell>
          <cell r="G17" t="str">
            <v xml:space="preserve">             Transferencias Para Funcionamiento</v>
          </cell>
          <cell r="H17">
            <v>2043.203</v>
          </cell>
          <cell r="I17">
            <v>3109.9217549999998</v>
          </cell>
        </row>
        <row r="18">
          <cell r="A18" t="str">
            <v>63000-BF_1.1.3.1.1</v>
          </cell>
          <cell r="B18" t="str">
            <v>QUINDIO</v>
          </cell>
          <cell r="C18">
            <v>63000</v>
          </cell>
          <cell r="D18" t="str">
            <v>DEPARTAMENTO DEL QUINDIO</v>
          </cell>
          <cell r="E18">
            <v>21</v>
          </cell>
          <cell r="F18" t="str">
            <v>BF_1.1.3.1.1</v>
          </cell>
          <cell r="G18" t="str">
            <v xml:space="preserve">                 Del Nivel Nacional</v>
          </cell>
          <cell r="H18">
            <v>0</v>
          </cell>
          <cell r="I18">
            <v>1301.0208660000001</v>
          </cell>
        </row>
        <row r="19">
          <cell r="A19" t="str">
            <v>63000-BF_1.1.3.1.1.2</v>
          </cell>
          <cell r="B19" t="str">
            <v>QUINDIO</v>
          </cell>
          <cell r="C19">
            <v>63000</v>
          </cell>
          <cell r="D19" t="str">
            <v>DEPARTAMENTO DEL QUINDIO</v>
          </cell>
          <cell r="E19">
            <v>23</v>
          </cell>
          <cell r="F19" t="str">
            <v>BF_1.1.3.1.1.2</v>
          </cell>
          <cell r="G19" t="str">
            <v xml:space="preserve">                     Otras Transferencias de la Nación</v>
          </cell>
          <cell r="H19">
            <v>0</v>
          </cell>
          <cell r="I19">
            <v>1301.0208660000001</v>
          </cell>
        </row>
        <row r="20">
          <cell r="A20" t="str">
            <v>63000-BF_1.1.3.1.3</v>
          </cell>
          <cell r="B20" t="str">
            <v>QUINDIO</v>
          </cell>
          <cell r="C20">
            <v>63000</v>
          </cell>
          <cell r="D20" t="str">
            <v>DEPARTAMENTO DEL QUINDIO</v>
          </cell>
          <cell r="E20">
            <v>27</v>
          </cell>
          <cell r="F20" t="str">
            <v>BF_1.1.3.1.3</v>
          </cell>
          <cell r="G20" t="str">
            <v xml:space="preserve">                 Otras Transferencias Para Funcionamiento</v>
          </cell>
          <cell r="H20">
            <v>2043.203</v>
          </cell>
          <cell r="I20">
            <v>1808.900889</v>
          </cell>
        </row>
        <row r="21">
          <cell r="A21" t="str">
            <v>63000-BF_1.1.3.2</v>
          </cell>
          <cell r="B21" t="str">
            <v>QUINDIO</v>
          </cell>
          <cell r="C21">
            <v>63000</v>
          </cell>
          <cell r="D21" t="str">
            <v>DEPARTAMENTO DEL QUINDIO</v>
          </cell>
          <cell r="E21">
            <v>28</v>
          </cell>
          <cell r="F21" t="str">
            <v>BF_1.1.3.2</v>
          </cell>
          <cell r="G21" t="str">
            <v xml:space="preserve">             Transferencias Para Inversión</v>
          </cell>
          <cell r="H21">
            <v>145810.24299999999</v>
          </cell>
          <cell r="I21">
            <v>157748.40779299999</v>
          </cell>
        </row>
        <row r="22">
          <cell r="A22" t="str">
            <v>63000-BF_1.1.3.2.1</v>
          </cell>
          <cell r="B22" t="str">
            <v>QUINDIO</v>
          </cell>
          <cell r="C22">
            <v>63000</v>
          </cell>
          <cell r="D22" t="str">
            <v>DEPARTAMENTO DEL QUINDIO</v>
          </cell>
          <cell r="E22">
            <v>29</v>
          </cell>
          <cell r="F22" t="str">
            <v>BF_1.1.3.2.1</v>
          </cell>
          <cell r="G22" t="str">
            <v xml:space="preserve">                 Del Nivel Nacional</v>
          </cell>
          <cell r="H22">
            <v>144704.58199999999</v>
          </cell>
          <cell r="I22">
            <v>157748.40779299999</v>
          </cell>
        </row>
        <row r="23">
          <cell r="A23" t="str">
            <v>63000-BF_1.1.3.2.1.1</v>
          </cell>
          <cell r="B23" t="str">
            <v>QUINDIO</v>
          </cell>
          <cell r="C23">
            <v>63000</v>
          </cell>
          <cell r="D23" t="str">
            <v>DEPARTAMENTO DEL QUINDIO</v>
          </cell>
          <cell r="E23">
            <v>30</v>
          </cell>
          <cell r="F23" t="str">
            <v>BF_1.1.3.2.1.1</v>
          </cell>
          <cell r="G23" t="str">
            <v xml:space="preserve">                     Sistema General de Participaciones</v>
          </cell>
          <cell r="H23">
            <v>140349.372</v>
          </cell>
          <cell r="I23">
            <v>145732.228011</v>
          </cell>
        </row>
        <row r="24">
          <cell r="A24" t="str">
            <v>63000-BF_1.1.3.2.1.1.1</v>
          </cell>
          <cell r="B24" t="str">
            <v>QUINDIO</v>
          </cell>
          <cell r="C24">
            <v>63000</v>
          </cell>
          <cell r="D24" t="str">
            <v>DEPARTAMENTO DEL QUINDIO</v>
          </cell>
          <cell r="E24">
            <v>31</v>
          </cell>
          <cell r="F24" t="str">
            <v>BF_1.1.3.2.1.1.1</v>
          </cell>
          <cell r="G24" t="str">
            <v xml:space="preserve">                         Sistema General de Participaciones - Educación</v>
          </cell>
          <cell r="H24">
            <v>126466.371</v>
          </cell>
          <cell r="I24">
            <v>131777.19046499999</v>
          </cell>
        </row>
        <row r="25">
          <cell r="A25" t="str">
            <v>63000-BF_1.1.3.2.1.1.2</v>
          </cell>
          <cell r="B25" t="str">
            <v>QUINDIO</v>
          </cell>
          <cell r="C25">
            <v>63000</v>
          </cell>
          <cell r="D25" t="str">
            <v>DEPARTAMENTO DEL QUINDIO</v>
          </cell>
          <cell r="E25">
            <v>32</v>
          </cell>
          <cell r="F25" t="str">
            <v>BF_1.1.3.2.1.1.2</v>
          </cell>
          <cell r="G25" t="str">
            <v xml:space="preserve">                         Sistema General de Participaciones - Salud</v>
          </cell>
          <cell r="H25">
            <v>11564.476000000001</v>
          </cell>
          <cell r="I25">
            <v>11440.320914</v>
          </cell>
        </row>
        <row r="26">
          <cell r="A26" t="str">
            <v>63000-BF_1.1.3.2.1.1.3</v>
          </cell>
          <cell r="B26" t="str">
            <v>QUINDIO</v>
          </cell>
          <cell r="C26">
            <v>63000</v>
          </cell>
          <cell r="D26" t="str">
            <v>DEPARTAMENTO DEL QUINDIO</v>
          </cell>
          <cell r="E26">
            <v>33</v>
          </cell>
          <cell r="F26" t="str">
            <v>BF_1.1.3.2.1.1.3</v>
          </cell>
          <cell r="G26" t="str">
            <v xml:space="preserve">                         Sistema General de Participaciones - Agua Potable y Saneamiento Básico</v>
          </cell>
          <cell r="H26">
            <v>2318.5250000000001</v>
          </cell>
          <cell r="I26">
            <v>2514.7166320000001</v>
          </cell>
        </row>
        <row r="27">
          <cell r="A27" t="str">
            <v>63000-BF_1.1.3.2.1.3</v>
          </cell>
          <cell r="B27" t="str">
            <v>QUINDIO</v>
          </cell>
          <cell r="C27">
            <v>63000</v>
          </cell>
          <cell r="D27" t="str">
            <v>DEPARTAMENTO DEL QUINDIO</v>
          </cell>
          <cell r="E27">
            <v>37</v>
          </cell>
          <cell r="F27" t="str">
            <v>BF_1.1.3.2.1.3</v>
          </cell>
          <cell r="G27" t="str">
            <v xml:space="preserve">                     Otras Transferencias de la Nación</v>
          </cell>
          <cell r="H27">
            <v>4355.21</v>
          </cell>
          <cell r="I27">
            <v>12016.179781999999</v>
          </cell>
        </row>
        <row r="28">
          <cell r="A28" t="str">
            <v>63000-BF_1.1.3.2.3</v>
          </cell>
          <cell r="B28" t="str">
            <v>QUINDIO</v>
          </cell>
          <cell r="C28">
            <v>63000</v>
          </cell>
          <cell r="D28" t="str">
            <v>DEPARTAMENTO DEL QUINDIO</v>
          </cell>
          <cell r="E28">
            <v>39</v>
          </cell>
          <cell r="F28" t="str">
            <v>BF_1.1.3.2.3</v>
          </cell>
          <cell r="G28" t="str">
            <v xml:space="preserve">                 Del Nivel Municipal</v>
          </cell>
          <cell r="H28">
            <v>792.98</v>
          </cell>
          <cell r="I28">
            <v>0</v>
          </cell>
        </row>
        <row r="29">
          <cell r="A29" t="str">
            <v>63000-BF_1.1.3.2.4</v>
          </cell>
          <cell r="B29" t="str">
            <v>QUINDIO</v>
          </cell>
          <cell r="C29">
            <v>63000</v>
          </cell>
          <cell r="D29" t="str">
            <v>DEPARTAMENTO DEL QUINDIO</v>
          </cell>
          <cell r="E29">
            <v>40</v>
          </cell>
          <cell r="F29" t="str">
            <v>BF_1.1.3.2.4</v>
          </cell>
          <cell r="G29" t="str">
            <v xml:space="preserve">                 Sector Descentralizado</v>
          </cell>
          <cell r="H29">
            <v>312.68099999999998</v>
          </cell>
          <cell r="I29">
            <v>0</v>
          </cell>
        </row>
        <row r="30">
          <cell r="A30" t="str">
            <v>63000-BF_2</v>
          </cell>
          <cell r="B30" t="str">
            <v>QUINDIO</v>
          </cell>
          <cell r="C30">
            <v>63000</v>
          </cell>
          <cell r="D30" t="str">
            <v>DEPARTAMENTO DEL QUINDIO</v>
          </cell>
          <cell r="E30">
            <v>43</v>
          </cell>
          <cell r="F30" t="str">
            <v>BF_2</v>
          </cell>
          <cell r="G30" t="str">
            <v>GASTOS  TOTALES</v>
          </cell>
          <cell r="H30">
            <v>299961.95500000002</v>
          </cell>
          <cell r="I30">
            <v>318283.75582800002</v>
          </cell>
        </row>
        <row r="31">
          <cell r="A31" t="str">
            <v>63000-BF_2.1</v>
          </cell>
          <cell r="B31" t="str">
            <v>QUINDIO</v>
          </cell>
          <cell r="C31">
            <v>63000</v>
          </cell>
          <cell r="D31" t="str">
            <v>DEPARTAMENTO DEL QUINDIO</v>
          </cell>
          <cell r="E31">
            <v>44</v>
          </cell>
          <cell r="F31" t="str">
            <v>BF_2.1</v>
          </cell>
          <cell r="G31" t="str">
            <v xml:space="preserve">    GASTOS CORRIENTES</v>
          </cell>
          <cell r="H31">
            <v>257981.66099999999</v>
          </cell>
          <cell r="I31">
            <v>282096.11716600001</v>
          </cell>
        </row>
        <row r="32">
          <cell r="A32" t="str">
            <v>63000-BF_2.1.1</v>
          </cell>
          <cell r="B32" t="str">
            <v>QUINDIO</v>
          </cell>
          <cell r="C32">
            <v>63000</v>
          </cell>
          <cell r="D32" t="str">
            <v>DEPARTAMENTO DEL QUINDIO</v>
          </cell>
          <cell r="E32">
            <v>45</v>
          </cell>
          <cell r="F32" t="str">
            <v>BF_2.1.1</v>
          </cell>
          <cell r="G32" t="str">
            <v xml:space="preserve">        FUNCIONAMIENTO</v>
          </cell>
          <cell r="H32">
            <v>75782.722999999998</v>
          </cell>
          <cell r="I32">
            <v>78829.301137999995</v>
          </cell>
        </row>
        <row r="33">
          <cell r="A33" t="str">
            <v>63000-BF_2.1.1.1</v>
          </cell>
          <cell r="B33" t="str">
            <v>QUINDIO</v>
          </cell>
          <cell r="C33">
            <v>63000</v>
          </cell>
          <cell r="D33" t="str">
            <v>DEPARTAMENTO DEL QUINDIO</v>
          </cell>
          <cell r="E33">
            <v>46</v>
          </cell>
          <cell r="F33" t="str">
            <v>BF_2.1.1.1</v>
          </cell>
          <cell r="G33" t="str">
            <v xml:space="preserve">             Gastos de Personal  </v>
          </cell>
          <cell r="H33">
            <v>29026.309000000001</v>
          </cell>
          <cell r="I33">
            <v>31428.355007999999</v>
          </cell>
        </row>
        <row r="34">
          <cell r="A34" t="str">
            <v>63000-BF_2.1.1.2</v>
          </cell>
          <cell r="B34" t="str">
            <v>QUINDIO</v>
          </cell>
          <cell r="C34">
            <v>63000</v>
          </cell>
          <cell r="D34" t="str">
            <v>DEPARTAMENTO DEL QUINDIO</v>
          </cell>
          <cell r="E34">
            <v>47</v>
          </cell>
          <cell r="F34" t="str">
            <v>BF_2.1.1.2</v>
          </cell>
          <cell r="G34" t="str">
            <v xml:space="preserve">             Gastos Generales</v>
          </cell>
          <cell r="H34">
            <v>7611.9369999999999</v>
          </cell>
          <cell r="I34">
            <v>6786.0466210000004</v>
          </cell>
        </row>
        <row r="35">
          <cell r="A35" t="str">
            <v>63000-BF_2.1.1.3</v>
          </cell>
          <cell r="B35" t="str">
            <v>QUINDIO</v>
          </cell>
          <cell r="C35">
            <v>63000</v>
          </cell>
          <cell r="D35" t="str">
            <v>DEPARTAMENTO DEL QUINDIO</v>
          </cell>
          <cell r="E35">
            <v>48</v>
          </cell>
          <cell r="F35" t="str">
            <v>BF_2.1.1.3</v>
          </cell>
          <cell r="G35" t="str">
            <v xml:space="preserve">             Transferencias</v>
          </cell>
          <cell r="H35">
            <v>37479.087</v>
          </cell>
          <cell r="I35">
            <v>39929.734617000002</v>
          </cell>
        </row>
        <row r="36">
          <cell r="A36" t="str">
            <v>63000-BF_2.1.1.3.1</v>
          </cell>
          <cell r="B36" t="str">
            <v>QUINDIO</v>
          </cell>
          <cell r="C36">
            <v>63000</v>
          </cell>
          <cell r="D36" t="str">
            <v>DEPARTAMENTO DEL QUINDIO</v>
          </cell>
          <cell r="E36">
            <v>49</v>
          </cell>
          <cell r="F36" t="str">
            <v>BF_2.1.1.3.1</v>
          </cell>
          <cell r="G36" t="str">
            <v xml:space="preserve">                 Pensiones</v>
          </cell>
          <cell r="H36">
            <v>10546.245999999999</v>
          </cell>
          <cell r="I36">
            <v>12695.564394999999</v>
          </cell>
        </row>
        <row r="37">
          <cell r="A37" t="str">
            <v>63000-BF_2.1.1.3.2</v>
          </cell>
          <cell r="B37" t="str">
            <v>QUINDIO</v>
          </cell>
          <cell r="C37">
            <v>63000</v>
          </cell>
          <cell r="D37" t="str">
            <v>DEPARTAMENTO DEL QUINDIO</v>
          </cell>
          <cell r="E37">
            <v>50</v>
          </cell>
          <cell r="F37" t="str">
            <v>BF_2.1.1.3.2</v>
          </cell>
          <cell r="G37" t="str">
            <v xml:space="preserve">                 A Fonpet</v>
          </cell>
          <cell r="H37">
            <v>3064.5650000000001</v>
          </cell>
          <cell r="I37">
            <v>3431.814046</v>
          </cell>
        </row>
        <row r="38">
          <cell r="A38" t="str">
            <v>63000-BF_2.1.1.3.4</v>
          </cell>
          <cell r="B38" t="str">
            <v>QUINDIO</v>
          </cell>
          <cell r="C38">
            <v>63000</v>
          </cell>
          <cell r="D38" t="str">
            <v>DEPARTAMENTO DEL QUINDIO</v>
          </cell>
          <cell r="E38">
            <v>52</v>
          </cell>
          <cell r="F38" t="str">
            <v>BF_2.1.1.3.4</v>
          </cell>
          <cell r="G38" t="str">
            <v xml:space="preserve">                 A Organismos de Control</v>
          </cell>
          <cell r="H38">
            <v>5011.0069999999996</v>
          </cell>
          <cell r="I38">
            <v>5743.690525</v>
          </cell>
        </row>
        <row r="39">
          <cell r="A39" t="str">
            <v>63000-BF_2.1.1.3.5</v>
          </cell>
          <cell r="B39" t="str">
            <v>QUINDIO</v>
          </cell>
          <cell r="C39">
            <v>63000</v>
          </cell>
          <cell r="D39" t="str">
            <v>DEPARTAMENTO DEL QUINDIO</v>
          </cell>
          <cell r="E39">
            <v>53</v>
          </cell>
          <cell r="F39" t="str">
            <v>BF_2.1.1.3.5</v>
          </cell>
          <cell r="G39" t="str">
            <v xml:space="preserve">                 A Establecimientos Públicos y Entidades Descentralizadas - Nivel Territorial</v>
          </cell>
          <cell r="H39">
            <v>17264.606</v>
          </cell>
          <cell r="I39">
            <v>15933.290602999999</v>
          </cell>
        </row>
        <row r="40">
          <cell r="A40" t="str">
            <v>63000-BF_2.1.1.3.6</v>
          </cell>
          <cell r="B40" t="str">
            <v>QUINDIO</v>
          </cell>
          <cell r="C40">
            <v>63000</v>
          </cell>
          <cell r="D40" t="str">
            <v>DEPARTAMENTO DEL QUINDIO</v>
          </cell>
          <cell r="E40">
            <v>54</v>
          </cell>
          <cell r="F40" t="str">
            <v>BF_2.1.1.3.6</v>
          </cell>
          <cell r="G40" t="str">
            <v xml:space="preserve">                 Sentencias y Conciliaciones</v>
          </cell>
          <cell r="H40">
            <v>1592.663</v>
          </cell>
          <cell r="I40">
            <v>2125.3750479999999</v>
          </cell>
        </row>
        <row r="41">
          <cell r="A41" t="str">
            <v>63000-BF_2.1.1.6</v>
          </cell>
          <cell r="B41" t="str">
            <v>QUINDIO</v>
          </cell>
          <cell r="C41">
            <v>63000</v>
          </cell>
          <cell r="D41" t="str">
            <v>DEPARTAMENTO DEL QUINDIO</v>
          </cell>
          <cell r="E41">
            <v>58</v>
          </cell>
          <cell r="F41" t="str">
            <v>BF_2.1.1.6</v>
          </cell>
          <cell r="G41" t="str">
            <v xml:space="preserve">             Otros Gastos de Funcionamiento</v>
          </cell>
          <cell r="H41">
            <v>1665.39</v>
          </cell>
          <cell r="I41">
            <v>685.16489200000001</v>
          </cell>
        </row>
        <row r="42">
          <cell r="A42" t="str">
            <v>63000-BF_2.1.4</v>
          </cell>
          <cell r="B42" t="str">
            <v>QUINDIO</v>
          </cell>
          <cell r="C42">
            <v>63000</v>
          </cell>
          <cell r="D42" t="str">
            <v>DEPARTAMENTO DEL QUINDIO</v>
          </cell>
          <cell r="E42">
            <v>61</v>
          </cell>
          <cell r="F42" t="str">
            <v>BF_2.1.4</v>
          </cell>
          <cell r="G42" t="str">
            <v xml:space="preserve">        GASTOS OPERATIVOS EN SECTORES SOCIALES (Remuneración al Trabajo, Prestaciones, y Subsidios en Sectores de Inversión)</v>
          </cell>
          <cell r="H42">
            <v>179168.315</v>
          </cell>
          <cell r="I42">
            <v>201004.020793</v>
          </cell>
        </row>
        <row r="43">
          <cell r="A43" t="str">
            <v>63000-BF_2.1.4.1</v>
          </cell>
          <cell r="B43" t="str">
            <v>QUINDIO</v>
          </cell>
          <cell r="C43">
            <v>63000</v>
          </cell>
          <cell r="D43" t="str">
            <v>DEPARTAMENTO DEL QUINDIO</v>
          </cell>
          <cell r="E43">
            <v>62</v>
          </cell>
          <cell r="F43" t="str">
            <v>BF_2.1.4.1</v>
          </cell>
          <cell r="G43" t="str">
            <v xml:space="preserve">             Educación</v>
          </cell>
          <cell r="H43">
            <v>140313.46900000001</v>
          </cell>
          <cell r="I43">
            <v>143070.6023</v>
          </cell>
        </row>
        <row r="44">
          <cell r="A44" t="str">
            <v>63000-BF_2.1.4.2</v>
          </cell>
          <cell r="B44" t="str">
            <v>QUINDIO</v>
          </cell>
          <cell r="C44">
            <v>63000</v>
          </cell>
          <cell r="D44" t="str">
            <v>DEPARTAMENTO DEL QUINDIO</v>
          </cell>
          <cell r="E44">
            <v>63</v>
          </cell>
          <cell r="F44" t="str">
            <v>BF_2.1.4.2</v>
          </cell>
          <cell r="G44" t="str">
            <v xml:space="preserve">             Salud</v>
          </cell>
          <cell r="H44">
            <v>35718.294000000002</v>
          </cell>
          <cell r="I44">
            <v>35630.144436000002</v>
          </cell>
        </row>
        <row r="45">
          <cell r="A45" t="str">
            <v>63000-BF_2.1.4.5</v>
          </cell>
          <cell r="B45" t="str">
            <v>QUINDIO</v>
          </cell>
          <cell r="C45">
            <v>63000</v>
          </cell>
          <cell r="D45" t="str">
            <v>DEPARTAMENTO DEL QUINDIO</v>
          </cell>
          <cell r="E45">
            <v>66</v>
          </cell>
          <cell r="F45" t="str">
            <v>BF_2.1.4.5</v>
          </cell>
          <cell r="G45" t="str">
            <v xml:space="preserve">             Otros Sectores</v>
          </cell>
          <cell r="H45">
            <v>3136.5520000000001</v>
          </cell>
          <cell r="I45">
            <v>22303.274056999999</v>
          </cell>
        </row>
        <row r="46">
          <cell r="A46" t="str">
            <v>63000-BF_2.1.5</v>
          </cell>
          <cell r="B46" t="str">
            <v>QUINDIO</v>
          </cell>
          <cell r="C46">
            <v>63000</v>
          </cell>
          <cell r="D46" t="str">
            <v>DEPARTAMENTO DEL QUINDIO</v>
          </cell>
          <cell r="E46">
            <v>67</v>
          </cell>
          <cell r="F46" t="str">
            <v>BF_2.1.5</v>
          </cell>
          <cell r="G46" t="str">
            <v xml:space="preserve">        INTERESES Y COMISIONES DE LA DEUDA</v>
          </cell>
          <cell r="H46">
            <v>3030.623</v>
          </cell>
          <cell r="I46">
            <v>2262.795235</v>
          </cell>
        </row>
        <row r="47">
          <cell r="A47" t="str">
            <v>63000-BF_2.1.5.1</v>
          </cell>
          <cell r="B47" t="str">
            <v>QUINDIO</v>
          </cell>
          <cell r="C47">
            <v>63000</v>
          </cell>
          <cell r="D47" t="str">
            <v>DEPARTAMENTO DEL QUINDIO</v>
          </cell>
          <cell r="E47">
            <v>68</v>
          </cell>
          <cell r="F47" t="str">
            <v>BF_2.1.5.1</v>
          </cell>
          <cell r="G47" t="str">
            <v xml:space="preserve">             Interna</v>
          </cell>
          <cell r="H47">
            <v>3030.623</v>
          </cell>
          <cell r="I47">
            <v>2262.795235</v>
          </cell>
        </row>
        <row r="48">
          <cell r="A48" t="str">
            <v>63000-BF_3</v>
          </cell>
          <cell r="B48" t="str">
            <v>QUINDIO</v>
          </cell>
          <cell r="C48">
            <v>63000</v>
          </cell>
          <cell r="D48" t="str">
            <v>DEPARTAMENTO DEL QUINDIO</v>
          </cell>
          <cell r="E48">
            <v>70</v>
          </cell>
          <cell r="F48" t="str">
            <v>BF_3</v>
          </cell>
          <cell r="G48" t="str">
            <v>DÉFICIT O AHORRO CORRIENTE</v>
          </cell>
          <cell r="H48">
            <v>28746.155999999999</v>
          </cell>
          <cell r="I48">
            <v>21602.90682</v>
          </cell>
        </row>
        <row r="49">
          <cell r="A49" t="str">
            <v>63000-BF_4</v>
          </cell>
          <cell r="B49" t="str">
            <v>QUINDIO</v>
          </cell>
          <cell r="C49">
            <v>63000</v>
          </cell>
          <cell r="D49" t="str">
            <v>DEPARTAMENTO DEL QUINDIO</v>
          </cell>
          <cell r="E49">
            <v>71</v>
          </cell>
          <cell r="F49" t="str">
            <v>BF_4</v>
          </cell>
          <cell r="G49" t="str">
            <v>INGRESOS DE CAPITAL</v>
          </cell>
          <cell r="H49">
            <v>18273.837</v>
          </cell>
          <cell r="I49">
            <v>9553.7139860000007</v>
          </cell>
        </row>
        <row r="50">
          <cell r="A50" t="str">
            <v>63000-BF_4.1</v>
          </cell>
          <cell r="B50" t="str">
            <v>QUINDIO</v>
          </cell>
          <cell r="C50">
            <v>63000</v>
          </cell>
          <cell r="D50" t="str">
            <v>DEPARTAMENTO DEL QUINDIO</v>
          </cell>
          <cell r="E50">
            <v>72</v>
          </cell>
          <cell r="F50" t="str">
            <v>BF_4.1</v>
          </cell>
          <cell r="G50" t="str">
            <v xml:space="preserve">    Cofinanciación</v>
          </cell>
          <cell r="H50">
            <v>7580.393</v>
          </cell>
          <cell r="I50">
            <v>541.13017000000002</v>
          </cell>
        </row>
        <row r="51">
          <cell r="A51" t="str">
            <v>63000-BF_4.4</v>
          </cell>
          <cell r="B51" t="str">
            <v>QUINDIO</v>
          </cell>
          <cell r="C51">
            <v>63000</v>
          </cell>
          <cell r="D51" t="str">
            <v>DEPARTAMENTO DEL QUINDIO</v>
          </cell>
          <cell r="E51">
            <v>75</v>
          </cell>
          <cell r="F51" t="str">
            <v>BF_4.4</v>
          </cell>
          <cell r="G51" t="str">
            <v xml:space="preserve">    Rendimientos Financieros</v>
          </cell>
          <cell r="H51">
            <v>2296.2649999999999</v>
          </cell>
          <cell r="I51">
            <v>1610.289495</v>
          </cell>
        </row>
        <row r="52">
          <cell r="A52" t="str">
            <v>63000-BF_4.6</v>
          </cell>
          <cell r="B52" t="str">
            <v>QUINDIO</v>
          </cell>
          <cell r="C52">
            <v>63000</v>
          </cell>
          <cell r="D52" t="str">
            <v>DEPARTAMENTO DEL QUINDIO</v>
          </cell>
          <cell r="E52">
            <v>77</v>
          </cell>
          <cell r="F52" t="str">
            <v>BF_4.6</v>
          </cell>
          <cell r="G52" t="str">
            <v xml:space="preserve">    Desahorro FONPET</v>
          </cell>
          <cell r="H52">
            <v>7691.5780000000004</v>
          </cell>
          <cell r="I52">
            <v>6616.0669909999997</v>
          </cell>
        </row>
        <row r="53">
          <cell r="A53" t="str">
            <v>63000-BF_4.6.4</v>
          </cell>
          <cell r="B53" t="str">
            <v>QUINDIO</v>
          </cell>
          <cell r="C53">
            <v>63000</v>
          </cell>
          <cell r="D53" t="str">
            <v>DEPARTAMENTO DEL QUINDIO</v>
          </cell>
          <cell r="E53">
            <v>81</v>
          </cell>
          <cell r="F53" t="str">
            <v>BF_4.6.4</v>
          </cell>
          <cell r="G53" t="str">
            <v xml:space="preserve">    Otros Desahorros y Retiros (Cuotas partes, Bonos y Devoluciones)</v>
          </cell>
          <cell r="H53">
            <v>7691.5780000000004</v>
          </cell>
          <cell r="I53">
            <v>6616.0669909999997</v>
          </cell>
        </row>
        <row r="54">
          <cell r="A54" t="str">
            <v>63000-BF_4.7</v>
          </cell>
          <cell r="B54" t="str">
            <v>QUINDIO</v>
          </cell>
          <cell r="C54">
            <v>63000</v>
          </cell>
          <cell r="D54" t="str">
            <v>DEPARTAMENTO DEL QUINDIO</v>
          </cell>
          <cell r="E54">
            <v>82</v>
          </cell>
          <cell r="F54" t="str">
            <v>BF_4.7</v>
          </cell>
          <cell r="G54" t="str">
            <v xml:space="preserve">    Otros Recursos de Capital (Donaciones, Aprovechamientos y Otros)</v>
          </cell>
          <cell r="H54">
            <v>705.601</v>
          </cell>
          <cell r="I54">
            <v>786.22733000000005</v>
          </cell>
        </row>
        <row r="55">
          <cell r="A55" t="str">
            <v>63000-BF_5</v>
          </cell>
          <cell r="B55" t="str">
            <v>QUINDIO</v>
          </cell>
          <cell r="C55">
            <v>63000</v>
          </cell>
          <cell r="D55" t="str">
            <v>DEPARTAMENTO DEL QUINDIO</v>
          </cell>
          <cell r="E55">
            <v>83</v>
          </cell>
          <cell r="F55" t="str">
            <v>BF_5</v>
          </cell>
          <cell r="G55" t="str">
            <v>GASTOS DE CAPITAL</v>
          </cell>
          <cell r="H55">
            <v>41980.294000000002</v>
          </cell>
          <cell r="I55">
            <v>36187.638661999998</v>
          </cell>
        </row>
        <row r="56">
          <cell r="A56" t="str">
            <v>63000-BF_5.1</v>
          </cell>
          <cell r="B56" t="str">
            <v>QUINDIO</v>
          </cell>
          <cell r="C56">
            <v>63000</v>
          </cell>
          <cell r="D56" t="str">
            <v>DEPARTAMENTO DEL QUINDIO</v>
          </cell>
          <cell r="E56">
            <v>84</v>
          </cell>
          <cell r="F56" t="str">
            <v>BF_5.1</v>
          </cell>
          <cell r="G56" t="str">
            <v xml:space="preserve">    Formación Bruta de Capital (Construcción, Reparación, Mantenimiento, Preinversión, Otros)</v>
          </cell>
          <cell r="H56">
            <v>33697.959000000003</v>
          </cell>
          <cell r="I56">
            <v>24017.043226999998</v>
          </cell>
        </row>
        <row r="57">
          <cell r="A57" t="str">
            <v>63000-BF_5.1.1</v>
          </cell>
          <cell r="B57" t="str">
            <v>QUINDIO</v>
          </cell>
          <cell r="C57">
            <v>63000</v>
          </cell>
          <cell r="D57" t="str">
            <v>DEPARTAMENTO DEL QUINDIO</v>
          </cell>
          <cell r="E57">
            <v>85</v>
          </cell>
          <cell r="F57" t="str">
            <v>BF_5.1.1</v>
          </cell>
          <cell r="G57" t="str">
            <v xml:space="preserve">        Educación</v>
          </cell>
          <cell r="H57">
            <v>4821.2089999999998</v>
          </cell>
          <cell r="I57">
            <v>7310.555746</v>
          </cell>
        </row>
        <row r="58">
          <cell r="A58" t="str">
            <v>63000-BF_5.1.2</v>
          </cell>
          <cell r="B58" t="str">
            <v>QUINDIO</v>
          </cell>
          <cell r="C58">
            <v>63000</v>
          </cell>
          <cell r="D58" t="str">
            <v>DEPARTAMENTO DEL QUINDIO</v>
          </cell>
          <cell r="E58">
            <v>86</v>
          </cell>
          <cell r="F58" t="str">
            <v>BF_5.1.2</v>
          </cell>
          <cell r="G58" t="str">
            <v xml:space="preserve">        Salud</v>
          </cell>
          <cell r="H58">
            <v>0</v>
          </cell>
          <cell r="I58">
            <v>1043.3134170000001</v>
          </cell>
        </row>
        <row r="59">
          <cell r="A59" t="str">
            <v>63000-BF_5.1.3</v>
          </cell>
          <cell r="B59" t="str">
            <v>QUINDIO</v>
          </cell>
          <cell r="C59">
            <v>63000</v>
          </cell>
          <cell r="D59" t="str">
            <v>DEPARTAMENTO DEL QUINDIO</v>
          </cell>
          <cell r="E59">
            <v>87</v>
          </cell>
          <cell r="F59" t="str">
            <v>BF_5.1.3</v>
          </cell>
          <cell r="G59" t="str">
            <v xml:space="preserve">        Agua Potable</v>
          </cell>
          <cell r="H59">
            <v>3000.732</v>
          </cell>
          <cell r="I59">
            <v>3350.4114500000001</v>
          </cell>
        </row>
        <row r="60">
          <cell r="A60" t="str">
            <v>63000-BF_5.1.5</v>
          </cell>
          <cell r="B60" t="str">
            <v>QUINDIO</v>
          </cell>
          <cell r="C60">
            <v>63000</v>
          </cell>
          <cell r="D60" t="str">
            <v>DEPARTAMENTO DEL QUINDIO</v>
          </cell>
          <cell r="E60">
            <v>89</v>
          </cell>
          <cell r="F60" t="str">
            <v>BF_5.1.5</v>
          </cell>
          <cell r="G60" t="str">
            <v xml:space="preserve">        Vías</v>
          </cell>
          <cell r="H60">
            <v>964.99199999999996</v>
          </cell>
          <cell r="I60">
            <v>4454.9703060000002</v>
          </cell>
        </row>
        <row r="61">
          <cell r="A61" t="str">
            <v>63000-BF_5.1.6</v>
          </cell>
          <cell r="B61" t="str">
            <v>QUINDIO</v>
          </cell>
          <cell r="C61">
            <v>63000</v>
          </cell>
          <cell r="D61" t="str">
            <v>DEPARTAMENTO DEL QUINDIO</v>
          </cell>
          <cell r="E61">
            <v>90</v>
          </cell>
          <cell r="F61" t="str">
            <v>BF_5.1.6</v>
          </cell>
          <cell r="G61" t="str">
            <v xml:space="preserve">        Otros Sectores</v>
          </cell>
          <cell r="H61">
            <v>24911.026000000002</v>
          </cell>
          <cell r="I61">
            <v>7857.792308</v>
          </cell>
        </row>
        <row r="62">
          <cell r="A62" t="str">
            <v>63000-BF_5.2</v>
          </cell>
          <cell r="B62" t="str">
            <v>QUINDIO</v>
          </cell>
          <cell r="C62">
            <v>63000</v>
          </cell>
          <cell r="D62" t="str">
            <v>DEPARTAMENTO DEL QUINDIO</v>
          </cell>
          <cell r="E62">
            <v>91</v>
          </cell>
          <cell r="F62" t="str">
            <v>BF_5.2</v>
          </cell>
          <cell r="G62" t="str">
            <v xml:space="preserve">    Déficit Fiscal de Vigencias Anteriores por Inversión</v>
          </cell>
          <cell r="H62">
            <v>8282.3349999999991</v>
          </cell>
          <cell r="I62">
            <v>12170.595434999999</v>
          </cell>
        </row>
        <row r="63">
          <cell r="A63" t="str">
            <v>63000-BF_6</v>
          </cell>
          <cell r="B63" t="str">
            <v>QUINDIO</v>
          </cell>
          <cell r="C63">
            <v>63000</v>
          </cell>
          <cell r="D63" t="str">
            <v>DEPARTAMENTO DEL QUINDIO</v>
          </cell>
          <cell r="E63">
            <v>92</v>
          </cell>
          <cell r="F63" t="str">
            <v>BF_6</v>
          </cell>
          <cell r="G63" t="str">
            <v>DÉFICIT O SUPERÁVIT DE CAPITAL</v>
          </cell>
          <cell r="H63">
            <v>-23706.456999999999</v>
          </cell>
          <cell r="I63">
            <v>-26633.924675999999</v>
          </cell>
        </row>
        <row r="64">
          <cell r="A64" t="str">
            <v>63000-BF_7</v>
          </cell>
          <cell r="B64" t="str">
            <v>QUINDIO</v>
          </cell>
          <cell r="C64">
            <v>63000</v>
          </cell>
          <cell r="D64" t="str">
            <v>DEPARTAMENTO DEL QUINDIO</v>
          </cell>
          <cell r="E64">
            <v>93</v>
          </cell>
          <cell r="F64" t="str">
            <v>BF_7</v>
          </cell>
          <cell r="G64" t="str">
            <v>DÉFICIT O SUPERÁVIT TOTAL</v>
          </cell>
          <cell r="H64">
            <v>5039.6989999999996</v>
          </cell>
          <cell r="I64">
            <v>-5031.0178560000004</v>
          </cell>
        </row>
        <row r="65">
          <cell r="A65" t="str">
            <v>63000-BF_8</v>
          </cell>
          <cell r="B65" t="str">
            <v>QUINDIO</v>
          </cell>
          <cell r="C65">
            <v>63000</v>
          </cell>
          <cell r="D65" t="str">
            <v>DEPARTAMENTO DEL QUINDIO</v>
          </cell>
          <cell r="E65">
            <v>94</v>
          </cell>
          <cell r="F65" t="str">
            <v>BF_8</v>
          </cell>
          <cell r="G65" t="str">
            <v>FINANCIACIÓN</v>
          </cell>
          <cell r="H65">
            <v>40838.980000000003</v>
          </cell>
          <cell r="I65">
            <v>42052.543275000004</v>
          </cell>
        </row>
        <row r="66">
          <cell r="A66" t="str">
            <v>63000-BF_8.1</v>
          </cell>
          <cell r="B66" t="str">
            <v>QUINDIO</v>
          </cell>
          <cell r="C66">
            <v>63000</v>
          </cell>
          <cell r="D66" t="str">
            <v>DEPARTAMENTO DEL QUINDIO</v>
          </cell>
          <cell r="E66">
            <v>95</v>
          </cell>
          <cell r="F66" t="str">
            <v>BF_8.1</v>
          </cell>
          <cell r="G66" t="str">
            <v xml:space="preserve">    RECURSOS DEL CRÉDITO</v>
          </cell>
          <cell r="H66">
            <v>-4037.5070000000001</v>
          </cell>
          <cell r="I66">
            <v>-1993.4183949999999</v>
          </cell>
        </row>
        <row r="67">
          <cell r="A67" t="str">
            <v>63000-BF_8.1.1</v>
          </cell>
          <cell r="B67" t="str">
            <v>QUINDIO</v>
          </cell>
          <cell r="C67">
            <v>63000</v>
          </cell>
          <cell r="D67" t="str">
            <v>DEPARTAMENTO DEL QUINDIO</v>
          </cell>
          <cell r="E67">
            <v>96</v>
          </cell>
          <cell r="F67" t="str">
            <v>BF_8.1.1</v>
          </cell>
          <cell r="G67" t="str">
            <v xml:space="preserve">        Interno</v>
          </cell>
          <cell r="H67">
            <v>-4037.5070000000001</v>
          </cell>
          <cell r="I67">
            <v>-1993.4183949999999</v>
          </cell>
        </row>
        <row r="68">
          <cell r="A68" t="str">
            <v>63000-BF_8.1.1.1</v>
          </cell>
          <cell r="B68" t="str">
            <v>QUINDIO</v>
          </cell>
          <cell r="C68">
            <v>63000</v>
          </cell>
          <cell r="D68" t="str">
            <v>DEPARTAMENTO DEL QUINDIO</v>
          </cell>
          <cell r="E68">
            <v>97</v>
          </cell>
          <cell r="F68" t="str">
            <v>BF_8.1.1.1</v>
          </cell>
          <cell r="G68" t="str">
            <v xml:space="preserve">             Desembolsos</v>
          </cell>
          <cell r="H68">
            <v>0</v>
          </cell>
          <cell r="I68">
            <v>3600</v>
          </cell>
        </row>
        <row r="69">
          <cell r="A69" t="str">
            <v>63000-BF_8.1.1.2</v>
          </cell>
          <cell r="B69" t="str">
            <v>QUINDIO</v>
          </cell>
          <cell r="C69">
            <v>63000</v>
          </cell>
          <cell r="D69" t="str">
            <v>DEPARTAMENTO DEL QUINDIO</v>
          </cell>
          <cell r="E69">
            <v>98</v>
          </cell>
          <cell r="F69" t="str">
            <v>BF_8.1.1.2</v>
          </cell>
          <cell r="G69" t="str">
            <v xml:space="preserve">             Amortizaciones</v>
          </cell>
          <cell r="H69">
            <v>4037.5070000000001</v>
          </cell>
          <cell r="I69">
            <v>5593.4183949999997</v>
          </cell>
        </row>
        <row r="70">
          <cell r="A70" t="str">
            <v>63000-BF_8.2</v>
          </cell>
          <cell r="B70" t="str">
            <v>QUINDIO</v>
          </cell>
          <cell r="C70">
            <v>63000</v>
          </cell>
          <cell r="D70" t="str">
            <v>DEPARTAMENTO DEL QUINDIO</v>
          </cell>
          <cell r="E70">
            <v>102</v>
          </cell>
          <cell r="F70" t="str">
            <v>BF_8.2</v>
          </cell>
          <cell r="G70" t="str">
            <v xml:space="preserve">    Recursos del Balance (Superávit Fiscal, Cancelación de Reservas)</v>
          </cell>
          <cell r="H70">
            <v>44876.487000000001</v>
          </cell>
          <cell r="I70">
            <v>44045.961669999997</v>
          </cell>
        </row>
        <row r="71">
          <cell r="A71" t="str">
            <v>63000-BF_9.1</v>
          </cell>
          <cell r="B71" t="str">
            <v>QUINDIO</v>
          </cell>
          <cell r="C71">
            <v>63000</v>
          </cell>
          <cell r="D71" t="str">
            <v>DEPARTAMENTO DEL QUINDIO</v>
          </cell>
          <cell r="E71">
            <v>107</v>
          </cell>
          <cell r="F71" t="str">
            <v>BF_9.1</v>
          </cell>
          <cell r="G71" t="str">
            <v xml:space="preserve">    DÉFICIT O SUPERÁVIT PRIMARIO</v>
          </cell>
          <cell r="H71">
            <v>52946.809000000001</v>
          </cell>
          <cell r="I71">
            <v>41277.739049000003</v>
          </cell>
        </row>
        <row r="72">
          <cell r="A72" t="str">
            <v>63000-BF_9.2</v>
          </cell>
          <cell r="B72" t="str">
            <v>QUINDIO</v>
          </cell>
          <cell r="C72">
            <v>63000</v>
          </cell>
          <cell r="D72" t="str">
            <v>DEPARTAMENTO DEL QUINDIO</v>
          </cell>
          <cell r="E72">
            <v>108</v>
          </cell>
          <cell r="F72" t="str">
            <v>BF_9.2</v>
          </cell>
          <cell r="G72" t="str">
            <v xml:space="preserve">    DÉFICIT O SUPERÁVIT PRIMARIO/INTERESES</v>
          </cell>
          <cell r="H72">
            <v>17.471</v>
          </cell>
          <cell r="I72">
            <v>18.241924000000001</v>
          </cell>
        </row>
        <row r="73">
          <cell r="A73" t="str">
            <v>63000-BF_10.1</v>
          </cell>
          <cell r="B73" t="str">
            <v>QUINDIO</v>
          </cell>
          <cell r="C73">
            <v>63000</v>
          </cell>
          <cell r="D73" t="str">
            <v>DEPARTAMENTO DEL QUINDIO</v>
          </cell>
          <cell r="E73">
            <v>110</v>
          </cell>
          <cell r="F73" t="str">
            <v>BF_10.1</v>
          </cell>
          <cell r="G73" t="str">
            <v xml:space="preserve">    INGRESOS TOTALES SIN INCLUIR RECURSOS PARA RESERVAS PRESUPUESTALES</v>
          </cell>
          <cell r="H73">
            <v>349878.141</v>
          </cell>
          <cell r="I73">
            <v>360898.69964200002</v>
          </cell>
        </row>
        <row r="74">
          <cell r="A74" t="str">
            <v>63000-BF_10.2</v>
          </cell>
          <cell r="B74" t="str">
            <v>QUINDIO</v>
          </cell>
          <cell r="C74">
            <v>63000</v>
          </cell>
          <cell r="D74" t="str">
            <v>DEPARTAMENTO DEL QUINDIO</v>
          </cell>
          <cell r="E74">
            <v>111</v>
          </cell>
          <cell r="F74" t="str">
            <v>BF_10.2</v>
          </cell>
          <cell r="G74" t="str">
            <v xml:space="preserve">    GASTOS TOTALES SIN INCLUIR GASTOS POR RESERVAS PRESUPUESTALES</v>
          </cell>
          <cell r="H74">
            <v>303999.462</v>
          </cell>
          <cell r="I74">
            <v>323877.17422300001</v>
          </cell>
        </row>
        <row r="75">
          <cell r="A75" t="str">
            <v>63000-BF_10.3</v>
          </cell>
          <cell r="B75" t="str">
            <v>QUINDIO</v>
          </cell>
          <cell r="C75">
            <v>63000</v>
          </cell>
          <cell r="D75" t="str">
            <v>DEPARTAMENTO DEL QUINDIO</v>
          </cell>
          <cell r="E75">
            <v>112</v>
          </cell>
          <cell r="F75" t="str">
            <v>BF_10.3</v>
          </cell>
          <cell r="G75" t="str">
            <v xml:space="preserve">    DÉFICIT O SUPERÁVIT PRESUPUESTAL SIN INCLUIR RESERVAS PRESUPUESTALES</v>
          </cell>
          <cell r="H75">
            <v>45878.678999999996</v>
          </cell>
          <cell r="I75">
            <v>37021.525418999998</v>
          </cell>
        </row>
        <row r="76">
          <cell r="A76" t="str">
            <v>63000-BF_12.1</v>
          </cell>
          <cell r="B76" t="str">
            <v>QUINDIO</v>
          </cell>
          <cell r="C76">
            <v>63000</v>
          </cell>
          <cell r="D76" t="str">
            <v>DEPARTAMENTO DEL QUINDIO</v>
          </cell>
          <cell r="E76">
            <v>114</v>
          </cell>
          <cell r="F76" t="str">
            <v>BF_12.1</v>
          </cell>
          <cell r="G76" t="str">
            <v xml:space="preserve">    INGRESOS TOTALES</v>
          </cell>
          <cell r="H76">
            <v>353393.38500000001</v>
          </cell>
          <cell r="I76">
            <v>361787.33454200003</v>
          </cell>
        </row>
        <row r="77">
          <cell r="A77" t="str">
            <v>63000-BF_12.2</v>
          </cell>
          <cell r="B77" t="str">
            <v>QUINDIO</v>
          </cell>
          <cell r="C77">
            <v>63000</v>
          </cell>
          <cell r="D77" t="str">
            <v>DEPARTAMENTO DEL QUINDIO</v>
          </cell>
          <cell r="E77">
            <v>115</v>
          </cell>
          <cell r="F77" t="str">
            <v>BF_12.2</v>
          </cell>
          <cell r="G77" t="str">
            <v xml:space="preserve">    GASTOS TOTALES</v>
          </cell>
          <cell r="H77">
            <v>305387.06400000001</v>
          </cell>
          <cell r="I77">
            <v>324761.14572299999</v>
          </cell>
        </row>
        <row r="78">
          <cell r="A78" t="str">
            <v>63000-BF_12.3</v>
          </cell>
          <cell r="B78" t="str">
            <v>QUINDIO</v>
          </cell>
          <cell r="C78">
            <v>63000</v>
          </cell>
          <cell r="D78" t="str">
            <v>DEPARTAMENTO DEL QUINDIO</v>
          </cell>
          <cell r="E78">
            <v>116</v>
          </cell>
          <cell r="F78" t="str">
            <v>BF_12.3</v>
          </cell>
          <cell r="G78" t="str">
            <v xml:space="preserve">    DÉFICIT O SUPERÁVIT PRESUPUESTAL</v>
          </cell>
          <cell r="H78">
            <v>48006.321000000004</v>
          </cell>
          <cell r="I78">
            <v>37026.188819000003</v>
          </cell>
        </row>
        <row r="79">
          <cell r="A79" t="str">
            <v>63000-BF_13.1</v>
          </cell>
          <cell r="B79" t="str">
            <v>QUINDIO</v>
          </cell>
          <cell r="C79">
            <v>63000</v>
          </cell>
          <cell r="D79" t="str">
            <v>DEPARTAMENTO DEL QUINDIO</v>
          </cell>
          <cell r="E79">
            <v>118</v>
          </cell>
          <cell r="F79" t="str">
            <v>BF_13.1</v>
          </cell>
          <cell r="G79" t="str">
            <v xml:space="preserve">    Recursos que Financian Reservas Presupuestales Excepcionales (Ley 819/2003)</v>
          </cell>
          <cell r="H79">
            <v>3515.2440000000001</v>
          </cell>
          <cell r="I79">
            <v>888.63490000000002</v>
          </cell>
        </row>
        <row r="80">
          <cell r="A80" t="str">
            <v>63000-BF_13.2</v>
          </cell>
          <cell r="B80" t="str">
            <v>QUINDIO</v>
          </cell>
          <cell r="C80">
            <v>63000</v>
          </cell>
          <cell r="D80" t="str">
            <v>DEPARTAMENTO DEL QUINDIO</v>
          </cell>
          <cell r="E80">
            <v>119</v>
          </cell>
          <cell r="F80" t="str">
            <v>BF_13.2</v>
          </cell>
          <cell r="G80" t="str">
            <v xml:space="preserve">    Reservas Presupuestales de Funcionamiento Vigencia Anterior</v>
          </cell>
          <cell r="H80">
            <v>386.00700000000001</v>
          </cell>
          <cell r="I80">
            <v>646.99664399999995</v>
          </cell>
        </row>
        <row r="81">
          <cell r="A81" t="str">
            <v>63000-BF_13.3</v>
          </cell>
          <cell r="B81" t="str">
            <v>QUINDIO</v>
          </cell>
          <cell r="C81">
            <v>63000</v>
          </cell>
          <cell r="D81" t="str">
            <v>DEPARTAMENTO DEL QUINDIO</v>
          </cell>
          <cell r="E81">
            <v>120</v>
          </cell>
          <cell r="F81" t="str">
            <v>BF_13.3</v>
          </cell>
          <cell r="G81" t="str">
            <v xml:space="preserve">    Reservas Presupuestales de Inversión Vigencia Anterior</v>
          </cell>
          <cell r="H81">
            <v>1001.595</v>
          </cell>
          <cell r="I81">
            <v>236.974872</v>
          </cell>
        </row>
        <row r="82">
          <cell r="A82" t="str">
            <v>63000-BF_13.4</v>
          </cell>
          <cell r="B82" t="str">
            <v>QUINDIO</v>
          </cell>
          <cell r="C82">
            <v>63000</v>
          </cell>
          <cell r="D82" t="str">
            <v>DEPARTAMENTO DEL QUINDIO</v>
          </cell>
          <cell r="E82">
            <v>121</v>
          </cell>
          <cell r="F82" t="str">
            <v>BF_13.4</v>
          </cell>
          <cell r="G82" t="str">
            <v xml:space="preserve">    DEFICIT O SUPERAVIT RESERVAS PRESUPUESTALES</v>
          </cell>
          <cell r="H82">
            <v>2127.6419999999998</v>
          </cell>
          <cell r="I82">
            <v>4.6633839999999998</v>
          </cell>
        </row>
        <row r="83">
          <cell r="A83" t="str">
            <v>63001-BF_1</v>
          </cell>
          <cell r="B83" t="str">
            <v>QUINDIO</v>
          </cell>
          <cell r="C83">
            <v>63001</v>
          </cell>
          <cell r="D83" t="str">
            <v>ARMENIA</v>
          </cell>
          <cell r="E83">
            <v>1</v>
          </cell>
          <cell r="F83" t="str">
            <v>BF_1</v>
          </cell>
          <cell r="G83" t="str">
            <v>INGRESOS TOTALES</v>
          </cell>
          <cell r="H83">
            <v>385206.13099999999</v>
          </cell>
          <cell r="I83">
            <v>378356.06415300001</v>
          </cell>
        </row>
        <row r="84">
          <cell r="A84" t="str">
            <v>63001-BF_1.1</v>
          </cell>
          <cell r="B84" t="str">
            <v>QUINDIO</v>
          </cell>
          <cell r="C84">
            <v>63001</v>
          </cell>
          <cell r="D84" t="str">
            <v>ARMENIA</v>
          </cell>
          <cell r="E84">
            <v>2</v>
          </cell>
          <cell r="F84" t="str">
            <v>BF_1.1</v>
          </cell>
          <cell r="G84" t="str">
            <v xml:space="preserve">    INGRESOS CORRIENTES</v>
          </cell>
          <cell r="H84">
            <v>364714.83</v>
          </cell>
          <cell r="I84">
            <v>366300.73241400003</v>
          </cell>
        </row>
        <row r="85">
          <cell r="A85" t="str">
            <v>63001-BF_1.1.1</v>
          </cell>
          <cell r="B85" t="str">
            <v>QUINDIO</v>
          </cell>
          <cell r="C85">
            <v>63001</v>
          </cell>
          <cell r="D85" t="str">
            <v>ARMENIA</v>
          </cell>
          <cell r="E85">
            <v>3</v>
          </cell>
          <cell r="F85" t="str">
            <v>BF_1.1.1</v>
          </cell>
          <cell r="G85" t="str">
            <v xml:space="preserve">        TRIBUTARIOS</v>
          </cell>
          <cell r="H85">
            <v>115840.895</v>
          </cell>
          <cell r="I85">
            <v>115953.31129899999</v>
          </cell>
        </row>
        <row r="86">
          <cell r="A86" t="str">
            <v>63001-BF_1.1.1.1</v>
          </cell>
          <cell r="B86" t="str">
            <v>QUINDIO</v>
          </cell>
          <cell r="C86">
            <v>63001</v>
          </cell>
          <cell r="D86" t="str">
            <v>ARMENIA</v>
          </cell>
          <cell r="E86">
            <v>4</v>
          </cell>
          <cell r="F86" t="str">
            <v>BF_1.1.1.1</v>
          </cell>
          <cell r="G86" t="str">
            <v xml:space="preserve">             Vehículos Automotores</v>
          </cell>
          <cell r="H86">
            <v>2714.114</v>
          </cell>
          <cell r="I86">
            <v>2864.157706</v>
          </cell>
        </row>
        <row r="87">
          <cell r="A87" t="str">
            <v>63001-BF_1.1.1.2</v>
          </cell>
          <cell r="B87" t="str">
            <v>QUINDIO</v>
          </cell>
          <cell r="C87">
            <v>63001</v>
          </cell>
          <cell r="D87" t="str">
            <v>ARMENIA</v>
          </cell>
          <cell r="E87">
            <v>5</v>
          </cell>
          <cell r="F87" t="str">
            <v>BF_1.1.1.2</v>
          </cell>
          <cell r="G87" t="str">
            <v xml:space="preserve">             Impuesto Predial Unificado</v>
          </cell>
          <cell r="H87">
            <v>48788.358</v>
          </cell>
          <cell r="I87">
            <v>46014.839523000002</v>
          </cell>
        </row>
        <row r="88">
          <cell r="A88" t="str">
            <v>63001-BF_1.1.1.3</v>
          </cell>
          <cell r="B88" t="str">
            <v>QUINDIO</v>
          </cell>
          <cell r="C88">
            <v>63001</v>
          </cell>
          <cell r="D88" t="str">
            <v>ARMENIA</v>
          </cell>
          <cell r="E88">
            <v>6</v>
          </cell>
          <cell r="F88" t="str">
            <v>BF_1.1.1.3</v>
          </cell>
          <cell r="G88" t="str">
            <v xml:space="preserve">             Impuesto de Industria y Comercio</v>
          </cell>
          <cell r="H88">
            <v>26482.266</v>
          </cell>
          <cell r="I88">
            <v>27117.507538000002</v>
          </cell>
        </row>
        <row r="89">
          <cell r="A89" t="str">
            <v>63001-BF_1.1.1.8</v>
          </cell>
          <cell r="B89" t="str">
            <v>QUINDIO</v>
          </cell>
          <cell r="C89">
            <v>63001</v>
          </cell>
          <cell r="D89" t="str">
            <v>ARMENIA</v>
          </cell>
          <cell r="E89">
            <v>11</v>
          </cell>
          <cell r="F89" t="str">
            <v>BF_1.1.1.8</v>
          </cell>
          <cell r="G89" t="str">
            <v xml:space="preserve">             Sobretasa Consumo Gasolina Motor</v>
          </cell>
          <cell r="H89">
            <v>13285.902</v>
          </cell>
          <cell r="I89">
            <v>13937.324000000001</v>
          </cell>
        </row>
        <row r="90">
          <cell r="A90" t="str">
            <v>63001-BF_1.1.1.9</v>
          </cell>
          <cell r="B90" t="str">
            <v>QUINDIO</v>
          </cell>
          <cell r="C90">
            <v>63001</v>
          </cell>
          <cell r="D90" t="str">
            <v>ARMENIA</v>
          </cell>
          <cell r="E90">
            <v>12</v>
          </cell>
          <cell r="F90" t="str">
            <v>BF_1.1.1.9</v>
          </cell>
          <cell r="G90" t="str">
            <v xml:space="preserve">             Estampillas</v>
          </cell>
          <cell r="H90">
            <v>4173.1220000000003</v>
          </cell>
          <cell r="I90">
            <v>4510.7246020000002</v>
          </cell>
        </row>
        <row r="91">
          <cell r="A91" t="str">
            <v>63001-BF_1.1.1.10</v>
          </cell>
          <cell r="B91" t="str">
            <v>QUINDIO</v>
          </cell>
          <cell r="C91">
            <v>63001</v>
          </cell>
          <cell r="D91" t="str">
            <v>ARMENIA</v>
          </cell>
          <cell r="E91">
            <v>13</v>
          </cell>
          <cell r="F91" t="str">
            <v>BF_1.1.1.10</v>
          </cell>
          <cell r="G91" t="str">
            <v xml:space="preserve">             Impuesto de Transporte por Oleoductos y Gasoductos</v>
          </cell>
          <cell r="H91">
            <v>10.079000000000001</v>
          </cell>
          <cell r="I91">
            <v>6.2438510000000003</v>
          </cell>
        </row>
        <row r="92">
          <cell r="A92" t="str">
            <v>63001-BF_1.1.1.12</v>
          </cell>
          <cell r="B92" t="str">
            <v>QUINDIO</v>
          </cell>
          <cell r="C92">
            <v>63001</v>
          </cell>
          <cell r="D92" t="str">
            <v>ARMENIA</v>
          </cell>
          <cell r="E92">
            <v>15</v>
          </cell>
          <cell r="F92" t="str">
            <v>BF_1.1.1.12</v>
          </cell>
          <cell r="G92" t="str">
            <v xml:space="preserve">             Otros Ingresos Tributarios</v>
          </cell>
          <cell r="H92">
            <v>20387.054</v>
          </cell>
          <cell r="I92">
            <v>21502.514079</v>
          </cell>
        </row>
        <row r="93">
          <cell r="A93" t="str">
            <v>63001-BF_1.1.2</v>
          </cell>
          <cell r="B93" t="str">
            <v>QUINDIO</v>
          </cell>
          <cell r="C93">
            <v>63001</v>
          </cell>
          <cell r="D93" t="str">
            <v>ARMENIA</v>
          </cell>
          <cell r="E93">
            <v>16</v>
          </cell>
          <cell r="F93" t="str">
            <v>BF_1.1.2</v>
          </cell>
          <cell r="G93" t="str">
            <v xml:space="preserve">        NO TRIBUTARIOS</v>
          </cell>
          <cell r="H93">
            <v>27646.474999999999</v>
          </cell>
          <cell r="I93">
            <v>20057.366725</v>
          </cell>
        </row>
        <row r="94">
          <cell r="A94" t="str">
            <v>63001-BF_1.1.2.1</v>
          </cell>
          <cell r="B94" t="str">
            <v>QUINDIO</v>
          </cell>
          <cell r="C94">
            <v>63001</v>
          </cell>
          <cell r="D94" t="str">
            <v>ARMENIA</v>
          </cell>
          <cell r="E94">
            <v>17</v>
          </cell>
          <cell r="F94" t="str">
            <v>BF_1.1.2.1</v>
          </cell>
          <cell r="G94" t="str">
            <v xml:space="preserve">             Ingresos de la Propiedad: Tasas, Derechos, Multas y Sanciones</v>
          </cell>
          <cell r="H94">
            <v>27603.100999999999</v>
          </cell>
          <cell r="I94">
            <v>20038.401628</v>
          </cell>
        </row>
        <row r="95">
          <cell r="A95" t="str">
            <v>63001-BF_1.1.2.2</v>
          </cell>
          <cell r="B95" t="str">
            <v>QUINDIO</v>
          </cell>
          <cell r="C95">
            <v>63001</v>
          </cell>
          <cell r="D95" t="str">
            <v>ARMENIA</v>
          </cell>
          <cell r="E95">
            <v>18</v>
          </cell>
          <cell r="F95" t="str">
            <v>BF_1.1.2.2</v>
          </cell>
          <cell r="G95" t="str">
            <v xml:space="preserve">             Otros No Tributarios</v>
          </cell>
          <cell r="H95">
            <v>43.374000000000002</v>
          </cell>
          <cell r="I95">
            <v>18.965097</v>
          </cell>
        </row>
        <row r="96">
          <cell r="A96" t="str">
            <v>63001-BF_1.1.3</v>
          </cell>
          <cell r="B96" t="str">
            <v>QUINDIO</v>
          </cell>
          <cell r="C96">
            <v>63001</v>
          </cell>
          <cell r="D96" t="str">
            <v>ARMENIA</v>
          </cell>
          <cell r="E96">
            <v>19</v>
          </cell>
          <cell r="F96" t="str">
            <v>BF_1.1.3</v>
          </cell>
          <cell r="G96" t="str">
            <v xml:space="preserve">        TRANSFERENCIAS</v>
          </cell>
          <cell r="H96">
            <v>221227.46</v>
          </cell>
          <cell r="I96">
            <v>230290.05439</v>
          </cell>
        </row>
        <row r="97">
          <cell r="A97" t="str">
            <v>63001-BF_1.1.3.1</v>
          </cell>
          <cell r="B97" t="str">
            <v>QUINDIO</v>
          </cell>
          <cell r="C97">
            <v>63001</v>
          </cell>
          <cell r="D97" t="str">
            <v>ARMENIA</v>
          </cell>
          <cell r="E97">
            <v>20</v>
          </cell>
          <cell r="F97" t="str">
            <v>BF_1.1.3.1</v>
          </cell>
          <cell r="G97" t="str">
            <v xml:space="preserve">             Transferencias Para Funcionamiento</v>
          </cell>
          <cell r="H97">
            <v>3928.5729999999999</v>
          </cell>
          <cell r="I97">
            <v>1749.677522</v>
          </cell>
        </row>
        <row r="98">
          <cell r="A98" t="str">
            <v>63001-BF_1.1.3.1.1</v>
          </cell>
          <cell r="B98" t="str">
            <v>QUINDIO</v>
          </cell>
          <cell r="C98">
            <v>63001</v>
          </cell>
          <cell r="D98" t="str">
            <v>ARMENIA</v>
          </cell>
          <cell r="E98">
            <v>21</v>
          </cell>
          <cell r="F98" t="str">
            <v>BF_1.1.3.1.1</v>
          </cell>
          <cell r="G98" t="str">
            <v xml:space="preserve">                 Del Nivel Nacional</v>
          </cell>
          <cell r="H98">
            <v>0</v>
          </cell>
          <cell r="I98">
            <v>0.66960399999999998</v>
          </cell>
        </row>
        <row r="99">
          <cell r="A99" t="str">
            <v>63001-BF_1.1.3.1.1.2</v>
          </cell>
          <cell r="B99" t="str">
            <v>QUINDIO</v>
          </cell>
          <cell r="C99">
            <v>63001</v>
          </cell>
          <cell r="D99" t="str">
            <v>ARMENIA</v>
          </cell>
          <cell r="E99">
            <v>23</v>
          </cell>
          <cell r="F99" t="str">
            <v>BF_1.1.3.1.1.2</v>
          </cell>
          <cell r="G99" t="str">
            <v xml:space="preserve">                     Otras Transferencias de la Nación</v>
          </cell>
          <cell r="H99">
            <v>0</v>
          </cell>
          <cell r="I99">
            <v>0.66960399999999998</v>
          </cell>
        </row>
        <row r="100">
          <cell r="A100" t="str">
            <v>63001-BF_1.1.3.1.2</v>
          </cell>
          <cell r="B100" t="str">
            <v>QUINDIO</v>
          </cell>
          <cell r="C100">
            <v>63001</v>
          </cell>
          <cell r="D100" t="str">
            <v>ARMENIA</v>
          </cell>
          <cell r="E100">
            <v>24</v>
          </cell>
          <cell r="F100" t="str">
            <v>BF_1.1.3.1.2</v>
          </cell>
          <cell r="G100" t="str">
            <v xml:space="preserve">                 Del Nivel Departamental</v>
          </cell>
          <cell r="H100">
            <v>1955.4090000000001</v>
          </cell>
          <cell r="I100">
            <v>966.92202999999995</v>
          </cell>
        </row>
        <row r="101">
          <cell r="A101" t="str">
            <v>63001-BF_1.1.3.1.2.2</v>
          </cell>
          <cell r="B101" t="str">
            <v>QUINDIO</v>
          </cell>
          <cell r="C101">
            <v>63001</v>
          </cell>
          <cell r="D101" t="str">
            <v>ARMENIA</v>
          </cell>
          <cell r="E101">
            <v>26</v>
          </cell>
          <cell r="F101" t="str">
            <v>BF_1.1.3.1.2.2</v>
          </cell>
          <cell r="G101" t="str">
            <v xml:space="preserve">                     Otras Transferencias del Departamento</v>
          </cell>
          <cell r="H101">
            <v>1955.4090000000001</v>
          </cell>
          <cell r="I101">
            <v>966.92202999999995</v>
          </cell>
        </row>
        <row r="102">
          <cell r="A102" t="str">
            <v>63001-BF_1.1.3.1.3</v>
          </cell>
          <cell r="B102" t="str">
            <v>QUINDIO</v>
          </cell>
          <cell r="C102">
            <v>63001</v>
          </cell>
          <cell r="D102" t="str">
            <v>ARMENIA</v>
          </cell>
          <cell r="E102">
            <v>27</v>
          </cell>
          <cell r="F102" t="str">
            <v>BF_1.1.3.1.3</v>
          </cell>
          <cell r="G102" t="str">
            <v xml:space="preserve">                 Otras Transferencias Para Funcionamiento</v>
          </cell>
          <cell r="H102">
            <v>1973.164</v>
          </cell>
          <cell r="I102">
            <v>782.08588799999995</v>
          </cell>
        </row>
        <row r="103">
          <cell r="A103" t="str">
            <v>63001-BF_1.1.3.2</v>
          </cell>
          <cell r="B103" t="str">
            <v>QUINDIO</v>
          </cell>
          <cell r="C103">
            <v>63001</v>
          </cell>
          <cell r="D103" t="str">
            <v>ARMENIA</v>
          </cell>
          <cell r="E103">
            <v>28</v>
          </cell>
          <cell r="F103" t="str">
            <v>BF_1.1.3.2</v>
          </cell>
          <cell r="G103" t="str">
            <v xml:space="preserve">             Transferencias Para Inversión</v>
          </cell>
          <cell r="H103">
            <v>217298.88699999999</v>
          </cell>
          <cell r="I103">
            <v>228540.37686799999</v>
          </cell>
        </row>
        <row r="104">
          <cell r="A104" t="str">
            <v>63001-BF_1.1.3.2.1</v>
          </cell>
          <cell r="B104" t="str">
            <v>QUINDIO</v>
          </cell>
          <cell r="C104">
            <v>63001</v>
          </cell>
          <cell r="D104" t="str">
            <v>ARMENIA</v>
          </cell>
          <cell r="E104">
            <v>29</v>
          </cell>
          <cell r="F104" t="str">
            <v>BF_1.1.3.2.1</v>
          </cell>
          <cell r="G104" t="str">
            <v xml:space="preserve">                 Del Nivel Nacional</v>
          </cell>
          <cell r="H104">
            <v>217298.88699999999</v>
          </cell>
          <cell r="I104">
            <v>228540.37686799999</v>
          </cell>
        </row>
        <row r="105">
          <cell r="A105" t="str">
            <v>63001-BF_1.1.3.2.1.1</v>
          </cell>
          <cell r="B105" t="str">
            <v>QUINDIO</v>
          </cell>
          <cell r="C105">
            <v>63001</v>
          </cell>
          <cell r="D105" t="str">
            <v>ARMENIA</v>
          </cell>
          <cell r="E105">
            <v>30</v>
          </cell>
          <cell r="F105" t="str">
            <v>BF_1.1.3.2.1.1</v>
          </cell>
          <cell r="G105" t="str">
            <v xml:space="preserve">                     Sistema General de Participaciones</v>
          </cell>
          <cell r="H105">
            <v>159067.16399999999</v>
          </cell>
          <cell r="I105">
            <v>161037.59650300001</v>
          </cell>
        </row>
        <row r="106">
          <cell r="A106" t="str">
            <v>63001-BF_1.1.3.2.1.1.1</v>
          </cell>
          <cell r="B106" t="str">
            <v>QUINDIO</v>
          </cell>
          <cell r="C106">
            <v>63001</v>
          </cell>
          <cell r="D106" t="str">
            <v>ARMENIA</v>
          </cell>
          <cell r="E106">
            <v>31</v>
          </cell>
          <cell r="F106" t="str">
            <v>BF_1.1.3.2.1.1.1</v>
          </cell>
          <cell r="G106" t="str">
            <v xml:space="preserve">                         Sistema General de Participaciones - Educación</v>
          </cell>
          <cell r="H106">
            <v>113332.542</v>
          </cell>
          <cell r="I106">
            <v>115660.95264800001</v>
          </cell>
        </row>
        <row r="107">
          <cell r="A107" t="str">
            <v>63001-BF_1.1.3.2.1.1.2</v>
          </cell>
          <cell r="B107" t="str">
            <v>QUINDIO</v>
          </cell>
          <cell r="C107">
            <v>63001</v>
          </cell>
          <cell r="D107" t="str">
            <v>ARMENIA</v>
          </cell>
          <cell r="E107">
            <v>32</v>
          </cell>
          <cell r="F107" t="str">
            <v>BF_1.1.3.2.1.1.2</v>
          </cell>
          <cell r="G107" t="str">
            <v xml:space="preserve">                         Sistema General de Participaciones - Salud</v>
          </cell>
          <cell r="H107">
            <v>32172.794999999998</v>
          </cell>
          <cell r="I107">
            <v>31923.407083999999</v>
          </cell>
        </row>
        <row r="108">
          <cell r="A108" t="str">
            <v>63001-BF_1.1.3.2.1.1.3</v>
          </cell>
          <cell r="B108" t="str">
            <v>QUINDIO</v>
          </cell>
          <cell r="C108">
            <v>63001</v>
          </cell>
          <cell r="D108" t="str">
            <v>ARMENIA</v>
          </cell>
          <cell r="E108">
            <v>33</v>
          </cell>
          <cell r="F108" t="str">
            <v>BF_1.1.3.2.1.1.3</v>
          </cell>
          <cell r="G108" t="str">
            <v xml:space="preserve">                         Sistema General de Participaciones - Agua Potable y Saneamiento Básico</v>
          </cell>
          <cell r="H108">
            <v>4734.6210000000001</v>
          </cell>
          <cell r="I108">
            <v>4790.8119230000002</v>
          </cell>
        </row>
        <row r="109">
          <cell r="A109" t="str">
            <v>63001-BF_1.1.3.2.1.1.4</v>
          </cell>
          <cell r="B109" t="str">
            <v>QUINDIO</v>
          </cell>
          <cell r="C109">
            <v>63001</v>
          </cell>
          <cell r="D109" t="str">
            <v>ARMENIA</v>
          </cell>
          <cell r="E109">
            <v>34</v>
          </cell>
          <cell r="F109" t="str">
            <v>BF_1.1.3.2.1.1.4</v>
          </cell>
          <cell r="G109" t="str">
            <v xml:space="preserve">                         Sistema General de Participaciones - Propósito General - Forzosa Inversión</v>
          </cell>
          <cell r="H109">
            <v>8035.3810000000003</v>
          </cell>
          <cell r="I109">
            <v>8181.66975</v>
          </cell>
        </row>
        <row r="110">
          <cell r="A110" t="str">
            <v>63001-BF_1.1.3.2.1.1.5</v>
          </cell>
          <cell r="B110" t="str">
            <v>QUINDIO</v>
          </cell>
          <cell r="C110">
            <v>63001</v>
          </cell>
          <cell r="D110" t="str">
            <v>ARMENIA</v>
          </cell>
          <cell r="E110">
            <v>35</v>
          </cell>
          <cell r="F110" t="str">
            <v>BF_1.1.3.2.1.1.5</v>
          </cell>
          <cell r="G110" t="str">
            <v xml:space="preserve">                         Otras del Sistema General de Participaciones</v>
          </cell>
          <cell r="H110">
            <v>791.82500000000005</v>
          </cell>
          <cell r="I110">
            <v>480.75509799999998</v>
          </cell>
        </row>
        <row r="111">
          <cell r="A111" t="str">
            <v>63001-BF_1.1.3.2.1.2</v>
          </cell>
          <cell r="B111" t="str">
            <v>QUINDIO</v>
          </cell>
          <cell r="C111">
            <v>63001</v>
          </cell>
          <cell r="D111" t="str">
            <v>ARMENIA</v>
          </cell>
          <cell r="E111">
            <v>36</v>
          </cell>
          <cell r="F111" t="str">
            <v>BF_1.1.3.2.1.2</v>
          </cell>
          <cell r="G111" t="str">
            <v xml:space="preserve">                     FOSYGA y COLJUEGOS</v>
          </cell>
          <cell r="H111">
            <v>47320.622000000003</v>
          </cell>
          <cell r="I111">
            <v>44620.387151000003</v>
          </cell>
        </row>
        <row r="112">
          <cell r="A112" t="str">
            <v>63001-BF_1.1.3.2.1.3</v>
          </cell>
          <cell r="B112" t="str">
            <v>QUINDIO</v>
          </cell>
          <cell r="C112">
            <v>63001</v>
          </cell>
          <cell r="D112" t="str">
            <v>ARMENIA</v>
          </cell>
          <cell r="E112">
            <v>37</v>
          </cell>
          <cell r="F112" t="str">
            <v>BF_1.1.3.2.1.3</v>
          </cell>
          <cell r="G112" t="str">
            <v xml:space="preserve">                     Otras Transferencias de la Nación</v>
          </cell>
          <cell r="H112">
            <v>10911.101000000001</v>
          </cell>
          <cell r="I112">
            <v>22882.393214</v>
          </cell>
        </row>
        <row r="113">
          <cell r="A113" t="str">
            <v>63001-BF_2</v>
          </cell>
          <cell r="B113" t="str">
            <v>QUINDIO</v>
          </cell>
          <cell r="C113">
            <v>63001</v>
          </cell>
          <cell r="D113" t="str">
            <v>ARMENIA</v>
          </cell>
          <cell r="E113">
            <v>43</v>
          </cell>
          <cell r="F113" t="str">
            <v>BF_2</v>
          </cell>
          <cell r="G113" t="str">
            <v>GASTOS  TOTALES</v>
          </cell>
          <cell r="H113">
            <v>396671.58</v>
          </cell>
          <cell r="I113">
            <v>369953.16970500001</v>
          </cell>
        </row>
        <row r="114">
          <cell r="A114" t="str">
            <v>63001-BF_2.1</v>
          </cell>
          <cell r="B114" t="str">
            <v>QUINDIO</v>
          </cell>
          <cell r="C114">
            <v>63001</v>
          </cell>
          <cell r="D114" t="str">
            <v>ARMENIA</v>
          </cell>
          <cell r="E114">
            <v>44</v>
          </cell>
          <cell r="F114" t="str">
            <v>BF_2.1</v>
          </cell>
          <cell r="G114" t="str">
            <v xml:space="preserve">    GASTOS CORRIENTES</v>
          </cell>
          <cell r="H114">
            <v>299276.37800000003</v>
          </cell>
          <cell r="I114">
            <v>341230.46399100003</v>
          </cell>
        </row>
        <row r="115">
          <cell r="A115" t="str">
            <v>63001-BF_2.1.1</v>
          </cell>
          <cell r="B115" t="str">
            <v>QUINDIO</v>
          </cell>
          <cell r="C115">
            <v>63001</v>
          </cell>
          <cell r="D115" t="str">
            <v>ARMENIA</v>
          </cell>
          <cell r="E115">
            <v>45</v>
          </cell>
          <cell r="F115" t="str">
            <v>BF_2.1.1</v>
          </cell>
          <cell r="G115" t="str">
            <v xml:space="preserve">        FUNCIONAMIENTO</v>
          </cell>
          <cell r="H115">
            <v>61541.777999999998</v>
          </cell>
          <cell r="I115">
            <v>60843.864597</v>
          </cell>
        </row>
        <row r="116">
          <cell r="A116" t="str">
            <v>63001-BF_2.1.1.1</v>
          </cell>
          <cell r="B116" t="str">
            <v>QUINDIO</v>
          </cell>
          <cell r="C116">
            <v>63001</v>
          </cell>
          <cell r="D116" t="str">
            <v>ARMENIA</v>
          </cell>
          <cell r="E116">
            <v>46</v>
          </cell>
          <cell r="F116" t="str">
            <v>BF_2.1.1.1</v>
          </cell>
          <cell r="G116" t="str">
            <v xml:space="preserve">             Gastos de Personal  </v>
          </cell>
          <cell r="H116">
            <v>21607.758999999998</v>
          </cell>
          <cell r="I116">
            <v>23427.067599000002</v>
          </cell>
        </row>
        <row r="117">
          <cell r="A117" t="str">
            <v>63001-BF_2.1.1.2</v>
          </cell>
          <cell r="B117" t="str">
            <v>QUINDIO</v>
          </cell>
          <cell r="C117">
            <v>63001</v>
          </cell>
          <cell r="D117" t="str">
            <v>ARMENIA</v>
          </cell>
          <cell r="E117">
            <v>47</v>
          </cell>
          <cell r="F117" t="str">
            <v>BF_2.1.1.2</v>
          </cell>
          <cell r="G117" t="str">
            <v xml:space="preserve">             Gastos Generales</v>
          </cell>
          <cell r="H117">
            <v>21251.751</v>
          </cell>
          <cell r="I117">
            <v>20521.529681</v>
          </cell>
        </row>
        <row r="118">
          <cell r="A118" t="str">
            <v>63001-BF_2.1.1.3</v>
          </cell>
          <cell r="B118" t="str">
            <v>QUINDIO</v>
          </cell>
          <cell r="C118">
            <v>63001</v>
          </cell>
          <cell r="D118" t="str">
            <v>ARMENIA</v>
          </cell>
          <cell r="E118">
            <v>48</v>
          </cell>
          <cell r="F118" t="str">
            <v>BF_2.1.1.3</v>
          </cell>
          <cell r="G118" t="str">
            <v xml:space="preserve">             Transferencias</v>
          </cell>
          <cell r="H118">
            <v>18679.268</v>
          </cell>
          <cell r="I118">
            <v>16891.687317</v>
          </cell>
        </row>
        <row r="119">
          <cell r="A119" t="str">
            <v>63001-BF_2.1.1.3.1</v>
          </cell>
          <cell r="B119" t="str">
            <v>QUINDIO</v>
          </cell>
          <cell r="C119">
            <v>63001</v>
          </cell>
          <cell r="D119" t="str">
            <v>ARMENIA</v>
          </cell>
          <cell r="E119">
            <v>49</v>
          </cell>
          <cell r="F119" t="str">
            <v>BF_2.1.1.3.1</v>
          </cell>
          <cell r="G119" t="str">
            <v xml:space="preserve">                 Pensiones</v>
          </cell>
          <cell r="H119">
            <v>7520.8760000000002</v>
          </cell>
          <cell r="I119">
            <v>6135.5433620000003</v>
          </cell>
        </row>
        <row r="120">
          <cell r="A120" t="str">
            <v>63001-BF_2.1.1.3.4</v>
          </cell>
          <cell r="B120" t="str">
            <v>QUINDIO</v>
          </cell>
          <cell r="C120">
            <v>63001</v>
          </cell>
          <cell r="D120" t="str">
            <v>ARMENIA</v>
          </cell>
          <cell r="E120">
            <v>52</v>
          </cell>
          <cell r="F120" t="str">
            <v>BF_2.1.1.3.4</v>
          </cell>
          <cell r="G120" t="str">
            <v xml:space="preserve">                 A Organismos de Control</v>
          </cell>
          <cell r="H120">
            <v>6049.7370000000001</v>
          </cell>
          <cell r="I120">
            <v>6113.591625</v>
          </cell>
        </row>
        <row r="121">
          <cell r="A121" t="str">
            <v>63001-BF_2.1.1.3.5</v>
          </cell>
          <cell r="B121" t="str">
            <v>QUINDIO</v>
          </cell>
          <cell r="C121">
            <v>63001</v>
          </cell>
          <cell r="D121" t="str">
            <v>ARMENIA</v>
          </cell>
          <cell r="E121">
            <v>53</v>
          </cell>
          <cell r="F121" t="str">
            <v>BF_2.1.1.3.5</v>
          </cell>
          <cell r="G121" t="str">
            <v xml:space="preserve">                 A Establecimientos Públicos y Entidades Descentralizadas - Nivel Territorial</v>
          </cell>
          <cell r="H121">
            <v>3186.24</v>
          </cell>
          <cell r="I121">
            <v>3301.2399919999998</v>
          </cell>
        </row>
        <row r="122">
          <cell r="A122" t="str">
            <v>63001-BF_2.1.1.3.6</v>
          </cell>
          <cell r="B122" t="str">
            <v>QUINDIO</v>
          </cell>
          <cell r="C122">
            <v>63001</v>
          </cell>
          <cell r="D122" t="str">
            <v>ARMENIA</v>
          </cell>
          <cell r="E122">
            <v>54</v>
          </cell>
          <cell r="F122" t="str">
            <v>BF_2.1.1.3.6</v>
          </cell>
          <cell r="G122" t="str">
            <v xml:space="preserve">                 Sentencias y Conciliaciones</v>
          </cell>
          <cell r="H122">
            <v>1922.415</v>
          </cell>
          <cell r="I122">
            <v>1341.312338</v>
          </cell>
        </row>
        <row r="123">
          <cell r="A123" t="str">
            <v>63001-BF_2.1.1.6</v>
          </cell>
          <cell r="B123" t="str">
            <v>QUINDIO</v>
          </cell>
          <cell r="C123">
            <v>63001</v>
          </cell>
          <cell r="D123" t="str">
            <v>ARMENIA</v>
          </cell>
          <cell r="E123">
            <v>58</v>
          </cell>
          <cell r="F123" t="str">
            <v>BF_2.1.1.6</v>
          </cell>
          <cell r="G123" t="str">
            <v xml:space="preserve">             Otros Gastos de Funcionamiento</v>
          </cell>
          <cell r="H123">
            <v>3</v>
          </cell>
          <cell r="I123">
            <v>3.58</v>
          </cell>
        </row>
        <row r="124">
          <cell r="A124" t="str">
            <v>63001-BF_2.1.2</v>
          </cell>
          <cell r="B124" t="str">
            <v>QUINDIO</v>
          </cell>
          <cell r="C124">
            <v>63001</v>
          </cell>
          <cell r="D124" t="str">
            <v>ARMENIA</v>
          </cell>
          <cell r="E124">
            <v>59</v>
          </cell>
          <cell r="F124" t="str">
            <v>BF_2.1.2</v>
          </cell>
          <cell r="G124" t="str">
            <v xml:space="preserve">        PAGO DE BONOS PENSIONALES Y CUOTAS PARTES DE BONO PENSIONAL</v>
          </cell>
          <cell r="H124">
            <v>1.3280000000000001</v>
          </cell>
          <cell r="I124">
            <v>3.5510000000000002</v>
          </cell>
        </row>
        <row r="125">
          <cell r="A125" t="str">
            <v>63001-BF_2.1.4</v>
          </cell>
          <cell r="B125" t="str">
            <v>QUINDIO</v>
          </cell>
          <cell r="C125">
            <v>63001</v>
          </cell>
          <cell r="D125" t="str">
            <v>ARMENIA</v>
          </cell>
          <cell r="E125">
            <v>61</v>
          </cell>
          <cell r="F125" t="str">
            <v>BF_2.1.4</v>
          </cell>
          <cell r="G125" t="str">
            <v xml:space="preserve">        GASTOS OPERATIVOS EN SECTORES SOCIALES (Remuneración al Trabajo, Prestaciones, y Subsidios en Sectores de Inversión)</v>
          </cell>
          <cell r="H125">
            <v>229610.7</v>
          </cell>
          <cell r="I125">
            <v>275255.11934400001</v>
          </cell>
        </row>
        <row r="126">
          <cell r="A126" t="str">
            <v>63001-BF_2.1.4.1</v>
          </cell>
          <cell r="B126" t="str">
            <v>QUINDIO</v>
          </cell>
          <cell r="C126">
            <v>63001</v>
          </cell>
          <cell r="D126" t="str">
            <v>ARMENIA</v>
          </cell>
          <cell r="E126">
            <v>62</v>
          </cell>
          <cell r="F126" t="str">
            <v>BF_2.1.4.1</v>
          </cell>
          <cell r="G126" t="str">
            <v xml:space="preserve">             Educación</v>
          </cell>
          <cell r="H126">
            <v>121585.351</v>
          </cell>
          <cell r="I126">
            <v>134910.18247500001</v>
          </cell>
        </row>
        <row r="127">
          <cell r="A127" t="str">
            <v>63001-BF_2.1.4.2</v>
          </cell>
          <cell r="B127" t="str">
            <v>QUINDIO</v>
          </cell>
          <cell r="C127">
            <v>63001</v>
          </cell>
          <cell r="D127" t="str">
            <v>ARMENIA</v>
          </cell>
          <cell r="E127">
            <v>63</v>
          </cell>
          <cell r="F127" t="str">
            <v>BF_2.1.4.2</v>
          </cell>
          <cell r="G127" t="str">
            <v xml:space="preserve">             Salud</v>
          </cell>
          <cell r="H127">
            <v>95812.824999999997</v>
          </cell>
          <cell r="I127">
            <v>97485.136148000005</v>
          </cell>
        </row>
        <row r="128">
          <cell r="A128" t="str">
            <v>63001-BF_2.1.4.3</v>
          </cell>
          <cell r="B128" t="str">
            <v>QUINDIO</v>
          </cell>
          <cell r="C128">
            <v>63001</v>
          </cell>
          <cell r="D128" t="str">
            <v>ARMENIA</v>
          </cell>
          <cell r="E128">
            <v>64</v>
          </cell>
          <cell r="F128" t="str">
            <v>BF_2.1.4.3</v>
          </cell>
          <cell r="G128" t="str">
            <v xml:space="preserve">             Agua Potable y Saneamiento Básico</v>
          </cell>
          <cell r="H128">
            <v>3198.0250000000001</v>
          </cell>
          <cell r="I128">
            <v>0</v>
          </cell>
        </row>
        <row r="129">
          <cell r="A129" t="str">
            <v>63001-BF_2.1.4.5</v>
          </cell>
          <cell r="B129" t="str">
            <v>QUINDIO</v>
          </cell>
          <cell r="C129">
            <v>63001</v>
          </cell>
          <cell r="D129" t="str">
            <v>ARMENIA</v>
          </cell>
          <cell r="E129">
            <v>66</v>
          </cell>
          <cell r="F129" t="str">
            <v>BF_2.1.4.5</v>
          </cell>
          <cell r="G129" t="str">
            <v xml:space="preserve">             Otros Sectores</v>
          </cell>
          <cell r="H129">
            <v>9014.4989999999998</v>
          </cell>
          <cell r="I129">
            <v>42859.800721</v>
          </cell>
        </row>
        <row r="130">
          <cell r="A130" t="str">
            <v>63001-BF_2.1.5</v>
          </cell>
          <cell r="B130" t="str">
            <v>QUINDIO</v>
          </cell>
          <cell r="C130">
            <v>63001</v>
          </cell>
          <cell r="D130" t="str">
            <v>ARMENIA</v>
          </cell>
          <cell r="E130">
            <v>67</v>
          </cell>
          <cell r="F130" t="str">
            <v>BF_2.1.5</v>
          </cell>
          <cell r="G130" t="str">
            <v xml:space="preserve">        INTERESES Y COMISIONES DE LA DEUDA</v>
          </cell>
          <cell r="H130">
            <v>8122.5720000000001</v>
          </cell>
          <cell r="I130">
            <v>5127.9290499999997</v>
          </cell>
        </row>
        <row r="131">
          <cell r="A131" t="str">
            <v>63001-BF_2.1.5.1</v>
          </cell>
          <cell r="B131" t="str">
            <v>QUINDIO</v>
          </cell>
          <cell r="C131">
            <v>63001</v>
          </cell>
          <cell r="D131" t="str">
            <v>ARMENIA</v>
          </cell>
          <cell r="E131">
            <v>68</v>
          </cell>
          <cell r="F131" t="str">
            <v>BF_2.1.5.1</v>
          </cell>
          <cell r="G131" t="str">
            <v xml:space="preserve">             Interna</v>
          </cell>
          <cell r="H131">
            <v>8122.5720000000001</v>
          </cell>
          <cell r="I131">
            <v>5127.9290499999997</v>
          </cell>
        </row>
        <row r="132">
          <cell r="A132" t="str">
            <v>63001-BF_3</v>
          </cell>
          <cell r="B132" t="str">
            <v>QUINDIO</v>
          </cell>
          <cell r="C132">
            <v>63001</v>
          </cell>
          <cell r="D132" t="str">
            <v>ARMENIA</v>
          </cell>
          <cell r="E132">
            <v>70</v>
          </cell>
          <cell r="F132" t="str">
            <v>BF_3</v>
          </cell>
          <cell r="G132" t="str">
            <v>DÉFICIT O AHORRO CORRIENTE</v>
          </cell>
          <cell r="H132">
            <v>65438.451999999997</v>
          </cell>
          <cell r="I132">
            <v>25070.268423000001</v>
          </cell>
        </row>
        <row r="133">
          <cell r="A133" t="str">
            <v>63001-BF_4</v>
          </cell>
          <cell r="B133" t="str">
            <v>QUINDIO</v>
          </cell>
          <cell r="C133">
            <v>63001</v>
          </cell>
          <cell r="D133" t="str">
            <v>ARMENIA</v>
          </cell>
          <cell r="E133">
            <v>71</v>
          </cell>
          <cell r="F133" t="str">
            <v>BF_4</v>
          </cell>
          <cell r="G133" t="str">
            <v>INGRESOS DE CAPITAL</v>
          </cell>
          <cell r="H133">
            <v>20491.300999999999</v>
          </cell>
          <cell r="I133">
            <v>12055.331738999999</v>
          </cell>
        </row>
        <row r="134">
          <cell r="A134" t="str">
            <v>63001-BF_4.1</v>
          </cell>
          <cell r="B134" t="str">
            <v>QUINDIO</v>
          </cell>
          <cell r="C134">
            <v>63001</v>
          </cell>
          <cell r="D134" t="str">
            <v>ARMENIA</v>
          </cell>
          <cell r="E134">
            <v>72</v>
          </cell>
          <cell r="F134" t="str">
            <v>BF_4.1</v>
          </cell>
          <cell r="G134" t="str">
            <v xml:space="preserve">    Cofinanciación</v>
          </cell>
          <cell r="H134">
            <v>9254.3619999999992</v>
          </cell>
          <cell r="I134">
            <v>10017.262424</v>
          </cell>
        </row>
        <row r="135">
          <cell r="A135" t="str">
            <v>63001-BF_4.4</v>
          </cell>
          <cell r="B135" t="str">
            <v>QUINDIO</v>
          </cell>
          <cell r="C135">
            <v>63001</v>
          </cell>
          <cell r="D135" t="str">
            <v>ARMENIA</v>
          </cell>
          <cell r="E135">
            <v>75</v>
          </cell>
          <cell r="F135" t="str">
            <v>BF_4.4</v>
          </cell>
          <cell r="G135" t="str">
            <v xml:space="preserve">    Rendimientos Financieros</v>
          </cell>
          <cell r="H135">
            <v>891.99199999999996</v>
          </cell>
          <cell r="I135">
            <v>833.02792099999999</v>
          </cell>
        </row>
        <row r="136">
          <cell r="A136" t="str">
            <v>63001-BF_4.6</v>
          </cell>
          <cell r="B136" t="str">
            <v>QUINDIO</v>
          </cell>
          <cell r="C136">
            <v>63001</v>
          </cell>
          <cell r="D136" t="str">
            <v>ARMENIA</v>
          </cell>
          <cell r="E136">
            <v>77</v>
          </cell>
          <cell r="F136" t="str">
            <v>BF_4.6</v>
          </cell>
          <cell r="G136" t="str">
            <v xml:space="preserve">    Desahorro FONPET</v>
          </cell>
          <cell r="H136">
            <v>8633.4249999999993</v>
          </cell>
          <cell r="I136">
            <v>384.26</v>
          </cell>
        </row>
        <row r="137">
          <cell r="A137" t="str">
            <v>63001-BF_4.6.4</v>
          </cell>
          <cell r="B137" t="str">
            <v>QUINDIO</v>
          </cell>
          <cell r="C137">
            <v>63001</v>
          </cell>
          <cell r="D137" t="str">
            <v>ARMENIA</v>
          </cell>
          <cell r="E137">
            <v>81</v>
          </cell>
          <cell r="F137" t="str">
            <v>BF_4.6.4</v>
          </cell>
          <cell r="G137" t="str">
            <v xml:space="preserve">    Otros Desahorros y Retiros (Cuotas partes, Bonos y Devoluciones)</v>
          </cell>
          <cell r="H137">
            <v>8633.4249999999993</v>
          </cell>
          <cell r="I137">
            <v>384.26</v>
          </cell>
        </row>
        <row r="138">
          <cell r="A138" t="str">
            <v>63001-BF_4.7</v>
          </cell>
          <cell r="B138" t="str">
            <v>QUINDIO</v>
          </cell>
          <cell r="C138">
            <v>63001</v>
          </cell>
          <cell r="D138" t="str">
            <v>ARMENIA</v>
          </cell>
          <cell r="E138">
            <v>82</v>
          </cell>
          <cell r="F138" t="str">
            <v>BF_4.7</v>
          </cell>
          <cell r="G138" t="str">
            <v xml:space="preserve">    Otros Recursos de Capital (Donaciones, Aprovechamientos y Otros)</v>
          </cell>
          <cell r="H138">
            <v>1711.5219999999999</v>
          </cell>
          <cell r="I138">
            <v>820.78139399999998</v>
          </cell>
        </row>
        <row r="139">
          <cell r="A139" t="str">
            <v>63001-BF_5</v>
          </cell>
          <cell r="B139" t="str">
            <v>QUINDIO</v>
          </cell>
          <cell r="C139">
            <v>63001</v>
          </cell>
          <cell r="D139" t="str">
            <v>ARMENIA</v>
          </cell>
          <cell r="E139">
            <v>83</v>
          </cell>
          <cell r="F139" t="str">
            <v>BF_5</v>
          </cell>
          <cell r="G139" t="str">
            <v>GASTOS DE CAPITAL</v>
          </cell>
          <cell r="H139">
            <v>97395.202000000005</v>
          </cell>
          <cell r="I139">
            <v>28722.705714</v>
          </cell>
        </row>
        <row r="140">
          <cell r="A140" t="str">
            <v>63001-BF_5.1</v>
          </cell>
          <cell r="B140" t="str">
            <v>QUINDIO</v>
          </cell>
          <cell r="C140">
            <v>63001</v>
          </cell>
          <cell r="D140" t="str">
            <v>ARMENIA</v>
          </cell>
          <cell r="E140">
            <v>84</v>
          </cell>
          <cell r="F140" t="str">
            <v>BF_5.1</v>
          </cell>
          <cell r="G140" t="str">
            <v xml:space="preserve">    Formación Bruta de Capital (Construcción, Reparación, Mantenimiento, Preinversión, Otros)</v>
          </cell>
          <cell r="H140">
            <v>97395.202000000005</v>
          </cell>
          <cell r="I140">
            <v>28527.466034000001</v>
          </cell>
        </row>
        <row r="141">
          <cell r="A141" t="str">
            <v>63001-BF_5.1.1</v>
          </cell>
          <cell r="B141" t="str">
            <v>QUINDIO</v>
          </cell>
          <cell r="C141">
            <v>63001</v>
          </cell>
          <cell r="D141" t="str">
            <v>ARMENIA</v>
          </cell>
          <cell r="E141">
            <v>85</v>
          </cell>
          <cell r="F141" t="str">
            <v>BF_5.1.1</v>
          </cell>
          <cell r="G141" t="str">
            <v xml:space="preserve">        Educación</v>
          </cell>
          <cell r="H141">
            <v>14441.406000000001</v>
          </cell>
          <cell r="I141">
            <v>4812.4158619999998</v>
          </cell>
        </row>
        <row r="142">
          <cell r="A142" t="str">
            <v>63001-BF_5.1.2</v>
          </cell>
          <cell r="B142" t="str">
            <v>QUINDIO</v>
          </cell>
          <cell r="C142">
            <v>63001</v>
          </cell>
          <cell r="D142" t="str">
            <v>ARMENIA</v>
          </cell>
          <cell r="E142">
            <v>86</v>
          </cell>
          <cell r="F142" t="str">
            <v>BF_5.1.2</v>
          </cell>
          <cell r="G142" t="str">
            <v xml:space="preserve">        Salud</v>
          </cell>
          <cell r="H142">
            <v>0</v>
          </cell>
          <cell r="I142">
            <v>1009.105678</v>
          </cell>
        </row>
        <row r="143">
          <cell r="A143" t="str">
            <v>63001-BF_5.1.4</v>
          </cell>
          <cell r="B143" t="str">
            <v>QUINDIO</v>
          </cell>
          <cell r="C143">
            <v>63001</v>
          </cell>
          <cell r="D143" t="str">
            <v>ARMENIA</v>
          </cell>
          <cell r="E143">
            <v>88</v>
          </cell>
          <cell r="F143" t="str">
            <v>BF_5.1.4</v>
          </cell>
          <cell r="G143" t="str">
            <v xml:space="preserve">        Vivienda</v>
          </cell>
          <cell r="H143">
            <v>40</v>
          </cell>
          <cell r="I143">
            <v>80</v>
          </cell>
        </row>
        <row r="144">
          <cell r="A144" t="str">
            <v>63001-BF_5.1.5</v>
          </cell>
          <cell r="B144" t="str">
            <v>QUINDIO</v>
          </cell>
          <cell r="C144">
            <v>63001</v>
          </cell>
          <cell r="D144" t="str">
            <v>ARMENIA</v>
          </cell>
          <cell r="E144">
            <v>89</v>
          </cell>
          <cell r="F144" t="str">
            <v>BF_5.1.5</v>
          </cell>
          <cell r="G144" t="str">
            <v xml:space="preserve">        Vías</v>
          </cell>
          <cell r="H144">
            <v>41998.82</v>
          </cell>
          <cell r="I144">
            <v>11287.104493000001</v>
          </cell>
        </row>
        <row r="145">
          <cell r="A145" t="str">
            <v>63001-BF_5.1.6</v>
          </cell>
          <cell r="B145" t="str">
            <v>QUINDIO</v>
          </cell>
          <cell r="C145">
            <v>63001</v>
          </cell>
          <cell r="D145" t="str">
            <v>ARMENIA</v>
          </cell>
          <cell r="E145">
            <v>90</v>
          </cell>
          <cell r="F145" t="str">
            <v>BF_5.1.6</v>
          </cell>
          <cell r="G145" t="str">
            <v xml:space="preserve">        Otros Sectores</v>
          </cell>
          <cell r="H145">
            <v>40914.976000000002</v>
          </cell>
          <cell r="I145">
            <v>11338.840001</v>
          </cell>
        </row>
        <row r="146">
          <cell r="A146" t="str">
            <v>63001-BF_5.2</v>
          </cell>
          <cell r="B146" t="str">
            <v>QUINDIO</v>
          </cell>
          <cell r="C146">
            <v>63001</v>
          </cell>
          <cell r="D146" t="str">
            <v>ARMENIA</v>
          </cell>
          <cell r="E146">
            <v>91</v>
          </cell>
          <cell r="F146" t="str">
            <v>BF_5.2</v>
          </cell>
          <cell r="G146" t="str">
            <v xml:space="preserve">    Déficit Fiscal de Vigencias Anteriores por Inversión</v>
          </cell>
          <cell r="H146">
            <v>0</v>
          </cell>
          <cell r="I146">
            <v>195.23967999999999</v>
          </cell>
        </row>
        <row r="147">
          <cell r="A147" t="str">
            <v>63001-BF_6</v>
          </cell>
          <cell r="B147" t="str">
            <v>QUINDIO</v>
          </cell>
          <cell r="C147">
            <v>63001</v>
          </cell>
          <cell r="D147" t="str">
            <v>ARMENIA</v>
          </cell>
          <cell r="E147">
            <v>92</v>
          </cell>
          <cell r="F147" t="str">
            <v>BF_6</v>
          </cell>
          <cell r="G147" t="str">
            <v>DÉFICIT O SUPERÁVIT DE CAPITAL</v>
          </cell>
          <cell r="H147">
            <v>-76903.900999999998</v>
          </cell>
          <cell r="I147">
            <v>-16667.373974999999</v>
          </cell>
        </row>
        <row r="148">
          <cell r="A148" t="str">
            <v>63001-BF_7</v>
          </cell>
          <cell r="B148" t="str">
            <v>QUINDIO</v>
          </cell>
          <cell r="C148">
            <v>63001</v>
          </cell>
          <cell r="D148" t="str">
            <v>ARMENIA</v>
          </cell>
          <cell r="E148">
            <v>93</v>
          </cell>
          <cell r="F148" t="str">
            <v>BF_7</v>
          </cell>
          <cell r="G148" t="str">
            <v>DÉFICIT O SUPERÁVIT TOTAL</v>
          </cell>
          <cell r="H148">
            <v>-11465.449000000001</v>
          </cell>
          <cell r="I148">
            <v>8402.8944479999991</v>
          </cell>
        </row>
        <row r="149">
          <cell r="A149" t="str">
            <v>63001-BF_8</v>
          </cell>
          <cell r="B149" t="str">
            <v>QUINDIO</v>
          </cell>
          <cell r="C149">
            <v>63001</v>
          </cell>
          <cell r="D149" t="str">
            <v>ARMENIA</v>
          </cell>
          <cell r="E149">
            <v>94</v>
          </cell>
          <cell r="F149" t="str">
            <v>BF_8</v>
          </cell>
          <cell r="G149" t="str">
            <v>FINANCIACIÓN</v>
          </cell>
          <cell r="H149">
            <v>44704.464</v>
          </cell>
          <cell r="I149">
            <v>34053.884486000003</v>
          </cell>
        </row>
        <row r="150">
          <cell r="A150" t="str">
            <v>63001-BF_8.1</v>
          </cell>
          <cell r="B150" t="str">
            <v>QUINDIO</v>
          </cell>
          <cell r="C150">
            <v>63001</v>
          </cell>
          <cell r="D150" t="str">
            <v>ARMENIA</v>
          </cell>
          <cell r="E150">
            <v>95</v>
          </cell>
          <cell r="F150" t="str">
            <v>BF_8.1</v>
          </cell>
          <cell r="G150" t="str">
            <v xml:space="preserve">    RECURSOS DEL CRÉDITO</v>
          </cell>
          <cell r="H150">
            <v>-20595.420999999998</v>
          </cell>
          <cell r="I150">
            <v>-20727.863476999999</v>
          </cell>
        </row>
        <row r="151">
          <cell r="A151" t="str">
            <v>63001-BF_8.1.1</v>
          </cell>
          <cell r="B151" t="str">
            <v>QUINDIO</v>
          </cell>
          <cell r="C151">
            <v>63001</v>
          </cell>
          <cell r="D151" t="str">
            <v>ARMENIA</v>
          </cell>
          <cell r="E151">
            <v>96</v>
          </cell>
          <cell r="F151" t="str">
            <v>BF_8.1.1</v>
          </cell>
          <cell r="G151" t="str">
            <v xml:space="preserve">        Interno</v>
          </cell>
          <cell r="H151">
            <v>-20595.420999999998</v>
          </cell>
          <cell r="I151">
            <v>-20727.863476999999</v>
          </cell>
        </row>
        <row r="152">
          <cell r="A152" t="str">
            <v>63001-BF_8.1.1.1</v>
          </cell>
          <cell r="B152" t="str">
            <v>QUINDIO</v>
          </cell>
          <cell r="C152">
            <v>63001</v>
          </cell>
          <cell r="D152" t="str">
            <v>ARMENIA</v>
          </cell>
          <cell r="E152">
            <v>97</v>
          </cell>
          <cell r="F152" t="str">
            <v>BF_8.1.1.1</v>
          </cell>
          <cell r="G152" t="str">
            <v xml:space="preserve">             Desembolsos</v>
          </cell>
          <cell r="H152">
            <v>1918.952</v>
          </cell>
          <cell r="I152">
            <v>0</v>
          </cell>
        </row>
        <row r="153">
          <cell r="A153" t="str">
            <v>63001-BF_8.1.1.2</v>
          </cell>
          <cell r="B153" t="str">
            <v>QUINDIO</v>
          </cell>
          <cell r="C153">
            <v>63001</v>
          </cell>
          <cell r="D153" t="str">
            <v>ARMENIA</v>
          </cell>
          <cell r="E153">
            <v>98</v>
          </cell>
          <cell r="F153" t="str">
            <v>BF_8.1.1.2</v>
          </cell>
          <cell r="G153" t="str">
            <v xml:space="preserve">             Amortizaciones</v>
          </cell>
          <cell r="H153">
            <v>22514.373</v>
          </cell>
          <cell r="I153">
            <v>20727.863476999999</v>
          </cell>
        </row>
        <row r="154">
          <cell r="A154" t="str">
            <v>63001-BF_8.2</v>
          </cell>
          <cell r="B154" t="str">
            <v>QUINDIO</v>
          </cell>
          <cell r="C154">
            <v>63001</v>
          </cell>
          <cell r="D154" t="str">
            <v>ARMENIA</v>
          </cell>
          <cell r="E154">
            <v>102</v>
          </cell>
          <cell r="F154" t="str">
            <v>BF_8.2</v>
          </cell>
          <cell r="G154" t="str">
            <v xml:space="preserve">    Recursos del Balance (Superávit Fiscal, Cancelación de Reservas)</v>
          </cell>
          <cell r="H154">
            <v>65299.885000000002</v>
          </cell>
          <cell r="I154">
            <v>54781.747963000002</v>
          </cell>
        </row>
        <row r="155">
          <cell r="A155" t="str">
            <v>63001-BF_9.1</v>
          </cell>
          <cell r="B155" t="str">
            <v>QUINDIO</v>
          </cell>
          <cell r="C155">
            <v>63001</v>
          </cell>
          <cell r="D155" t="str">
            <v>ARMENIA</v>
          </cell>
          <cell r="E155">
            <v>107</v>
          </cell>
          <cell r="F155" t="str">
            <v>BF_9.1</v>
          </cell>
          <cell r="G155" t="str">
            <v xml:space="preserve">    DÉFICIT O SUPERÁVIT PRIMARIO</v>
          </cell>
          <cell r="H155">
            <v>61957.008000000002</v>
          </cell>
          <cell r="I155">
            <v>68312.571461</v>
          </cell>
        </row>
        <row r="156">
          <cell r="A156" t="str">
            <v>63001-BF_9.2</v>
          </cell>
          <cell r="B156" t="str">
            <v>QUINDIO</v>
          </cell>
          <cell r="C156">
            <v>63001</v>
          </cell>
          <cell r="D156" t="str">
            <v>ARMENIA</v>
          </cell>
          <cell r="E156">
            <v>108</v>
          </cell>
          <cell r="F156" t="str">
            <v>BF_9.2</v>
          </cell>
          <cell r="G156" t="str">
            <v xml:space="preserve">    DÉFICIT O SUPERÁVIT PRIMARIO/INTERESES</v>
          </cell>
          <cell r="H156">
            <v>7.6280000000000001</v>
          </cell>
          <cell r="I156">
            <v>13.321669</v>
          </cell>
        </row>
        <row r="157">
          <cell r="A157" t="str">
            <v>63001-BF_10.1</v>
          </cell>
          <cell r="B157" t="str">
            <v>QUINDIO</v>
          </cell>
          <cell r="C157">
            <v>63001</v>
          </cell>
          <cell r="D157" t="str">
            <v>ARMENIA</v>
          </cell>
          <cell r="E157">
            <v>110</v>
          </cell>
          <cell r="F157" t="str">
            <v>BF_10.1</v>
          </cell>
          <cell r="G157" t="str">
            <v xml:space="preserve">    INGRESOS TOTALES SIN INCLUIR RECURSOS PARA RESERVAS PRESUPUESTALES</v>
          </cell>
          <cell r="H157">
            <v>452424.96799999999</v>
          </cell>
          <cell r="I157">
            <v>433137.81211599999</v>
          </cell>
        </row>
        <row r="158">
          <cell r="A158" t="str">
            <v>63001-BF_10.2</v>
          </cell>
          <cell r="B158" t="str">
            <v>QUINDIO</v>
          </cell>
          <cell r="C158">
            <v>63001</v>
          </cell>
          <cell r="D158" t="str">
            <v>ARMENIA</v>
          </cell>
          <cell r="E158">
            <v>111</v>
          </cell>
          <cell r="F158" t="str">
            <v>BF_10.2</v>
          </cell>
          <cell r="G158" t="str">
            <v xml:space="preserve">    GASTOS TOTALES SIN INCLUIR GASTOS POR RESERVAS PRESUPUESTALES</v>
          </cell>
          <cell r="H158">
            <v>419185.95299999998</v>
          </cell>
          <cell r="I158">
            <v>390681.03318199998</v>
          </cell>
        </row>
        <row r="159">
          <cell r="A159" t="str">
            <v>63001-BF_10.3</v>
          </cell>
          <cell r="B159" t="str">
            <v>QUINDIO</v>
          </cell>
          <cell r="C159">
            <v>63001</v>
          </cell>
          <cell r="D159" t="str">
            <v>ARMENIA</v>
          </cell>
          <cell r="E159">
            <v>112</v>
          </cell>
          <cell r="F159" t="str">
            <v>BF_10.3</v>
          </cell>
          <cell r="G159" t="str">
            <v xml:space="preserve">    DÉFICIT O SUPERÁVIT PRESUPUESTAL SIN INCLUIR RESERVAS PRESUPUESTALES</v>
          </cell>
          <cell r="H159">
            <v>33239.014999999999</v>
          </cell>
          <cell r="I159">
            <v>42456.778934000002</v>
          </cell>
        </row>
        <row r="160">
          <cell r="A160" t="str">
            <v>63001-BF_12.1</v>
          </cell>
          <cell r="B160" t="str">
            <v>QUINDIO</v>
          </cell>
          <cell r="C160">
            <v>63001</v>
          </cell>
          <cell r="D160" t="str">
            <v>ARMENIA</v>
          </cell>
          <cell r="E160">
            <v>114</v>
          </cell>
          <cell r="F160" t="str">
            <v>BF_12.1</v>
          </cell>
          <cell r="G160" t="str">
            <v xml:space="preserve">    INGRESOS TOTALES</v>
          </cell>
          <cell r="H160">
            <v>467441.712</v>
          </cell>
          <cell r="I160">
            <v>482602.74121599999</v>
          </cell>
        </row>
        <row r="161">
          <cell r="A161" t="str">
            <v>63001-BF_12.2</v>
          </cell>
          <cell r="B161" t="str">
            <v>QUINDIO</v>
          </cell>
          <cell r="C161">
            <v>63001</v>
          </cell>
          <cell r="D161" t="str">
            <v>ARMENIA</v>
          </cell>
          <cell r="E161">
            <v>115</v>
          </cell>
          <cell r="F161" t="str">
            <v>BF_12.2</v>
          </cell>
          <cell r="G161" t="str">
            <v xml:space="preserve">    GASTOS TOTALES</v>
          </cell>
          <cell r="H161">
            <v>422141.56599999999</v>
          </cell>
          <cell r="I161">
            <v>409553.244282</v>
          </cell>
        </row>
        <row r="162">
          <cell r="A162" t="str">
            <v>63001-BF_12.3</v>
          </cell>
          <cell r="B162" t="str">
            <v>QUINDIO</v>
          </cell>
          <cell r="C162">
            <v>63001</v>
          </cell>
          <cell r="D162" t="str">
            <v>ARMENIA</v>
          </cell>
          <cell r="E162">
            <v>116</v>
          </cell>
          <cell r="F162" t="str">
            <v>BF_12.3</v>
          </cell>
          <cell r="G162" t="str">
            <v xml:space="preserve">    DÉFICIT O SUPERÁVIT PRESUPUESTAL</v>
          </cell>
          <cell r="H162">
            <v>45300.146000000001</v>
          </cell>
          <cell r="I162">
            <v>73049.496933999995</v>
          </cell>
        </row>
        <row r="163">
          <cell r="A163" t="str">
            <v>63001-BF_13.1</v>
          </cell>
          <cell r="B163" t="str">
            <v>QUINDIO</v>
          </cell>
          <cell r="C163">
            <v>63001</v>
          </cell>
          <cell r="D163" t="str">
            <v>ARMENIA</v>
          </cell>
          <cell r="E163">
            <v>118</v>
          </cell>
          <cell r="F163" t="str">
            <v>BF_13.1</v>
          </cell>
          <cell r="G163" t="str">
            <v xml:space="preserve">    Recursos que Financian Reservas Presupuestales Excepcionales (Ley 819/2003)</v>
          </cell>
          <cell r="H163">
            <v>15016.744000000001</v>
          </cell>
          <cell r="I163">
            <v>49464.929100000001</v>
          </cell>
        </row>
        <row r="164">
          <cell r="A164" t="str">
            <v>63001-BF_13.2</v>
          </cell>
          <cell r="B164" t="str">
            <v>QUINDIO</v>
          </cell>
          <cell r="C164">
            <v>63001</v>
          </cell>
          <cell r="D164" t="str">
            <v>ARMENIA</v>
          </cell>
          <cell r="E164">
            <v>119</v>
          </cell>
          <cell r="F164" t="str">
            <v>BF_13.2</v>
          </cell>
          <cell r="G164" t="str">
            <v xml:space="preserve">    Reservas Presupuestales de Funcionamiento Vigencia Anterior</v>
          </cell>
          <cell r="H164">
            <v>0</v>
          </cell>
          <cell r="I164">
            <v>257.60129499999999</v>
          </cell>
        </row>
        <row r="165">
          <cell r="A165" t="str">
            <v>63001-BF_13.3</v>
          </cell>
          <cell r="B165" t="str">
            <v>QUINDIO</v>
          </cell>
          <cell r="C165">
            <v>63001</v>
          </cell>
          <cell r="D165" t="str">
            <v>ARMENIA</v>
          </cell>
          <cell r="E165">
            <v>120</v>
          </cell>
          <cell r="F165" t="str">
            <v>BF_13.3</v>
          </cell>
          <cell r="G165" t="str">
            <v xml:space="preserve">    Reservas Presupuestales de Inversión Vigencia Anterior</v>
          </cell>
          <cell r="H165">
            <v>2955.6129999999998</v>
          </cell>
          <cell r="I165">
            <v>18614.609809000001</v>
          </cell>
        </row>
        <row r="166">
          <cell r="A166" t="str">
            <v>63001-BF_13.4</v>
          </cell>
          <cell r="B166" t="str">
            <v>QUINDIO</v>
          </cell>
          <cell r="C166">
            <v>63001</v>
          </cell>
          <cell r="D166" t="str">
            <v>ARMENIA</v>
          </cell>
          <cell r="E166">
            <v>121</v>
          </cell>
          <cell r="F166" t="str">
            <v>BF_13.4</v>
          </cell>
          <cell r="G166" t="str">
            <v xml:space="preserve">    DEFICIT O SUPERAVIT RESERVAS PRESUPUESTALES</v>
          </cell>
          <cell r="H166">
            <v>12061.130999999999</v>
          </cell>
          <cell r="I166">
            <v>30592.717995999999</v>
          </cell>
        </row>
        <row r="167">
          <cell r="A167" t="str">
            <v>63111-BF_1</v>
          </cell>
          <cell r="B167" t="str">
            <v>QUINDIO</v>
          </cell>
          <cell r="C167">
            <v>63111</v>
          </cell>
          <cell r="D167" t="str">
            <v>BUENAVISTA - QUINDIO</v>
          </cell>
          <cell r="E167">
            <v>1</v>
          </cell>
          <cell r="F167" t="str">
            <v>BF_1</v>
          </cell>
          <cell r="G167" t="str">
            <v>INGRESOS TOTALES</v>
          </cell>
          <cell r="H167">
            <v>6781.8450000000003</v>
          </cell>
          <cell r="I167">
            <v>6064.0784119999998</v>
          </cell>
        </row>
        <row r="168">
          <cell r="A168" t="str">
            <v>63111-BF_1.1</v>
          </cell>
          <cell r="B168" t="str">
            <v>QUINDIO</v>
          </cell>
          <cell r="C168">
            <v>63111</v>
          </cell>
          <cell r="D168" t="str">
            <v>BUENAVISTA - QUINDIO</v>
          </cell>
          <cell r="E168">
            <v>2</v>
          </cell>
          <cell r="F168" t="str">
            <v>BF_1.1</v>
          </cell>
          <cell r="G168" t="str">
            <v xml:space="preserve">    INGRESOS CORRIENTES</v>
          </cell>
          <cell r="H168">
            <v>3728.2049999999999</v>
          </cell>
          <cell r="I168">
            <v>4329.9129350000003</v>
          </cell>
        </row>
        <row r="169">
          <cell r="A169" t="str">
            <v>63111-BF_1.1.1</v>
          </cell>
          <cell r="B169" t="str">
            <v>QUINDIO</v>
          </cell>
          <cell r="C169">
            <v>63111</v>
          </cell>
          <cell r="D169" t="str">
            <v>BUENAVISTA - QUINDIO</v>
          </cell>
          <cell r="E169">
            <v>3</v>
          </cell>
          <cell r="F169" t="str">
            <v>BF_1.1.1</v>
          </cell>
          <cell r="G169" t="str">
            <v xml:space="preserve">        TRIBUTARIOS</v>
          </cell>
          <cell r="H169">
            <v>657.74</v>
          </cell>
          <cell r="I169">
            <v>753.49813400000005</v>
          </cell>
        </row>
        <row r="170">
          <cell r="A170" t="str">
            <v>63111-BF_1.1.1.2</v>
          </cell>
          <cell r="B170" t="str">
            <v>QUINDIO</v>
          </cell>
          <cell r="C170">
            <v>63111</v>
          </cell>
          <cell r="D170" t="str">
            <v>BUENAVISTA - QUINDIO</v>
          </cell>
          <cell r="E170">
            <v>5</v>
          </cell>
          <cell r="F170" t="str">
            <v>BF_1.1.1.2</v>
          </cell>
          <cell r="G170" t="str">
            <v xml:space="preserve">             Impuesto Predial Unificado</v>
          </cell>
          <cell r="H170">
            <v>368.851</v>
          </cell>
          <cell r="I170">
            <v>328.45926900000001</v>
          </cell>
        </row>
        <row r="171">
          <cell r="A171" t="str">
            <v>63111-BF_1.1.1.3</v>
          </cell>
          <cell r="B171" t="str">
            <v>QUINDIO</v>
          </cell>
          <cell r="C171">
            <v>63111</v>
          </cell>
          <cell r="D171" t="str">
            <v>BUENAVISTA - QUINDIO</v>
          </cell>
          <cell r="E171">
            <v>6</v>
          </cell>
          <cell r="F171" t="str">
            <v>BF_1.1.1.3</v>
          </cell>
          <cell r="G171" t="str">
            <v xml:space="preserve">             Impuesto de Industria y Comercio</v>
          </cell>
          <cell r="H171">
            <v>41.606000000000002</v>
          </cell>
          <cell r="I171">
            <v>46.335887999999997</v>
          </cell>
        </row>
        <row r="172">
          <cell r="A172" t="str">
            <v>63111-BF_1.1.1.8</v>
          </cell>
          <cell r="B172" t="str">
            <v>QUINDIO</v>
          </cell>
          <cell r="C172">
            <v>63111</v>
          </cell>
          <cell r="D172" t="str">
            <v>BUENAVISTA - QUINDIO</v>
          </cell>
          <cell r="E172">
            <v>11</v>
          </cell>
          <cell r="F172" t="str">
            <v>BF_1.1.1.8</v>
          </cell>
          <cell r="G172" t="str">
            <v xml:space="preserve">             Sobretasa Consumo Gasolina Motor</v>
          </cell>
          <cell r="H172">
            <v>17.417999999999999</v>
          </cell>
          <cell r="I172">
            <v>25.481999999999999</v>
          </cell>
        </row>
        <row r="173">
          <cell r="A173" t="str">
            <v>63111-BF_1.1.1.9</v>
          </cell>
          <cell r="B173" t="str">
            <v>QUINDIO</v>
          </cell>
          <cell r="C173">
            <v>63111</v>
          </cell>
          <cell r="D173" t="str">
            <v>BUENAVISTA - QUINDIO</v>
          </cell>
          <cell r="E173">
            <v>12</v>
          </cell>
          <cell r="F173" t="str">
            <v>BF_1.1.1.9</v>
          </cell>
          <cell r="G173" t="str">
            <v xml:space="preserve">             Estampillas</v>
          </cell>
          <cell r="H173">
            <v>73.668999999999997</v>
          </cell>
          <cell r="I173">
            <v>138.33799999999999</v>
          </cell>
        </row>
        <row r="174">
          <cell r="A174" t="str">
            <v>63111-BF_1.1.1.12</v>
          </cell>
          <cell r="B174" t="str">
            <v>QUINDIO</v>
          </cell>
          <cell r="C174">
            <v>63111</v>
          </cell>
          <cell r="D174" t="str">
            <v>BUENAVISTA - QUINDIO</v>
          </cell>
          <cell r="E174">
            <v>15</v>
          </cell>
          <cell r="F174" t="str">
            <v>BF_1.1.1.12</v>
          </cell>
          <cell r="G174" t="str">
            <v xml:space="preserve">             Otros Ingresos Tributarios</v>
          </cell>
          <cell r="H174">
            <v>156.196</v>
          </cell>
          <cell r="I174">
            <v>214.88297700000001</v>
          </cell>
        </row>
        <row r="175">
          <cell r="A175" t="str">
            <v>63111-BF_1.1.2</v>
          </cell>
          <cell r="B175" t="str">
            <v>QUINDIO</v>
          </cell>
          <cell r="C175">
            <v>63111</v>
          </cell>
          <cell r="D175" t="str">
            <v>BUENAVISTA - QUINDIO</v>
          </cell>
          <cell r="E175">
            <v>16</v>
          </cell>
          <cell r="F175" t="str">
            <v>BF_1.1.2</v>
          </cell>
          <cell r="G175" t="str">
            <v xml:space="preserve">        NO TRIBUTARIOS</v>
          </cell>
          <cell r="H175">
            <v>125.086</v>
          </cell>
          <cell r="I175">
            <v>162.29559900000001</v>
          </cell>
        </row>
        <row r="176">
          <cell r="A176" t="str">
            <v>63111-BF_1.1.2.1</v>
          </cell>
          <cell r="B176" t="str">
            <v>QUINDIO</v>
          </cell>
          <cell r="C176">
            <v>63111</v>
          </cell>
          <cell r="D176" t="str">
            <v>BUENAVISTA - QUINDIO</v>
          </cell>
          <cell r="E176">
            <v>17</v>
          </cell>
          <cell r="F176" t="str">
            <v>BF_1.1.2.1</v>
          </cell>
          <cell r="G176" t="str">
            <v xml:space="preserve">             Ingresos de la Propiedad: Tasas, Derechos, Multas y Sanciones</v>
          </cell>
          <cell r="H176">
            <v>117.958</v>
          </cell>
          <cell r="I176">
            <v>158.643404</v>
          </cell>
        </row>
        <row r="177">
          <cell r="A177" t="str">
            <v>63111-BF_1.1.2.2</v>
          </cell>
          <cell r="B177" t="str">
            <v>QUINDIO</v>
          </cell>
          <cell r="C177">
            <v>63111</v>
          </cell>
          <cell r="D177" t="str">
            <v>BUENAVISTA - QUINDIO</v>
          </cell>
          <cell r="E177">
            <v>18</v>
          </cell>
          <cell r="F177" t="str">
            <v>BF_1.1.2.2</v>
          </cell>
          <cell r="G177" t="str">
            <v xml:space="preserve">             Otros No Tributarios</v>
          </cell>
          <cell r="H177">
            <v>7.1280000000000001</v>
          </cell>
          <cell r="I177">
            <v>3.6521949999999999</v>
          </cell>
        </row>
        <row r="178">
          <cell r="A178" t="str">
            <v>63111-BF_1.1.3</v>
          </cell>
          <cell r="B178" t="str">
            <v>QUINDIO</v>
          </cell>
          <cell r="C178">
            <v>63111</v>
          </cell>
          <cell r="D178" t="str">
            <v>BUENAVISTA - QUINDIO</v>
          </cell>
          <cell r="E178">
            <v>19</v>
          </cell>
          <cell r="F178" t="str">
            <v>BF_1.1.3</v>
          </cell>
          <cell r="G178" t="str">
            <v xml:space="preserve">        TRANSFERENCIAS</v>
          </cell>
          <cell r="H178">
            <v>2945.3789999999999</v>
          </cell>
          <cell r="I178">
            <v>3414.1192019999999</v>
          </cell>
        </row>
        <row r="179">
          <cell r="A179" t="str">
            <v>63111-BF_1.1.3.1</v>
          </cell>
          <cell r="B179" t="str">
            <v>QUINDIO</v>
          </cell>
          <cell r="C179">
            <v>63111</v>
          </cell>
          <cell r="D179" t="str">
            <v>BUENAVISTA - QUINDIO</v>
          </cell>
          <cell r="E179">
            <v>20</v>
          </cell>
          <cell r="F179" t="str">
            <v>BF_1.1.3.1</v>
          </cell>
          <cell r="G179" t="str">
            <v xml:space="preserve">             Transferencias Para Funcionamiento</v>
          </cell>
          <cell r="H179">
            <v>628.74800000000005</v>
          </cell>
          <cell r="I179">
            <v>707.85597299999995</v>
          </cell>
        </row>
        <row r="180">
          <cell r="A180" t="str">
            <v>63111-BF_1.1.3.1.1</v>
          </cell>
          <cell r="B180" t="str">
            <v>QUINDIO</v>
          </cell>
          <cell r="C180">
            <v>63111</v>
          </cell>
          <cell r="D180" t="str">
            <v>BUENAVISTA - QUINDIO</v>
          </cell>
          <cell r="E180">
            <v>21</v>
          </cell>
          <cell r="F180" t="str">
            <v>BF_1.1.3.1.1</v>
          </cell>
          <cell r="G180" t="str">
            <v xml:space="preserve">                 Del Nivel Nacional</v>
          </cell>
          <cell r="H180">
            <v>624.37400000000002</v>
          </cell>
          <cell r="I180">
            <v>701.32275600000003</v>
          </cell>
        </row>
        <row r="181">
          <cell r="A181" t="str">
            <v>63111-BF_1.1.3.1.1.1</v>
          </cell>
          <cell r="B181" t="str">
            <v>QUINDIO</v>
          </cell>
          <cell r="C181">
            <v>63111</v>
          </cell>
          <cell r="D181" t="str">
            <v>BUENAVISTA - QUINDIO</v>
          </cell>
          <cell r="E181">
            <v>22</v>
          </cell>
          <cell r="F181" t="str">
            <v>BF_1.1.3.1.1.1</v>
          </cell>
          <cell r="G181" t="str">
            <v xml:space="preserve">                     Sistema General de Participaciones - Propósito General - Libre destinación - Municipios categorías 4, 5 y 6</v>
          </cell>
          <cell r="H181">
            <v>624.37400000000002</v>
          </cell>
          <cell r="I181">
            <v>701.32275600000003</v>
          </cell>
        </row>
        <row r="182">
          <cell r="A182" t="str">
            <v>63111-BF_1.1.3.1.2</v>
          </cell>
          <cell r="B182" t="str">
            <v>QUINDIO</v>
          </cell>
          <cell r="C182">
            <v>63111</v>
          </cell>
          <cell r="D182" t="str">
            <v>BUENAVISTA - QUINDIO</v>
          </cell>
          <cell r="E182">
            <v>24</v>
          </cell>
          <cell r="F182" t="str">
            <v>BF_1.1.3.1.2</v>
          </cell>
          <cell r="G182" t="str">
            <v xml:space="preserve">                 Del Nivel Departamental</v>
          </cell>
          <cell r="H182">
            <v>4.3739999999999997</v>
          </cell>
          <cell r="I182">
            <v>6.5332169999999996</v>
          </cell>
        </row>
        <row r="183">
          <cell r="A183" t="str">
            <v>63111-BF_1.1.3.1.2.1</v>
          </cell>
          <cell r="B183" t="str">
            <v>QUINDIO</v>
          </cell>
          <cell r="C183">
            <v>63111</v>
          </cell>
          <cell r="D183" t="str">
            <v>BUENAVISTA - QUINDIO</v>
          </cell>
          <cell r="E183">
            <v>25</v>
          </cell>
          <cell r="F183" t="str">
            <v>BF_1.1.3.1.2.1</v>
          </cell>
          <cell r="G183" t="str">
            <v xml:space="preserve">                     De Vehículos Automotores</v>
          </cell>
          <cell r="H183">
            <v>4.3739999999999997</v>
          </cell>
          <cell r="I183">
            <v>6.5332169999999996</v>
          </cell>
        </row>
        <row r="184">
          <cell r="A184" t="str">
            <v>63111-BF_1.1.3.2</v>
          </cell>
          <cell r="B184" t="str">
            <v>QUINDIO</v>
          </cell>
          <cell r="C184">
            <v>63111</v>
          </cell>
          <cell r="D184" t="str">
            <v>BUENAVISTA - QUINDIO</v>
          </cell>
          <cell r="E184">
            <v>28</v>
          </cell>
          <cell r="F184" t="str">
            <v>BF_1.1.3.2</v>
          </cell>
          <cell r="G184" t="str">
            <v xml:space="preserve">             Transferencias Para Inversión</v>
          </cell>
          <cell r="H184">
            <v>2316.6309999999999</v>
          </cell>
          <cell r="I184">
            <v>2706.2632290000001</v>
          </cell>
        </row>
        <row r="185">
          <cell r="A185" t="str">
            <v>63111-BF_1.1.3.2.1</v>
          </cell>
          <cell r="B185" t="str">
            <v>QUINDIO</v>
          </cell>
          <cell r="C185">
            <v>63111</v>
          </cell>
          <cell r="D185" t="str">
            <v>BUENAVISTA - QUINDIO</v>
          </cell>
          <cell r="E185">
            <v>29</v>
          </cell>
          <cell r="F185" t="str">
            <v>BF_1.1.3.2.1</v>
          </cell>
          <cell r="G185" t="str">
            <v xml:space="preserve">                 Del Nivel Nacional</v>
          </cell>
          <cell r="H185">
            <v>2316.6309999999999</v>
          </cell>
          <cell r="I185">
            <v>2706.2632290000001</v>
          </cell>
        </row>
        <row r="186">
          <cell r="A186" t="str">
            <v>63111-BF_1.1.3.2.1.1</v>
          </cell>
          <cell r="B186" t="str">
            <v>QUINDIO</v>
          </cell>
          <cell r="C186">
            <v>63111</v>
          </cell>
          <cell r="D186" t="str">
            <v>BUENAVISTA - QUINDIO</v>
          </cell>
          <cell r="E186">
            <v>30</v>
          </cell>
          <cell r="F186" t="str">
            <v>BF_1.1.3.2.1.1</v>
          </cell>
          <cell r="G186" t="str">
            <v xml:space="preserve">                     Sistema General de Participaciones</v>
          </cell>
          <cell r="H186">
            <v>1720.3320000000001</v>
          </cell>
          <cell r="I186">
            <v>1842.5904849999999</v>
          </cell>
        </row>
        <row r="187">
          <cell r="A187" t="str">
            <v>63111-BF_1.1.3.2.1.1.1</v>
          </cell>
          <cell r="B187" t="str">
            <v>QUINDIO</v>
          </cell>
          <cell r="C187">
            <v>63111</v>
          </cell>
          <cell r="D187" t="str">
            <v>BUENAVISTA - QUINDIO</v>
          </cell>
          <cell r="E187">
            <v>31</v>
          </cell>
          <cell r="F187" t="str">
            <v>BF_1.1.3.2.1.1.1</v>
          </cell>
          <cell r="G187" t="str">
            <v xml:space="preserve">                         Sistema General de Participaciones - Educación</v>
          </cell>
          <cell r="H187">
            <v>99.55</v>
          </cell>
          <cell r="I187">
            <v>98.573594</v>
          </cell>
        </row>
        <row r="188">
          <cell r="A188" t="str">
            <v>63111-BF_1.1.3.2.1.1.2</v>
          </cell>
          <cell r="B188" t="str">
            <v>QUINDIO</v>
          </cell>
          <cell r="C188">
            <v>63111</v>
          </cell>
          <cell r="D188" t="str">
            <v>BUENAVISTA - QUINDIO</v>
          </cell>
          <cell r="E188">
            <v>32</v>
          </cell>
          <cell r="F188" t="str">
            <v>BF_1.1.3.2.1.1.2</v>
          </cell>
          <cell r="G188" t="str">
            <v xml:space="preserve">                         Sistema General de Participaciones - Salud</v>
          </cell>
          <cell r="H188">
            <v>567.10599999999999</v>
          </cell>
          <cell r="I188">
            <v>540.11984600000005</v>
          </cell>
        </row>
        <row r="189">
          <cell r="A189" t="str">
            <v>63111-BF_1.1.3.2.1.1.3</v>
          </cell>
          <cell r="B189" t="str">
            <v>QUINDIO</v>
          </cell>
          <cell r="C189">
            <v>63111</v>
          </cell>
          <cell r="D189" t="str">
            <v>BUENAVISTA - QUINDIO</v>
          </cell>
          <cell r="E189">
            <v>33</v>
          </cell>
          <cell r="F189" t="str">
            <v>BF_1.1.3.2.1.1.3</v>
          </cell>
          <cell r="G189" t="str">
            <v xml:space="preserve">                         Sistema General de Participaciones - Agua Potable y Saneamiento Básico</v>
          </cell>
          <cell r="H189">
            <v>227.69200000000001</v>
          </cell>
          <cell r="I189">
            <v>225.975075</v>
          </cell>
        </row>
        <row r="190">
          <cell r="A190" t="str">
            <v>63111-BF_1.1.3.2.1.1.4</v>
          </cell>
          <cell r="B190" t="str">
            <v>QUINDIO</v>
          </cell>
          <cell r="C190">
            <v>63111</v>
          </cell>
          <cell r="D190" t="str">
            <v>BUENAVISTA - QUINDIO</v>
          </cell>
          <cell r="E190">
            <v>34</v>
          </cell>
          <cell r="F190" t="str">
            <v>BF_1.1.3.2.1.1.4</v>
          </cell>
          <cell r="G190" t="str">
            <v xml:space="preserve">                         Sistema General de Participaciones - Propósito General - Forzosa Inversión</v>
          </cell>
          <cell r="H190">
            <v>810.34299999999996</v>
          </cell>
          <cell r="I190">
            <v>968.49333300000001</v>
          </cell>
        </row>
        <row r="191">
          <cell r="A191" t="str">
            <v>63111-BF_1.1.3.2.1.1.5</v>
          </cell>
          <cell r="B191" t="str">
            <v>QUINDIO</v>
          </cell>
          <cell r="C191">
            <v>63111</v>
          </cell>
          <cell r="D191" t="str">
            <v>BUENAVISTA - QUINDIO</v>
          </cell>
          <cell r="E191">
            <v>35</v>
          </cell>
          <cell r="F191" t="str">
            <v>BF_1.1.3.2.1.1.5</v>
          </cell>
          <cell r="G191" t="str">
            <v xml:space="preserve">                         Otras del Sistema General de Participaciones</v>
          </cell>
          <cell r="H191">
            <v>15.641</v>
          </cell>
          <cell r="I191">
            <v>9.4286370000000002</v>
          </cell>
        </row>
        <row r="192">
          <cell r="A192" t="str">
            <v>63111-BF_1.1.3.2.1.2</v>
          </cell>
          <cell r="B192" t="str">
            <v>QUINDIO</v>
          </cell>
          <cell r="C192">
            <v>63111</v>
          </cell>
          <cell r="D192" t="str">
            <v>BUENAVISTA - QUINDIO</v>
          </cell>
          <cell r="E192">
            <v>36</v>
          </cell>
          <cell r="F192" t="str">
            <v>BF_1.1.3.2.1.2</v>
          </cell>
          <cell r="G192" t="str">
            <v xml:space="preserve">                     FOSYGA y COLJUEGOS</v>
          </cell>
          <cell r="H192">
            <v>523.87400000000002</v>
          </cell>
          <cell r="I192">
            <v>603.57554600000003</v>
          </cell>
        </row>
        <row r="193">
          <cell r="A193" t="str">
            <v>63111-BF_1.1.3.2.1.3</v>
          </cell>
          <cell r="B193" t="str">
            <v>QUINDIO</v>
          </cell>
          <cell r="C193">
            <v>63111</v>
          </cell>
          <cell r="D193" t="str">
            <v>BUENAVISTA - QUINDIO</v>
          </cell>
          <cell r="E193">
            <v>37</v>
          </cell>
          <cell r="F193" t="str">
            <v>BF_1.1.3.2.1.3</v>
          </cell>
          <cell r="G193" t="str">
            <v xml:space="preserve">                     Otras Transferencias de la Nación</v>
          </cell>
          <cell r="H193">
            <v>72.424999999999997</v>
          </cell>
          <cell r="I193">
            <v>260.09719799999999</v>
          </cell>
        </row>
        <row r="194">
          <cell r="A194" t="str">
            <v>63111-BF_2</v>
          </cell>
          <cell r="B194" t="str">
            <v>QUINDIO</v>
          </cell>
          <cell r="C194">
            <v>63111</v>
          </cell>
          <cell r="D194" t="str">
            <v>BUENAVISTA - QUINDIO</v>
          </cell>
          <cell r="E194">
            <v>43</v>
          </cell>
          <cell r="F194" t="str">
            <v>BF_2</v>
          </cell>
          <cell r="G194" t="str">
            <v>GASTOS  TOTALES</v>
          </cell>
          <cell r="H194">
            <v>4138.5680000000002</v>
          </cell>
          <cell r="I194">
            <v>5942.2444654499996</v>
          </cell>
        </row>
        <row r="195">
          <cell r="A195" t="str">
            <v>63111-BF_2.1</v>
          </cell>
          <cell r="B195" t="str">
            <v>QUINDIO</v>
          </cell>
          <cell r="C195">
            <v>63111</v>
          </cell>
          <cell r="D195" t="str">
            <v>BUENAVISTA - QUINDIO</v>
          </cell>
          <cell r="E195">
            <v>44</v>
          </cell>
          <cell r="F195" t="str">
            <v>BF_2.1</v>
          </cell>
          <cell r="G195" t="str">
            <v xml:space="preserve">    GASTOS CORRIENTES</v>
          </cell>
          <cell r="H195">
            <v>2920.6219999999998</v>
          </cell>
          <cell r="I195">
            <v>3820.0759804499999</v>
          </cell>
        </row>
        <row r="196">
          <cell r="A196" t="str">
            <v>63111-BF_2.1.1</v>
          </cell>
          <cell r="B196" t="str">
            <v>QUINDIO</v>
          </cell>
          <cell r="C196">
            <v>63111</v>
          </cell>
          <cell r="D196" t="str">
            <v>BUENAVISTA - QUINDIO</v>
          </cell>
          <cell r="E196">
            <v>45</v>
          </cell>
          <cell r="F196" t="str">
            <v>BF_2.1.1</v>
          </cell>
          <cell r="G196" t="str">
            <v xml:space="preserve">        FUNCIONAMIENTO</v>
          </cell>
          <cell r="H196">
            <v>931.56200000000001</v>
          </cell>
          <cell r="I196">
            <v>972.04331023999998</v>
          </cell>
        </row>
        <row r="197">
          <cell r="A197" t="str">
            <v>63111-BF_2.1.1.1</v>
          </cell>
          <cell r="B197" t="str">
            <v>QUINDIO</v>
          </cell>
          <cell r="C197">
            <v>63111</v>
          </cell>
          <cell r="D197" t="str">
            <v>BUENAVISTA - QUINDIO</v>
          </cell>
          <cell r="E197">
            <v>46</v>
          </cell>
          <cell r="F197" t="str">
            <v>BF_2.1.1.1</v>
          </cell>
          <cell r="G197" t="str">
            <v xml:space="preserve">             Gastos de Personal  </v>
          </cell>
          <cell r="H197">
            <v>542.226</v>
          </cell>
          <cell r="I197">
            <v>605.77133700000002</v>
          </cell>
        </row>
        <row r="198">
          <cell r="A198" t="str">
            <v>63111-BF_2.1.1.2</v>
          </cell>
          <cell r="B198" t="str">
            <v>QUINDIO</v>
          </cell>
          <cell r="C198">
            <v>63111</v>
          </cell>
          <cell r="D198" t="str">
            <v>BUENAVISTA - QUINDIO</v>
          </cell>
          <cell r="E198">
            <v>47</v>
          </cell>
          <cell r="F198" t="str">
            <v>BF_2.1.1.2</v>
          </cell>
          <cell r="G198" t="str">
            <v xml:space="preserve">             Gastos Generales</v>
          </cell>
          <cell r="H198">
            <v>175.47499999999999</v>
          </cell>
          <cell r="I198">
            <v>138.29664524</v>
          </cell>
        </row>
        <row r="199">
          <cell r="A199" t="str">
            <v>63111-BF_2.1.1.3</v>
          </cell>
          <cell r="B199" t="str">
            <v>QUINDIO</v>
          </cell>
          <cell r="C199">
            <v>63111</v>
          </cell>
          <cell r="D199" t="str">
            <v>BUENAVISTA - QUINDIO</v>
          </cell>
          <cell r="E199">
            <v>48</v>
          </cell>
          <cell r="F199" t="str">
            <v>BF_2.1.1.3</v>
          </cell>
          <cell r="G199" t="str">
            <v xml:space="preserve">             Transferencias</v>
          </cell>
          <cell r="H199">
            <v>213.86099999999999</v>
          </cell>
          <cell r="I199">
            <v>227.97532799999999</v>
          </cell>
        </row>
        <row r="200">
          <cell r="A200" t="str">
            <v>63111-BF_2.1.1.3.1</v>
          </cell>
          <cell r="B200" t="str">
            <v>QUINDIO</v>
          </cell>
          <cell r="C200">
            <v>63111</v>
          </cell>
          <cell r="D200" t="str">
            <v>BUENAVISTA - QUINDIO</v>
          </cell>
          <cell r="E200">
            <v>49</v>
          </cell>
          <cell r="F200" t="str">
            <v>BF_2.1.1.3.1</v>
          </cell>
          <cell r="G200" t="str">
            <v xml:space="preserve">                 Pensiones</v>
          </cell>
          <cell r="H200">
            <v>17.353000000000002</v>
          </cell>
          <cell r="I200">
            <v>19.893173999999998</v>
          </cell>
        </row>
        <row r="201">
          <cell r="A201" t="str">
            <v>63111-BF_2.1.1.3.4</v>
          </cell>
          <cell r="B201" t="str">
            <v>QUINDIO</v>
          </cell>
          <cell r="C201">
            <v>63111</v>
          </cell>
          <cell r="D201" t="str">
            <v>BUENAVISTA - QUINDIO</v>
          </cell>
          <cell r="E201">
            <v>52</v>
          </cell>
          <cell r="F201" t="str">
            <v>BF_2.1.1.3.4</v>
          </cell>
          <cell r="G201" t="str">
            <v xml:space="preserve">                 A Organismos de Control</v>
          </cell>
          <cell r="H201">
            <v>196.50800000000001</v>
          </cell>
          <cell r="I201">
            <v>207.68253100000001</v>
          </cell>
        </row>
        <row r="202">
          <cell r="A202" t="str">
            <v>63111-BF_2.1.1.3.7</v>
          </cell>
          <cell r="B202" t="str">
            <v>QUINDIO</v>
          </cell>
          <cell r="C202">
            <v>63111</v>
          </cell>
          <cell r="D202" t="str">
            <v>BUENAVISTA - QUINDIO</v>
          </cell>
          <cell r="E202">
            <v>55</v>
          </cell>
          <cell r="F202" t="str">
            <v>BF_2.1.1.3.7</v>
          </cell>
          <cell r="G202" t="str">
            <v xml:space="preserve">                 Otras Transferencias</v>
          </cell>
          <cell r="H202">
            <v>0</v>
          </cell>
          <cell r="I202">
            <v>0.39962300000000001</v>
          </cell>
        </row>
        <row r="203">
          <cell r="A203" t="str">
            <v>63111-BF_2.1.2</v>
          </cell>
          <cell r="B203" t="str">
            <v>QUINDIO</v>
          </cell>
          <cell r="C203">
            <v>63111</v>
          </cell>
          <cell r="D203" t="str">
            <v>BUENAVISTA - QUINDIO</v>
          </cell>
          <cell r="E203">
            <v>59</v>
          </cell>
          <cell r="F203" t="str">
            <v>BF_2.1.2</v>
          </cell>
          <cell r="G203" t="str">
            <v xml:space="preserve">        PAGO DE BONOS PENSIONALES Y CUOTAS PARTES DE BONO PENSIONAL</v>
          </cell>
          <cell r="H203">
            <v>0</v>
          </cell>
          <cell r="I203">
            <v>17.298552999999998</v>
          </cell>
        </row>
        <row r="204">
          <cell r="A204" t="str">
            <v>63111-BF_2.1.4</v>
          </cell>
          <cell r="B204" t="str">
            <v>QUINDIO</v>
          </cell>
          <cell r="C204">
            <v>63111</v>
          </cell>
          <cell r="D204" t="str">
            <v>BUENAVISTA - QUINDIO</v>
          </cell>
          <cell r="E204">
            <v>61</v>
          </cell>
          <cell r="F204" t="str">
            <v>BF_2.1.4</v>
          </cell>
          <cell r="G204" t="str">
            <v xml:space="preserve">        GASTOS OPERATIVOS EN SECTORES SOCIALES (Remuneración al Trabajo, Prestaciones, y Subsidios en Sectores de Inversión)</v>
          </cell>
          <cell r="H204">
            <v>1989.06</v>
          </cell>
          <cell r="I204">
            <v>2830.73411721</v>
          </cell>
        </row>
        <row r="205">
          <cell r="A205" t="str">
            <v>63111-BF_2.1.4.1</v>
          </cell>
          <cell r="B205" t="str">
            <v>QUINDIO</v>
          </cell>
          <cell r="C205">
            <v>63111</v>
          </cell>
          <cell r="D205" t="str">
            <v>BUENAVISTA - QUINDIO</v>
          </cell>
          <cell r="E205">
            <v>62</v>
          </cell>
          <cell r="F205" t="str">
            <v>BF_2.1.4.1</v>
          </cell>
          <cell r="G205" t="str">
            <v xml:space="preserve">             Educación</v>
          </cell>
          <cell r="H205">
            <v>233.70599999999999</v>
          </cell>
          <cell r="I205">
            <v>233.30660399999999</v>
          </cell>
        </row>
        <row r="206">
          <cell r="A206" t="str">
            <v>63111-BF_2.1.4.2</v>
          </cell>
          <cell r="B206" t="str">
            <v>QUINDIO</v>
          </cell>
          <cell r="C206">
            <v>63111</v>
          </cell>
          <cell r="D206" t="str">
            <v>BUENAVISTA - QUINDIO</v>
          </cell>
          <cell r="E206">
            <v>63</v>
          </cell>
          <cell r="F206" t="str">
            <v>BF_2.1.4.2</v>
          </cell>
          <cell r="G206" t="str">
            <v xml:space="preserve">             Salud</v>
          </cell>
          <cell r="H206">
            <v>1362.384</v>
          </cell>
          <cell r="I206">
            <v>1542.2509239999999</v>
          </cell>
        </row>
        <row r="207">
          <cell r="A207" t="str">
            <v>63111-BF_2.1.4.3</v>
          </cell>
          <cell r="B207" t="str">
            <v>QUINDIO</v>
          </cell>
          <cell r="C207">
            <v>63111</v>
          </cell>
          <cell r="D207" t="str">
            <v>BUENAVISTA - QUINDIO</v>
          </cell>
          <cell r="E207">
            <v>64</v>
          </cell>
          <cell r="F207" t="str">
            <v>BF_2.1.4.3</v>
          </cell>
          <cell r="G207" t="str">
            <v xml:space="preserve">             Agua Potable y Saneamiento Básico</v>
          </cell>
          <cell r="H207">
            <v>83.498999999999995</v>
          </cell>
          <cell r="I207">
            <v>81.691935999999998</v>
          </cell>
        </row>
        <row r="208">
          <cell r="A208" t="str">
            <v>63111-BF_2.1.4.4</v>
          </cell>
          <cell r="B208" t="str">
            <v>QUINDIO</v>
          </cell>
          <cell r="C208">
            <v>63111</v>
          </cell>
          <cell r="D208" t="str">
            <v>BUENAVISTA - QUINDIO</v>
          </cell>
          <cell r="E208">
            <v>65</v>
          </cell>
          <cell r="F208" t="str">
            <v>BF_2.1.4.4</v>
          </cell>
          <cell r="G208" t="str">
            <v xml:space="preserve">             Vivienda</v>
          </cell>
          <cell r="H208">
            <v>79.662999999999997</v>
          </cell>
          <cell r="I208">
            <v>0</v>
          </cell>
        </row>
        <row r="209">
          <cell r="A209" t="str">
            <v>63111-BF_2.1.4.5</v>
          </cell>
          <cell r="B209" t="str">
            <v>QUINDIO</v>
          </cell>
          <cell r="C209">
            <v>63111</v>
          </cell>
          <cell r="D209" t="str">
            <v>BUENAVISTA - QUINDIO</v>
          </cell>
          <cell r="E209">
            <v>66</v>
          </cell>
          <cell r="F209" t="str">
            <v>BF_2.1.4.5</v>
          </cell>
          <cell r="G209" t="str">
            <v xml:space="preserve">             Otros Sectores</v>
          </cell>
          <cell r="H209">
            <v>229.80799999999999</v>
          </cell>
          <cell r="I209">
            <v>973.48465321000003</v>
          </cell>
        </row>
        <row r="210">
          <cell r="A210" t="str">
            <v>63111-BF_3</v>
          </cell>
          <cell r="B210" t="str">
            <v>QUINDIO</v>
          </cell>
          <cell r="C210">
            <v>63111</v>
          </cell>
          <cell r="D210" t="str">
            <v>BUENAVISTA - QUINDIO</v>
          </cell>
          <cell r="E210">
            <v>70</v>
          </cell>
          <cell r="F210" t="str">
            <v>BF_3</v>
          </cell>
          <cell r="G210" t="str">
            <v>DÉFICIT O AHORRO CORRIENTE</v>
          </cell>
          <cell r="H210">
            <v>807.58299999999997</v>
          </cell>
          <cell r="I210">
            <v>509.83695454999997</v>
          </cell>
        </row>
        <row r="211">
          <cell r="A211" t="str">
            <v>63111-BF_4</v>
          </cell>
          <cell r="B211" t="str">
            <v>QUINDIO</v>
          </cell>
          <cell r="C211">
            <v>63111</v>
          </cell>
          <cell r="D211" t="str">
            <v>BUENAVISTA - QUINDIO</v>
          </cell>
          <cell r="E211">
            <v>71</v>
          </cell>
          <cell r="F211" t="str">
            <v>BF_4</v>
          </cell>
          <cell r="G211" t="str">
            <v>INGRESOS DE CAPITAL</v>
          </cell>
          <cell r="H211">
            <v>3053.64</v>
          </cell>
          <cell r="I211">
            <v>1734.165477</v>
          </cell>
        </row>
        <row r="212">
          <cell r="A212" t="str">
            <v>63111-BF_4.1</v>
          </cell>
          <cell r="B212" t="str">
            <v>QUINDIO</v>
          </cell>
          <cell r="C212">
            <v>63111</v>
          </cell>
          <cell r="D212" t="str">
            <v>BUENAVISTA - QUINDIO</v>
          </cell>
          <cell r="E212">
            <v>72</v>
          </cell>
          <cell r="F212" t="str">
            <v>BF_4.1</v>
          </cell>
          <cell r="G212" t="str">
            <v xml:space="preserve">    Cofinanciación</v>
          </cell>
          <cell r="H212">
            <v>323.30099999999999</v>
          </cell>
          <cell r="I212">
            <v>273.86922600000003</v>
          </cell>
        </row>
        <row r="213">
          <cell r="A213" t="str">
            <v>63111-BF_4.4</v>
          </cell>
          <cell r="B213" t="str">
            <v>QUINDIO</v>
          </cell>
          <cell r="C213">
            <v>63111</v>
          </cell>
          <cell r="D213" t="str">
            <v>BUENAVISTA - QUINDIO</v>
          </cell>
          <cell r="E213">
            <v>75</v>
          </cell>
          <cell r="F213" t="str">
            <v>BF_4.4</v>
          </cell>
          <cell r="G213" t="str">
            <v xml:space="preserve">    Rendimientos Financieros</v>
          </cell>
          <cell r="H213">
            <v>14.722</v>
          </cell>
          <cell r="I213">
            <v>12.600463</v>
          </cell>
        </row>
        <row r="214">
          <cell r="A214" t="str">
            <v>63111-BF_4.5</v>
          </cell>
          <cell r="B214" t="str">
            <v>QUINDIO</v>
          </cell>
          <cell r="C214">
            <v>63111</v>
          </cell>
          <cell r="D214" t="str">
            <v>BUENAVISTA - QUINDIO</v>
          </cell>
          <cell r="E214">
            <v>76</v>
          </cell>
          <cell r="F214" t="str">
            <v>BF_4.5</v>
          </cell>
          <cell r="G214" t="str">
            <v xml:space="preserve">    Excedentes Financieros</v>
          </cell>
          <cell r="H214">
            <v>2.3199999999999998</v>
          </cell>
          <cell r="I214">
            <v>1.8628629999999999</v>
          </cell>
        </row>
        <row r="215">
          <cell r="A215" t="str">
            <v>63111-BF_4.6</v>
          </cell>
          <cell r="B215" t="str">
            <v>QUINDIO</v>
          </cell>
          <cell r="C215">
            <v>63111</v>
          </cell>
          <cell r="D215" t="str">
            <v>BUENAVISTA - QUINDIO</v>
          </cell>
          <cell r="E215">
            <v>77</v>
          </cell>
          <cell r="F215" t="str">
            <v>BF_4.6</v>
          </cell>
          <cell r="G215" t="str">
            <v xml:space="preserve">    Desahorro FONPET</v>
          </cell>
          <cell r="H215">
            <v>2694.1729999999998</v>
          </cell>
          <cell r="I215">
            <v>1445.032925</v>
          </cell>
        </row>
        <row r="216">
          <cell r="A216" t="str">
            <v>63111-BF_4.6.3</v>
          </cell>
          <cell r="B216" t="str">
            <v>QUINDIO</v>
          </cell>
          <cell r="C216">
            <v>63111</v>
          </cell>
          <cell r="D216" t="str">
            <v>BUENAVISTA - QUINDIO</v>
          </cell>
          <cell r="E216">
            <v>80</v>
          </cell>
          <cell r="F216" t="str">
            <v>BF_4.6.3</v>
          </cell>
          <cell r="G216" t="str">
            <v xml:space="preserve">    Propósito General</v>
          </cell>
          <cell r="H216">
            <v>2666.085</v>
          </cell>
          <cell r="I216">
            <v>1434.4861579999999</v>
          </cell>
        </row>
        <row r="217">
          <cell r="A217" t="str">
            <v>63111-BF_4.6.4</v>
          </cell>
          <cell r="B217" t="str">
            <v>QUINDIO</v>
          </cell>
          <cell r="C217">
            <v>63111</v>
          </cell>
          <cell r="D217" t="str">
            <v>BUENAVISTA - QUINDIO</v>
          </cell>
          <cell r="E217">
            <v>81</v>
          </cell>
          <cell r="F217" t="str">
            <v>BF_4.6.4</v>
          </cell>
          <cell r="G217" t="str">
            <v xml:space="preserve">    Otros Desahorros y Retiros (Cuotas partes, Bonos y Devoluciones)</v>
          </cell>
          <cell r="H217">
            <v>28.088000000000001</v>
          </cell>
          <cell r="I217">
            <v>10.546766999999999</v>
          </cell>
        </row>
        <row r="218">
          <cell r="A218" t="str">
            <v>63111-BF_4.7</v>
          </cell>
          <cell r="B218" t="str">
            <v>QUINDIO</v>
          </cell>
          <cell r="C218">
            <v>63111</v>
          </cell>
          <cell r="D218" t="str">
            <v>BUENAVISTA - QUINDIO</v>
          </cell>
          <cell r="E218">
            <v>82</v>
          </cell>
          <cell r="F218" t="str">
            <v>BF_4.7</v>
          </cell>
          <cell r="G218" t="str">
            <v xml:space="preserve">    Otros Recursos de Capital (Donaciones, Aprovechamientos y Otros)</v>
          </cell>
          <cell r="H218">
            <v>19.123999999999999</v>
          </cell>
          <cell r="I218">
            <v>0.8</v>
          </cell>
        </row>
        <row r="219">
          <cell r="A219" t="str">
            <v>63111-BF_5</v>
          </cell>
          <cell r="B219" t="str">
            <v>QUINDIO</v>
          </cell>
          <cell r="C219">
            <v>63111</v>
          </cell>
          <cell r="D219" t="str">
            <v>BUENAVISTA - QUINDIO</v>
          </cell>
          <cell r="E219">
            <v>83</v>
          </cell>
          <cell r="F219" t="str">
            <v>BF_5</v>
          </cell>
          <cell r="G219" t="str">
            <v>GASTOS DE CAPITAL</v>
          </cell>
          <cell r="H219">
            <v>1217.9459999999999</v>
          </cell>
          <cell r="I219">
            <v>2122.1684850000001</v>
          </cell>
        </row>
        <row r="220">
          <cell r="A220" t="str">
            <v>63111-BF_5.1</v>
          </cell>
          <cell r="B220" t="str">
            <v>QUINDIO</v>
          </cell>
          <cell r="C220">
            <v>63111</v>
          </cell>
          <cell r="D220" t="str">
            <v>BUENAVISTA - QUINDIO</v>
          </cell>
          <cell r="E220">
            <v>84</v>
          </cell>
          <cell r="F220" t="str">
            <v>BF_5.1</v>
          </cell>
          <cell r="G220" t="str">
            <v xml:space="preserve">    Formación Bruta de Capital (Construcción, Reparación, Mantenimiento, Preinversión, Otros)</v>
          </cell>
          <cell r="H220">
            <v>1200.575</v>
          </cell>
          <cell r="I220">
            <v>2117.2019409999998</v>
          </cell>
        </row>
        <row r="221">
          <cell r="A221" t="str">
            <v>63111-BF_5.1.1</v>
          </cell>
          <cell r="B221" t="str">
            <v>QUINDIO</v>
          </cell>
          <cell r="C221">
            <v>63111</v>
          </cell>
          <cell r="D221" t="str">
            <v>BUENAVISTA - QUINDIO</v>
          </cell>
          <cell r="E221">
            <v>85</v>
          </cell>
          <cell r="F221" t="str">
            <v>BF_5.1.1</v>
          </cell>
          <cell r="G221" t="str">
            <v xml:space="preserve">        Educación</v>
          </cell>
          <cell r="H221">
            <v>0</v>
          </cell>
          <cell r="I221">
            <v>4.1211520000000004</v>
          </cell>
        </row>
        <row r="222">
          <cell r="A222" t="str">
            <v>63111-BF_5.1.2</v>
          </cell>
          <cell r="B222" t="str">
            <v>QUINDIO</v>
          </cell>
          <cell r="C222">
            <v>63111</v>
          </cell>
          <cell r="D222" t="str">
            <v>BUENAVISTA - QUINDIO</v>
          </cell>
          <cell r="E222">
            <v>86</v>
          </cell>
          <cell r="F222" t="str">
            <v>BF_5.1.2</v>
          </cell>
          <cell r="G222" t="str">
            <v xml:space="preserve">        Salud</v>
          </cell>
          <cell r="H222">
            <v>0</v>
          </cell>
          <cell r="I222">
            <v>140.5</v>
          </cell>
        </row>
        <row r="223">
          <cell r="A223" t="str">
            <v>63111-BF_5.1.3</v>
          </cell>
          <cell r="B223" t="str">
            <v>QUINDIO</v>
          </cell>
          <cell r="C223">
            <v>63111</v>
          </cell>
          <cell r="D223" t="str">
            <v>BUENAVISTA - QUINDIO</v>
          </cell>
          <cell r="E223">
            <v>87</v>
          </cell>
          <cell r="F223" t="str">
            <v>BF_5.1.3</v>
          </cell>
          <cell r="G223" t="str">
            <v xml:space="preserve">        Agua Potable</v>
          </cell>
          <cell r="H223">
            <v>140.94800000000001</v>
          </cell>
          <cell r="I223">
            <v>137.77943300000001</v>
          </cell>
        </row>
        <row r="224">
          <cell r="A224" t="str">
            <v>63111-BF_5.1.5</v>
          </cell>
          <cell r="B224" t="str">
            <v>QUINDIO</v>
          </cell>
          <cell r="C224">
            <v>63111</v>
          </cell>
          <cell r="D224" t="str">
            <v>BUENAVISTA - QUINDIO</v>
          </cell>
          <cell r="E224">
            <v>89</v>
          </cell>
          <cell r="F224" t="str">
            <v>BF_5.1.5</v>
          </cell>
          <cell r="G224" t="str">
            <v xml:space="preserve">        Vías</v>
          </cell>
          <cell r="H224">
            <v>173.815</v>
          </cell>
          <cell r="I224">
            <v>562.76998200000003</v>
          </cell>
        </row>
        <row r="225">
          <cell r="A225" t="str">
            <v>63111-BF_5.1.6</v>
          </cell>
          <cell r="B225" t="str">
            <v>QUINDIO</v>
          </cell>
          <cell r="C225">
            <v>63111</v>
          </cell>
          <cell r="D225" t="str">
            <v>BUENAVISTA - QUINDIO</v>
          </cell>
          <cell r="E225">
            <v>90</v>
          </cell>
          <cell r="F225" t="str">
            <v>BF_5.1.6</v>
          </cell>
          <cell r="G225" t="str">
            <v xml:space="preserve">        Otros Sectores</v>
          </cell>
          <cell r="H225">
            <v>885.81200000000001</v>
          </cell>
          <cell r="I225">
            <v>1272.0313739999999</v>
          </cell>
        </row>
        <row r="226">
          <cell r="A226" t="str">
            <v>63111-BF_5.2</v>
          </cell>
          <cell r="B226" t="str">
            <v>QUINDIO</v>
          </cell>
          <cell r="C226">
            <v>63111</v>
          </cell>
          <cell r="D226" t="str">
            <v>BUENAVISTA - QUINDIO</v>
          </cell>
          <cell r="E226">
            <v>91</v>
          </cell>
          <cell r="F226" t="str">
            <v>BF_5.2</v>
          </cell>
          <cell r="G226" t="str">
            <v xml:space="preserve">    Déficit Fiscal de Vigencias Anteriores por Inversión</v>
          </cell>
          <cell r="H226">
            <v>17.370999999999999</v>
          </cell>
          <cell r="I226">
            <v>4.9665439999999998</v>
          </cell>
        </row>
        <row r="227">
          <cell r="A227" t="str">
            <v>63111-BF_6</v>
          </cell>
          <cell r="B227" t="str">
            <v>QUINDIO</v>
          </cell>
          <cell r="C227">
            <v>63111</v>
          </cell>
          <cell r="D227" t="str">
            <v>BUENAVISTA - QUINDIO</v>
          </cell>
          <cell r="E227">
            <v>92</v>
          </cell>
          <cell r="F227" t="str">
            <v>BF_6</v>
          </cell>
          <cell r="G227" t="str">
            <v>DÉFICIT O SUPERÁVIT DE CAPITAL</v>
          </cell>
          <cell r="H227">
            <v>1835.694</v>
          </cell>
          <cell r="I227">
            <v>-388.00300800000002</v>
          </cell>
        </row>
        <row r="228">
          <cell r="A228" t="str">
            <v>63111-BF_7</v>
          </cell>
          <cell r="B228" t="str">
            <v>QUINDIO</v>
          </cell>
          <cell r="C228">
            <v>63111</v>
          </cell>
          <cell r="D228" t="str">
            <v>BUENAVISTA - QUINDIO</v>
          </cell>
          <cell r="E228">
            <v>93</v>
          </cell>
          <cell r="F228" t="str">
            <v>BF_7</v>
          </cell>
          <cell r="G228" t="str">
            <v>DÉFICIT O SUPERÁVIT TOTAL</v>
          </cell>
          <cell r="H228">
            <v>2643.277</v>
          </cell>
          <cell r="I228">
            <v>121.83394654999999</v>
          </cell>
        </row>
        <row r="229">
          <cell r="A229" t="str">
            <v>63111-BF_8</v>
          </cell>
          <cell r="B229" t="str">
            <v>QUINDIO</v>
          </cell>
          <cell r="C229">
            <v>63111</v>
          </cell>
          <cell r="D229" t="str">
            <v>BUENAVISTA - QUINDIO</v>
          </cell>
          <cell r="E229">
            <v>94</v>
          </cell>
          <cell r="F229" t="str">
            <v>BF_8</v>
          </cell>
          <cell r="G229" t="str">
            <v>FINANCIACIÓN</v>
          </cell>
          <cell r="H229">
            <v>757.56500000000005</v>
          </cell>
          <cell r="I229">
            <v>3413.4114669999999</v>
          </cell>
        </row>
        <row r="230">
          <cell r="A230" t="str">
            <v>63111-BF_8.2</v>
          </cell>
          <cell r="B230" t="str">
            <v>QUINDIO</v>
          </cell>
          <cell r="C230">
            <v>63111</v>
          </cell>
          <cell r="D230" t="str">
            <v>BUENAVISTA - QUINDIO</v>
          </cell>
          <cell r="E230">
            <v>102</v>
          </cell>
          <cell r="F230" t="str">
            <v>BF_8.2</v>
          </cell>
          <cell r="G230" t="str">
            <v xml:space="preserve">    Recursos del Balance (Superávit Fiscal, Cancelación de Reservas)</v>
          </cell>
          <cell r="H230">
            <v>748.16800000000001</v>
          </cell>
          <cell r="I230">
            <v>3407.6591669999998</v>
          </cell>
        </row>
        <row r="231">
          <cell r="A231" t="str">
            <v>63111-BF_8.3</v>
          </cell>
          <cell r="B231" t="str">
            <v>QUINDIO</v>
          </cell>
          <cell r="C231">
            <v>63111</v>
          </cell>
          <cell r="D231" t="str">
            <v>BUENAVISTA - QUINDIO</v>
          </cell>
          <cell r="E231">
            <v>103</v>
          </cell>
          <cell r="F231" t="str">
            <v>BF_8.3</v>
          </cell>
          <cell r="G231" t="str">
            <v xml:space="preserve">    Venta de Activos</v>
          </cell>
          <cell r="H231">
            <v>9.3970000000000002</v>
          </cell>
          <cell r="I231">
            <v>5.7523</v>
          </cell>
        </row>
        <row r="232">
          <cell r="A232" t="str">
            <v>63111-BF_9.1</v>
          </cell>
          <cell r="B232" t="str">
            <v>QUINDIO</v>
          </cell>
          <cell r="C232">
            <v>63111</v>
          </cell>
          <cell r="D232" t="str">
            <v>BUENAVISTA - QUINDIO</v>
          </cell>
          <cell r="E232">
            <v>107</v>
          </cell>
          <cell r="F232" t="str">
            <v>BF_9.1</v>
          </cell>
          <cell r="G232" t="str">
            <v xml:space="preserve">    DÉFICIT O SUPERÁVIT PRIMARIO</v>
          </cell>
          <cell r="H232">
            <v>3391.4450000000002</v>
          </cell>
          <cell r="I232">
            <v>3529.4931135500001</v>
          </cell>
        </row>
        <row r="233">
          <cell r="A233" t="str">
            <v>63111-BF_10.1</v>
          </cell>
          <cell r="B233" t="str">
            <v>QUINDIO</v>
          </cell>
          <cell r="C233">
            <v>63111</v>
          </cell>
          <cell r="D233" t="str">
            <v>BUENAVISTA - QUINDIO</v>
          </cell>
          <cell r="E233">
            <v>110</v>
          </cell>
          <cell r="F233" t="str">
            <v>BF_10.1</v>
          </cell>
          <cell r="G233" t="str">
            <v xml:space="preserve">    INGRESOS TOTALES SIN INCLUIR RECURSOS PARA RESERVAS PRESUPUESTALES</v>
          </cell>
          <cell r="H233">
            <v>7539.41</v>
          </cell>
          <cell r="I233">
            <v>9477.4898790000007</v>
          </cell>
        </row>
        <row r="234">
          <cell r="A234" t="str">
            <v>63111-BF_10.2</v>
          </cell>
          <cell r="B234" t="str">
            <v>QUINDIO</v>
          </cell>
          <cell r="C234">
            <v>63111</v>
          </cell>
          <cell r="D234" t="str">
            <v>BUENAVISTA - QUINDIO</v>
          </cell>
          <cell r="E234">
            <v>111</v>
          </cell>
          <cell r="F234" t="str">
            <v>BF_10.2</v>
          </cell>
          <cell r="G234" t="str">
            <v xml:space="preserve">    GASTOS TOTALES SIN INCLUIR GASTOS POR RESERVAS PRESUPUESTALES</v>
          </cell>
          <cell r="H234">
            <v>4138.5680000000002</v>
          </cell>
          <cell r="I234">
            <v>5942.2444654499996</v>
          </cell>
        </row>
        <row r="235">
          <cell r="A235" t="str">
            <v>63111-BF_10.3</v>
          </cell>
          <cell r="B235" t="str">
            <v>QUINDIO</v>
          </cell>
          <cell r="C235">
            <v>63111</v>
          </cell>
          <cell r="D235" t="str">
            <v>BUENAVISTA - QUINDIO</v>
          </cell>
          <cell r="E235">
            <v>112</v>
          </cell>
          <cell r="F235" t="str">
            <v>BF_10.3</v>
          </cell>
          <cell r="G235" t="str">
            <v xml:space="preserve">    DÉFICIT O SUPERÁVIT PRESUPUESTAL SIN INCLUIR RESERVAS PRESUPUESTALES</v>
          </cell>
          <cell r="H235">
            <v>3400.8420000000001</v>
          </cell>
          <cell r="I235">
            <v>3535.2454135500002</v>
          </cell>
        </row>
        <row r="236">
          <cell r="A236" t="str">
            <v>63111-BF_12.1</v>
          </cell>
          <cell r="B236" t="str">
            <v>QUINDIO</v>
          </cell>
          <cell r="C236">
            <v>63111</v>
          </cell>
          <cell r="D236" t="str">
            <v>BUENAVISTA - QUINDIO</v>
          </cell>
          <cell r="E236">
            <v>114</v>
          </cell>
          <cell r="F236" t="str">
            <v>BF_12.1</v>
          </cell>
          <cell r="G236" t="str">
            <v xml:space="preserve">    INGRESOS TOTALES</v>
          </cell>
          <cell r="H236">
            <v>7569.5940000000001</v>
          </cell>
          <cell r="I236">
            <v>9478.1609669999998</v>
          </cell>
        </row>
        <row r="237">
          <cell r="A237" t="str">
            <v>63111-BF_12.2</v>
          </cell>
          <cell r="B237" t="str">
            <v>QUINDIO</v>
          </cell>
          <cell r="C237">
            <v>63111</v>
          </cell>
          <cell r="D237" t="str">
            <v>BUENAVISTA - QUINDIO</v>
          </cell>
          <cell r="E237">
            <v>115</v>
          </cell>
          <cell r="F237" t="str">
            <v>BF_12.2</v>
          </cell>
          <cell r="G237" t="str">
            <v xml:space="preserve">    GASTOS TOTALES</v>
          </cell>
          <cell r="H237">
            <v>4168.7520000000004</v>
          </cell>
          <cell r="I237">
            <v>5942.9155534499996</v>
          </cell>
        </row>
        <row r="238">
          <cell r="A238" t="str">
            <v>63111-BF_12.3</v>
          </cell>
          <cell r="B238" t="str">
            <v>QUINDIO</v>
          </cell>
          <cell r="C238">
            <v>63111</v>
          </cell>
          <cell r="D238" t="str">
            <v>BUENAVISTA - QUINDIO</v>
          </cell>
          <cell r="E238">
            <v>116</v>
          </cell>
          <cell r="F238" t="str">
            <v>BF_12.3</v>
          </cell>
          <cell r="G238" t="str">
            <v xml:space="preserve">    DÉFICIT O SUPERÁVIT PRESUPUESTAL</v>
          </cell>
          <cell r="H238">
            <v>3400.8420000000001</v>
          </cell>
          <cell r="I238">
            <v>3535.2454135500002</v>
          </cell>
        </row>
        <row r="239">
          <cell r="A239" t="str">
            <v>63111-BF_13.1</v>
          </cell>
          <cell r="B239" t="str">
            <v>QUINDIO</v>
          </cell>
          <cell r="C239">
            <v>63111</v>
          </cell>
          <cell r="D239" t="str">
            <v>BUENAVISTA - QUINDIO</v>
          </cell>
          <cell r="E239">
            <v>118</v>
          </cell>
          <cell r="F239" t="str">
            <v>BF_13.1</v>
          </cell>
          <cell r="G239" t="str">
            <v xml:space="preserve">    Recursos que Financian Reservas Presupuestales Excepcionales (Ley 819/2003)</v>
          </cell>
          <cell r="H239">
            <v>30.184000000000001</v>
          </cell>
          <cell r="I239">
            <v>0.67108800000000002</v>
          </cell>
        </row>
        <row r="240">
          <cell r="A240" t="str">
            <v>63111-BF_13.3</v>
          </cell>
          <cell r="B240" t="str">
            <v>QUINDIO</v>
          </cell>
          <cell r="C240">
            <v>63111</v>
          </cell>
          <cell r="D240" t="str">
            <v>BUENAVISTA - QUINDIO</v>
          </cell>
          <cell r="E240">
            <v>120</v>
          </cell>
          <cell r="F240" t="str">
            <v>BF_13.3</v>
          </cell>
          <cell r="G240" t="str">
            <v xml:space="preserve">    Reservas Presupuestales de Inversión Vigencia Anterior</v>
          </cell>
          <cell r="H240">
            <v>30.184000000000001</v>
          </cell>
          <cell r="I240">
            <v>0.67108800000000002</v>
          </cell>
        </row>
        <row r="241">
          <cell r="A241" t="str">
            <v>63130-BF_1</v>
          </cell>
          <cell r="B241" t="str">
            <v>QUINDIO</v>
          </cell>
          <cell r="C241">
            <v>63130</v>
          </cell>
          <cell r="D241" t="str">
            <v>CALARCÁ</v>
          </cell>
          <cell r="E241">
            <v>1</v>
          </cell>
          <cell r="F241" t="str">
            <v>BF_1</v>
          </cell>
          <cell r="G241" t="str">
            <v>INGRESOS TOTALES</v>
          </cell>
          <cell r="H241">
            <v>50386.408000000003</v>
          </cell>
          <cell r="I241">
            <v>55324.397127999997</v>
          </cell>
        </row>
        <row r="242">
          <cell r="A242" t="str">
            <v>63130-BF_1.1</v>
          </cell>
          <cell r="B242" t="str">
            <v>QUINDIO</v>
          </cell>
          <cell r="C242">
            <v>63130</v>
          </cell>
          <cell r="D242" t="str">
            <v>CALARCÁ</v>
          </cell>
          <cell r="E242">
            <v>2</v>
          </cell>
          <cell r="F242" t="str">
            <v>BF_1.1</v>
          </cell>
          <cell r="G242" t="str">
            <v xml:space="preserve">    INGRESOS CORRIENTES</v>
          </cell>
          <cell r="H242">
            <v>46005.828999999998</v>
          </cell>
          <cell r="I242">
            <v>48541.271855999999</v>
          </cell>
        </row>
        <row r="243">
          <cell r="A243" t="str">
            <v>63130-BF_1.1.1</v>
          </cell>
          <cell r="B243" t="str">
            <v>QUINDIO</v>
          </cell>
          <cell r="C243">
            <v>63130</v>
          </cell>
          <cell r="D243" t="str">
            <v>CALARCÁ</v>
          </cell>
          <cell r="E243">
            <v>3</v>
          </cell>
          <cell r="F243" t="str">
            <v>BF_1.1.1</v>
          </cell>
          <cell r="G243" t="str">
            <v xml:space="preserve">        TRIBUTARIOS</v>
          </cell>
          <cell r="H243">
            <v>13162.862999999999</v>
          </cell>
          <cell r="I243">
            <v>16118.874341000001</v>
          </cell>
        </row>
        <row r="244">
          <cell r="A244" t="str">
            <v>63130-BF_1.1.1.2</v>
          </cell>
          <cell r="B244" t="str">
            <v>QUINDIO</v>
          </cell>
          <cell r="C244">
            <v>63130</v>
          </cell>
          <cell r="D244" t="str">
            <v>CALARCÁ</v>
          </cell>
          <cell r="E244">
            <v>5</v>
          </cell>
          <cell r="F244" t="str">
            <v>BF_1.1.1.2</v>
          </cell>
          <cell r="G244" t="str">
            <v xml:space="preserve">             Impuesto Predial Unificado</v>
          </cell>
          <cell r="H244">
            <v>3647.4090000000001</v>
          </cell>
          <cell r="I244">
            <v>3236.3276380000002</v>
          </cell>
        </row>
        <row r="245">
          <cell r="A245" t="str">
            <v>63130-BF_1.1.1.3</v>
          </cell>
          <cell r="B245" t="str">
            <v>QUINDIO</v>
          </cell>
          <cell r="C245">
            <v>63130</v>
          </cell>
          <cell r="D245" t="str">
            <v>CALARCÁ</v>
          </cell>
          <cell r="E245">
            <v>6</v>
          </cell>
          <cell r="F245" t="str">
            <v>BF_1.1.1.3</v>
          </cell>
          <cell r="G245" t="str">
            <v xml:space="preserve">             Impuesto de Industria y Comercio</v>
          </cell>
          <cell r="H245">
            <v>3485.085</v>
          </cell>
          <cell r="I245">
            <v>5527.2383650000002</v>
          </cell>
        </row>
        <row r="246">
          <cell r="A246" t="str">
            <v>63130-BF_1.1.1.8</v>
          </cell>
          <cell r="B246" t="str">
            <v>QUINDIO</v>
          </cell>
          <cell r="C246">
            <v>63130</v>
          </cell>
          <cell r="D246" t="str">
            <v>CALARCÁ</v>
          </cell>
          <cell r="E246">
            <v>11</v>
          </cell>
          <cell r="F246" t="str">
            <v>BF_1.1.1.8</v>
          </cell>
          <cell r="G246" t="str">
            <v xml:space="preserve">             Sobretasa Consumo Gasolina Motor</v>
          </cell>
          <cell r="H246">
            <v>2492.4839999999999</v>
          </cell>
          <cell r="I246">
            <v>2584.116</v>
          </cell>
        </row>
        <row r="247">
          <cell r="A247" t="str">
            <v>63130-BF_1.1.1.9</v>
          </cell>
          <cell r="B247" t="str">
            <v>QUINDIO</v>
          </cell>
          <cell r="C247">
            <v>63130</v>
          </cell>
          <cell r="D247" t="str">
            <v>CALARCÁ</v>
          </cell>
          <cell r="E247">
            <v>12</v>
          </cell>
          <cell r="F247" t="str">
            <v>BF_1.1.1.9</v>
          </cell>
          <cell r="G247" t="str">
            <v xml:space="preserve">             Estampillas</v>
          </cell>
          <cell r="H247">
            <v>589.16700000000003</v>
          </cell>
          <cell r="I247">
            <v>848.34822499999996</v>
          </cell>
        </row>
        <row r="248">
          <cell r="A248" t="str">
            <v>63130-BF_1.1.1.12</v>
          </cell>
          <cell r="B248" t="str">
            <v>QUINDIO</v>
          </cell>
          <cell r="C248">
            <v>63130</v>
          </cell>
          <cell r="D248" t="str">
            <v>CALARCÁ</v>
          </cell>
          <cell r="E248">
            <v>15</v>
          </cell>
          <cell r="F248" t="str">
            <v>BF_1.1.1.12</v>
          </cell>
          <cell r="G248" t="str">
            <v xml:space="preserve">             Otros Ingresos Tributarios</v>
          </cell>
          <cell r="H248">
            <v>2948.7179999999998</v>
          </cell>
          <cell r="I248">
            <v>3922.8441130000001</v>
          </cell>
        </row>
        <row r="249">
          <cell r="A249" t="str">
            <v>63130-BF_1.1.2</v>
          </cell>
          <cell r="B249" t="str">
            <v>QUINDIO</v>
          </cell>
          <cell r="C249">
            <v>63130</v>
          </cell>
          <cell r="D249" t="str">
            <v>CALARCÁ</v>
          </cell>
          <cell r="E249">
            <v>16</v>
          </cell>
          <cell r="F249" t="str">
            <v>BF_1.1.2</v>
          </cell>
          <cell r="G249" t="str">
            <v xml:space="preserve">        NO TRIBUTARIOS</v>
          </cell>
          <cell r="H249">
            <v>1407.7439999999999</v>
          </cell>
          <cell r="I249">
            <v>1410.6339840000001</v>
          </cell>
        </row>
        <row r="250">
          <cell r="A250" t="str">
            <v>63130-BF_1.1.2.1</v>
          </cell>
          <cell r="B250" t="str">
            <v>QUINDIO</v>
          </cell>
          <cell r="C250">
            <v>63130</v>
          </cell>
          <cell r="D250" t="str">
            <v>CALARCÁ</v>
          </cell>
          <cell r="E250">
            <v>17</v>
          </cell>
          <cell r="F250" t="str">
            <v>BF_1.1.2.1</v>
          </cell>
          <cell r="G250" t="str">
            <v xml:space="preserve">             Ingresos de la Propiedad: Tasas, Derechos, Multas y Sanciones</v>
          </cell>
          <cell r="H250">
            <v>1407.7439999999999</v>
          </cell>
          <cell r="I250">
            <v>1410.6339840000001</v>
          </cell>
        </row>
        <row r="251">
          <cell r="A251" t="str">
            <v>63130-BF_1.1.3</v>
          </cell>
          <cell r="B251" t="str">
            <v>QUINDIO</v>
          </cell>
          <cell r="C251">
            <v>63130</v>
          </cell>
          <cell r="D251" t="str">
            <v>CALARCÁ</v>
          </cell>
          <cell r="E251">
            <v>19</v>
          </cell>
          <cell r="F251" t="str">
            <v>BF_1.1.3</v>
          </cell>
          <cell r="G251" t="str">
            <v xml:space="preserve">        TRANSFERENCIAS</v>
          </cell>
          <cell r="H251">
            <v>31435.222000000002</v>
          </cell>
          <cell r="I251">
            <v>31011.763531000001</v>
          </cell>
        </row>
        <row r="252">
          <cell r="A252" t="str">
            <v>63130-BF_1.1.3.1</v>
          </cell>
          <cell r="B252" t="str">
            <v>QUINDIO</v>
          </cell>
          <cell r="C252">
            <v>63130</v>
          </cell>
          <cell r="D252" t="str">
            <v>CALARCÁ</v>
          </cell>
          <cell r="E252">
            <v>20</v>
          </cell>
          <cell r="F252" t="str">
            <v>BF_1.1.3.1</v>
          </cell>
          <cell r="G252" t="str">
            <v xml:space="preserve">             Transferencias Para Funcionamiento</v>
          </cell>
          <cell r="H252">
            <v>1695.674</v>
          </cell>
          <cell r="I252">
            <v>1703.4090610000001</v>
          </cell>
        </row>
        <row r="253">
          <cell r="A253" t="str">
            <v>63130-BF_1.1.3.1.1</v>
          </cell>
          <cell r="B253" t="str">
            <v>QUINDIO</v>
          </cell>
          <cell r="C253">
            <v>63130</v>
          </cell>
          <cell r="D253" t="str">
            <v>CALARCÁ</v>
          </cell>
          <cell r="E253">
            <v>21</v>
          </cell>
          <cell r="F253" t="str">
            <v>BF_1.1.3.1.1</v>
          </cell>
          <cell r="G253" t="str">
            <v xml:space="preserve">                 Del Nivel Nacional</v>
          </cell>
          <cell r="H253">
            <v>1431.183</v>
          </cell>
          <cell r="I253">
            <v>1434.0096960000001</v>
          </cell>
        </row>
        <row r="254">
          <cell r="A254" t="str">
            <v>63130-BF_1.1.3.1.1.1</v>
          </cell>
          <cell r="B254" t="str">
            <v>QUINDIO</v>
          </cell>
          <cell r="C254">
            <v>63130</v>
          </cell>
          <cell r="D254" t="str">
            <v>CALARCÁ</v>
          </cell>
          <cell r="E254">
            <v>22</v>
          </cell>
          <cell r="F254" t="str">
            <v>BF_1.1.3.1.1.1</v>
          </cell>
          <cell r="G254" t="str">
            <v xml:space="preserve">                     Sistema General de Participaciones - Propósito General - Libre destinación - Municipios categorías 4, 5 y 6</v>
          </cell>
          <cell r="H254">
            <v>1431.183</v>
          </cell>
          <cell r="I254">
            <v>1434.0096960000001</v>
          </cell>
        </row>
        <row r="255">
          <cell r="A255" t="str">
            <v>63130-BF_1.1.3.1.2</v>
          </cell>
          <cell r="B255" t="str">
            <v>QUINDIO</v>
          </cell>
          <cell r="C255">
            <v>63130</v>
          </cell>
          <cell r="D255" t="str">
            <v>CALARCÁ</v>
          </cell>
          <cell r="E255">
            <v>24</v>
          </cell>
          <cell r="F255" t="str">
            <v>BF_1.1.3.1.2</v>
          </cell>
          <cell r="G255" t="str">
            <v xml:space="preserve">                 Del Nivel Departamental</v>
          </cell>
          <cell r="H255">
            <v>264.49099999999999</v>
          </cell>
          <cell r="I255">
            <v>269.39936499999999</v>
          </cell>
        </row>
        <row r="256">
          <cell r="A256" t="str">
            <v>63130-BF_1.1.3.1.2.1</v>
          </cell>
          <cell r="B256" t="str">
            <v>QUINDIO</v>
          </cell>
          <cell r="C256">
            <v>63130</v>
          </cell>
          <cell r="D256" t="str">
            <v>CALARCÁ</v>
          </cell>
          <cell r="E256">
            <v>25</v>
          </cell>
          <cell r="F256" t="str">
            <v>BF_1.1.3.1.2.1</v>
          </cell>
          <cell r="G256" t="str">
            <v xml:space="preserve">                     De Vehículos Automotores</v>
          </cell>
          <cell r="H256">
            <v>264.49099999999999</v>
          </cell>
          <cell r="I256">
            <v>269.39936499999999</v>
          </cell>
        </row>
        <row r="257">
          <cell r="A257" t="str">
            <v>63130-BF_1.1.3.2</v>
          </cell>
          <cell r="B257" t="str">
            <v>QUINDIO</v>
          </cell>
          <cell r="C257">
            <v>63130</v>
          </cell>
          <cell r="D257" t="str">
            <v>CALARCÁ</v>
          </cell>
          <cell r="E257">
            <v>28</v>
          </cell>
          <cell r="F257" t="str">
            <v>BF_1.1.3.2</v>
          </cell>
          <cell r="G257" t="str">
            <v xml:space="preserve">             Transferencias Para Inversión</v>
          </cell>
          <cell r="H257">
            <v>29739.547999999999</v>
          </cell>
          <cell r="I257">
            <v>29308.354469999998</v>
          </cell>
        </row>
        <row r="258">
          <cell r="A258" t="str">
            <v>63130-BF_1.1.3.2.1</v>
          </cell>
          <cell r="B258" t="str">
            <v>QUINDIO</v>
          </cell>
          <cell r="C258">
            <v>63130</v>
          </cell>
          <cell r="D258" t="str">
            <v>CALARCÁ</v>
          </cell>
          <cell r="E258">
            <v>29</v>
          </cell>
          <cell r="F258" t="str">
            <v>BF_1.1.3.2.1</v>
          </cell>
          <cell r="G258" t="str">
            <v xml:space="preserve">                 Del Nivel Nacional</v>
          </cell>
          <cell r="H258">
            <v>29636.592000000001</v>
          </cell>
          <cell r="I258">
            <v>28167.566284</v>
          </cell>
        </row>
        <row r="259">
          <cell r="A259" t="str">
            <v>63130-BF_1.1.3.2.1.1</v>
          </cell>
          <cell r="B259" t="str">
            <v>QUINDIO</v>
          </cell>
          <cell r="C259">
            <v>63130</v>
          </cell>
          <cell r="D259" t="str">
            <v>CALARCÁ</v>
          </cell>
          <cell r="E259">
            <v>30</v>
          </cell>
          <cell r="F259" t="str">
            <v>BF_1.1.3.2.1.1</v>
          </cell>
          <cell r="G259" t="str">
            <v xml:space="preserve">                     Sistema General de Participaciones</v>
          </cell>
          <cell r="H259">
            <v>16539.532999999999</v>
          </cell>
          <cell r="I259">
            <v>16696.207431999999</v>
          </cell>
        </row>
        <row r="260">
          <cell r="A260" t="str">
            <v>63130-BF_1.1.3.2.1.1.1</v>
          </cell>
          <cell r="B260" t="str">
            <v>QUINDIO</v>
          </cell>
          <cell r="C260">
            <v>63130</v>
          </cell>
          <cell r="D260" t="str">
            <v>CALARCÁ</v>
          </cell>
          <cell r="E260">
            <v>31</v>
          </cell>
          <cell r="F260" t="str">
            <v>BF_1.1.3.2.1.1.1</v>
          </cell>
          <cell r="G260" t="str">
            <v xml:space="preserve">                         Sistema General de Participaciones - Educación</v>
          </cell>
          <cell r="H260">
            <v>2128.114</v>
          </cell>
          <cell r="I260">
            <v>2069.6372999999999</v>
          </cell>
        </row>
        <row r="261">
          <cell r="A261" t="str">
            <v>63130-BF_1.1.3.2.1.1.2</v>
          </cell>
          <cell r="B261" t="str">
            <v>QUINDIO</v>
          </cell>
          <cell r="C261">
            <v>63130</v>
          </cell>
          <cell r="D261" t="str">
            <v>CALARCÁ</v>
          </cell>
          <cell r="E261">
            <v>32</v>
          </cell>
          <cell r="F261" t="str">
            <v>BF_1.1.3.2.1.1.2</v>
          </cell>
          <cell r="G261" t="str">
            <v xml:space="preserve">                         Sistema General de Participaciones - Salud</v>
          </cell>
          <cell r="H261">
            <v>10668.031999999999</v>
          </cell>
          <cell r="I261">
            <v>10496.482258</v>
          </cell>
        </row>
        <row r="262">
          <cell r="A262" t="str">
            <v>63130-BF_1.1.3.2.1.1.3</v>
          </cell>
          <cell r="B262" t="str">
            <v>QUINDIO</v>
          </cell>
          <cell r="C262">
            <v>63130</v>
          </cell>
          <cell r="D262" t="str">
            <v>CALARCÁ</v>
          </cell>
          <cell r="E262">
            <v>33</v>
          </cell>
          <cell r="F262" t="str">
            <v>BF_1.1.3.2.1.1.3</v>
          </cell>
          <cell r="G262" t="str">
            <v xml:space="preserve">                         Sistema General de Participaciones - Agua Potable y Saneamiento Básico</v>
          </cell>
          <cell r="H262">
            <v>1723.366</v>
          </cell>
          <cell r="I262">
            <v>2200.04405</v>
          </cell>
        </row>
        <row r="263">
          <cell r="A263" t="str">
            <v>63130-BF_1.1.3.2.1.1.4</v>
          </cell>
          <cell r="B263" t="str">
            <v>QUINDIO</v>
          </cell>
          <cell r="C263">
            <v>63130</v>
          </cell>
          <cell r="D263" t="str">
            <v>CALARCÁ</v>
          </cell>
          <cell r="E263">
            <v>34</v>
          </cell>
          <cell r="F263" t="str">
            <v>BF_1.1.3.2.1.1.4</v>
          </cell>
          <cell r="G263" t="str">
            <v xml:space="preserve">                         Sistema General de Participaciones - Propósito General - Forzosa Inversión</v>
          </cell>
          <cell r="H263">
            <v>1778.7560000000001</v>
          </cell>
          <cell r="I263">
            <v>1782.2692070000001</v>
          </cell>
        </row>
        <row r="264">
          <cell r="A264" t="str">
            <v>63130-BF_1.1.3.2.1.1.5</v>
          </cell>
          <cell r="B264" t="str">
            <v>QUINDIO</v>
          </cell>
          <cell r="C264">
            <v>63130</v>
          </cell>
          <cell r="D264" t="str">
            <v>CALARCÁ</v>
          </cell>
          <cell r="E264">
            <v>35</v>
          </cell>
          <cell r="F264" t="str">
            <v>BF_1.1.3.2.1.1.5</v>
          </cell>
          <cell r="G264" t="str">
            <v xml:space="preserve">                         Otras del Sistema General de Participaciones</v>
          </cell>
          <cell r="H264">
            <v>241.26499999999999</v>
          </cell>
          <cell r="I264">
            <v>147.77461700000001</v>
          </cell>
        </row>
        <row r="265">
          <cell r="A265" t="str">
            <v>63130-BF_1.1.3.2.1.2</v>
          </cell>
          <cell r="B265" t="str">
            <v>QUINDIO</v>
          </cell>
          <cell r="C265">
            <v>63130</v>
          </cell>
          <cell r="D265" t="str">
            <v>CALARCÁ</v>
          </cell>
          <cell r="E265">
            <v>36</v>
          </cell>
          <cell r="F265" t="str">
            <v>BF_1.1.3.2.1.2</v>
          </cell>
          <cell r="G265" t="str">
            <v xml:space="preserve">                     FOSYGA y COLJUEGOS</v>
          </cell>
          <cell r="H265">
            <v>13097.058999999999</v>
          </cell>
          <cell r="I265">
            <v>11271.635851999999</v>
          </cell>
        </row>
        <row r="266">
          <cell r="A266" t="str">
            <v>63130-BF_1.1.3.2.1.3</v>
          </cell>
          <cell r="B266" t="str">
            <v>QUINDIO</v>
          </cell>
          <cell r="C266">
            <v>63130</v>
          </cell>
          <cell r="D266" t="str">
            <v>CALARCÁ</v>
          </cell>
          <cell r="E266">
            <v>37</v>
          </cell>
          <cell r="F266" t="str">
            <v>BF_1.1.3.2.1.3</v>
          </cell>
          <cell r="G266" t="str">
            <v xml:space="preserve">                     Otras Transferencias de la Nación</v>
          </cell>
          <cell r="H266">
            <v>0</v>
          </cell>
          <cell r="I266">
            <v>199.72300000000001</v>
          </cell>
        </row>
        <row r="267">
          <cell r="A267" t="str">
            <v>63130-BF_1.1.3.2.2</v>
          </cell>
          <cell r="B267" t="str">
            <v>QUINDIO</v>
          </cell>
          <cell r="C267">
            <v>63130</v>
          </cell>
          <cell r="D267" t="str">
            <v>CALARCÁ</v>
          </cell>
          <cell r="E267">
            <v>38</v>
          </cell>
          <cell r="F267" t="str">
            <v>BF_1.1.3.2.2</v>
          </cell>
          <cell r="G267" t="str">
            <v xml:space="preserve">                 Del Nivel Departamental</v>
          </cell>
          <cell r="H267">
            <v>72.031999999999996</v>
          </cell>
          <cell r="I267">
            <v>1103.2061189999999</v>
          </cell>
        </row>
        <row r="268">
          <cell r="A268" t="str">
            <v>63130-BF_1.1.3.2.3</v>
          </cell>
          <cell r="B268" t="str">
            <v>QUINDIO</v>
          </cell>
          <cell r="C268">
            <v>63130</v>
          </cell>
          <cell r="D268" t="str">
            <v>CALARCÁ</v>
          </cell>
          <cell r="E268">
            <v>39</v>
          </cell>
          <cell r="F268" t="str">
            <v>BF_1.1.3.2.3</v>
          </cell>
          <cell r="G268" t="str">
            <v xml:space="preserve">                 Del Nivel Municipal</v>
          </cell>
          <cell r="H268">
            <v>16.829999999999998</v>
          </cell>
          <cell r="I268">
            <v>23.109998000000001</v>
          </cell>
        </row>
        <row r="269">
          <cell r="A269" t="str">
            <v>63130-BF_1.1.3.2.6</v>
          </cell>
          <cell r="B269" t="str">
            <v>QUINDIO</v>
          </cell>
          <cell r="C269">
            <v>63130</v>
          </cell>
          <cell r="D269" t="str">
            <v>CALARCÁ</v>
          </cell>
          <cell r="E269">
            <v>42</v>
          </cell>
          <cell r="F269" t="str">
            <v>BF_1.1.3.2.6</v>
          </cell>
          <cell r="G269" t="str">
            <v xml:space="preserve">                 Otras Transferencias para Inversión</v>
          </cell>
          <cell r="H269">
            <v>14.093999999999999</v>
          </cell>
          <cell r="I269">
            <v>14.472068999999999</v>
          </cell>
        </row>
        <row r="270">
          <cell r="A270" t="str">
            <v>63130-BF_2</v>
          </cell>
          <cell r="B270" t="str">
            <v>QUINDIO</v>
          </cell>
          <cell r="C270">
            <v>63130</v>
          </cell>
          <cell r="D270" t="str">
            <v>CALARCÁ</v>
          </cell>
          <cell r="E270">
            <v>43</v>
          </cell>
          <cell r="F270" t="str">
            <v>BF_2</v>
          </cell>
          <cell r="G270" t="str">
            <v>GASTOS  TOTALES</v>
          </cell>
          <cell r="H270">
            <v>50830.517999999996</v>
          </cell>
          <cell r="I270">
            <v>57797.970031999997</v>
          </cell>
        </row>
        <row r="271">
          <cell r="A271" t="str">
            <v>63130-BF_2.1</v>
          </cell>
          <cell r="B271" t="str">
            <v>QUINDIO</v>
          </cell>
          <cell r="C271">
            <v>63130</v>
          </cell>
          <cell r="D271" t="str">
            <v>CALARCÁ</v>
          </cell>
          <cell r="E271">
            <v>44</v>
          </cell>
          <cell r="F271" t="str">
            <v>BF_2.1</v>
          </cell>
          <cell r="G271" t="str">
            <v xml:space="preserve">    GASTOS CORRIENTES</v>
          </cell>
          <cell r="H271">
            <v>42602.991000000002</v>
          </cell>
          <cell r="I271">
            <v>50898.619198</v>
          </cell>
        </row>
        <row r="272">
          <cell r="A272" t="str">
            <v>63130-BF_2.1.1</v>
          </cell>
          <cell r="B272" t="str">
            <v>QUINDIO</v>
          </cell>
          <cell r="C272">
            <v>63130</v>
          </cell>
          <cell r="D272" t="str">
            <v>CALARCÁ</v>
          </cell>
          <cell r="E272">
            <v>45</v>
          </cell>
          <cell r="F272" t="str">
            <v>BF_2.1.1</v>
          </cell>
          <cell r="G272" t="str">
            <v xml:space="preserve">        FUNCIONAMIENTO</v>
          </cell>
          <cell r="H272">
            <v>8695.3250000000007</v>
          </cell>
          <cell r="I272">
            <v>9802.3014210000001</v>
          </cell>
        </row>
        <row r="273">
          <cell r="A273" t="str">
            <v>63130-BF_2.1.1.1</v>
          </cell>
          <cell r="B273" t="str">
            <v>QUINDIO</v>
          </cell>
          <cell r="C273">
            <v>63130</v>
          </cell>
          <cell r="D273" t="str">
            <v>CALARCÁ</v>
          </cell>
          <cell r="E273">
            <v>46</v>
          </cell>
          <cell r="F273" t="str">
            <v>BF_2.1.1.1</v>
          </cell>
          <cell r="G273" t="str">
            <v xml:space="preserve">             Gastos de Personal  </v>
          </cell>
          <cell r="H273">
            <v>4409.9920000000002</v>
          </cell>
          <cell r="I273">
            <v>4756.2954900000004</v>
          </cell>
        </row>
        <row r="274">
          <cell r="A274" t="str">
            <v>63130-BF_2.1.1.2</v>
          </cell>
          <cell r="B274" t="str">
            <v>QUINDIO</v>
          </cell>
          <cell r="C274">
            <v>63130</v>
          </cell>
          <cell r="D274" t="str">
            <v>CALARCÁ</v>
          </cell>
          <cell r="E274">
            <v>47</v>
          </cell>
          <cell r="F274" t="str">
            <v>BF_2.1.1.2</v>
          </cell>
          <cell r="G274" t="str">
            <v xml:space="preserve">             Gastos Generales</v>
          </cell>
          <cell r="H274">
            <v>2210.9630000000002</v>
          </cell>
          <cell r="I274">
            <v>2480.706158</v>
          </cell>
        </row>
        <row r="275">
          <cell r="A275" t="str">
            <v>63130-BF_2.1.1.3</v>
          </cell>
          <cell r="B275" t="str">
            <v>QUINDIO</v>
          </cell>
          <cell r="C275">
            <v>63130</v>
          </cell>
          <cell r="D275" t="str">
            <v>CALARCÁ</v>
          </cell>
          <cell r="E275">
            <v>48</v>
          </cell>
          <cell r="F275" t="str">
            <v>BF_2.1.1.3</v>
          </cell>
          <cell r="G275" t="str">
            <v xml:space="preserve">             Transferencias</v>
          </cell>
          <cell r="H275">
            <v>2074.37</v>
          </cell>
          <cell r="I275">
            <v>2565.2997730000002</v>
          </cell>
        </row>
        <row r="276">
          <cell r="A276" t="str">
            <v>63130-BF_2.1.1.3.1</v>
          </cell>
          <cell r="B276" t="str">
            <v>QUINDIO</v>
          </cell>
          <cell r="C276">
            <v>63130</v>
          </cell>
          <cell r="D276" t="str">
            <v>CALARCÁ</v>
          </cell>
          <cell r="E276">
            <v>49</v>
          </cell>
          <cell r="F276" t="str">
            <v>BF_2.1.1.3.1</v>
          </cell>
          <cell r="G276" t="str">
            <v xml:space="preserve">                 Pensiones</v>
          </cell>
          <cell r="H276">
            <v>1337.2049999999999</v>
          </cell>
          <cell r="I276">
            <v>1404.193892</v>
          </cell>
        </row>
        <row r="277">
          <cell r="A277" t="str">
            <v>63130-BF_2.1.1.3.4</v>
          </cell>
          <cell r="B277" t="str">
            <v>QUINDIO</v>
          </cell>
          <cell r="C277">
            <v>63130</v>
          </cell>
          <cell r="D277" t="str">
            <v>CALARCÁ</v>
          </cell>
          <cell r="E277">
            <v>52</v>
          </cell>
          <cell r="F277" t="str">
            <v>BF_2.1.1.3.4</v>
          </cell>
          <cell r="G277" t="str">
            <v xml:space="preserve">                 A Organismos de Control</v>
          </cell>
          <cell r="H277">
            <v>505.56799999999998</v>
          </cell>
          <cell r="I277">
            <v>551.764905</v>
          </cell>
        </row>
        <row r="278">
          <cell r="A278" t="str">
            <v>63130-BF_2.1.1.3.6</v>
          </cell>
          <cell r="B278" t="str">
            <v>QUINDIO</v>
          </cell>
          <cell r="C278">
            <v>63130</v>
          </cell>
          <cell r="D278" t="str">
            <v>CALARCÁ</v>
          </cell>
          <cell r="E278">
            <v>54</v>
          </cell>
          <cell r="F278" t="str">
            <v>BF_2.1.1.3.6</v>
          </cell>
          <cell r="G278" t="str">
            <v xml:space="preserve">                 Sentencias y Conciliaciones</v>
          </cell>
          <cell r="H278">
            <v>226.42599999999999</v>
          </cell>
          <cell r="I278">
            <v>603.80809799999997</v>
          </cell>
        </row>
        <row r="279">
          <cell r="A279" t="str">
            <v>63130-BF_2.1.1.3.7</v>
          </cell>
          <cell r="B279" t="str">
            <v>QUINDIO</v>
          </cell>
          <cell r="C279">
            <v>63130</v>
          </cell>
          <cell r="D279" t="str">
            <v>CALARCÁ</v>
          </cell>
          <cell r="E279">
            <v>55</v>
          </cell>
          <cell r="F279" t="str">
            <v>BF_2.1.1.3.7</v>
          </cell>
          <cell r="G279" t="str">
            <v xml:space="preserve">                 Otras Transferencias</v>
          </cell>
          <cell r="H279">
            <v>5.1710000000000003</v>
          </cell>
          <cell r="I279">
            <v>5.5328780000000002</v>
          </cell>
        </row>
        <row r="280">
          <cell r="A280" t="str">
            <v>63130-BF_2.1.2</v>
          </cell>
          <cell r="B280" t="str">
            <v>QUINDIO</v>
          </cell>
          <cell r="C280">
            <v>63130</v>
          </cell>
          <cell r="D280" t="str">
            <v>CALARCÁ</v>
          </cell>
          <cell r="E280">
            <v>59</v>
          </cell>
          <cell r="F280" t="str">
            <v>BF_2.1.2</v>
          </cell>
          <cell r="G280" t="str">
            <v xml:space="preserve">        PAGO DE BONOS PENSIONALES Y CUOTAS PARTES DE BONO PENSIONAL</v>
          </cell>
          <cell r="H280">
            <v>155.30000000000001</v>
          </cell>
          <cell r="I280">
            <v>292.50566800000001</v>
          </cell>
        </row>
        <row r="281">
          <cell r="A281" t="str">
            <v>63130-BF_2.1.4</v>
          </cell>
          <cell r="B281" t="str">
            <v>QUINDIO</v>
          </cell>
          <cell r="C281">
            <v>63130</v>
          </cell>
          <cell r="D281" t="str">
            <v>CALARCÁ</v>
          </cell>
          <cell r="E281">
            <v>61</v>
          </cell>
          <cell r="F281" t="str">
            <v>BF_2.1.4</v>
          </cell>
          <cell r="G281" t="str">
            <v xml:space="preserve">        GASTOS OPERATIVOS EN SECTORES SOCIALES (Remuneración al Trabajo, Prestaciones, y Subsidios en Sectores de Inversión)</v>
          </cell>
          <cell r="H281">
            <v>33142.137000000002</v>
          </cell>
          <cell r="I281">
            <v>40098.499940000002</v>
          </cell>
        </row>
        <row r="282">
          <cell r="A282" t="str">
            <v>63130-BF_2.1.4.1</v>
          </cell>
          <cell r="B282" t="str">
            <v>QUINDIO</v>
          </cell>
          <cell r="C282">
            <v>63130</v>
          </cell>
          <cell r="D282" t="str">
            <v>CALARCÁ</v>
          </cell>
          <cell r="E282">
            <v>62</v>
          </cell>
          <cell r="F282" t="str">
            <v>BF_2.1.4.1</v>
          </cell>
          <cell r="G282" t="str">
            <v xml:space="preserve">             Educación</v>
          </cell>
          <cell r="H282">
            <v>2710.4969999999998</v>
          </cell>
          <cell r="I282">
            <v>2511.2863969999999</v>
          </cell>
        </row>
        <row r="283">
          <cell r="A283" t="str">
            <v>63130-BF_2.1.4.2</v>
          </cell>
          <cell r="B283" t="str">
            <v>QUINDIO</v>
          </cell>
          <cell r="C283">
            <v>63130</v>
          </cell>
          <cell r="D283" t="str">
            <v>CALARCÁ</v>
          </cell>
          <cell r="E283">
            <v>63</v>
          </cell>
          <cell r="F283" t="str">
            <v>BF_2.1.4.2</v>
          </cell>
          <cell r="G283" t="str">
            <v xml:space="preserve">             Salud</v>
          </cell>
          <cell r="H283">
            <v>27345.335999999999</v>
          </cell>
          <cell r="I283">
            <v>28209.287079000002</v>
          </cell>
        </row>
        <row r="284">
          <cell r="A284" t="str">
            <v>63130-BF_2.1.4.3</v>
          </cell>
          <cell r="B284" t="str">
            <v>QUINDIO</v>
          </cell>
          <cell r="C284">
            <v>63130</v>
          </cell>
          <cell r="D284" t="str">
            <v>CALARCÁ</v>
          </cell>
          <cell r="E284">
            <v>64</v>
          </cell>
          <cell r="F284" t="str">
            <v>BF_2.1.4.3</v>
          </cell>
          <cell r="G284" t="str">
            <v xml:space="preserve">             Agua Potable y Saneamiento Básico</v>
          </cell>
          <cell r="H284">
            <v>1304.8399999999999</v>
          </cell>
          <cell r="I284">
            <v>1379.7254559999999</v>
          </cell>
        </row>
        <row r="285">
          <cell r="A285" t="str">
            <v>63130-BF_2.1.4.5</v>
          </cell>
          <cell r="B285" t="str">
            <v>QUINDIO</v>
          </cell>
          <cell r="C285">
            <v>63130</v>
          </cell>
          <cell r="D285" t="str">
            <v>CALARCÁ</v>
          </cell>
          <cell r="E285">
            <v>66</v>
          </cell>
          <cell r="F285" t="str">
            <v>BF_2.1.4.5</v>
          </cell>
          <cell r="G285" t="str">
            <v xml:space="preserve">             Otros Sectores</v>
          </cell>
          <cell r="H285">
            <v>1781.4639999999999</v>
          </cell>
          <cell r="I285">
            <v>7998.201008</v>
          </cell>
        </row>
        <row r="286">
          <cell r="A286" t="str">
            <v>63130-BF_2.1.5</v>
          </cell>
          <cell r="B286" t="str">
            <v>QUINDIO</v>
          </cell>
          <cell r="C286">
            <v>63130</v>
          </cell>
          <cell r="D286" t="str">
            <v>CALARCÁ</v>
          </cell>
          <cell r="E286">
            <v>67</v>
          </cell>
          <cell r="F286" t="str">
            <v>BF_2.1.5</v>
          </cell>
          <cell r="G286" t="str">
            <v xml:space="preserve">        INTERESES Y COMISIONES DE LA DEUDA</v>
          </cell>
          <cell r="H286">
            <v>610.22900000000004</v>
          </cell>
          <cell r="I286">
            <v>705.31216900000004</v>
          </cell>
        </row>
        <row r="287">
          <cell r="A287" t="str">
            <v>63130-BF_2.1.5.1</v>
          </cell>
          <cell r="B287" t="str">
            <v>QUINDIO</v>
          </cell>
          <cell r="C287">
            <v>63130</v>
          </cell>
          <cell r="D287" t="str">
            <v>CALARCÁ</v>
          </cell>
          <cell r="E287">
            <v>68</v>
          </cell>
          <cell r="F287" t="str">
            <v>BF_2.1.5.1</v>
          </cell>
          <cell r="G287" t="str">
            <v xml:space="preserve">             Interna</v>
          </cell>
          <cell r="H287">
            <v>610.22900000000004</v>
          </cell>
          <cell r="I287">
            <v>705.31216900000004</v>
          </cell>
        </row>
        <row r="288">
          <cell r="A288" t="str">
            <v>63130-BF_3</v>
          </cell>
          <cell r="B288" t="str">
            <v>QUINDIO</v>
          </cell>
          <cell r="C288">
            <v>63130</v>
          </cell>
          <cell r="D288" t="str">
            <v>CALARCÁ</v>
          </cell>
          <cell r="E288">
            <v>70</v>
          </cell>
          <cell r="F288" t="str">
            <v>BF_3</v>
          </cell>
          <cell r="G288" t="str">
            <v>DÉFICIT O AHORRO CORRIENTE</v>
          </cell>
          <cell r="H288">
            <v>3402.8380000000002</v>
          </cell>
          <cell r="I288">
            <v>-2357.347342</v>
          </cell>
        </row>
        <row r="289">
          <cell r="A289" t="str">
            <v>63130-BF_4</v>
          </cell>
          <cell r="B289" t="str">
            <v>QUINDIO</v>
          </cell>
          <cell r="C289">
            <v>63130</v>
          </cell>
          <cell r="D289" t="str">
            <v>CALARCÁ</v>
          </cell>
          <cell r="E289">
            <v>71</v>
          </cell>
          <cell r="F289" t="str">
            <v>BF_4</v>
          </cell>
          <cell r="G289" t="str">
            <v>INGRESOS DE CAPITAL</v>
          </cell>
          <cell r="H289">
            <v>4380.5789999999997</v>
          </cell>
          <cell r="I289">
            <v>6783.1252720000002</v>
          </cell>
        </row>
        <row r="290">
          <cell r="A290" t="str">
            <v>63130-BF_4.1</v>
          </cell>
          <cell r="B290" t="str">
            <v>QUINDIO</v>
          </cell>
          <cell r="C290">
            <v>63130</v>
          </cell>
          <cell r="D290" t="str">
            <v>CALARCÁ</v>
          </cell>
          <cell r="E290">
            <v>72</v>
          </cell>
          <cell r="F290" t="str">
            <v>BF_4.1</v>
          </cell>
          <cell r="G290" t="str">
            <v xml:space="preserve">    Cofinanciación</v>
          </cell>
          <cell r="H290">
            <v>2475.5949999999998</v>
          </cell>
          <cell r="I290">
            <v>0</v>
          </cell>
        </row>
        <row r="291">
          <cell r="A291" t="str">
            <v>63130-BF_4.2</v>
          </cell>
          <cell r="B291" t="str">
            <v>QUINDIO</v>
          </cell>
          <cell r="C291">
            <v>63130</v>
          </cell>
          <cell r="D291" t="str">
            <v>CALARCÁ</v>
          </cell>
          <cell r="E291">
            <v>73</v>
          </cell>
          <cell r="F291" t="str">
            <v>BF_4.2</v>
          </cell>
          <cell r="G291" t="str">
            <v xml:space="preserve">    Regalías y Compensaciones</v>
          </cell>
          <cell r="H291">
            <v>158.95500000000001</v>
          </cell>
          <cell r="I291">
            <v>0</v>
          </cell>
        </row>
        <row r="292">
          <cell r="A292" t="str">
            <v>63130-BF_4.4</v>
          </cell>
          <cell r="B292" t="str">
            <v>QUINDIO</v>
          </cell>
          <cell r="C292">
            <v>63130</v>
          </cell>
          <cell r="D292" t="str">
            <v>CALARCÁ</v>
          </cell>
          <cell r="E292">
            <v>75</v>
          </cell>
          <cell r="F292" t="str">
            <v>BF_4.4</v>
          </cell>
          <cell r="G292" t="str">
            <v xml:space="preserve">    Rendimientos Financieros</v>
          </cell>
          <cell r="H292">
            <v>45.319000000000003</v>
          </cell>
          <cell r="I292">
            <v>85.507450000000006</v>
          </cell>
        </row>
        <row r="293">
          <cell r="A293" t="str">
            <v>63130-BF_4.6</v>
          </cell>
          <cell r="B293" t="str">
            <v>QUINDIO</v>
          </cell>
          <cell r="C293">
            <v>63130</v>
          </cell>
          <cell r="D293" t="str">
            <v>CALARCÁ</v>
          </cell>
          <cell r="E293">
            <v>77</v>
          </cell>
          <cell r="F293" t="str">
            <v>BF_4.6</v>
          </cell>
          <cell r="G293" t="str">
            <v xml:space="preserve">    Desahorro FONPET</v>
          </cell>
          <cell r="H293">
            <v>1654.4010000000001</v>
          </cell>
          <cell r="I293">
            <v>6594.7974809999996</v>
          </cell>
        </row>
        <row r="294">
          <cell r="A294" t="str">
            <v>63130-BF_4.6.4</v>
          </cell>
          <cell r="B294" t="str">
            <v>QUINDIO</v>
          </cell>
          <cell r="C294">
            <v>63130</v>
          </cell>
          <cell r="D294" t="str">
            <v>CALARCÁ</v>
          </cell>
          <cell r="E294">
            <v>81</v>
          </cell>
          <cell r="F294" t="str">
            <v>BF_4.6.4</v>
          </cell>
          <cell r="G294" t="str">
            <v xml:space="preserve">    Otros Desahorros y Retiros (Cuotas partes, Bonos y Devoluciones)</v>
          </cell>
          <cell r="H294">
            <v>1654.4010000000001</v>
          </cell>
          <cell r="I294">
            <v>6594.7974809999996</v>
          </cell>
        </row>
        <row r="295">
          <cell r="A295" t="str">
            <v>63130-BF_4.7</v>
          </cell>
          <cell r="B295" t="str">
            <v>QUINDIO</v>
          </cell>
          <cell r="C295">
            <v>63130</v>
          </cell>
          <cell r="D295" t="str">
            <v>CALARCÁ</v>
          </cell>
          <cell r="E295">
            <v>82</v>
          </cell>
          <cell r="F295" t="str">
            <v>BF_4.7</v>
          </cell>
          <cell r="G295" t="str">
            <v xml:space="preserve">    Otros Recursos de Capital (Donaciones, Aprovechamientos y Otros)</v>
          </cell>
          <cell r="H295">
            <v>46.308999999999997</v>
          </cell>
          <cell r="I295">
            <v>102.820341</v>
          </cell>
        </row>
        <row r="296">
          <cell r="A296" t="str">
            <v>63130-BF_5</v>
          </cell>
          <cell r="B296" t="str">
            <v>QUINDIO</v>
          </cell>
          <cell r="C296">
            <v>63130</v>
          </cell>
          <cell r="D296" t="str">
            <v>CALARCÁ</v>
          </cell>
          <cell r="E296">
            <v>83</v>
          </cell>
          <cell r="F296" t="str">
            <v>BF_5</v>
          </cell>
          <cell r="G296" t="str">
            <v>GASTOS DE CAPITAL</v>
          </cell>
          <cell r="H296">
            <v>8227.527</v>
          </cell>
          <cell r="I296">
            <v>6899.3508339999998</v>
          </cell>
        </row>
        <row r="297">
          <cell r="A297" t="str">
            <v>63130-BF_5.1</v>
          </cell>
          <cell r="B297" t="str">
            <v>QUINDIO</v>
          </cell>
          <cell r="C297">
            <v>63130</v>
          </cell>
          <cell r="D297" t="str">
            <v>CALARCÁ</v>
          </cell>
          <cell r="E297">
            <v>84</v>
          </cell>
          <cell r="F297" t="str">
            <v>BF_5.1</v>
          </cell>
          <cell r="G297" t="str">
            <v xml:space="preserve">    Formación Bruta de Capital (Construcción, Reparación, Mantenimiento, Preinversión, Otros)</v>
          </cell>
          <cell r="H297">
            <v>8227.527</v>
          </cell>
          <cell r="I297">
            <v>6899.3508339999998</v>
          </cell>
        </row>
        <row r="298">
          <cell r="A298" t="str">
            <v>63130-BF_5.1.1</v>
          </cell>
          <cell r="B298" t="str">
            <v>QUINDIO</v>
          </cell>
          <cell r="C298">
            <v>63130</v>
          </cell>
          <cell r="D298" t="str">
            <v>CALARCÁ</v>
          </cell>
          <cell r="E298">
            <v>85</v>
          </cell>
          <cell r="F298" t="str">
            <v>BF_5.1.1</v>
          </cell>
          <cell r="G298" t="str">
            <v xml:space="preserve">        Educación</v>
          </cell>
          <cell r="H298">
            <v>165.26400000000001</v>
          </cell>
          <cell r="I298">
            <v>169.24508599999999</v>
          </cell>
        </row>
        <row r="299">
          <cell r="A299" t="str">
            <v>63130-BF_5.1.2</v>
          </cell>
          <cell r="B299" t="str">
            <v>QUINDIO</v>
          </cell>
          <cell r="C299">
            <v>63130</v>
          </cell>
          <cell r="D299" t="str">
            <v>CALARCÁ</v>
          </cell>
          <cell r="E299">
            <v>86</v>
          </cell>
          <cell r="F299" t="str">
            <v>BF_5.1.2</v>
          </cell>
          <cell r="G299" t="str">
            <v xml:space="preserve">        Salud</v>
          </cell>
          <cell r="H299">
            <v>0</v>
          </cell>
          <cell r="I299">
            <v>10.702640000000001</v>
          </cell>
        </row>
        <row r="300">
          <cell r="A300" t="str">
            <v>63130-BF_5.1.3</v>
          </cell>
          <cell r="B300" t="str">
            <v>QUINDIO</v>
          </cell>
          <cell r="C300">
            <v>63130</v>
          </cell>
          <cell r="D300" t="str">
            <v>CALARCÁ</v>
          </cell>
          <cell r="E300">
            <v>87</v>
          </cell>
          <cell r="F300" t="str">
            <v>BF_5.1.3</v>
          </cell>
          <cell r="G300" t="str">
            <v xml:space="preserve">        Agua Potable</v>
          </cell>
          <cell r="H300">
            <v>929.495</v>
          </cell>
          <cell r="I300">
            <v>1248.068943</v>
          </cell>
        </row>
        <row r="301">
          <cell r="A301" t="str">
            <v>63130-BF_5.1.4</v>
          </cell>
          <cell r="B301" t="str">
            <v>QUINDIO</v>
          </cell>
          <cell r="C301">
            <v>63130</v>
          </cell>
          <cell r="D301" t="str">
            <v>CALARCÁ</v>
          </cell>
          <cell r="E301">
            <v>88</v>
          </cell>
          <cell r="F301" t="str">
            <v>BF_5.1.4</v>
          </cell>
          <cell r="G301" t="str">
            <v xml:space="preserve">        Vivienda</v>
          </cell>
          <cell r="H301">
            <v>225.24299999999999</v>
          </cell>
          <cell r="I301">
            <v>70.367999999999995</v>
          </cell>
        </row>
        <row r="302">
          <cell r="A302" t="str">
            <v>63130-BF_5.1.5</v>
          </cell>
          <cell r="B302" t="str">
            <v>QUINDIO</v>
          </cell>
          <cell r="C302">
            <v>63130</v>
          </cell>
          <cell r="D302" t="str">
            <v>CALARCÁ</v>
          </cell>
          <cell r="E302">
            <v>89</v>
          </cell>
          <cell r="F302" t="str">
            <v>BF_5.1.5</v>
          </cell>
          <cell r="G302" t="str">
            <v xml:space="preserve">        Vías</v>
          </cell>
          <cell r="H302">
            <v>1536.874</v>
          </cell>
          <cell r="I302">
            <v>3429.0643799999998</v>
          </cell>
        </row>
        <row r="303">
          <cell r="A303" t="str">
            <v>63130-BF_5.1.6</v>
          </cell>
          <cell r="B303" t="str">
            <v>QUINDIO</v>
          </cell>
          <cell r="C303">
            <v>63130</v>
          </cell>
          <cell r="D303" t="str">
            <v>CALARCÁ</v>
          </cell>
          <cell r="E303">
            <v>90</v>
          </cell>
          <cell r="F303" t="str">
            <v>BF_5.1.6</v>
          </cell>
          <cell r="G303" t="str">
            <v xml:space="preserve">        Otros Sectores</v>
          </cell>
          <cell r="H303">
            <v>5370.6509999999998</v>
          </cell>
          <cell r="I303">
            <v>1971.901785</v>
          </cell>
        </row>
        <row r="304">
          <cell r="A304" t="str">
            <v>63130-BF_6</v>
          </cell>
          <cell r="B304" t="str">
            <v>QUINDIO</v>
          </cell>
          <cell r="C304">
            <v>63130</v>
          </cell>
          <cell r="D304" t="str">
            <v>CALARCÁ</v>
          </cell>
          <cell r="E304">
            <v>92</v>
          </cell>
          <cell r="F304" t="str">
            <v>BF_6</v>
          </cell>
          <cell r="G304" t="str">
            <v>DÉFICIT O SUPERÁVIT DE CAPITAL</v>
          </cell>
          <cell r="H304">
            <v>-3846.9479999999999</v>
          </cell>
          <cell r="I304">
            <v>-116.225562</v>
          </cell>
        </row>
        <row r="305">
          <cell r="A305" t="str">
            <v>63130-BF_7</v>
          </cell>
          <cell r="B305" t="str">
            <v>QUINDIO</v>
          </cell>
          <cell r="C305">
            <v>63130</v>
          </cell>
          <cell r="D305" t="str">
            <v>CALARCÁ</v>
          </cell>
          <cell r="E305">
            <v>93</v>
          </cell>
          <cell r="F305" t="str">
            <v>BF_7</v>
          </cell>
          <cell r="G305" t="str">
            <v>DÉFICIT O SUPERÁVIT TOTAL</v>
          </cell>
          <cell r="H305">
            <v>-444.11</v>
          </cell>
          <cell r="I305">
            <v>-2473.5729040000001</v>
          </cell>
        </row>
        <row r="306">
          <cell r="A306" t="str">
            <v>63130-BF_8</v>
          </cell>
          <cell r="B306" t="str">
            <v>QUINDIO</v>
          </cell>
          <cell r="C306">
            <v>63130</v>
          </cell>
          <cell r="D306" t="str">
            <v>CALARCÁ</v>
          </cell>
          <cell r="E306">
            <v>94</v>
          </cell>
          <cell r="F306" t="str">
            <v>BF_8</v>
          </cell>
          <cell r="G306" t="str">
            <v>FINANCIACIÓN</v>
          </cell>
          <cell r="H306">
            <v>4170.1040000000003</v>
          </cell>
          <cell r="I306">
            <v>8003.0363619999998</v>
          </cell>
        </row>
        <row r="307">
          <cell r="A307" t="str">
            <v>63130-BF_8.1</v>
          </cell>
          <cell r="B307" t="str">
            <v>QUINDIO</v>
          </cell>
          <cell r="C307">
            <v>63130</v>
          </cell>
          <cell r="D307" t="str">
            <v>CALARCÁ</v>
          </cell>
          <cell r="E307">
            <v>95</v>
          </cell>
          <cell r="F307" t="str">
            <v>BF_8.1</v>
          </cell>
          <cell r="G307" t="str">
            <v xml:space="preserve">    RECURSOS DEL CRÉDITO</v>
          </cell>
          <cell r="H307">
            <v>-855.41499999999996</v>
          </cell>
          <cell r="I307">
            <v>-1093.871566</v>
          </cell>
        </row>
        <row r="308">
          <cell r="A308" t="str">
            <v>63130-BF_8.1.1</v>
          </cell>
          <cell r="B308" t="str">
            <v>QUINDIO</v>
          </cell>
          <cell r="C308">
            <v>63130</v>
          </cell>
          <cell r="D308" t="str">
            <v>CALARCÁ</v>
          </cell>
          <cell r="E308">
            <v>96</v>
          </cell>
          <cell r="F308" t="str">
            <v>BF_8.1.1</v>
          </cell>
          <cell r="G308" t="str">
            <v xml:space="preserve">        Interno</v>
          </cell>
          <cell r="H308">
            <v>-855.41499999999996</v>
          </cell>
          <cell r="I308">
            <v>-1093.871566</v>
          </cell>
        </row>
        <row r="309">
          <cell r="A309" t="str">
            <v>63130-BF_8.1.1.1</v>
          </cell>
          <cell r="B309" t="str">
            <v>QUINDIO</v>
          </cell>
          <cell r="C309">
            <v>63130</v>
          </cell>
          <cell r="D309" t="str">
            <v>CALARCÁ</v>
          </cell>
          <cell r="E309">
            <v>97</v>
          </cell>
          <cell r="F309" t="str">
            <v>BF_8.1.1.1</v>
          </cell>
          <cell r="G309" t="str">
            <v xml:space="preserve">             Desembolsos</v>
          </cell>
          <cell r="H309">
            <v>296</v>
          </cell>
          <cell r="I309">
            <v>0</v>
          </cell>
        </row>
        <row r="310">
          <cell r="A310" t="str">
            <v>63130-BF_8.1.1.2</v>
          </cell>
          <cell r="B310" t="str">
            <v>QUINDIO</v>
          </cell>
          <cell r="C310">
            <v>63130</v>
          </cell>
          <cell r="D310" t="str">
            <v>CALARCÁ</v>
          </cell>
          <cell r="E310">
            <v>98</v>
          </cell>
          <cell r="F310" t="str">
            <v>BF_8.1.1.2</v>
          </cell>
          <cell r="G310" t="str">
            <v xml:space="preserve">             Amortizaciones</v>
          </cell>
          <cell r="H310">
            <v>1151.415</v>
          </cell>
          <cell r="I310">
            <v>1093.871566</v>
          </cell>
        </row>
        <row r="311">
          <cell r="A311" t="str">
            <v>63130-BF_8.2</v>
          </cell>
          <cell r="B311" t="str">
            <v>QUINDIO</v>
          </cell>
          <cell r="C311">
            <v>63130</v>
          </cell>
          <cell r="D311" t="str">
            <v>CALARCÁ</v>
          </cell>
          <cell r="E311">
            <v>102</v>
          </cell>
          <cell r="F311" t="str">
            <v>BF_8.2</v>
          </cell>
          <cell r="G311" t="str">
            <v xml:space="preserve">    Recursos del Balance (Superávit Fiscal, Cancelación de Reservas)</v>
          </cell>
          <cell r="H311">
            <v>5025.5190000000002</v>
          </cell>
          <cell r="I311">
            <v>9096.9079280000005</v>
          </cell>
        </row>
        <row r="312">
          <cell r="A312" t="str">
            <v>63130-BF_9.1</v>
          </cell>
          <cell r="B312" t="str">
            <v>QUINDIO</v>
          </cell>
          <cell r="C312">
            <v>63130</v>
          </cell>
          <cell r="D312" t="str">
            <v>CALARCÁ</v>
          </cell>
          <cell r="E312">
            <v>107</v>
          </cell>
          <cell r="F312" t="str">
            <v>BF_9.1</v>
          </cell>
          <cell r="G312" t="str">
            <v xml:space="preserve">    DÉFICIT O SUPERÁVIT PRIMARIO</v>
          </cell>
          <cell r="H312">
            <v>5191.6379999999999</v>
          </cell>
          <cell r="I312">
            <v>7328.6471929999998</v>
          </cell>
        </row>
        <row r="313">
          <cell r="A313" t="str">
            <v>63130-BF_9.2</v>
          </cell>
          <cell r="B313" t="str">
            <v>QUINDIO</v>
          </cell>
          <cell r="C313">
            <v>63130</v>
          </cell>
          <cell r="D313" t="str">
            <v>CALARCÁ</v>
          </cell>
          <cell r="E313">
            <v>108</v>
          </cell>
          <cell r="F313" t="str">
            <v>BF_9.2</v>
          </cell>
          <cell r="G313" t="str">
            <v xml:space="preserve">    DÉFICIT O SUPERÁVIT PRIMARIO/INTERESES</v>
          </cell>
          <cell r="H313">
            <v>8.5079999999999991</v>
          </cell>
          <cell r="I313">
            <v>10.390643342000001</v>
          </cell>
        </row>
        <row r="314">
          <cell r="A314" t="str">
            <v>63130-BF_10.1</v>
          </cell>
          <cell r="B314" t="str">
            <v>QUINDIO</v>
          </cell>
          <cell r="C314">
            <v>63130</v>
          </cell>
          <cell r="D314" t="str">
            <v>CALARCÁ</v>
          </cell>
          <cell r="E314">
            <v>110</v>
          </cell>
          <cell r="F314" t="str">
            <v>BF_10.1</v>
          </cell>
          <cell r="G314" t="str">
            <v xml:space="preserve">    INGRESOS TOTALES SIN INCLUIR RECURSOS PARA RESERVAS PRESUPUESTALES</v>
          </cell>
          <cell r="H314">
            <v>55707.927000000003</v>
          </cell>
          <cell r="I314">
            <v>64421.305055999997</v>
          </cell>
        </row>
        <row r="315">
          <cell r="A315" t="str">
            <v>63130-BF_10.2</v>
          </cell>
          <cell r="B315" t="str">
            <v>QUINDIO</v>
          </cell>
          <cell r="C315">
            <v>63130</v>
          </cell>
          <cell r="D315" t="str">
            <v>CALARCÁ</v>
          </cell>
          <cell r="E315">
            <v>111</v>
          </cell>
          <cell r="F315" t="str">
            <v>BF_10.2</v>
          </cell>
          <cell r="G315" t="str">
            <v xml:space="preserve">    GASTOS TOTALES SIN INCLUIR GASTOS POR RESERVAS PRESUPUESTALES</v>
          </cell>
          <cell r="H315">
            <v>51981.932999999997</v>
          </cell>
          <cell r="I315">
            <v>58891.841597999999</v>
          </cell>
        </row>
        <row r="316">
          <cell r="A316" t="str">
            <v>63130-BF_10.3</v>
          </cell>
          <cell r="B316" t="str">
            <v>QUINDIO</v>
          </cell>
          <cell r="C316">
            <v>63130</v>
          </cell>
          <cell r="D316" t="str">
            <v>CALARCÁ</v>
          </cell>
          <cell r="E316">
            <v>112</v>
          </cell>
          <cell r="F316" t="str">
            <v>BF_10.3</v>
          </cell>
          <cell r="G316" t="str">
            <v xml:space="preserve">    DÉFICIT O SUPERÁVIT PRESUPUESTAL SIN INCLUIR RESERVAS PRESUPUESTALES</v>
          </cell>
          <cell r="H316">
            <v>3725.9940000000001</v>
          </cell>
          <cell r="I316">
            <v>5529.4634580000002</v>
          </cell>
        </row>
        <row r="317">
          <cell r="A317" t="str">
            <v>63130-BF_12.1</v>
          </cell>
          <cell r="B317" t="str">
            <v>QUINDIO</v>
          </cell>
          <cell r="C317">
            <v>63130</v>
          </cell>
          <cell r="D317" t="str">
            <v>CALARCÁ</v>
          </cell>
          <cell r="E317">
            <v>114</v>
          </cell>
          <cell r="F317" t="str">
            <v>BF_12.1</v>
          </cell>
          <cell r="G317" t="str">
            <v xml:space="preserve">    INGRESOS TOTALES</v>
          </cell>
          <cell r="H317">
            <v>57322.182000000001</v>
          </cell>
          <cell r="I317">
            <v>66499.353176000004</v>
          </cell>
        </row>
        <row r="318">
          <cell r="A318" t="str">
            <v>63130-BF_12.2</v>
          </cell>
          <cell r="B318" t="str">
            <v>QUINDIO</v>
          </cell>
          <cell r="C318">
            <v>63130</v>
          </cell>
          <cell r="D318" t="str">
            <v>CALARCÁ</v>
          </cell>
          <cell r="E318">
            <v>115</v>
          </cell>
          <cell r="F318" t="str">
            <v>BF_12.2</v>
          </cell>
          <cell r="G318" t="str">
            <v xml:space="preserve">    GASTOS TOTALES</v>
          </cell>
          <cell r="H318">
            <v>53596.184999999998</v>
          </cell>
          <cell r="I318">
            <v>60996.306753999997</v>
          </cell>
        </row>
        <row r="319">
          <cell r="A319" t="str">
            <v>63130-BF_12.3</v>
          </cell>
          <cell r="B319" t="str">
            <v>QUINDIO</v>
          </cell>
          <cell r="C319">
            <v>63130</v>
          </cell>
          <cell r="D319" t="str">
            <v>CALARCÁ</v>
          </cell>
          <cell r="E319">
            <v>116</v>
          </cell>
          <cell r="F319" t="str">
            <v>BF_12.3</v>
          </cell>
          <cell r="G319" t="str">
            <v xml:space="preserve">    DÉFICIT O SUPERÁVIT PRESUPUESTAL</v>
          </cell>
          <cell r="H319">
            <v>3725.9969999999998</v>
          </cell>
          <cell r="I319">
            <v>5503.0464220000003</v>
          </cell>
        </row>
        <row r="320">
          <cell r="A320" t="str">
            <v>63130-BF_13.1</v>
          </cell>
          <cell r="B320" t="str">
            <v>QUINDIO</v>
          </cell>
          <cell r="C320">
            <v>63130</v>
          </cell>
          <cell r="D320" t="str">
            <v>CALARCÁ</v>
          </cell>
          <cell r="E320">
            <v>118</v>
          </cell>
          <cell r="F320" t="str">
            <v>BF_13.1</v>
          </cell>
          <cell r="G320" t="str">
            <v xml:space="preserve">    Recursos que Financian Reservas Presupuestales Excepcionales (Ley 819/2003)</v>
          </cell>
          <cell r="H320">
            <v>1614.2550000000001</v>
          </cell>
          <cell r="I320">
            <v>2078.0481199999999</v>
          </cell>
        </row>
        <row r="321">
          <cell r="A321" t="str">
            <v>63130-BF_13.2</v>
          </cell>
          <cell r="B321" t="str">
            <v>QUINDIO</v>
          </cell>
          <cell r="C321">
            <v>63130</v>
          </cell>
          <cell r="D321" t="str">
            <v>CALARCÁ</v>
          </cell>
          <cell r="E321">
            <v>119</v>
          </cell>
          <cell r="F321" t="str">
            <v>BF_13.2</v>
          </cell>
          <cell r="G321" t="str">
            <v xml:space="preserve">    Reservas Presupuestales de Funcionamiento Vigencia Anterior</v>
          </cell>
          <cell r="H321">
            <v>44.408999999999999</v>
          </cell>
          <cell r="I321">
            <v>26.417036</v>
          </cell>
        </row>
        <row r="322">
          <cell r="A322" t="str">
            <v>63130-BF_13.3</v>
          </cell>
          <cell r="B322" t="str">
            <v>QUINDIO</v>
          </cell>
          <cell r="C322">
            <v>63130</v>
          </cell>
          <cell r="D322" t="str">
            <v>CALARCÁ</v>
          </cell>
          <cell r="E322">
            <v>120</v>
          </cell>
          <cell r="F322" t="str">
            <v>BF_13.3</v>
          </cell>
          <cell r="G322" t="str">
            <v xml:space="preserve">    Reservas Presupuestales de Inversión Vigencia Anterior</v>
          </cell>
          <cell r="H322">
            <v>1569.8420000000001</v>
          </cell>
          <cell r="I322">
            <v>2078.0481199999999</v>
          </cell>
        </row>
        <row r="323">
          <cell r="A323" t="str">
            <v>63130-BF_13.4</v>
          </cell>
          <cell r="B323" t="str">
            <v>QUINDIO</v>
          </cell>
          <cell r="C323">
            <v>63130</v>
          </cell>
          <cell r="D323" t="str">
            <v>CALARCÁ</v>
          </cell>
          <cell r="E323">
            <v>121</v>
          </cell>
          <cell r="F323" t="str">
            <v>BF_13.4</v>
          </cell>
          <cell r="G323" t="str">
            <v xml:space="preserve">    DEFICIT O SUPERAVIT RESERVAS PRESUPUESTALES</v>
          </cell>
          <cell r="H323">
            <v>4.0000000000000001E-3</v>
          </cell>
          <cell r="I323">
            <v>-26.417036</v>
          </cell>
        </row>
        <row r="324">
          <cell r="A324" t="str">
            <v>63190-BF_1</v>
          </cell>
          <cell r="B324" t="str">
            <v>QUINDIO</v>
          </cell>
          <cell r="C324">
            <v>63190</v>
          </cell>
          <cell r="D324" t="str">
            <v>CIRCASIA</v>
          </cell>
          <cell r="E324">
            <v>1</v>
          </cell>
          <cell r="F324" t="str">
            <v>BF_1</v>
          </cell>
          <cell r="G324" t="str">
            <v>INGRESOS TOTALES</v>
          </cell>
          <cell r="H324">
            <v>30537.552</v>
          </cell>
          <cell r="I324">
            <v>21870.801094999999</v>
          </cell>
        </row>
        <row r="325">
          <cell r="A325" t="str">
            <v>63190-BF_1.1</v>
          </cell>
          <cell r="B325" t="str">
            <v>QUINDIO</v>
          </cell>
          <cell r="C325">
            <v>63190</v>
          </cell>
          <cell r="D325" t="str">
            <v>CIRCASIA</v>
          </cell>
          <cell r="E325">
            <v>2</v>
          </cell>
          <cell r="F325" t="str">
            <v>BF_1.1</v>
          </cell>
          <cell r="G325" t="str">
            <v xml:space="preserve">    INGRESOS CORRIENTES</v>
          </cell>
          <cell r="H325">
            <v>28537.460999999999</v>
          </cell>
          <cell r="I325">
            <v>20227.411467000002</v>
          </cell>
        </row>
        <row r="326">
          <cell r="A326" t="str">
            <v>63190-BF_1.1.1</v>
          </cell>
          <cell r="B326" t="str">
            <v>QUINDIO</v>
          </cell>
          <cell r="C326">
            <v>63190</v>
          </cell>
          <cell r="D326" t="str">
            <v>CIRCASIA</v>
          </cell>
          <cell r="E326">
            <v>3</v>
          </cell>
          <cell r="F326" t="str">
            <v>BF_1.1.1</v>
          </cell>
          <cell r="G326" t="str">
            <v xml:space="preserve">        TRIBUTARIOS</v>
          </cell>
          <cell r="H326">
            <v>4515.5770000000002</v>
          </cell>
          <cell r="I326">
            <v>5065.1812200000004</v>
          </cell>
        </row>
        <row r="327">
          <cell r="A327" t="str">
            <v>63190-BF_1.1.1.2</v>
          </cell>
          <cell r="B327" t="str">
            <v>QUINDIO</v>
          </cell>
          <cell r="C327">
            <v>63190</v>
          </cell>
          <cell r="D327" t="str">
            <v>CIRCASIA</v>
          </cell>
          <cell r="E327">
            <v>5</v>
          </cell>
          <cell r="F327" t="str">
            <v>BF_1.1.1.2</v>
          </cell>
          <cell r="G327" t="str">
            <v xml:space="preserve">             Impuesto Predial Unificado</v>
          </cell>
          <cell r="H327">
            <v>1503.816</v>
          </cell>
          <cell r="I327">
            <v>1527.2728059999999</v>
          </cell>
        </row>
        <row r="328">
          <cell r="A328" t="str">
            <v>63190-BF_1.1.1.3</v>
          </cell>
          <cell r="B328" t="str">
            <v>QUINDIO</v>
          </cell>
          <cell r="C328">
            <v>63190</v>
          </cell>
          <cell r="D328" t="str">
            <v>CIRCASIA</v>
          </cell>
          <cell r="E328">
            <v>6</v>
          </cell>
          <cell r="F328" t="str">
            <v>BF_1.1.1.3</v>
          </cell>
          <cell r="G328" t="str">
            <v xml:space="preserve">             Impuesto de Industria y Comercio</v>
          </cell>
          <cell r="H328">
            <v>696.40499999999997</v>
          </cell>
          <cell r="I328">
            <v>867.93124399999999</v>
          </cell>
        </row>
        <row r="329">
          <cell r="A329" t="str">
            <v>63190-BF_1.1.1.8</v>
          </cell>
          <cell r="B329" t="str">
            <v>QUINDIO</v>
          </cell>
          <cell r="C329">
            <v>63190</v>
          </cell>
          <cell r="D329" t="str">
            <v>CIRCASIA</v>
          </cell>
          <cell r="E329">
            <v>11</v>
          </cell>
          <cell r="F329" t="str">
            <v>BF_1.1.1.8</v>
          </cell>
          <cell r="G329" t="str">
            <v xml:space="preserve">             Sobretasa Consumo Gasolina Motor</v>
          </cell>
          <cell r="H329">
            <v>288.77499999999998</v>
          </cell>
          <cell r="I329">
            <v>333.28300000000002</v>
          </cell>
        </row>
        <row r="330">
          <cell r="A330" t="str">
            <v>63190-BF_1.1.1.9</v>
          </cell>
          <cell r="B330" t="str">
            <v>QUINDIO</v>
          </cell>
          <cell r="C330">
            <v>63190</v>
          </cell>
          <cell r="D330" t="str">
            <v>CIRCASIA</v>
          </cell>
          <cell r="E330">
            <v>12</v>
          </cell>
          <cell r="F330" t="str">
            <v>BF_1.1.1.9</v>
          </cell>
          <cell r="G330" t="str">
            <v xml:space="preserve">             Estampillas</v>
          </cell>
          <cell r="H330">
            <v>334.72300000000001</v>
          </cell>
          <cell r="I330">
            <v>583.52219100000002</v>
          </cell>
        </row>
        <row r="331">
          <cell r="A331" t="str">
            <v>63190-BF_1.1.1.12</v>
          </cell>
          <cell r="B331" t="str">
            <v>QUINDIO</v>
          </cell>
          <cell r="C331">
            <v>63190</v>
          </cell>
          <cell r="D331" t="str">
            <v>CIRCASIA</v>
          </cell>
          <cell r="E331">
            <v>15</v>
          </cell>
          <cell r="F331" t="str">
            <v>BF_1.1.1.12</v>
          </cell>
          <cell r="G331" t="str">
            <v xml:space="preserve">             Otros Ingresos Tributarios</v>
          </cell>
          <cell r="H331">
            <v>1691.8579999999999</v>
          </cell>
          <cell r="I331">
            <v>1753.171979</v>
          </cell>
        </row>
        <row r="332">
          <cell r="A332" t="str">
            <v>63190-BF_1.1.2</v>
          </cell>
          <cell r="B332" t="str">
            <v>QUINDIO</v>
          </cell>
          <cell r="C332">
            <v>63190</v>
          </cell>
          <cell r="D332" t="str">
            <v>CIRCASIA</v>
          </cell>
          <cell r="E332">
            <v>16</v>
          </cell>
          <cell r="F332" t="str">
            <v>BF_1.1.2</v>
          </cell>
          <cell r="G332" t="str">
            <v xml:space="preserve">        NO TRIBUTARIOS</v>
          </cell>
          <cell r="H332">
            <v>375.22500000000002</v>
          </cell>
          <cell r="I332">
            <v>384.08760899999999</v>
          </cell>
        </row>
        <row r="333">
          <cell r="A333" t="str">
            <v>63190-BF_1.1.2.1</v>
          </cell>
          <cell r="B333" t="str">
            <v>QUINDIO</v>
          </cell>
          <cell r="C333">
            <v>63190</v>
          </cell>
          <cell r="D333" t="str">
            <v>CIRCASIA</v>
          </cell>
          <cell r="E333">
            <v>17</v>
          </cell>
          <cell r="F333" t="str">
            <v>BF_1.1.2.1</v>
          </cell>
          <cell r="G333" t="str">
            <v xml:space="preserve">             Ingresos de la Propiedad: Tasas, Derechos, Multas y Sanciones</v>
          </cell>
          <cell r="H333">
            <v>331.01600000000002</v>
          </cell>
          <cell r="I333">
            <v>367.832628</v>
          </cell>
        </row>
        <row r="334">
          <cell r="A334" t="str">
            <v>63190-BF_1.1.2.2</v>
          </cell>
          <cell r="B334" t="str">
            <v>QUINDIO</v>
          </cell>
          <cell r="C334">
            <v>63190</v>
          </cell>
          <cell r="D334" t="str">
            <v>CIRCASIA</v>
          </cell>
          <cell r="E334">
            <v>18</v>
          </cell>
          <cell r="F334" t="str">
            <v>BF_1.1.2.2</v>
          </cell>
          <cell r="G334" t="str">
            <v xml:space="preserve">             Otros No Tributarios</v>
          </cell>
          <cell r="H334">
            <v>44.209000000000003</v>
          </cell>
          <cell r="I334">
            <v>16.254981000000001</v>
          </cell>
        </row>
        <row r="335">
          <cell r="A335" t="str">
            <v>63190-BF_1.1.3</v>
          </cell>
          <cell r="B335" t="str">
            <v>QUINDIO</v>
          </cell>
          <cell r="C335">
            <v>63190</v>
          </cell>
          <cell r="D335" t="str">
            <v>CIRCASIA</v>
          </cell>
          <cell r="E335">
            <v>19</v>
          </cell>
          <cell r="F335" t="str">
            <v>BF_1.1.3</v>
          </cell>
          <cell r="G335" t="str">
            <v xml:space="preserve">        TRANSFERENCIAS</v>
          </cell>
          <cell r="H335">
            <v>23646.659</v>
          </cell>
          <cell r="I335">
            <v>14778.142637999999</v>
          </cell>
        </row>
        <row r="336">
          <cell r="A336" t="str">
            <v>63190-BF_1.1.3.1</v>
          </cell>
          <cell r="B336" t="str">
            <v>QUINDIO</v>
          </cell>
          <cell r="C336">
            <v>63190</v>
          </cell>
          <cell r="D336" t="str">
            <v>CIRCASIA</v>
          </cell>
          <cell r="E336">
            <v>20</v>
          </cell>
          <cell r="F336" t="str">
            <v>BF_1.1.3.1</v>
          </cell>
          <cell r="G336" t="str">
            <v xml:space="preserve">             Transferencias Para Funcionamiento</v>
          </cell>
          <cell r="H336">
            <v>795.94799999999998</v>
          </cell>
          <cell r="I336">
            <v>1056.9559870000001</v>
          </cell>
        </row>
        <row r="337">
          <cell r="A337" t="str">
            <v>63190-BF_1.1.3.1.1</v>
          </cell>
          <cell r="B337" t="str">
            <v>QUINDIO</v>
          </cell>
          <cell r="C337">
            <v>63190</v>
          </cell>
          <cell r="D337" t="str">
            <v>CIRCASIA</v>
          </cell>
          <cell r="E337">
            <v>21</v>
          </cell>
          <cell r="F337" t="str">
            <v>BF_1.1.3.1.1</v>
          </cell>
          <cell r="G337" t="str">
            <v xml:space="preserve">                 Del Nivel Nacional</v>
          </cell>
          <cell r="H337">
            <v>682.87</v>
          </cell>
          <cell r="I337">
            <v>941.400035</v>
          </cell>
        </row>
        <row r="338">
          <cell r="A338" t="str">
            <v>63190-BF_1.1.3.1.1.1</v>
          </cell>
          <cell r="B338" t="str">
            <v>QUINDIO</v>
          </cell>
          <cell r="C338">
            <v>63190</v>
          </cell>
          <cell r="D338" t="str">
            <v>CIRCASIA</v>
          </cell>
          <cell r="E338">
            <v>22</v>
          </cell>
          <cell r="F338" t="str">
            <v>BF_1.1.3.1.1.1</v>
          </cell>
          <cell r="G338" t="str">
            <v xml:space="preserve">                     Sistema General de Participaciones - Propósito General - Libre destinación - Municipios categorías 4, 5 y 6</v>
          </cell>
          <cell r="H338">
            <v>682.87</v>
          </cell>
          <cell r="I338">
            <v>941.400035</v>
          </cell>
        </row>
        <row r="339">
          <cell r="A339" t="str">
            <v>63190-BF_1.1.3.1.2</v>
          </cell>
          <cell r="B339" t="str">
            <v>QUINDIO</v>
          </cell>
          <cell r="C339">
            <v>63190</v>
          </cell>
          <cell r="D339" t="str">
            <v>CIRCASIA</v>
          </cell>
          <cell r="E339">
            <v>24</v>
          </cell>
          <cell r="F339" t="str">
            <v>BF_1.1.3.1.2</v>
          </cell>
          <cell r="G339" t="str">
            <v xml:space="preserve">                 Del Nivel Departamental</v>
          </cell>
          <cell r="H339">
            <v>113.078</v>
          </cell>
          <cell r="I339">
            <v>115.555952</v>
          </cell>
        </row>
        <row r="340">
          <cell r="A340" t="str">
            <v>63190-BF_1.1.3.1.2.1</v>
          </cell>
          <cell r="B340" t="str">
            <v>QUINDIO</v>
          </cell>
          <cell r="C340">
            <v>63190</v>
          </cell>
          <cell r="D340" t="str">
            <v>CIRCASIA</v>
          </cell>
          <cell r="E340">
            <v>25</v>
          </cell>
          <cell r="F340" t="str">
            <v>BF_1.1.3.1.2.1</v>
          </cell>
          <cell r="G340" t="str">
            <v xml:space="preserve">                     De Vehículos Automotores</v>
          </cell>
          <cell r="H340">
            <v>113.078</v>
          </cell>
          <cell r="I340">
            <v>115.555952</v>
          </cell>
        </row>
        <row r="341">
          <cell r="A341" t="str">
            <v>63190-BF_1.1.3.2</v>
          </cell>
          <cell r="B341" t="str">
            <v>QUINDIO</v>
          </cell>
          <cell r="C341">
            <v>63190</v>
          </cell>
          <cell r="D341" t="str">
            <v>CIRCASIA</v>
          </cell>
          <cell r="E341">
            <v>28</v>
          </cell>
          <cell r="F341" t="str">
            <v>BF_1.1.3.2</v>
          </cell>
          <cell r="G341" t="str">
            <v xml:space="preserve">             Transferencias Para Inversión</v>
          </cell>
          <cell r="H341">
            <v>22850.710999999999</v>
          </cell>
          <cell r="I341">
            <v>13721.186651</v>
          </cell>
        </row>
        <row r="342">
          <cell r="A342" t="str">
            <v>63190-BF_1.1.3.2.1</v>
          </cell>
          <cell r="B342" t="str">
            <v>QUINDIO</v>
          </cell>
          <cell r="C342">
            <v>63190</v>
          </cell>
          <cell r="D342" t="str">
            <v>CIRCASIA</v>
          </cell>
          <cell r="E342">
            <v>29</v>
          </cell>
          <cell r="F342" t="str">
            <v>BF_1.1.3.2.1</v>
          </cell>
          <cell r="G342" t="str">
            <v xml:space="preserve">                 Del Nivel Nacional</v>
          </cell>
          <cell r="H342">
            <v>21974.898000000001</v>
          </cell>
          <cell r="I342">
            <v>12611.907985</v>
          </cell>
        </row>
        <row r="343">
          <cell r="A343" t="str">
            <v>63190-BF_1.1.3.2.1.1</v>
          </cell>
          <cell r="B343" t="str">
            <v>QUINDIO</v>
          </cell>
          <cell r="C343">
            <v>63190</v>
          </cell>
          <cell r="D343" t="str">
            <v>CIRCASIA</v>
          </cell>
          <cell r="E343">
            <v>30</v>
          </cell>
          <cell r="F343" t="str">
            <v>BF_1.1.3.2.1.1</v>
          </cell>
          <cell r="G343" t="str">
            <v xml:space="preserve">                     Sistema General de Participaciones</v>
          </cell>
          <cell r="H343">
            <v>6906.576</v>
          </cell>
          <cell r="I343">
            <v>7236.8592989999997</v>
          </cell>
        </row>
        <row r="344">
          <cell r="A344" t="str">
            <v>63190-BF_1.1.3.2.1.1.1</v>
          </cell>
          <cell r="B344" t="str">
            <v>QUINDIO</v>
          </cell>
          <cell r="C344">
            <v>63190</v>
          </cell>
          <cell r="D344" t="str">
            <v>CIRCASIA</v>
          </cell>
          <cell r="E344">
            <v>31</v>
          </cell>
          <cell r="F344" t="str">
            <v>BF_1.1.3.2.1.1.1</v>
          </cell>
          <cell r="G344" t="str">
            <v xml:space="preserve">                         Sistema General de Participaciones - Educación</v>
          </cell>
          <cell r="H344">
            <v>760.27700000000004</v>
          </cell>
          <cell r="I344">
            <v>731.55107799999996</v>
          </cell>
        </row>
        <row r="345">
          <cell r="A345" t="str">
            <v>63190-BF_1.1.3.2.1.1.2</v>
          </cell>
          <cell r="B345" t="str">
            <v>QUINDIO</v>
          </cell>
          <cell r="C345">
            <v>63190</v>
          </cell>
          <cell r="D345" t="str">
            <v>CIRCASIA</v>
          </cell>
          <cell r="E345">
            <v>32</v>
          </cell>
          <cell r="F345" t="str">
            <v>BF_1.1.3.2.1.1.2</v>
          </cell>
          <cell r="G345" t="str">
            <v xml:space="preserve">                         Sistema General de Participaciones - Salud</v>
          </cell>
          <cell r="H345">
            <v>4354.96</v>
          </cell>
          <cell r="I345">
            <v>4275.0574660000002</v>
          </cell>
        </row>
        <row r="346">
          <cell r="A346" t="str">
            <v>63190-BF_1.1.3.2.1.1.3</v>
          </cell>
          <cell r="B346" t="str">
            <v>QUINDIO</v>
          </cell>
          <cell r="C346">
            <v>63190</v>
          </cell>
          <cell r="D346" t="str">
            <v>CIRCASIA</v>
          </cell>
          <cell r="E346">
            <v>33</v>
          </cell>
          <cell r="F346" t="str">
            <v>BF_1.1.3.2.1.1.3</v>
          </cell>
          <cell r="G346" t="str">
            <v xml:space="preserve">                         Sistema General de Participaciones - Agua Potable y Saneamiento Básico</v>
          </cell>
          <cell r="H346">
            <v>831.69399999999996</v>
          </cell>
          <cell r="I346">
            <v>870.61676399999999</v>
          </cell>
        </row>
        <row r="347">
          <cell r="A347" t="str">
            <v>63190-BF_1.1.3.2.1.1.4</v>
          </cell>
          <cell r="B347" t="str">
            <v>QUINDIO</v>
          </cell>
          <cell r="C347">
            <v>63190</v>
          </cell>
          <cell r="D347" t="str">
            <v>CIRCASIA</v>
          </cell>
          <cell r="E347">
            <v>34</v>
          </cell>
          <cell r="F347" t="str">
            <v>BF_1.1.3.2.1.1.4</v>
          </cell>
          <cell r="G347" t="str">
            <v xml:space="preserve">                         Sistema General de Participaciones - Propósito General - Forzosa Inversión</v>
          </cell>
          <cell r="H347">
            <v>848.75199999999995</v>
          </cell>
          <cell r="I347">
            <v>1300.0286140000001</v>
          </cell>
        </row>
        <row r="348">
          <cell r="A348" t="str">
            <v>63190-BF_1.1.3.2.1.1.5</v>
          </cell>
          <cell r="B348" t="str">
            <v>QUINDIO</v>
          </cell>
          <cell r="C348">
            <v>63190</v>
          </cell>
          <cell r="D348" t="str">
            <v>CIRCASIA</v>
          </cell>
          <cell r="E348">
            <v>35</v>
          </cell>
          <cell r="F348" t="str">
            <v>BF_1.1.3.2.1.1.5</v>
          </cell>
          <cell r="G348" t="str">
            <v xml:space="preserve">                         Otras del Sistema General de Participaciones</v>
          </cell>
          <cell r="H348">
            <v>110.893</v>
          </cell>
          <cell r="I348">
            <v>59.605376999999997</v>
          </cell>
        </row>
        <row r="349">
          <cell r="A349" t="str">
            <v>63190-BF_1.1.3.2.1.2</v>
          </cell>
          <cell r="B349" t="str">
            <v>QUINDIO</v>
          </cell>
          <cell r="C349">
            <v>63190</v>
          </cell>
          <cell r="D349" t="str">
            <v>CIRCASIA</v>
          </cell>
          <cell r="E349">
            <v>36</v>
          </cell>
          <cell r="F349" t="str">
            <v>BF_1.1.3.2.1.2</v>
          </cell>
          <cell r="G349" t="str">
            <v xml:space="preserve">                     FOSYGA y COLJUEGOS</v>
          </cell>
          <cell r="H349">
            <v>5670.3220000000001</v>
          </cell>
          <cell r="I349">
            <v>5342.7186250000004</v>
          </cell>
        </row>
        <row r="350">
          <cell r="A350" t="str">
            <v>63190-BF_1.1.3.2.1.3</v>
          </cell>
          <cell r="B350" t="str">
            <v>QUINDIO</v>
          </cell>
          <cell r="C350">
            <v>63190</v>
          </cell>
          <cell r="D350" t="str">
            <v>CIRCASIA</v>
          </cell>
          <cell r="E350">
            <v>37</v>
          </cell>
          <cell r="F350" t="str">
            <v>BF_1.1.3.2.1.3</v>
          </cell>
          <cell r="G350" t="str">
            <v xml:space="preserve">                     Otras Transferencias de la Nación</v>
          </cell>
          <cell r="H350">
            <v>9398</v>
          </cell>
          <cell r="I350">
            <v>32.330061000000001</v>
          </cell>
        </row>
        <row r="351">
          <cell r="A351" t="str">
            <v>63190-BF_1.1.3.2.2</v>
          </cell>
          <cell r="B351" t="str">
            <v>QUINDIO</v>
          </cell>
          <cell r="C351">
            <v>63190</v>
          </cell>
          <cell r="D351" t="str">
            <v>CIRCASIA</v>
          </cell>
          <cell r="E351">
            <v>38</v>
          </cell>
          <cell r="F351" t="str">
            <v>BF_1.1.3.2.2</v>
          </cell>
          <cell r="G351" t="str">
            <v xml:space="preserve">                 Del Nivel Departamental</v>
          </cell>
          <cell r="H351">
            <v>875.81299999999999</v>
          </cell>
          <cell r="I351">
            <v>1109.2786659999999</v>
          </cell>
        </row>
        <row r="352">
          <cell r="A352" t="str">
            <v>63190-BF_2</v>
          </cell>
          <cell r="B352" t="str">
            <v>QUINDIO</v>
          </cell>
          <cell r="C352">
            <v>63190</v>
          </cell>
          <cell r="D352" t="str">
            <v>CIRCASIA</v>
          </cell>
          <cell r="E352">
            <v>43</v>
          </cell>
          <cell r="F352" t="str">
            <v>BF_2</v>
          </cell>
          <cell r="G352" t="str">
            <v>GASTOS  TOTALES</v>
          </cell>
          <cell r="H352">
            <v>28863.546999999999</v>
          </cell>
          <cell r="I352">
            <v>31689.991674000001</v>
          </cell>
        </row>
        <row r="353">
          <cell r="A353" t="str">
            <v>63190-BF_2.1</v>
          </cell>
          <cell r="B353" t="str">
            <v>QUINDIO</v>
          </cell>
          <cell r="C353">
            <v>63190</v>
          </cell>
          <cell r="D353" t="str">
            <v>CIRCASIA</v>
          </cell>
          <cell r="E353">
            <v>44</v>
          </cell>
          <cell r="F353" t="str">
            <v>BF_2.1</v>
          </cell>
          <cell r="G353" t="str">
            <v xml:space="preserve">    GASTOS CORRIENTES</v>
          </cell>
          <cell r="H353">
            <v>25080.981</v>
          </cell>
          <cell r="I353">
            <v>19552.139220000001</v>
          </cell>
        </row>
        <row r="354">
          <cell r="A354" t="str">
            <v>63190-BF_2.1.1</v>
          </cell>
          <cell r="B354" t="str">
            <v>QUINDIO</v>
          </cell>
          <cell r="C354">
            <v>63190</v>
          </cell>
          <cell r="D354" t="str">
            <v>CIRCASIA</v>
          </cell>
          <cell r="E354">
            <v>45</v>
          </cell>
          <cell r="F354" t="str">
            <v>BF_2.1.1</v>
          </cell>
          <cell r="G354" t="str">
            <v xml:space="preserve">        FUNCIONAMIENTO</v>
          </cell>
          <cell r="H354">
            <v>3007.1849999999999</v>
          </cell>
          <cell r="I354">
            <v>3024.320162</v>
          </cell>
        </row>
        <row r="355">
          <cell r="A355" t="str">
            <v>63190-BF_2.1.1.1</v>
          </cell>
          <cell r="B355" t="str">
            <v>QUINDIO</v>
          </cell>
          <cell r="C355">
            <v>63190</v>
          </cell>
          <cell r="D355" t="str">
            <v>CIRCASIA</v>
          </cell>
          <cell r="E355">
            <v>46</v>
          </cell>
          <cell r="F355" t="str">
            <v>BF_2.1.1.1</v>
          </cell>
          <cell r="G355" t="str">
            <v xml:space="preserve">             Gastos de Personal  </v>
          </cell>
          <cell r="H355">
            <v>1676.6220000000001</v>
          </cell>
          <cell r="I355">
            <v>1765.7496599999999</v>
          </cell>
        </row>
        <row r="356">
          <cell r="A356" t="str">
            <v>63190-BF_2.1.1.2</v>
          </cell>
          <cell r="B356" t="str">
            <v>QUINDIO</v>
          </cell>
          <cell r="C356">
            <v>63190</v>
          </cell>
          <cell r="D356" t="str">
            <v>CIRCASIA</v>
          </cell>
          <cell r="E356">
            <v>47</v>
          </cell>
          <cell r="F356" t="str">
            <v>BF_2.1.1.2</v>
          </cell>
          <cell r="G356" t="str">
            <v xml:space="preserve">             Gastos Generales</v>
          </cell>
          <cell r="H356">
            <v>514.34100000000001</v>
          </cell>
          <cell r="I356">
            <v>493.64921299999997</v>
          </cell>
        </row>
        <row r="357">
          <cell r="A357" t="str">
            <v>63190-BF_2.1.1.3</v>
          </cell>
          <cell r="B357" t="str">
            <v>QUINDIO</v>
          </cell>
          <cell r="C357">
            <v>63190</v>
          </cell>
          <cell r="D357" t="str">
            <v>CIRCASIA</v>
          </cell>
          <cell r="E357">
            <v>48</v>
          </cell>
          <cell r="F357" t="str">
            <v>BF_2.1.1.3</v>
          </cell>
          <cell r="G357" t="str">
            <v xml:space="preserve">             Transferencias</v>
          </cell>
          <cell r="H357">
            <v>816.22199999999998</v>
          </cell>
          <cell r="I357">
            <v>764.921289</v>
          </cell>
        </row>
        <row r="358">
          <cell r="A358" t="str">
            <v>63190-BF_2.1.1.3.1</v>
          </cell>
          <cell r="B358" t="str">
            <v>QUINDIO</v>
          </cell>
          <cell r="C358">
            <v>63190</v>
          </cell>
          <cell r="D358" t="str">
            <v>CIRCASIA</v>
          </cell>
          <cell r="E358">
            <v>49</v>
          </cell>
          <cell r="F358" t="str">
            <v>BF_2.1.1.3.1</v>
          </cell>
          <cell r="G358" t="str">
            <v xml:space="preserve">                 Pensiones</v>
          </cell>
          <cell r="H358">
            <v>76.483999999999995</v>
          </cell>
          <cell r="I358">
            <v>31.496376999999999</v>
          </cell>
        </row>
        <row r="359">
          <cell r="A359" t="str">
            <v>63190-BF_2.1.1.3.2</v>
          </cell>
          <cell r="B359" t="str">
            <v>QUINDIO</v>
          </cell>
          <cell r="C359">
            <v>63190</v>
          </cell>
          <cell r="D359" t="str">
            <v>CIRCASIA</v>
          </cell>
          <cell r="E359">
            <v>50</v>
          </cell>
          <cell r="F359" t="str">
            <v>BF_2.1.1.3.2</v>
          </cell>
          <cell r="G359" t="str">
            <v xml:space="preserve">                 A Fonpet</v>
          </cell>
          <cell r="H359">
            <v>29.85</v>
          </cell>
          <cell r="I359">
            <v>91.405314000000004</v>
          </cell>
        </row>
        <row r="360">
          <cell r="A360" t="str">
            <v>63190-BF_2.1.1.3.4</v>
          </cell>
          <cell r="B360" t="str">
            <v>QUINDIO</v>
          </cell>
          <cell r="C360">
            <v>63190</v>
          </cell>
          <cell r="D360" t="str">
            <v>CIRCASIA</v>
          </cell>
          <cell r="E360">
            <v>52</v>
          </cell>
          <cell r="F360" t="str">
            <v>BF_2.1.1.3.4</v>
          </cell>
          <cell r="G360" t="str">
            <v xml:space="preserve">                 A Organismos de Control</v>
          </cell>
          <cell r="H360">
            <v>300.45499999999998</v>
          </cell>
          <cell r="I360">
            <v>314.34142200000002</v>
          </cell>
        </row>
        <row r="361">
          <cell r="A361" t="str">
            <v>63190-BF_2.1.1.3.6</v>
          </cell>
          <cell r="B361" t="str">
            <v>QUINDIO</v>
          </cell>
          <cell r="C361">
            <v>63190</v>
          </cell>
          <cell r="D361" t="str">
            <v>CIRCASIA</v>
          </cell>
          <cell r="E361">
            <v>54</v>
          </cell>
          <cell r="F361" t="str">
            <v>BF_2.1.1.3.6</v>
          </cell>
          <cell r="G361" t="str">
            <v xml:space="preserve">                 Sentencias y Conciliaciones</v>
          </cell>
          <cell r="H361">
            <v>401.952</v>
          </cell>
          <cell r="I361">
            <v>323.62073199999998</v>
          </cell>
        </row>
        <row r="362">
          <cell r="A362" t="str">
            <v>63190-BF_2.1.1.3.7</v>
          </cell>
          <cell r="B362" t="str">
            <v>QUINDIO</v>
          </cell>
          <cell r="C362">
            <v>63190</v>
          </cell>
          <cell r="D362" t="str">
            <v>CIRCASIA</v>
          </cell>
          <cell r="E362">
            <v>55</v>
          </cell>
          <cell r="F362" t="str">
            <v>BF_2.1.1.3.7</v>
          </cell>
          <cell r="G362" t="str">
            <v xml:space="preserve">                 Otras Transferencias</v>
          </cell>
          <cell r="H362">
            <v>7.4809999999999999</v>
          </cell>
          <cell r="I362">
            <v>4.0574440000000003</v>
          </cell>
        </row>
        <row r="363">
          <cell r="A363" t="str">
            <v>63190-BF_2.1.4</v>
          </cell>
          <cell r="B363" t="str">
            <v>QUINDIO</v>
          </cell>
          <cell r="C363">
            <v>63190</v>
          </cell>
          <cell r="D363" t="str">
            <v>CIRCASIA</v>
          </cell>
          <cell r="E363">
            <v>61</v>
          </cell>
          <cell r="F363" t="str">
            <v>BF_2.1.4</v>
          </cell>
          <cell r="G363" t="str">
            <v xml:space="preserve">        GASTOS OPERATIVOS EN SECTORES SOCIALES (Remuneración al Trabajo, Prestaciones, y Subsidios en Sectores de Inversión)</v>
          </cell>
          <cell r="H363">
            <v>21924.516</v>
          </cell>
          <cell r="I363">
            <v>16432.812182000001</v>
          </cell>
        </row>
        <row r="364">
          <cell r="A364" t="str">
            <v>63190-BF_2.1.4.1</v>
          </cell>
          <cell r="B364" t="str">
            <v>QUINDIO</v>
          </cell>
          <cell r="C364">
            <v>63190</v>
          </cell>
          <cell r="D364" t="str">
            <v>CIRCASIA</v>
          </cell>
          <cell r="E364">
            <v>62</v>
          </cell>
          <cell r="F364" t="str">
            <v>BF_2.1.4.1</v>
          </cell>
          <cell r="G364" t="str">
            <v xml:space="preserve">             Educación</v>
          </cell>
          <cell r="H364">
            <v>941.91200000000003</v>
          </cell>
          <cell r="I364">
            <v>860.21367299999997</v>
          </cell>
        </row>
        <row r="365">
          <cell r="A365" t="str">
            <v>63190-BF_2.1.4.2</v>
          </cell>
          <cell r="B365" t="str">
            <v>QUINDIO</v>
          </cell>
          <cell r="C365">
            <v>63190</v>
          </cell>
          <cell r="D365" t="str">
            <v>CIRCASIA</v>
          </cell>
          <cell r="E365">
            <v>63</v>
          </cell>
          <cell r="F365" t="str">
            <v>BF_2.1.4.2</v>
          </cell>
          <cell r="G365" t="str">
            <v xml:space="preserve">             Salud</v>
          </cell>
          <cell r="H365">
            <v>20231.968000000001</v>
          </cell>
          <cell r="I365">
            <v>12176.748912999999</v>
          </cell>
        </row>
        <row r="366">
          <cell r="A366" t="str">
            <v>63190-BF_2.1.4.3</v>
          </cell>
          <cell r="B366" t="str">
            <v>QUINDIO</v>
          </cell>
          <cell r="C366">
            <v>63190</v>
          </cell>
          <cell r="D366" t="str">
            <v>CIRCASIA</v>
          </cell>
          <cell r="E366">
            <v>64</v>
          </cell>
          <cell r="F366" t="str">
            <v>BF_2.1.4.3</v>
          </cell>
          <cell r="G366" t="str">
            <v xml:space="preserve">             Agua Potable y Saneamiento Básico</v>
          </cell>
          <cell r="H366">
            <v>718.11</v>
          </cell>
          <cell r="I366">
            <v>727.20065599999998</v>
          </cell>
        </row>
        <row r="367">
          <cell r="A367" t="str">
            <v>63190-BF_2.1.4.5</v>
          </cell>
          <cell r="B367" t="str">
            <v>QUINDIO</v>
          </cell>
          <cell r="C367">
            <v>63190</v>
          </cell>
          <cell r="D367" t="str">
            <v>CIRCASIA</v>
          </cell>
          <cell r="E367">
            <v>66</v>
          </cell>
          <cell r="F367" t="str">
            <v>BF_2.1.4.5</v>
          </cell>
          <cell r="G367" t="str">
            <v xml:space="preserve">             Otros Sectores</v>
          </cell>
          <cell r="H367">
            <v>32.526000000000003</v>
          </cell>
          <cell r="I367">
            <v>2668.64894</v>
          </cell>
        </row>
        <row r="368">
          <cell r="A368" t="str">
            <v>63190-BF_2.1.5</v>
          </cell>
          <cell r="B368" t="str">
            <v>QUINDIO</v>
          </cell>
          <cell r="C368">
            <v>63190</v>
          </cell>
          <cell r="D368" t="str">
            <v>CIRCASIA</v>
          </cell>
          <cell r="E368">
            <v>67</v>
          </cell>
          <cell r="F368" t="str">
            <v>BF_2.1.5</v>
          </cell>
          <cell r="G368" t="str">
            <v xml:space="preserve">        INTERESES Y COMISIONES DE LA DEUDA</v>
          </cell>
          <cell r="H368">
            <v>149.28</v>
          </cell>
          <cell r="I368">
            <v>95.006876000000005</v>
          </cell>
        </row>
        <row r="369">
          <cell r="A369" t="str">
            <v>63190-BF_2.1.5.1</v>
          </cell>
          <cell r="B369" t="str">
            <v>QUINDIO</v>
          </cell>
          <cell r="C369">
            <v>63190</v>
          </cell>
          <cell r="D369" t="str">
            <v>CIRCASIA</v>
          </cell>
          <cell r="E369">
            <v>68</v>
          </cell>
          <cell r="F369" t="str">
            <v>BF_2.1.5.1</v>
          </cell>
          <cell r="G369" t="str">
            <v xml:space="preserve">             Interna</v>
          </cell>
          <cell r="H369">
            <v>149.28</v>
          </cell>
          <cell r="I369">
            <v>95.006876000000005</v>
          </cell>
        </row>
        <row r="370">
          <cell r="A370" t="str">
            <v>63190-BF_3</v>
          </cell>
          <cell r="B370" t="str">
            <v>QUINDIO</v>
          </cell>
          <cell r="C370">
            <v>63190</v>
          </cell>
          <cell r="D370" t="str">
            <v>CIRCASIA</v>
          </cell>
          <cell r="E370">
            <v>70</v>
          </cell>
          <cell r="F370" t="str">
            <v>BF_3</v>
          </cell>
          <cell r="G370" t="str">
            <v>DÉFICIT O AHORRO CORRIENTE</v>
          </cell>
          <cell r="H370">
            <v>3456.48</v>
          </cell>
          <cell r="I370">
            <v>675.27224699999999</v>
          </cell>
        </row>
        <row r="371">
          <cell r="A371" t="str">
            <v>63190-BF_4</v>
          </cell>
          <cell r="B371" t="str">
            <v>QUINDIO</v>
          </cell>
          <cell r="C371">
            <v>63190</v>
          </cell>
          <cell r="D371" t="str">
            <v>CIRCASIA</v>
          </cell>
          <cell r="E371">
            <v>71</v>
          </cell>
          <cell r="F371" t="str">
            <v>BF_4</v>
          </cell>
          <cell r="G371" t="str">
            <v>INGRESOS DE CAPITAL</v>
          </cell>
          <cell r="H371">
            <v>2000.0909999999999</v>
          </cell>
          <cell r="I371">
            <v>1643.3896279999999</v>
          </cell>
        </row>
        <row r="372">
          <cell r="A372" t="str">
            <v>63190-BF_4.1</v>
          </cell>
          <cell r="B372" t="str">
            <v>QUINDIO</v>
          </cell>
          <cell r="C372">
            <v>63190</v>
          </cell>
          <cell r="D372" t="str">
            <v>CIRCASIA</v>
          </cell>
          <cell r="E372">
            <v>72</v>
          </cell>
          <cell r="F372" t="str">
            <v>BF_4.1</v>
          </cell>
          <cell r="G372" t="str">
            <v xml:space="preserve">    Cofinanciación</v>
          </cell>
          <cell r="H372">
            <v>1955.357</v>
          </cell>
          <cell r="I372">
            <v>0</v>
          </cell>
        </row>
        <row r="373">
          <cell r="A373" t="str">
            <v>63190-BF_4.4</v>
          </cell>
          <cell r="B373" t="str">
            <v>QUINDIO</v>
          </cell>
          <cell r="C373">
            <v>63190</v>
          </cell>
          <cell r="D373" t="str">
            <v>CIRCASIA</v>
          </cell>
          <cell r="E373">
            <v>75</v>
          </cell>
          <cell r="F373" t="str">
            <v>BF_4.4</v>
          </cell>
          <cell r="G373" t="str">
            <v xml:space="preserve">    Rendimientos Financieros</v>
          </cell>
          <cell r="H373">
            <v>44.734000000000002</v>
          </cell>
          <cell r="I373">
            <v>45.143971000000001</v>
          </cell>
        </row>
        <row r="374">
          <cell r="A374" t="str">
            <v>63190-BF_4.6</v>
          </cell>
          <cell r="B374" t="str">
            <v>QUINDIO</v>
          </cell>
          <cell r="C374">
            <v>63190</v>
          </cell>
          <cell r="D374" t="str">
            <v>CIRCASIA</v>
          </cell>
          <cell r="E374">
            <v>77</v>
          </cell>
          <cell r="F374" t="str">
            <v>BF_4.6</v>
          </cell>
          <cell r="G374" t="str">
            <v xml:space="preserve">    Desahorro FONPET</v>
          </cell>
          <cell r="H374">
            <v>0</v>
          </cell>
          <cell r="I374">
            <v>1598.2456569999999</v>
          </cell>
        </row>
        <row r="375">
          <cell r="A375" t="str">
            <v>63190-BF_4.6.1</v>
          </cell>
          <cell r="B375" t="str">
            <v>QUINDIO</v>
          </cell>
          <cell r="C375">
            <v>63190</v>
          </cell>
          <cell r="D375" t="str">
            <v>CIRCASIA</v>
          </cell>
          <cell r="E375">
            <v>78</v>
          </cell>
          <cell r="F375" t="str">
            <v>BF_4.6.1</v>
          </cell>
          <cell r="G375" t="str">
            <v xml:space="preserve">    Salud</v>
          </cell>
          <cell r="H375">
            <v>0</v>
          </cell>
          <cell r="I375">
            <v>1598.2456569999999</v>
          </cell>
        </row>
        <row r="376">
          <cell r="A376" t="str">
            <v>63190-BF_5</v>
          </cell>
          <cell r="B376" t="str">
            <v>QUINDIO</v>
          </cell>
          <cell r="C376">
            <v>63190</v>
          </cell>
          <cell r="D376" t="str">
            <v>CIRCASIA</v>
          </cell>
          <cell r="E376">
            <v>83</v>
          </cell>
          <cell r="F376" t="str">
            <v>BF_5</v>
          </cell>
          <cell r="G376" t="str">
            <v>GASTOS DE CAPITAL</v>
          </cell>
          <cell r="H376">
            <v>3782.5659999999998</v>
          </cell>
          <cell r="I376">
            <v>12137.852454</v>
          </cell>
        </row>
        <row r="377">
          <cell r="A377" t="str">
            <v>63190-BF_5.1</v>
          </cell>
          <cell r="B377" t="str">
            <v>QUINDIO</v>
          </cell>
          <cell r="C377">
            <v>63190</v>
          </cell>
          <cell r="D377" t="str">
            <v>CIRCASIA</v>
          </cell>
          <cell r="E377">
            <v>84</v>
          </cell>
          <cell r="F377" t="str">
            <v>BF_5.1</v>
          </cell>
          <cell r="G377" t="str">
            <v xml:space="preserve">    Formación Bruta de Capital (Construcción, Reparación, Mantenimiento, Preinversión, Otros)</v>
          </cell>
          <cell r="H377">
            <v>3782.5659999999998</v>
          </cell>
          <cell r="I377">
            <v>12137.852454</v>
          </cell>
        </row>
        <row r="378">
          <cell r="A378" t="str">
            <v>63190-BF_5.1.1</v>
          </cell>
          <cell r="B378" t="str">
            <v>QUINDIO</v>
          </cell>
          <cell r="C378">
            <v>63190</v>
          </cell>
          <cell r="D378" t="str">
            <v>CIRCASIA</v>
          </cell>
          <cell r="E378">
            <v>85</v>
          </cell>
          <cell r="F378" t="str">
            <v>BF_5.1.1</v>
          </cell>
          <cell r="G378" t="str">
            <v xml:space="preserve">        Educación</v>
          </cell>
          <cell r="H378">
            <v>32.46</v>
          </cell>
          <cell r="I378">
            <v>42.375717999999999</v>
          </cell>
        </row>
        <row r="379">
          <cell r="A379" t="str">
            <v>63190-BF_5.1.2</v>
          </cell>
          <cell r="B379" t="str">
            <v>QUINDIO</v>
          </cell>
          <cell r="C379">
            <v>63190</v>
          </cell>
          <cell r="D379" t="str">
            <v>CIRCASIA</v>
          </cell>
          <cell r="E379">
            <v>86</v>
          </cell>
          <cell r="F379" t="str">
            <v>BF_5.1.2</v>
          </cell>
          <cell r="G379" t="str">
            <v xml:space="preserve">        Salud</v>
          </cell>
          <cell r="H379">
            <v>52.774000000000001</v>
          </cell>
          <cell r="I379">
            <v>9395.916851</v>
          </cell>
        </row>
        <row r="380">
          <cell r="A380" t="str">
            <v>63190-BF_5.1.3</v>
          </cell>
          <cell r="B380" t="str">
            <v>QUINDIO</v>
          </cell>
          <cell r="C380">
            <v>63190</v>
          </cell>
          <cell r="D380" t="str">
            <v>CIRCASIA</v>
          </cell>
          <cell r="E380">
            <v>87</v>
          </cell>
          <cell r="F380" t="str">
            <v>BF_5.1.3</v>
          </cell>
          <cell r="G380" t="str">
            <v xml:space="preserve">        Agua Potable</v>
          </cell>
          <cell r="H380">
            <v>171.87200000000001</v>
          </cell>
          <cell r="I380">
            <v>428.248221</v>
          </cell>
        </row>
        <row r="381">
          <cell r="A381" t="str">
            <v>63190-BF_5.1.5</v>
          </cell>
          <cell r="B381" t="str">
            <v>QUINDIO</v>
          </cell>
          <cell r="C381">
            <v>63190</v>
          </cell>
          <cell r="D381" t="str">
            <v>CIRCASIA</v>
          </cell>
          <cell r="E381">
            <v>89</v>
          </cell>
          <cell r="F381" t="str">
            <v>BF_5.1.5</v>
          </cell>
          <cell r="G381" t="str">
            <v xml:space="preserve">        Vías</v>
          </cell>
          <cell r="H381">
            <v>313.54500000000002</v>
          </cell>
          <cell r="I381">
            <v>1713.9187930000001</v>
          </cell>
        </row>
        <row r="382">
          <cell r="A382" t="str">
            <v>63190-BF_5.1.6</v>
          </cell>
          <cell r="B382" t="str">
            <v>QUINDIO</v>
          </cell>
          <cell r="C382">
            <v>63190</v>
          </cell>
          <cell r="D382" t="str">
            <v>CIRCASIA</v>
          </cell>
          <cell r="E382">
            <v>90</v>
          </cell>
          <cell r="F382" t="str">
            <v>BF_5.1.6</v>
          </cell>
          <cell r="G382" t="str">
            <v xml:space="preserve">        Otros Sectores</v>
          </cell>
          <cell r="H382">
            <v>3211.915</v>
          </cell>
          <cell r="I382">
            <v>557.39287100000001</v>
          </cell>
        </row>
        <row r="383">
          <cell r="A383" t="str">
            <v>63190-BF_6</v>
          </cell>
          <cell r="B383" t="str">
            <v>QUINDIO</v>
          </cell>
          <cell r="C383">
            <v>63190</v>
          </cell>
          <cell r="D383" t="str">
            <v>CIRCASIA</v>
          </cell>
          <cell r="E383">
            <v>92</v>
          </cell>
          <cell r="F383" t="str">
            <v>BF_6</v>
          </cell>
          <cell r="G383" t="str">
            <v>DÉFICIT O SUPERÁVIT DE CAPITAL</v>
          </cell>
          <cell r="H383">
            <v>-1782.4749999999999</v>
          </cell>
          <cell r="I383">
            <v>-10494.462826000001</v>
          </cell>
        </row>
        <row r="384">
          <cell r="A384" t="str">
            <v>63190-BF_7</v>
          </cell>
          <cell r="B384" t="str">
            <v>QUINDIO</v>
          </cell>
          <cell r="C384">
            <v>63190</v>
          </cell>
          <cell r="D384" t="str">
            <v>CIRCASIA</v>
          </cell>
          <cell r="E384">
            <v>93</v>
          </cell>
          <cell r="F384" t="str">
            <v>BF_7</v>
          </cell>
          <cell r="G384" t="str">
            <v>DÉFICIT O SUPERÁVIT TOTAL</v>
          </cell>
          <cell r="H384">
            <v>1674.0050000000001</v>
          </cell>
          <cell r="I384">
            <v>-9819.1905790000001</v>
          </cell>
        </row>
        <row r="385">
          <cell r="A385" t="str">
            <v>63190-BF_8</v>
          </cell>
          <cell r="B385" t="str">
            <v>QUINDIO</v>
          </cell>
          <cell r="C385">
            <v>63190</v>
          </cell>
          <cell r="D385" t="str">
            <v>CIRCASIA</v>
          </cell>
          <cell r="E385">
            <v>94</v>
          </cell>
          <cell r="F385" t="str">
            <v>BF_8</v>
          </cell>
          <cell r="G385" t="str">
            <v>FINANCIACIÓN</v>
          </cell>
          <cell r="H385">
            <v>1652.58</v>
          </cell>
          <cell r="I385">
            <v>12449.915085000001</v>
          </cell>
        </row>
        <row r="386">
          <cell r="A386" t="str">
            <v>63190-BF_8.1</v>
          </cell>
          <cell r="B386" t="str">
            <v>QUINDIO</v>
          </cell>
          <cell r="C386">
            <v>63190</v>
          </cell>
          <cell r="D386" t="str">
            <v>CIRCASIA</v>
          </cell>
          <cell r="E386">
            <v>95</v>
          </cell>
          <cell r="F386" t="str">
            <v>BF_8.1</v>
          </cell>
          <cell r="G386" t="str">
            <v xml:space="preserve">    RECURSOS DEL CRÉDITO</v>
          </cell>
          <cell r="H386">
            <v>-340.76600000000002</v>
          </cell>
          <cell r="I386">
            <v>-340.76564300000001</v>
          </cell>
        </row>
        <row r="387">
          <cell r="A387" t="str">
            <v>63190-BF_8.1.1</v>
          </cell>
          <cell r="B387" t="str">
            <v>QUINDIO</v>
          </cell>
          <cell r="C387">
            <v>63190</v>
          </cell>
          <cell r="D387" t="str">
            <v>CIRCASIA</v>
          </cell>
          <cell r="E387">
            <v>96</v>
          </cell>
          <cell r="F387" t="str">
            <v>BF_8.1.1</v>
          </cell>
          <cell r="G387" t="str">
            <v xml:space="preserve">        Interno</v>
          </cell>
          <cell r="H387">
            <v>-340.76600000000002</v>
          </cell>
          <cell r="I387">
            <v>-340.76564300000001</v>
          </cell>
        </row>
        <row r="388">
          <cell r="A388" t="str">
            <v>63190-BF_8.1.1.2</v>
          </cell>
          <cell r="B388" t="str">
            <v>QUINDIO</v>
          </cell>
          <cell r="C388">
            <v>63190</v>
          </cell>
          <cell r="D388" t="str">
            <v>CIRCASIA</v>
          </cell>
          <cell r="E388">
            <v>98</v>
          </cell>
          <cell r="F388" t="str">
            <v>BF_8.1.1.2</v>
          </cell>
          <cell r="G388" t="str">
            <v xml:space="preserve">             Amortizaciones</v>
          </cell>
          <cell r="H388">
            <v>340.76600000000002</v>
          </cell>
          <cell r="I388">
            <v>340.76564300000001</v>
          </cell>
        </row>
        <row r="389">
          <cell r="A389" t="str">
            <v>63190-BF_8.2</v>
          </cell>
          <cell r="B389" t="str">
            <v>QUINDIO</v>
          </cell>
          <cell r="C389">
            <v>63190</v>
          </cell>
          <cell r="D389" t="str">
            <v>CIRCASIA</v>
          </cell>
          <cell r="E389">
            <v>102</v>
          </cell>
          <cell r="F389" t="str">
            <v>BF_8.2</v>
          </cell>
          <cell r="G389" t="str">
            <v xml:space="preserve">    Recursos del Balance (Superávit Fiscal, Cancelación de Reservas)</v>
          </cell>
          <cell r="H389">
            <v>1993.346</v>
          </cell>
          <cell r="I389">
            <v>12790.680727999999</v>
          </cell>
        </row>
        <row r="390">
          <cell r="A390" t="str">
            <v>63190-BF_9.1</v>
          </cell>
          <cell r="B390" t="str">
            <v>QUINDIO</v>
          </cell>
          <cell r="C390">
            <v>63190</v>
          </cell>
          <cell r="D390" t="str">
            <v>CIRCASIA</v>
          </cell>
          <cell r="E390">
            <v>107</v>
          </cell>
          <cell r="F390" t="str">
            <v>BF_9.1</v>
          </cell>
          <cell r="G390" t="str">
            <v xml:space="preserve">    DÉFICIT O SUPERÁVIT PRIMARIO</v>
          </cell>
          <cell r="H390">
            <v>3816.6309999999999</v>
          </cell>
          <cell r="I390">
            <v>3066.4970250000001</v>
          </cell>
        </row>
        <row r="391">
          <cell r="A391" t="str">
            <v>63190-BF_9.2</v>
          </cell>
          <cell r="B391" t="str">
            <v>QUINDIO</v>
          </cell>
          <cell r="C391">
            <v>63190</v>
          </cell>
          <cell r="D391" t="str">
            <v>CIRCASIA</v>
          </cell>
          <cell r="E391">
            <v>108</v>
          </cell>
          <cell r="F391" t="str">
            <v>BF_9.2</v>
          </cell>
          <cell r="G391" t="str">
            <v xml:space="preserve">    DÉFICIT O SUPERÁVIT PRIMARIO/INTERESES</v>
          </cell>
          <cell r="H391">
            <v>25.567</v>
          </cell>
          <cell r="I391">
            <v>32.276579908000002</v>
          </cell>
        </row>
        <row r="392">
          <cell r="A392" t="str">
            <v>63190-BF_10.1</v>
          </cell>
          <cell r="B392" t="str">
            <v>QUINDIO</v>
          </cell>
          <cell r="C392">
            <v>63190</v>
          </cell>
          <cell r="D392" t="str">
            <v>CIRCASIA</v>
          </cell>
          <cell r="E392">
            <v>110</v>
          </cell>
          <cell r="F392" t="str">
            <v>BF_10.1</v>
          </cell>
          <cell r="G392" t="str">
            <v xml:space="preserve">    INGRESOS TOTALES SIN INCLUIR RECURSOS PARA RESERVAS PRESUPUESTALES</v>
          </cell>
          <cell r="H392">
            <v>32530.898000000001</v>
          </cell>
          <cell r="I392">
            <v>34661.481823000002</v>
          </cell>
        </row>
        <row r="393">
          <cell r="A393" t="str">
            <v>63190-BF_10.2</v>
          </cell>
          <cell r="B393" t="str">
            <v>QUINDIO</v>
          </cell>
          <cell r="C393">
            <v>63190</v>
          </cell>
          <cell r="D393" t="str">
            <v>CIRCASIA</v>
          </cell>
          <cell r="E393">
            <v>111</v>
          </cell>
          <cell r="F393" t="str">
            <v>BF_10.2</v>
          </cell>
          <cell r="G393" t="str">
            <v xml:space="preserve">    GASTOS TOTALES SIN INCLUIR GASTOS POR RESERVAS PRESUPUESTALES</v>
          </cell>
          <cell r="H393">
            <v>29204.312999999998</v>
          </cell>
          <cell r="I393">
            <v>32030.757317</v>
          </cell>
        </row>
        <row r="394">
          <cell r="A394" t="str">
            <v>63190-BF_10.3</v>
          </cell>
          <cell r="B394" t="str">
            <v>QUINDIO</v>
          </cell>
          <cell r="C394">
            <v>63190</v>
          </cell>
          <cell r="D394" t="str">
            <v>CIRCASIA</v>
          </cell>
          <cell r="E394">
            <v>112</v>
          </cell>
          <cell r="F394" t="str">
            <v>BF_10.3</v>
          </cell>
          <cell r="G394" t="str">
            <v xml:space="preserve">    DÉFICIT O SUPERÁVIT PRESUPUESTAL SIN INCLUIR RESERVAS PRESUPUESTALES</v>
          </cell>
          <cell r="H394">
            <v>3326.585</v>
          </cell>
          <cell r="I394">
            <v>2630.724506</v>
          </cell>
        </row>
        <row r="395">
          <cell r="A395" t="str">
            <v>63190-BF_12.1</v>
          </cell>
          <cell r="B395" t="str">
            <v>QUINDIO</v>
          </cell>
          <cell r="C395">
            <v>63190</v>
          </cell>
          <cell r="D395" t="str">
            <v>CIRCASIA</v>
          </cell>
          <cell r="E395">
            <v>114</v>
          </cell>
          <cell r="F395" t="str">
            <v>BF_12.1</v>
          </cell>
          <cell r="G395" t="str">
            <v xml:space="preserve">    INGRESOS TOTALES</v>
          </cell>
          <cell r="H395">
            <v>32547.096000000001</v>
          </cell>
          <cell r="I395">
            <v>34677.679644000003</v>
          </cell>
        </row>
        <row r="396">
          <cell r="A396" t="str">
            <v>63190-BF_12.2</v>
          </cell>
          <cell r="B396" t="str">
            <v>QUINDIO</v>
          </cell>
          <cell r="C396">
            <v>63190</v>
          </cell>
          <cell r="D396" t="str">
            <v>CIRCASIA</v>
          </cell>
          <cell r="E396">
            <v>115</v>
          </cell>
          <cell r="F396" t="str">
            <v>BF_12.2</v>
          </cell>
          <cell r="G396" t="str">
            <v xml:space="preserve">    GASTOS TOTALES</v>
          </cell>
          <cell r="H396">
            <v>29204.312999999998</v>
          </cell>
          <cell r="I396">
            <v>32046.955138000001</v>
          </cell>
        </row>
        <row r="397">
          <cell r="A397" t="str">
            <v>63190-BF_12.3</v>
          </cell>
          <cell r="B397" t="str">
            <v>QUINDIO</v>
          </cell>
          <cell r="C397">
            <v>63190</v>
          </cell>
          <cell r="D397" t="str">
            <v>CIRCASIA</v>
          </cell>
          <cell r="E397">
            <v>116</v>
          </cell>
          <cell r="F397" t="str">
            <v>BF_12.3</v>
          </cell>
          <cell r="G397" t="str">
            <v xml:space="preserve">    DÉFICIT O SUPERÁVIT PRESUPUESTAL</v>
          </cell>
          <cell r="H397">
            <v>3342.7829999999999</v>
          </cell>
          <cell r="I397">
            <v>2630.724506</v>
          </cell>
        </row>
        <row r="398">
          <cell r="A398" t="str">
            <v>63190-BF_13.1</v>
          </cell>
          <cell r="B398" t="str">
            <v>QUINDIO</v>
          </cell>
          <cell r="C398">
            <v>63190</v>
          </cell>
          <cell r="D398" t="str">
            <v>CIRCASIA</v>
          </cell>
          <cell r="E398">
            <v>118</v>
          </cell>
          <cell r="F398" t="str">
            <v>BF_13.1</v>
          </cell>
          <cell r="G398" t="str">
            <v xml:space="preserve">    Recursos que Financian Reservas Presupuestales Excepcionales (Ley 819/2003)</v>
          </cell>
          <cell r="H398">
            <v>16.198</v>
          </cell>
          <cell r="I398">
            <v>16.197821000000001</v>
          </cell>
        </row>
        <row r="399">
          <cell r="A399" t="str">
            <v>63190-BF_13.3</v>
          </cell>
          <cell r="B399" t="str">
            <v>QUINDIO</v>
          </cell>
          <cell r="C399">
            <v>63190</v>
          </cell>
          <cell r="D399" t="str">
            <v>CIRCASIA</v>
          </cell>
          <cell r="E399">
            <v>120</v>
          </cell>
          <cell r="F399" t="str">
            <v>BF_13.3</v>
          </cell>
          <cell r="G399" t="str">
            <v xml:space="preserve">    Reservas Presupuestales de Inversión Vigencia Anterior</v>
          </cell>
          <cell r="H399">
            <v>0</v>
          </cell>
          <cell r="I399">
            <v>16.197821000000001</v>
          </cell>
        </row>
        <row r="400">
          <cell r="A400" t="str">
            <v>63190-BF_13.4</v>
          </cell>
          <cell r="B400" t="str">
            <v>QUINDIO</v>
          </cell>
          <cell r="C400">
            <v>63190</v>
          </cell>
          <cell r="D400" t="str">
            <v>CIRCASIA</v>
          </cell>
          <cell r="E400">
            <v>121</v>
          </cell>
          <cell r="F400" t="str">
            <v>BF_13.4</v>
          </cell>
          <cell r="G400" t="str">
            <v xml:space="preserve">    DEFICIT O SUPERAVIT RESERVAS PRESUPUESTALES</v>
          </cell>
          <cell r="H400">
            <v>16.198</v>
          </cell>
          <cell r="I400">
            <v>0</v>
          </cell>
        </row>
        <row r="401">
          <cell r="A401" t="str">
            <v>63212-BF_1</v>
          </cell>
          <cell r="B401" t="str">
            <v>QUINDIO</v>
          </cell>
          <cell r="C401">
            <v>63212</v>
          </cell>
          <cell r="D401" t="str">
            <v>CÓRDOBA - QUINDIO</v>
          </cell>
          <cell r="E401">
            <v>1</v>
          </cell>
          <cell r="F401" t="str">
            <v>BF_1</v>
          </cell>
          <cell r="G401" t="str">
            <v>INGRESOS TOTALES</v>
          </cell>
          <cell r="H401">
            <v>14513.598</v>
          </cell>
          <cell r="I401">
            <v>6228.8424199999999</v>
          </cell>
        </row>
        <row r="402">
          <cell r="A402" t="str">
            <v>63212-BF_1.1</v>
          </cell>
          <cell r="B402" t="str">
            <v>QUINDIO</v>
          </cell>
          <cell r="C402">
            <v>63212</v>
          </cell>
          <cell r="D402" t="str">
            <v>CÓRDOBA - QUINDIO</v>
          </cell>
          <cell r="E402">
            <v>2</v>
          </cell>
          <cell r="F402" t="str">
            <v>BF_1.1</v>
          </cell>
          <cell r="G402" t="str">
            <v xml:space="preserve">    INGRESOS CORRIENTES</v>
          </cell>
          <cell r="H402">
            <v>11799.264999999999</v>
          </cell>
          <cell r="I402">
            <v>6067.978529</v>
          </cell>
        </row>
        <row r="403">
          <cell r="A403" t="str">
            <v>63212-BF_1.1.1</v>
          </cell>
          <cell r="B403" t="str">
            <v>QUINDIO</v>
          </cell>
          <cell r="C403">
            <v>63212</v>
          </cell>
          <cell r="D403" t="str">
            <v>CÓRDOBA - QUINDIO</v>
          </cell>
          <cell r="E403">
            <v>3</v>
          </cell>
          <cell r="F403" t="str">
            <v>BF_1.1.1</v>
          </cell>
          <cell r="G403" t="str">
            <v xml:space="preserve">        TRIBUTARIOS</v>
          </cell>
          <cell r="H403">
            <v>1064.5129999999999</v>
          </cell>
          <cell r="I403">
            <v>735.57772899999998</v>
          </cell>
        </row>
        <row r="404">
          <cell r="A404" t="str">
            <v>63212-BF_1.1.1.2</v>
          </cell>
          <cell r="B404" t="str">
            <v>QUINDIO</v>
          </cell>
          <cell r="C404">
            <v>63212</v>
          </cell>
          <cell r="D404" t="str">
            <v>CÓRDOBA - QUINDIO</v>
          </cell>
          <cell r="E404">
            <v>5</v>
          </cell>
          <cell r="F404" t="str">
            <v>BF_1.1.1.2</v>
          </cell>
          <cell r="G404" t="str">
            <v xml:space="preserve">             Impuesto Predial Unificado</v>
          </cell>
          <cell r="H404">
            <v>166.75899999999999</v>
          </cell>
          <cell r="I404">
            <v>195.81395000000001</v>
          </cell>
        </row>
        <row r="405">
          <cell r="A405" t="str">
            <v>63212-BF_1.1.1.3</v>
          </cell>
          <cell r="B405" t="str">
            <v>QUINDIO</v>
          </cell>
          <cell r="C405">
            <v>63212</v>
          </cell>
          <cell r="D405" t="str">
            <v>CÓRDOBA - QUINDIO</v>
          </cell>
          <cell r="E405">
            <v>6</v>
          </cell>
          <cell r="F405" t="str">
            <v>BF_1.1.1.3</v>
          </cell>
          <cell r="G405" t="str">
            <v xml:space="preserve">             Impuesto de Industria y Comercio</v>
          </cell>
          <cell r="H405">
            <v>47.405000000000001</v>
          </cell>
          <cell r="I405">
            <v>44.654755999999999</v>
          </cell>
        </row>
        <row r="406">
          <cell r="A406" t="str">
            <v>63212-BF_1.1.1.8</v>
          </cell>
          <cell r="B406" t="str">
            <v>QUINDIO</v>
          </cell>
          <cell r="C406">
            <v>63212</v>
          </cell>
          <cell r="D406" t="str">
            <v>CÓRDOBA - QUINDIO</v>
          </cell>
          <cell r="E406">
            <v>11</v>
          </cell>
          <cell r="F406" t="str">
            <v>BF_1.1.1.8</v>
          </cell>
          <cell r="G406" t="str">
            <v xml:space="preserve">             Sobretasa Consumo Gasolina Motor</v>
          </cell>
          <cell r="H406">
            <v>29.178999999999998</v>
          </cell>
          <cell r="I406">
            <v>30.954000000000001</v>
          </cell>
        </row>
        <row r="407">
          <cell r="A407" t="str">
            <v>63212-BF_1.1.1.9</v>
          </cell>
          <cell r="B407" t="str">
            <v>QUINDIO</v>
          </cell>
          <cell r="C407">
            <v>63212</v>
          </cell>
          <cell r="D407" t="str">
            <v>CÓRDOBA - QUINDIO</v>
          </cell>
          <cell r="E407">
            <v>12</v>
          </cell>
          <cell r="F407" t="str">
            <v>BF_1.1.1.9</v>
          </cell>
          <cell r="G407" t="str">
            <v xml:space="preserve">             Estampillas</v>
          </cell>
          <cell r="H407">
            <v>413.15100000000001</v>
          </cell>
          <cell r="I407">
            <v>182.90799999999999</v>
          </cell>
        </row>
        <row r="408">
          <cell r="A408" t="str">
            <v>63212-BF_1.1.1.12</v>
          </cell>
          <cell r="B408" t="str">
            <v>QUINDIO</v>
          </cell>
          <cell r="C408">
            <v>63212</v>
          </cell>
          <cell r="D408" t="str">
            <v>CÓRDOBA - QUINDIO</v>
          </cell>
          <cell r="E408">
            <v>15</v>
          </cell>
          <cell r="F408" t="str">
            <v>BF_1.1.1.12</v>
          </cell>
          <cell r="G408" t="str">
            <v xml:space="preserve">             Otros Ingresos Tributarios</v>
          </cell>
          <cell r="H408">
            <v>408.01900000000001</v>
          </cell>
          <cell r="I408">
            <v>281.24702300000001</v>
          </cell>
        </row>
        <row r="409">
          <cell r="A409" t="str">
            <v>63212-BF_1.1.2</v>
          </cell>
          <cell r="B409" t="str">
            <v>QUINDIO</v>
          </cell>
          <cell r="C409">
            <v>63212</v>
          </cell>
          <cell r="D409" t="str">
            <v>CÓRDOBA - QUINDIO</v>
          </cell>
          <cell r="E409">
            <v>16</v>
          </cell>
          <cell r="F409" t="str">
            <v>BF_1.1.2</v>
          </cell>
          <cell r="G409" t="str">
            <v xml:space="preserve">        NO TRIBUTARIOS</v>
          </cell>
          <cell r="H409">
            <v>153.31899999999999</v>
          </cell>
          <cell r="I409">
            <v>93.166628000000003</v>
          </cell>
        </row>
        <row r="410">
          <cell r="A410" t="str">
            <v>63212-BF_1.1.2.1</v>
          </cell>
          <cell r="B410" t="str">
            <v>QUINDIO</v>
          </cell>
          <cell r="C410">
            <v>63212</v>
          </cell>
          <cell r="D410" t="str">
            <v>CÓRDOBA - QUINDIO</v>
          </cell>
          <cell r="E410">
            <v>17</v>
          </cell>
          <cell r="F410" t="str">
            <v>BF_1.1.2.1</v>
          </cell>
          <cell r="G410" t="str">
            <v xml:space="preserve">             Ingresos de la Propiedad: Tasas, Derechos, Multas y Sanciones</v>
          </cell>
          <cell r="H410">
            <v>149.30699999999999</v>
          </cell>
          <cell r="I410">
            <v>88.651050999999995</v>
          </cell>
        </row>
        <row r="411">
          <cell r="A411" t="str">
            <v>63212-BF_1.1.2.2</v>
          </cell>
          <cell r="B411" t="str">
            <v>QUINDIO</v>
          </cell>
          <cell r="C411">
            <v>63212</v>
          </cell>
          <cell r="D411" t="str">
            <v>CÓRDOBA - QUINDIO</v>
          </cell>
          <cell r="E411">
            <v>18</v>
          </cell>
          <cell r="F411" t="str">
            <v>BF_1.1.2.2</v>
          </cell>
          <cell r="G411" t="str">
            <v xml:space="preserve">             Otros No Tributarios</v>
          </cell>
          <cell r="H411">
            <v>4.0119999999999996</v>
          </cell>
          <cell r="I411">
            <v>4.5155770000000004</v>
          </cell>
        </row>
        <row r="412">
          <cell r="A412" t="str">
            <v>63212-BF_1.1.3</v>
          </cell>
          <cell r="B412" t="str">
            <v>QUINDIO</v>
          </cell>
          <cell r="C412">
            <v>63212</v>
          </cell>
          <cell r="D412" t="str">
            <v>CÓRDOBA - QUINDIO</v>
          </cell>
          <cell r="E412">
            <v>19</v>
          </cell>
          <cell r="F412" t="str">
            <v>BF_1.1.3</v>
          </cell>
          <cell r="G412" t="str">
            <v xml:space="preserve">        TRANSFERENCIAS</v>
          </cell>
          <cell r="H412">
            <v>10581.433000000001</v>
          </cell>
          <cell r="I412">
            <v>5239.2341720000004</v>
          </cell>
        </row>
        <row r="413">
          <cell r="A413" t="str">
            <v>63212-BF_1.1.3.1</v>
          </cell>
          <cell r="B413" t="str">
            <v>QUINDIO</v>
          </cell>
          <cell r="C413">
            <v>63212</v>
          </cell>
          <cell r="D413" t="str">
            <v>CÓRDOBA - QUINDIO</v>
          </cell>
          <cell r="E413">
            <v>20</v>
          </cell>
          <cell r="F413" t="str">
            <v>BF_1.1.3.1</v>
          </cell>
          <cell r="G413" t="str">
            <v xml:space="preserve">             Transferencias Para Funcionamiento</v>
          </cell>
          <cell r="H413">
            <v>647.40700000000004</v>
          </cell>
          <cell r="I413">
            <v>605.226855</v>
          </cell>
        </row>
        <row r="414">
          <cell r="A414" t="str">
            <v>63212-BF_1.1.3.1.1</v>
          </cell>
          <cell r="B414" t="str">
            <v>QUINDIO</v>
          </cell>
          <cell r="C414">
            <v>63212</v>
          </cell>
          <cell r="D414" t="str">
            <v>CÓRDOBA - QUINDIO</v>
          </cell>
          <cell r="E414">
            <v>21</v>
          </cell>
          <cell r="F414" t="str">
            <v>BF_1.1.3.1.1</v>
          </cell>
          <cell r="G414" t="str">
            <v xml:space="preserve">                 Del Nivel Nacional</v>
          </cell>
          <cell r="H414">
            <v>642.36699999999996</v>
          </cell>
          <cell r="I414">
            <v>599.25628099999994</v>
          </cell>
        </row>
        <row r="415">
          <cell r="A415" t="str">
            <v>63212-BF_1.1.3.1.1.1</v>
          </cell>
          <cell r="B415" t="str">
            <v>QUINDIO</v>
          </cell>
          <cell r="C415">
            <v>63212</v>
          </cell>
          <cell r="D415" t="str">
            <v>CÓRDOBA - QUINDIO</v>
          </cell>
          <cell r="E415">
            <v>22</v>
          </cell>
          <cell r="F415" t="str">
            <v>BF_1.1.3.1.1.1</v>
          </cell>
          <cell r="G415" t="str">
            <v xml:space="preserve">                     Sistema General de Participaciones - Propósito General - Libre destinación - Municipios categorías 4, 5 y 6</v>
          </cell>
          <cell r="H415">
            <v>642.36699999999996</v>
          </cell>
          <cell r="I415">
            <v>599.25628099999994</v>
          </cell>
        </row>
        <row r="416">
          <cell r="A416" t="str">
            <v>63212-BF_1.1.3.1.2</v>
          </cell>
          <cell r="B416" t="str">
            <v>QUINDIO</v>
          </cell>
          <cell r="C416">
            <v>63212</v>
          </cell>
          <cell r="D416" t="str">
            <v>CÓRDOBA - QUINDIO</v>
          </cell>
          <cell r="E416">
            <v>24</v>
          </cell>
          <cell r="F416" t="str">
            <v>BF_1.1.3.1.2</v>
          </cell>
          <cell r="G416" t="str">
            <v xml:space="preserve">                 Del Nivel Departamental</v>
          </cell>
          <cell r="H416">
            <v>5.04</v>
          </cell>
          <cell r="I416">
            <v>5.970574</v>
          </cell>
        </row>
        <row r="417">
          <cell r="A417" t="str">
            <v>63212-BF_1.1.3.1.2.1</v>
          </cell>
          <cell r="B417" t="str">
            <v>QUINDIO</v>
          </cell>
          <cell r="C417">
            <v>63212</v>
          </cell>
          <cell r="D417" t="str">
            <v>CÓRDOBA - QUINDIO</v>
          </cell>
          <cell r="E417">
            <v>25</v>
          </cell>
          <cell r="F417" t="str">
            <v>BF_1.1.3.1.2.1</v>
          </cell>
          <cell r="G417" t="str">
            <v xml:space="preserve">                     De Vehículos Automotores</v>
          </cell>
          <cell r="H417">
            <v>5.04</v>
          </cell>
          <cell r="I417">
            <v>5.970574</v>
          </cell>
        </row>
        <row r="418">
          <cell r="A418" t="str">
            <v>63212-BF_1.1.3.2</v>
          </cell>
          <cell r="B418" t="str">
            <v>QUINDIO</v>
          </cell>
          <cell r="C418">
            <v>63212</v>
          </cell>
          <cell r="D418" t="str">
            <v>CÓRDOBA - QUINDIO</v>
          </cell>
          <cell r="E418">
            <v>28</v>
          </cell>
          <cell r="F418" t="str">
            <v>BF_1.1.3.2</v>
          </cell>
          <cell r="G418" t="str">
            <v xml:space="preserve">             Transferencias Para Inversión</v>
          </cell>
          <cell r="H418">
            <v>9934.0259999999998</v>
          </cell>
          <cell r="I418">
            <v>4634.0073169999996</v>
          </cell>
        </row>
        <row r="419">
          <cell r="A419" t="str">
            <v>63212-BF_1.1.3.2.1</v>
          </cell>
          <cell r="B419" t="str">
            <v>QUINDIO</v>
          </cell>
          <cell r="C419">
            <v>63212</v>
          </cell>
          <cell r="D419" t="str">
            <v>CÓRDOBA - QUINDIO</v>
          </cell>
          <cell r="E419">
            <v>29</v>
          </cell>
          <cell r="F419" t="str">
            <v>BF_1.1.3.2.1</v>
          </cell>
          <cell r="G419" t="str">
            <v xml:space="preserve">                 Del Nivel Nacional</v>
          </cell>
          <cell r="H419">
            <v>9458.4009999999998</v>
          </cell>
          <cell r="I419">
            <v>4353.3070530000005</v>
          </cell>
        </row>
        <row r="420">
          <cell r="A420" t="str">
            <v>63212-BF_1.1.3.2.1.1</v>
          </cell>
          <cell r="B420" t="str">
            <v>QUINDIO</v>
          </cell>
          <cell r="C420">
            <v>63212</v>
          </cell>
          <cell r="D420" t="str">
            <v>CÓRDOBA - QUINDIO</v>
          </cell>
          <cell r="E420">
            <v>30</v>
          </cell>
          <cell r="F420" t="str">
            <v>BF_1.1.3.2.1.1</v>
          </cell>
          <cell r="G420" t="str">
            <v xml:space="preserve">                     Sistema General de Participaciones</v>
          </cell>
          <cell r="H420">
            <v>2637.942</v>
          </cell>
          <cell r="I420">
            <v>2558.5446849999998</v>
          </cell>
        </row>
        <row r="421">
          <cell r="A421" t="str">
            <v>63212-BF_1.1.3.2.1.1.1</v>
          </cell>
          <cell r="B421" t="str">
            <v>QUINDIO</v>
          </cell>
          <cell r="C421">
            <v>63212</v>
          </cell>
          <cell r="D421" t="str">
            <v>CÓRDOBA - QUINDIO</v>
          </cell>
          <cell r="E421">
            <v>31</v>
          </cell>
          <cell r="F421" t="str">
            <v>BF_1.1.3.2.1.1.1</v>
          </cell>
          <cell r="G421" t="str">
            <v xml:space="preserve">                         Sistema General de Participaciones - Educación</v>
          </cell>
          <cell r="H421">
            <v>173.61799999999999</v>
          </cell>
          <cell r="I421">
            <v>168.02945500000001</v>
          </cell>
        </row>
        <row r="422">
          <cell r="A422" t="str">
            <v>63212-BF_1.1.3.2.1.1.2</v>
          </cell>
          <cell r="B422" t="str">
            <v>QUINDIO</v>
          </cell>
          <cell r="C422">
            <v>63212</v>
          </cell>
          <cell r="D422" t="str">
            <v>CÓRDOBA - QUINDIO</v>
          </cell>
          <cell r="E422">
            <v>32</v>
          </cell>
          <cell r="F422" t="str">
            <v>BF_1.1.3.2.1.1.2</v>
          </cell>
          <cell r="G422" t="str">
            <v xml:space="preserve">                         Sistema General de Participaciones - Salud</v>
          </cell>
          <cell r="H422">
            <v>1211.8969999999999</v>
          </cell>
          <cell r="I422">
            <v>1216.5002360000001</v>
          </cell>
        </row>
        <row r="423">
          <cell r="A423" t="str">
            <v>63212-BF_1.1.3.2.1.1.3</v>
          </cell>
          <cell r="B423" t="str">
            <v>QUINDIO</v>
          </cell>
          <cell r="C423">
            <v>63212</v>
          </cell>
          <cell r="D423" t="str">
            <v>CÓRDOBA - QUINDIO</v>
          </cell>
          <cell r="E423">
            <v>33</v>
          </cell>
          <cell r="F423" t="str">
            <v>BF_1.1.3.2.1.1.3</v>
          </cell>
          <cell r="G423" t="str">
            <v xml:space="preserve">                         Sistema General de Participaciones - Agua Potable y Saneamiento Básico</v>
          </cell>
          <cell r="H423">
            <v>336.03500000000003</v>
          </cell>
          <cell r="I423">
            <v>327.58806900000002</v>
          </cell>
        </row>
        <row r="424">
          <cell r="A424" t="str">
            <v>63212-BF_1.1.3.2.1.1.4</v>
          </cell>
          <cell r="B424" t="str">
            <v>QUINDIO</v>
          </cell>
          <cell r="C424">
            <v>63212</v>
          </cell>
          <cell r="D424" t="str">
            <v>CÓRDOBA - QUINDIO</v>
          </cell>
          <cell r="E424">
            <v>34</v>
          </cell>
          <cell r="F424" t="str">
            <v>BF_1.1.3.2.1.1.4</v>
          </cell>
          <cell r="G424" t="str">
            <v xml:space="preserve">                         Sistema General de Participaciones - Propósito General - Forzosa Inversión</v>
          </cell>
          <cell r="H424">
            <v>886.72</v>
          </cell>
          <cell r="I424">
            <v>827.54438500000003</v>
          </cell>
        </row>
        <row r="425">
          <cell r="A425" t="str">
            <v>63212-BF_1.1.3.2.1.1.5</v>
          </cell>
          <cell r="B425" t="str">
            <v>QUINDIO</v>
          </cell>
          <cell r="C425">
            <v>63212</v>
          </cell>
          <cell r="D425" t="str">
            <v>CÓRDOBA - QUINDIO</v>
          </cell>
          <cell r="E425">
            <v>35</v>
          </cell>
          <cell r="F425" t="str">
            <v>BF_1.1.3.2.1.1.5</v>
          </cell>
          <cell r="G425" t="str">
            <v xml:space="preserve">                         Otras del Sistema General de Participaciones</v>
          </cell>
          <cell r="H425">
            <v>29.672000000000001</v>
          </cell>
          <cell r="I425">
            <v>18.882539999999999</v>
          </cell>
        </row>
        <row r="426">
          <cell r="A426" t="str">
            <v>63212-BF_1.1.3.2.1.2</v>
          </cell>
          <cell r="B426" t="str">
            <v>QUINDIO</v>
          </cell>
          <cell r="C426">
            <v>63212</v>
          </cell>
          <cell r="D426" t="str">
            <v>CÓRDOBA - QUINDIO</v>
          </cell>
          <cell r="E426">
            <v>36</v>
          </cell>
          <cell r="F426" t="str">
            <v>BF_1.1.3.2.1.2</v>
          </cell>
          <cell r="G426" t="str">
            <v xml:space="preserve">                     FOSYGA y COLJUEGOS</v>
          </cell>
          <cell r="H426">
            <v>1238.144</v>
          </cell>
          <cell r="I426">
            <v>1486.299368</v>
          </cell>
        </row>
        <row r="427">
          <cell r="A427" t="str">
            <v>63212-BF_1.1.3.2.1.3</v>
          </cell>
          <cell r="B427" t="str">
            <v>QUINDIO</v>
          </cell>
          <cell r="C427">
            <v>63212</v>
          </cell>
          <cell r="D427" t="str">
            <v>CÓRDOBA - QUINDIO</v>
          </cell>
          <cell r="E427">
            <v>37</v>
          </cell>
          <cell r="F427" t="str">
            <v>BF_1.1.3.2.1.3</v>
          </cell>
          <cell r="G427" t="str">
            <v xml:space="preserve">                     Otras Transferencias de la Nación</v>
          </cell>
          <cell r="H427">
            <v>5582.3149999999996</v>
          </cell>
          <cell r="I427">
            <v>308.46300000000002</v>
          </cell>
        </row>
        <row r="428">
          <cell r="A428" t="str">
            <v>63212-BF_1.1.3.2.2</v>
          </cell>
          <cell r="B428" t="str">
            <v>QUINDIO</v>
          </cell>
          <cell r="C428">
            <v>63212</v>
          </cell>
          <cell r="D428" t="str">
            <v>CÓRDOBA - QUINDIO</v>
          </cell>
          <cell r="E428">
            <v>38</v>
          </cell>
          <cell r="F428" t="str">
            <v>BF_1.1.3.2.2</v>
          </cell>
          <cell r="G428" t="str">
            <v xml:space="preserve">                 Del Nivel Departamental</v>
          </cell>
          <cell r="H428">
            <v>475.625</v>
          </cell>
          <cell r="I428">
            <v>280.700264</v>
          </cell>
        </row>
        <row r="429">
          <cell r="A429" t="str">
            <v>63212-BF_2</v>
          </cell>
          <cell r="B429" t="str">
            <v>QUINDIO</v>
          </cell>
          <cell r="C429">
            <v>63212</v>
          </cell>
          <cell r="D429" t="str">
            <v>CÓRDOBA - QUINDIO</v>
          </cell>
          <cell r="E429">
            <v>43</v>
          </cell>
          <cell r="F429" t="str">
            <v>BF_2</v>
          </cell>
          <cell r="G429" t="str">
            <v>GASTOS  TOTALES</v>
          </cell>
          <cell r="H429">
            <v>12807.901</v>
          </cell>
          <cell r="I429">
            <v>8015.5928028600001</v>
          </cell>
        </row>
        <row r="430">
          <cell r="A430" t="str">
            <v>63212-BF_2.1</v>
          </cell>
          <cell r="B430" t="str">
            <v>QUINDIO</v>
          </cell>
          <cell r="C430">
            <v>63212</v>
          </cell>
          <cell r="D430" t="str">
            <v>CÓRDOBA - QUINDIO</v>
          </cell>
          <cell r="E430">
            <v>44</v>
          </cell>
          <cell r="F430" t="str">
            <v>BF_2.1</v>
          </cell>
          <cell r="G430" t="str">
            <v xml:space="preserve">    GASTOS CORRIENTES</v>
          </cell>
          <cell r="H430">
            <v>4722.6009999999997</v>
          </cell>
          <cell r="I430">
            <v>7087.3504701600004</v>
          </cell>
        </row>
        <row r="431">
          <cell r="A431" t="str">
            <v>63212-BF_2.1.1</v>
          </cell>
          <cell r="B431" t="str">
            <v>QUINDIO</v>
          </cell>
          <cell r="C431">
            <v>63212</v>
          </cell>
          <cell r="D431" t="str">
            <v>CÓRDOBA - QUINDIO</v>
          </cell>
          <cell r="E431">
            <v>45</v>
          </cell>
          <cell r="F431" t="str">
            <v>BF_2.1.1</v>
          </cell>
          <cell r="G431" t="str">
            <v xml:space="preserve">        FUNCIONAMIENTO</v>
          </cell>
          <cell r="H431">
            <v>995.37</v>
          </cell>
          <cell r="I431">
            <v>944.16231816000004</v>
          </cell>
        </row>
        <row r="432">
          <cell r="A432" t="str">
            <v>63212-BF_2.1.1.1</v>
          </cell>
          <cell r="B432" t="str">
            <v>QUINDIO</v>
          </cell>
          <cell r="C432">
            <v>63212</v>
          </cell>
          <cell r="D432" t="str">
            <v>CÓRDOBA - QUINDIO</v>
          </cell>
          <cell r="E432">
            <v>46</v>
          </cell>
          <cell r="F432" t="str">
            <v>BF_2.1.1.1</v>
          </cell>
          <cell r="G432" t="str">
            <v xml:space="preserve">             Gastos de Personal  </v>
          </cell>
          <cell r="H432">
            <v>465.233</v>
          </cell>
          <cell r="I432">
            <v>486.42481400000003</v>
          </cell>
        </row>
        <row r="433">
          <cell r="A433" t="str">
            <v>63212-BF_2.1.1.2</v>
          </cell>
          <cell r="B433" t="str">
            <v>QUINDIO</v>
          </cell>
          <cell r="C433">
            <v>63212</v>
          </cell>
          <cell r="D433" t="str">
            <v>CÓRDOBA - QUINDIO</v>
          </cell>
          <cell r="E433">
            <v>47</v>
          </cell>
          <cell r="F433" t="str">
            <v>BF_2.1.1.2</v>
          </cell>
          <cell r="G433" t="str">
            <v xml:space="preserve">             Gastos Generales</v>
          </cell>
          <cell r="H433">
            <v>169.744</v>
          </cell>
          <cell r="I433">
            <v>121.19021116</v>
          </cell>
        </row>
        <row r="434">
          <cell r="A434" t="str">
            <v>63212-BF_2.1.1.3</v>
          </cell>
          <cell r="B434" t="str">
            <v>QUINDIO</v>
          </cell>
          <cell r="C434">
            <v>63212</v>
          </cell>
          <cell r="D434" t="str">
            <v>CÓRDOBA - QUINDIO</v>
          </cell>
          <cell r="E434">
            <v>48</v>
          </cell>
          <cell r="F434" t="str">
            <v>BF_2.1.1.3</v>
          </cell>
          <cell r="G434" t="str">
            <v xml:space="preserve">             Transferencias</v>
          </cell>
          <cell r="H434">
            <v>360.39299999999997</v>
          </cell>
          <cell r="I434">
            <v>336.54729300000002</v>
          </cell>
        </row>
        <row r="435">
          <cell r="A435" t="str">
            <v>63212-BF_2.1.1.3.1</v>
          </cell>
          <cell r="B435" t="str">
            <v>QUINDIO</v>
          </cell>
          <cell r="C435">
            <v>63212</v>
          </cell>
          <cell r="D435" t="str">
            <v>CÓRDOBA - QUINDIO</v>
          </cell>
          <cell r="E435">
            <v>49</v>
          </cell>
          <cell r="F435" t="str">
            <v>BF_2.1.1.3.1</v>
          </cell>
          <cell r="G435" t="str">
            <v xml:space="preserve">                 Pensiones</v>
          </cell>
          <cell r="H435">
            <v>46.976999999999997</v>
          </cell>
          <cell r="I435">
            <v>0</v>
          </cell>
        </row>
        <row r="436">
          <cell r="A436" t="str">
            <v>63212-BF_2.1.1.3.3</v>
          </cell>
          <cell r="B436" t="str">
            <v>QUINDIO</v>
          </cell>
          <cell r="C436">
            <v>63212</v>
          </cell>
          <cell r="D436" t="str">
            <v>CÓRDOBA - QUINDIO</v>
          </cell>
          <cell r="E436">
            <v>51</v>
          </cell>
          <cell r="F436" t="str">
            <v>BF_2.1.1.3.3</v>
          </cell>
          <cell r="G436" t="str">
            <v xml:space="preserve">                 A Patrimonios Autónomos para Provisión de Pensiones</v>
          </cell>
          <cell r="H436">
            <v>0</v>
          </cell>
          <cell r="I436">
            <v>47.726063000000003</v>
          </cell>
        </row>
        <row r="437">
          <cell r="A437" t="str">
            <v>63212-BF_2.1.1.3.4</v>
          </cell>
          <cell r="B437" t="str">
            <v>QUINDIO</v>
          </cell>
          <cell r="C437">
            <v>63212</v>
          </cell>
          <cell r="D437" t="str">
            <v>CÓRDOBA - QUINDIO</v>
          </cell>
          <cell r="E437">
            <v>52</v>
          </cell>
          <cell r="F437" t="str">
            <v>BF_2.1.1.3.4</v>
          </cell>
          <cell r="G437" t="str">
            <v xml:space="preserve">                 A Organismos de Control</v>
          </cell>
          <cell r="H437">
            <v>226.52199999999999</v>
          </cell>
          <cell r="I437">
            <v>246.877589</v>
          </cell>
        </row>
        <row r="438">
          <cell r="A438" t="str">
            <v>63212-BF_2.1.1.3.7</v>
          </cell>
          <cell r="B438" t="str">
            <v>QUINDIO</v>
          </cell>
          <cell r="C438">
            <v>63212</v>
          </cell>
          <cell r="D438" t="str">
            <v>CÓRDOBA - QUINDIO</v>
          </cell>
          <cell r="E438">
            <v>55</v>
          </cell>
          <cell r="F438" t="str">
            <v>BF_2.1.1.3.7</v>
          </cell>
          <cell r="G438" t="str">
            <v xml:space="preserve">                 Otras Transferencias</v>
          </cell>
          <cell r="H438">
            <v>86.894000000000005</v>
          </cell>
          <cell r="I438">
            <v>41.943641</v>
          </cell>
        </row>
        <row r="439">
          <cell r="A439" t="str">
            <v>63212-BF_2.1.4</v>
          </cell>
          <cell r="B439" t="str">
            <v>QUINDIO</v>
          </cell>
          <cell r="C439">
            <v>63212</v>
          </cell>
          <cell r="D439" t="str">
            <v>CÓRDOBA - QUINDIO</v>
          </cell>
          <cell r="E439">
            <v>61</v>
          </cell>
          <cell r="F439" t="str">
            <v>BF_2.1.4</v>
          </cell>
          <cell r="G439" t="str">
            <v xml:space="preserve">        GASTOS OPERATIVOS EN SECTORES SOCIALES (Remuneración al Trabajo, Prestaciones, y Subsidios en Sectores de Inversión)</v>
          </cell>
          <cell r="H439">
            <v>3718.866</v>
          </cell>
          <cell r="I439">
            <v>6138.6412719999998</v>
          </cell>
        </row>
        <row r="440">
          <cell r="A440" t="str">
            <v>63212-BF_2.1.4.1</v>
          </cell>
          <cell r="B440" t="str">
            <v>QUINDIO</v>
          </cell>
          <cell r="C440">
            <v>63212</v>
          </cell>
          <cell r="D440" t="str">
            <v>CÓRDOBA - QUINDIO</v>
          </cell>
          <cell r="E440">
            <v>62</v>
          </cell>
          <cell r="F440" t="str">
            <v>BF_2.1.4.1</v>
          </cell>
          <cell r="G440" t="str">
            <v xml:space="preserve">             Educación</v>
          </cell>
          <cell r="H440">
            <v>271.62299999999999</v>
          </cell>
          <cell r="I440">
            <v>273.18539199999998</v>
          </cell>
        </row>
        <row r="441">
          <cell r="A441" t="str">
            <v>63212-BF_2.1.4.2</v>
          </cell>
          <cell r="B441" t="str">
            <v>QUINDIO</v>
          </cell>
          <cell r="C441">
            <v>63212</v>
          </cell>
          <cell r="D441" t="str">
            <v>CÓRDOBA - QUINDIO</v>
          </cell>
          <cell r="E441">
            <v>63</v>
          </cell>
          <cell r="F441" t="str">
            <v>BF_2.1.4.2</v>
          </cell>
          <cell r="G441" t="str">
            <v xml:space="preserve">             Salud</v>
          </cell>
          <cell r="H441">
            <v>2952.8220000000001</v>
          </cell>
          <cell r="I441">
            <v>3489.6324709999999</v>
          </cell>
        </row>
        <row r="442">
          <cell r="A442" t="str">
            <v>63212-BF_2.1.4.3</v>
          </cell>
          <cell r="B442" t="str">
            <v>QUINDIO</v>
          </cell>
          <cell r="C442">
            <v>63212</v>
          </cell>
          <cell r="D442" t="str">
            <v>CÓRDOBA - QUINDIO</v>
          </cell>
          <cell r="E442">
            <v>64</v>
          </cell>
          <cell r="F442" t="str">
            <v>BF_2.1.4.3</v>
          </cell>
          <cell r="G442" t="str">
            <v xml:space="preserve">             Agua Potable y Saneamiento Básico</v>
          </cell>
          <cell r="H442">
            <v>185.58600000000001</v>
          </cell>
          <cell r="I442">
            <v>182.102056</v>
          </cell>
        </row>
        <row r="443">
          <cell r="A443" t="str">
            <v>63212-BF_2.1.4.5</v>
          </cell>
          <cell r="B443" t="str">
            <v>QUINDIO</v>
          </cell>
          <cell r="C443">
            <v>63212</v>
          </cell>
          <cell r="D443" t="str">
            <v>CÓRDOBA - QUINDIO</v>
          </cell>
          <cell r="E443">
            <v>66</v>
          </cell>
          <cell r="F443" t="str">
            <v>BF_2.1.4.5</v>
          </cell>
          <cell r="G443" t="str">
            <v xml:space="preserve">             Otros Sectores</v>
          </cell>
          <cell r="H443">
            <v>308.83499999999998</v>
          </cell>
          <cell r="I443">
            <v>2193.7213529999999</v>
          </cell>
        </row>
        <row r="444">
          <cell r="A444" t="str">
            <v>63212-BF_2.1.5</v>
          </cell>
          <cell r="B444" t="str">
            <v>QUINDIO</v>
          </cell>
          <cell r="C444">
            <v>63212</v>
          </cell>
          <cell r="D444" t="str">
            <v>CÓRDOBA - QUINDIO</v>
          </cell>
          <cell r="E444">
            <v>67</v>
          </cell>
          <cell r="F444" t="str">
            <v>BF_2.1.5</v>
          </cell>
          <cell r="G444" t="str">
            <v xml:space="preserve">        INTERESES Y COMISIONES DE LA DEUDA</v>
          </cell>
          <cell r="H444">
            <v>8.3650000000000002</v>
          </cell>
          <cell r="I444">
            <v>4.5468799999999998</v>
          </cell>
        </row>
        <row r="445">
          <cell r="A445" t="str">
            <v>63212-BF_2.1.5.1</v>
          </cell>
          <cell r="B445" t="str">
            <v>QUINDIO</v>
          </cell>
          <cell r="C445">
            <v>63212</v>
          </cell>
          <cell r="D445" t="str">
            <v>CÓRDOBA - QUINDIO</v>
          </cell>
          <cell r="E445">
            <v>68</v>
          </cell>
          <cell r="F445" t="str">
            <v>BF_2.1.5.1</v>
          </cell>
          <cell r="G445" t="str">
            <v xml:space="preserve">             Interna</v>
          </cell>
          <cell r="H445">
            <v>8.3650000000000002</v>
          </cell>
          <cell r="I445">
            <v>4.5468799999999998</v>
          </cell>
        </row>
        <row r="446">
          <cell r="A446" t="str">
            <v>63212-BF_3</v>
          </cell>
          <cell r="B446" t="str">
            <v>QUINDIO</v>
          </cell>
          <cell r="C446">
            <v>63212</v>
          </cell>
          <cell r="D446" t="str">
            <v>CÓRDOBA - QUINDIO</v>
          </cell>
          <cell r="E446">
            <v>70</v>
          </cell>
          <cell r="F446" t="str">
            <v>BF_3</v>
          </cell>
          <cell r="G446" t="str">
            <v>DÉFICIT O AHORRO CORRIENTE</v>
          </cell>
          <cell r="H446">
            <v>7076.6639999999998</v>
          </cell>
          <cell r="I446">
            <v>-1019.37194116</v>
          </cell>
        </row>
        <row r="447">
          <cell r="A447" t="str">
            <v>63212-BF_4</v>
          </cell>
          <cell r="B447" t="str">
            <v>QUINDIO</v>
          </cell>
          <cell r="C447">
            <v>63212</v>
          </cell>
          <cell r="D447" t="str">
            <v>CÓRDOBA - QUINDIO</v>
          </cell>
          <cell r="E447">
            <v>71</v>
          </cell>
          <cell r="F447" t="str">
            <v>BF_4</v>
          </cell>
          <cell r="G447" t="str">
            <v>INGRESOS DE CAPITAL</v>
          </cell>
          <cell r="H447">
            <v>2714.3330000000001</v>
          </cell>
          <cell r="I447">
            <v>160.863891</v>
          </cell>
        </row>
        <row r="448">
          <cell r="A448" t="str">
            <v>63212-BF_4.1</v>
          </cell>
          <cell r="B448" t="str">
            <v>QUINDIO</v>
          </cell>
          <cell r="C448">
            <v>63212</v>
          </cell>
          <cell r="D448" t="str">
            <v>CÓRDOBA - QUINDIO</v>
          </cell>
          <cell r="E448">
            <v>72</v>
          </cell>
          <cell r="F448" t="str">
            <v>BF_4.1</v>
          </cell>
          <cell r="G448" t="str">
            <v xml:space="preserve">    Cofinanciación</v>
          </cell>
          <cell r="H448">
            <v>0</v>
          </cell>
          <cell r="I448">
            <v>116.38113300000001</v>
          </cell>
        </row>
        <row r="449">
          <cell r="A449" t="str">
            <v>63212-BF_4.4</v>
          </cell>
          <cell r="B449" t="str">
            <v>QUINDIO</v>
          </cell>
          <cell r="C449">
            <v>63212</v>
          </cell>
          <cell r="D449" t="str">
            <v>CÓRDOBA - QUINDIO</v>
          </cell>
          <cell r="E449">
            <v>75</v>
          </cell>
          <cell r="F449" t="str">
            <v>BF_4.4</v>
          </cell>
          <cell r="G449" t="str">
            <v xml:space="preserve">    Rendimientos Financieros</v>
          </cell>
          <cell r="H449">
            <v>45.661000000000001</v>
          </cell>
          <cell r="I449">
            <v>41.912036000000001</v>
          </cell>
        </row>
        <row r="450">
          <cell r="A450" t="str">
            <v>63212-BF_4.6</v>
          </cell>
          <cell r="B450" t="str">
            <v>QUINDIO</v>
          </cell>
          <cell r="C450">
            <v>63212</v>
          </cell>
          <cell r="D450" t="str">
            <v>CÓRDOBA - QUINDIO</v>
          </cell>
          <cell r="E450">
            <v>77</v>
          </cell>
          <cell r="F450" t="str">
            <v>BF_4.6</v>
          </cell>
          <cell r="G450" t="str">
            <v xml:space="preserve">    Desahorro FONPET</v>
          </cell>
          <cell r="H450">
            <v>2661.5149999999999</v>
          </cell>
          <cell r="I450">
            <v>0</v>
          </cell>
        </row>
        <row r="451">
          <cell r="A451" t="str">
            <v>63212-BF_4.6.3</v>
          </cell>
          <cell r="B451" t="str">
            <v>QUINDIO</v>
          </cell>
          <cell r="C451">
            <v>63212</v>
          </cell>
          <cell r="D451" t="str">
            <v>CÓRDOBA - QUINDIO</v>
          </cell>
          <cell r="E451">
            <v>80</v>
          </cell>
          <cell r="F451" t="str">
            <v>BF_4.6.3</v>
          </cell>
          <cell r="G451" t="str">
            <v xml:space="preserve">    Propósito General</v>
          </cell>
          <cell r="H451">
            <v>2661.5149999999999</v>
          </cell>
          <cell r="I451">
            <v>0</v>
          </cell>
        </row>
        <row r="452">
          <cell r="A452" t="str">
            <v>63212-BF_4.7</v>
          </cell>
          <cell r="B452" t="str">
            <v>QUINDIO</v>
          </cell>
          <cell r="C452">
            <v>63212</v>
          </cell>
          <cell r="D452" t="str">
            <v>CÓRDOBA - QUINDIO</v>
          </cell>
          <cell r="E452">
            <v>82</v>
          </cell>
          <cell r="F452" t="str">
            <v>BF_4.7</v>
          </cell>
          <cell r="G452" t="str">
            <v xml:space="preserve">    Otros Recursos de Capital (Donaciones, Aprovechamientos y Otros)</v>
          </cell>
          <cell r="H452">
            <v>7.157</v>
          </cell>
          <cell r="I452">
            <v>2.570722</v>
          </cell>
        </row>
        <row r="453">
          <cell r="A453" t="str">
            <v>63212-BF_5</v>
          </cell>
          <cell r="B453" t="str">
            <v>QUINDIO</v>
          </cell>
          <cell r="C453">
            <v>63212</v>
          </cell>
          <cell r="D453" t="str">
            <v>CÓRDOBA - QUINDIO</v>
          </cell>
          <cell r="E453">
            <v>83</v>
          </cell>
          <cell r="F453" t="str">
            <v>BF_5</v>
          </cell>
          <cell r="G453" t="str">
            <v>GASTOS DE CAPITAL</v>
          </cell>
          <cell r="H453">
            <v>8085.3</v>
          </cell>
          <cell r="I453">
            <v>928.24233270000002</v>
          </cell>
        </row>
        <row r="454">
          <cell r="A454" t="str">
            <v>63212-BF_5.1</v>
          </cell>
          <cell r="B454" t="str">
            <v>QUINDIO</v>
          </cell>
          <cell r="C454">
            <v>63212</v>
          </cell>
          <cell r="D454" t="str">
            <v>CÓRDOBA - QUINDIO</v>
          </cell>
          <cell r="E454">
            <v>84</v>
          </cell>
          <cell r="F454" t="str">
            <v>BF_5.1</v>
          </cell>
          <cell r="G454" t="str">
            <v xml:space="preserve">    Formación Bruta de Capital (Construcción, Reparación, Mantenimiento, Preinversión, Otros)</v>
          </cell>
          <cell r="H454">
            <v>8061.8</v>
          </cell>
          <cell r="I454">
            <v>908.24233270000002</v>
          </cell>
        </row>
        <row r="455">
          <cell r="A455" t="str">
            <v>63212-BF_5.1.3</v>
          </cell>
          <cell r="B455" t="str">
            <v>QUINDIO</v>
          </cell>
          <cell r="C455">
            <v>63212</v>
          </cell>
          <cell r="D455" t="str">
            <v>CÓRDOBA - QUINDIO</v>
          </cell>
          <cell r="E455">
            <v>87</v>
          </cell>
          <cell r="F455" t="str">
            <v>BF_5.1.3</v>
          </cell>
          <cell r="G455" t="str">
            <v xml:space="preserve">        Agua Potable</v>
          </cell>
          <cell r="H455">
            <v>935.74400000000003</v>
          </cell>
          <cell r="I455">
            <v>117.066095</v>
          </cell>
        </row>
        <row r="456">
          <cell r="A456" t="str">
            <v>63212-BF_5.1.4</v>
          </cell>
          <cell r="B456" t="str">
            <v>QUINDIO</v>
          </cell>
          <cell r="C456">
            <v>63212</v>
          </cell>
          <cell r="D456" t="str">
            <v>CÓRDOBA - QUINDIO</v>
          </cell>
          <cell r="E456">
            <v>88</v>
          </cell>
          <cell r="F456" t="str">
            <v>BF_5.1.4</v>
          </cell>
          <cell r="G456" t="str">
            <v xml:space="preserve">        Vivienda</v>
          </cell>
          <cell r="H456">
            <v>0.55000000000000004</v>
          </cell>
          <cell r="I456">
            <v>0</v>
          </cell>
        </row>
        <row r="457">
          <cell r="A457" t="str">
            <v>63212-BF_5.1.5</v>
          </cell>
          <cell r="B457" t="str">
            <v>QUINDIO</v>
          </cell>
          <cell r="C457">
            <v>63212</v>
          </cell>
          <cell r="D457" t="str">
            <v>CÓRDOBA - QUINDIO</v>
          </cell>
          <cell r="E457">
            <v>89</v>
          </cell>
          <cell r="F457" t="str">
            <v>BF_5.1.5</v>
          </cell>
          <cell r="G457" t="str">
            <v xml:space="preserve">        Vías</v>
          </cell>
          <cell r="H457">
            <v>5579.5190000000002</v>
          </cell>
          <cell r="I457">
            <v>192.12345569999999</v>
          </cell>
        </row>
        <row r="458">
          <cell r="A458" t="str">
            <v>63212-BF_5.1.6</v>
          </cell>
          <cell r="B458" t="str">
            <v>QUINDIO</v>
          </cell>
          <cell r="C458">
            <v>63212</v>
          </cell>
          <cell r="D458" t="str">
            <v>CÓRDOBA - QUINDIO</v>
          </cell>
          <cell r="E458">
            <v>90</v>
          </cell>
          <cell r="F458" t="str">
            <v>BF_5.1.6</v>
          </cell>
          <cell r="G458" t="str">
            <v xml:space="preserve">        Otros Sectores</v>
          </cell>
          <cell r="H458">
            <v>1545.9870000000001</v>
          </cell>
          <cell r="I458">
            <v>599.05278199999998</v>
          </cell>
        </row>
        <row r="459">
          <cell r="A459" t="str">
            <v>63212-BF_5.2</v>
          </cell>
          <cell r="B459" t="str">
            <v>QUINDIO</v>
          </cell>
          <cell r="C459">
            <v>63212</v>
          </cell>
          <cell r="D459" t="str">
            <v>CÓRDOBA - QUINDIO</v>
          </cell>
          <cell r="E459">
            <v>91</v>
          </cell>
          <cell r="F459" t="str">
            <v>BF_5.2</v>
          </cell>
          <cell r="G459" t="str">
            <v xml:space="preserve">    Déficit Fiscal de Vigencias Anteriores por Inversión</v>
          </cell>
          <cell r="H459">
            <v>23.5</v>
          </cell>
          <cell r="I459">
            <v>20</v>
          </cell>
        </row>
        <row r="460">
          <cell r="A460" t="str">
            <v>63212-BF_6</v>
          </cell>
          <cell r="B460" t="str">
            <v>QUINDIO</v>
          </cell>
          <cell r="C460">
            <v>63212</v>
          </cell>
          <cell r="D460" t="str">
            <v>CÓRDOBA - QUINDIO</v>
          </cell>
          <cell r="E460">
            <v>92</v>
          </cell>
          <cell r="F460" t="str">
            <v>BF_6</v>
          </cell>
          <cell r="G460" t="str">
            <v>DÉFICIT O SUPERÁVIT DE CAPITAL</v>
          </cell>
          <cell r="H460">
            <v>-5370.9669999999996</v>
          </cell>
          <cell r="I460">
            <v>-767.37844170000005</v>
          </cell>
        </row>
        <row r="461">
          <cell r="A461" t="str">
            <v>63212-BF_7</v>
          </cell>
          <cell r="B461" t="str">
            <v>QUINDIO</v>
          </cell>
          <cell r="C461">
            <v>63212</v>
          </cell>
          <cell r="D461" t="str">
            <v>CÓRDOBA - QUINDIO</v>
          </cell>
          <cell r="E461">
            <v>93</v>
          </cell>
          <cell r="F461" t="str">
            <v>BF_7</v>
          </cell>
          <cell r="G461" t="str">
            <v>DÉFICIT O SUPERÁVIT TOTAL</v>
          </cell>
          <cell r="H461">
            <v>1705.6969999999999</v>
          </cell>
          <cell r="I461">
            <v>-1786.7503828599999</v>
          </cell>
        </row>
        <row r="462">
          <cell r="A462" t="str">
            <v>63212-BF_8</v>
          </cell>
          <cell r="B462" t="str">
            <v>QUINDIO</v>
          </cell>
          <cell r="C462">
            <v>63212</v>
          </cell>
          <cell r="D462" t="str">
            <v>CÓRDOBA - QUINDIO</v>
          </cell>
          <cell r="E462">
            <v>94</v>
          </cell>
          <cell r="F462" t="str">
            <v>BF_8</v>
          </cell>
          <cell r="G462" t="str">
            <v>FINANCIACIÓN</v>
          </cell>
          <cell r="H462">
            <v>1587.4349999999999</v>
          </cell>
          <cell r="I462">
            <v>3217.899109</v>
          </cell>
        </row>
        <row r="463">
          <cell r="A463" t="str">
            <v>63212-BF_8.1</v>
          </cell>
          <cell r="B463" t="str">
            <v>QUINDIO</v>
          </cell>
          <cell r="C463">
            <v>63212</v>
          </cell>
          <cell r="D463" t="str">
            <v>CÓRDOBA - QUINDIO</v>
          </cell>
          <cell r="E463">
            <v>95</v>
          </cell>
          <cell r="F463" t="str">
            <v>BF_8.1</v>
          </cell>
          <cell r="G463" t="str">
            <v xml:space="preserve">    RECURSOS DEL CRÉDITO</v>
          </cell>
          <cell r="H463">
            <v>-30</v>
          </cell>
          <cell r="I463">
            <v>-30</v>
          </cell>
        </row>
        <row r="464">
          <cell r="A464" t="str">
            <v>63212-BF_8.1.1</v>
          </cell>
          <cell r="B464" t="str">
            <v>QUINDIO</v>
          </cell>
          <cell r="C464">
            <v>63212</v>
          </cell>
          <cell r="D464" t="str">
            <v>CÓRDOBA - QUINDIO</v>
          </cell>
          <cell r="E464">
            <v>96</v>
          </cell>
          <cell r="F464" t="str">
            <v>BF_8.1.1</v>
          </cell>
          <cell r="G464" t="str">
            <v xml:space="preserve">        Interno</v>
          </cell>
          <cell r="H464">
            <v>-30</v>
          </cell>
          <cell r="I464">
            <v>-30</v>
          </cell>
        </row>
        <row r="465">
          <cell r="A465" t="str">
            <v>63212-BF_8.1.1.2</v>
          </cell>
          <cell r="B465" t="str">
            <v>QUINDIO</v>
          </cell>
          <cell r="C465">
            <v>63212</v>
          </cell>
          <cell r="D465" t="str">
            <v>CÓRDOBA - QUINDIO</v>
          </cell>
          <cell r="E465">
            <v>98</v>
          </cell>
          <cell r="F465" t="str">
            <v>BF_8.1.1.2</v>
          </cell>
          <cell r="G465" t="str">
            <v xml:space="preserve">             Amortizaciones</v>
          </cell>
          <cell r="H465">
            <v>30</v>
          </cell>
          <cell r="I465">
            <v>30</v>
          </cell>
        </row>
        <row r="466">
          <cell r="A466" t="str">
            <v>63212-BF_8.2</v>
          </cell>
          <cell r="B466" t="str">
            <v>QUINDIO</v>
          </cell>
          <cell r="C466">
            <v>63212</v>
          </cell>
          <cell r="D466" t="str">
            <v>CÓRDOBA - QUINDIO</v>
          </cell>
          <cell r="E466">
            <v>102</v>
          </cell>
          <cell r="F466" t="str">
            <v>BF_8.2</v>
          </cell>
          <cell r="G466" t="str">
            <v xml:space="preserve">    Recursos del Balance (Superávit Fiscal, Cancelación de Reservas)</v>
          </cell>
          <cell r="H466">
            <v>1617.4349999999999</v>
          </cell>
          <cell r="I466">
            <v>3247.899109</v>
          </cell>
        </row>
        <row r="467">
          <cell r="A467" t="str">
            <v>63212-BF_9.1</v>
          </cell>
          <cell r="B467" t="str">
            <v>QUINDIO</v>
          </cell>
          <cell r="C467">
            <v>63212</v>
          </cell>
          <cell r="D467" t="str">
            <v>CÓRDOBA - QUINDIO</v>
          </cell>
          <cell r="E467">
            <v>107</v>
          </cell>
          <cell r="F467" t="str">
            <v>BF_9.1</v>
          </cell>
          <cell r="G467" t="str">
            <v xml:space="preserve">    DÉFICIT O SUPERÁVIT PRIMARIO</v>
          </cell>
          <cell r="H467">
            <v>3331.4969999999998</v>
          </cell>
          <cell r="I467">
            <v>1465.6956061400001</v>
          </cell>
        </row>
        <row r="468">
          <cell r="A468" t="str">
            <v>63212-BF_9.2</v>
          </cell>
          <cell r="B468" t="str">
            <v>QUINDIO</v>
          </cell>
          <cell r="C468">
            <v>63212</v>
          </cell>
          <cell r="D468" t="str">
            <v>CÓRDOBA - QUINDIO</v>
          </cell>
          <cell r="E468">
            <v>108</v>
          </cell>
          <cell r="F468" t="str">
            <v>BF_9.2</v>
          </cell>
          <cell r="G468" t="str">
            <v xml:space="preserve">    DÉFICIT O SUPERÁVIT PRIMARIO/INTERESES</v>
          </cell>
          <cell r="H468">
            <v>398.26600000000002</v>
          </cell>
          <cell r="I468">
            <v>322.35194378099999</v>
          </cell>
        </row>
        <row r="469">
          <cell r="A469" t="str">
            <v>63212-BF_10.1</v>
          </cell>
          <cell r="B469" t="str">
            <v>QUINDIO</v>
          </cell>
          <cell r="C469">
            <v>63212</v>
          </cell>
          <cell r="D469" t="str">
            <v>CÓRDOBA - QUINDIO</v>
          </cell>
          <cell r="E469">
            <v>110</v>
          </cell>
          <cell r="F469" t="str">
            <v>BF_10.1</v>
          </cell>
          <cell r="G469" t="str">
            <v xml:space="preserve">    INGRESOS TOTALES SIN INCLUIR RECURSOS PARA RESERVAS PRESUPUESTALES</v>
          </cell>
          <cell r="H469">
            <v>16131.032999999999</v>
          </cell>
          <cell r="I469">
            <v>9476.7415290000008</v>
          </cell>
        </row>
        <row r="470">
          <cell r="A470" t="str">
            <v>63212-BF_10.2</v>
          </cell>
          <cell r="B470" t="str">
            <v>QUINDIO</v>
          </cell>
          <cell r="C470">
            <v>63212</v>
          </cell>
          <cell r="D470" t="str">
            <v>CÓRDOBA - QUINDIO</v>
          </cell>
          <cell r="E470">
            <v>111</v>
          </cell>
          <cell r="F470" t="str">
            <v>BF_10.2</v>
          </cell>
          <cell r="G470" t="str">
            <v xml:space="preserve">    GASTOS TOTALES SIN INCLUIR GASTOS POR RESERVAS PRESUPUESTALES</v>
          </cell>
          <cell r="H470">
            <v>12837.901</v>
          </cell>
          <cell r="I470">
            <v>8045.5928028600001</v>
          </cell>
        </row>
        <row r="471">
          <cell r="A471" t="str">
            <v>63212-BF_10.3</v>
          </cell>
          <cell r="B471" t="str">
            <v>QUINDIO</v>
          </cell>
          <cell r="C471">
            <v>63212</v>
          </cell>
          <cell r="D471" t="str">
            <v>CÓRDOBA - QUINDIO</v>
          </cell>
          <cell r="E471">
            <v>112</v>
          </cell>
          <cell r="F471" t="str">
            <v>BF_10.3</v>
          </cell>
          <cell r="G471" t="str">
            <v xml:space="preserve">    DÉFICIT O SUPERÁVIT PRESUPUESTAL SIN INCLUIR RESERVAS PRESUPUESTALES</v>
          </cell>
          <cell r="H471">
            <v>3293.1320000000001</v>
          </cell>
          <cell r="I471">
            <v>1431.14872614</v>
          </cell>
        </row>
        <row r="472">
          <cell r="A472" t="str">
            <v>63212-BF_12.1</v>
          </cell>
          <cell r="B472" t="str">
            <v>QUINDIO</v>
          </cell>
          <cell r="C472">
            <v>63212</v>
          </cell>
          <cell r="D472" t="str">
            <v>CÓRDOBA - QUINDIO</v>
          </cell>
          <cell r="E472">
            <v>114</v>
          </cell>
          <cell r="F472" t="str">
            <v>BF_12.1</v>
          </cell>
          <cell r="G472" t="str">
            <v xml:space="preserve">    INGRESOS TOTALES</v>
          </cell>
          <cell r="H472">
            <v>16131.032999999999</v>
          </cell>
          <cell r="I472">
            <v>9493.8036229999998</v>
          </cell>
        </row>
        <row r="473">
          <cell r="A473" t="str">
            <v>63212-BF_12.2</v>
          </cell>
          <cell r="B473" t="str">
            <v>QUINDIO</v>
          </cell>
          <cell r="C473">
            <v>63212</v>
          </cell>
          <cell r="D473" t="str">
            <v>CÓRDOBA - QUINDIO</v>
          </cell>
          <cell r="E473">
            <v>115</v>
          </cell>
          <cell r="F473" t="str">
            <v>BF_12.2</v>
          </cell>
          <cell r="G473" t="str">
            <v xml:space="preserve">    GASTOS TOTALES</v>
          </cell>
          <cell r="H473">
            <v>12837.901</v>
          </cell>
          <cell r="I473">
            <v>8062.65489686</v>
          </cell>
        </row>
        <row r="474">
          <cell r="A474" t="str">
            <v>63212-BF_12.3</v>
          </cell>
          <cell r="B474" t="str">
            <v>QUINDIO</v>
          </cell>
          <cell r="C474">
            <v>63212</v>
          </cell>
          <cell r="D474" t="str">
            <v>CÓRDOBA - QUINDIO</v>
          </cell>
          <cell r="E474">
            <v>116</v>
          </cell>
          <cell r="F474" t="str">
            <v>BF_12.3</v>
          </cell>
          <cell r="G474" t="str">
            <v xml:space="preserve">    DÉFICIT O SUPERÁVIT PRESUPUESTAL</v>
          </cell>
          <cell r="H474">
            <v>3293.1320000000001</v>
          </cell>
          <cell r="I474">
            <v>1431.14872614</v>
          </cell>
        </row>
        <row r="475">
          <cell r="A475" t="str">
            <v>63212-BF_13.1</v>
          </cell>
          <cell r="B475" t="str">
            <v>QUINDIO</v>
          </cell>
          <cell r="C475">
            <v>63212</v>
          </cell>
          <cell r="D475" t="str">
            <v>CÓRDOBA - QUINDIO</v>
          </cell>
          <cell r="E475">
            <v>118</v>
          </cell>
          <cell r="F475" t="str">
            <v>BF_13.1</v>
          </cell>
          <cell r="G475" t="str">
            <v xml:space="preserve">    Recursos que Financian Reservas Presupuestales Excepcionales (Ley 819/2003)</v>
          </cell>
          <cell r="H475">
            <v>0</v>
          </cell>
          <cell r="I475">
            <v>17.062093999999998</v>
          </cell>
        </row>
        <row r="476">
          <cell r="A476" t="str">
            <v>63212-BF_13.3</v>
          </cell>
          <cell r="B476" t="str">
            <v>QUINDIO</v>
          </cell>
          <cell r="C476">
            <v>63212</v>
          </cell>
          <cell r="D476" t="str">
            <v>CÓRDOBA - QUINDIO</v>
          </cell>
          <cell r="E476">
            <v>120</v>
          </cell>
          <cell r="F476" t="str">
            <v>BF_13.3</v>
          </cell>
          <cell r="G476" t="str">
            <v xml:space="preserve">    Reservas Presupuestales de Inversión Vigencia Anterior</v>
          </cell>
          <cell r="H476">
            <v>0</v>
          </cell>
          <cell r="I476">
            <v>17.062093999999998</v>
          </cell>
        </row>
        <row r="477">
          <cell r="A477" t="str">
            <v>63272-BF_1</v>
          </cell>
          <cell r="B477" t="str">
            <v>QUINDIO</v>
          </cell>
          <cell r="C477">
            <v>63272</v>
          </cell>
          <cell r="D477" t="str">
            <v>FILANDIA</v>
          </cell>
          <cell r="E477">
            <v>1</v>
          </cell>
          <cell r="F477" t="str">
            <v>BF_1</v>
          </cell>
          <cell r="G477" t="str">
            <v>INGRESOS TOTALES</v>
          </cell>
          <cell r="H477">
            <v>14255.191000000001</v>
          </cell>
          <cell r="I477">
            <v>15545.889364000001</v>
          </cell>
        </row>
        <row r="478">
          <cell r="A478" t="str">
            <v>63272-BF_1.1</v>
          </cell>
          <cell r="B478" t="str">
            <v>QUINDIO</v>
          </cell>
          <cell r="C478">
            <v>63272</v>
          </cell>
          <cell r="D478" t="str">
            <v>FILANDIA</v>
          </cell>
          <cell r="E478">
            <v>2</v>
          </cell>
          <cell r="F478" t="str">
            <v>BF_1.1</v>
          </cell>
          <cell r="G478" t="str">
            <v xml:space="preserve">    INGRESOS CORRIENTES</v>
          </cell>
          <cell r="H478">
            <v>12377.344999999999</v>
          </cell>
          <cell r="I478">
            <v>12434.175475</v>
          </cell>
        </row>
        <row r="479">
          <cell r="A479" t="str">
            <v>63272-BF_1.1.1</v>
          </cell>
          <cell r="B479" t="str">
            <v>QUINDIO</v>
          </cell>
          <cell r="C479">
            <v>63272</v>
          </cell>
          <cell r="D479" t="str">
            <v>FILANDIA</v>
          </cell>
          <cell r="E479">
            <v>3</v>
          </cell>
          <cell r="F479" t="str">
            <v>BF_1.1.1</v>
          </cell>
          <cell r="G479" t="str">
            <v xml:space="preserve">        TRIBUTARIOS</v>
          </cell>
          <cell r="H479">
            <v>3098.357</v>
          </cell>
          <cell r="I479">
            <v>3137.0620399999998</v>
          </cell>
        </row>
        <row r="480">
          <cell r="A480" t="str">
            <v>63272-BF_1.1.1.2</v>
          </cell>
          <cell r="B480" t="str">
            <v>QUINDIO</v>
          </cell>
          <cell r="C480">
            <v>63272</v>
          </cell>
          <cell r="D480" t="str">
            <v>FILANDIA</v>
          </cell>
          <cell r="E480">
            <v>5</v>
          </cell>
          <cell r="F480" t="str">
            <v>BF_1.1.1.2</v>
          </cell>
          <cell r="G480" t="str">
            <v xml:space="preserve">             Impuesto Predial Unificado</v>
          </cell>
          <cell r="H480">
            <v>1171.8779999999999</v>
          </cell>
          <cell r="I480">
            <v>1013.741532</v>
          </cell>
        </row>
        <row r="481">
          <cell r="A481" t="str">
            <v>63272-BF_1.1.1.3</v>
          </cell>
          <cell r="B481" t="str">
            <v>QUINDIO</v>
          </cell>
          <cell r="C481">
            <v>63272</v>
          </cell>
          <cell r="D481" t="str">
            <v>FILANDIA</v>
          </cell>
          <cell r="E481">
            <v>6</v>
          </cell>
          <cell r="F481" t="str">
            <v>BF_1.1.1.3</v>
          </cell>
          <cell r="G481" t="str">
            <v xml:space="preserve">             Impuesto de Industria y Comercio</v>
          </cell>
          <cell r="H481">
            <v>349.166</v>
          </cell>
          <cell r="I481">
            <v>368.96194200000002</v>
          </cell>
        </row>
        <row r="482">
          <cell r="A482" t="str">
            <v>63272-BF_1.1.1.8</v>
          </cell>
          <cell r="B482" t="str">
            <v>QUINDIO</v>
          </cell>
          <cell r="C482">
            <v>63272</v>
          </cell>
          <cell r="D482" t="str">
            <v>FILANDIA</v>
          </cell>
          <cell r="E482">
            <v>11</v>
          </cell>
          <cell r="F482" t="str">
            <v>BF_1.1.1.8</v>
          </cell>
          <cell r="G482" t="str">
            <v xml:space="preserve">             Sobretasa Consumo Gasolina Motor</v>
          </cell>
          <cell r="H482">
            <v>275.15600000000001</v>
          </cell>
          <cell r="I482">
            <v>288.10599999999999</v>
          </cell>
        </row>
        <row r="483">
          <cell r="A483" t="str">
            <v>63272-BF_1.1.1.9</v>
          </cell>
          <cell r="B483" t="str">
            <v>QUINDIO</v>
          </cell>
          <cell r="C483">
            <v>63272</v>
          </cell>
          <cell r="D483" t="str">
            <v>FILANDIA</v>
          </cell>
          <cell r="E483">
            <v>12</v>
          </cell>
          <cell r="F483" t="str">
            <v>BF_1.1.1.9</v>
          </cell>
          <cell r="G483" t="str">
            <v xml:space="preserve">             Estampillas</v>
          </cell>
          <cell r="H483">
            <v>206.82</v>
          </cell>
          <cell r="I483">
            <v>317.58049999999997</v>
          </cell>
        </row>
        <row r="484">
          <cell r="A484" t="str">
            <v>63272-BF_1.1.1.10</v>
          </cell>
          <cell r="B484" t="str">
            <v>QUINDIO</v>
          </cell>
          <cell r="C484">
            <v>63272</v>
          </cell>
          <cell r="D484" t="str">
            <v>FILANDIA</v>
          </cell>
          <cell r="E484">
            <v>13</v>
          </cell>
          <cell r="F484" t="str">
            <v>BF_1.1.1.10</v>
          </cell>
          <cell r="G484" t="str">
            <v xml:space="preserve">             Impuesto de Transporte por Oleoductos y Gasoductos</v>
          </cell>
          <cell r="H484">
            <v>0</v>
          </cell>
          <cell r="I484">
            <v>136.52951999999999</v>
          </cell>
        </row>
        <row r="485">
          <cell r="A485" t="str">
            <v>63272-BF_1.1.1.12</v>
          </cell>
          <cell r="B485" t="str">
            <v>QUINDIO</v>
          </cell>
          <cell r="C485">
            <v>63272</v>
          </cell>
          <cell r="D485" t="str">
            <v>FILANDIA</v>
          </cell>
          <cell r="E485">
            <v>15</v>
          </cell>
          <cell r="F485" t="str">
            <v>BF_1.1.1.12</v>
          </cell>
          <cell r="G485" t="str">
            <v xml:space="preserve">             Otros Ingresos Tributarios</v>
          </cell>
          <cell r="H485">
            <v>1095.337</v>
          </cell>
          <cell r="I485">
            <v>1012.142546</v>
          </cell>
        </row>
        <row r="486">
          <cell r="A486" t="str">
            <v>63272-BF_1.1.2</v>
          </cell>
          <cell r="B486" t="str">
            <v>QUINDIO</v>
          </cell>
          <cell r="C486">
            <v>63272</v>
          </cell>
          <cell r="D486" t="str">
            <v>FILANDIA</v>
          </cell>
          <cell r="E486">
            <v>16</v>
          </cell>
          <cell r="F486" t="str">
            <v>BF_1.1.2</v>
          </cell>
          <cell r="G486" t="str">
            <v xml:space="preserve">        NO TRIBUTARIOS</v>
          </cell>
          <cell r="H486">
            <v>1028.7280000000001</v>
          </cell>
          <cell r="I486">
            <v>1069.5898380000001</v>
          </cell>
        </row>
        <row r="487">
          <cell r="A487" t="str">
            <v>63272-BF_1.1.2.1</v>
          </cell>
          <cell r="B487" t="str">
            <v>QUINDIO</v>
          </cell>
          <cell r="C487">
            <v>63272</v>
          </cell>
          <cell r="D487" t="str">
            <v>FILANDIA</v>
          </cell>
          <cell r="E487">
            <v>17</v>
          </cell>
          <cell r="F487" t="str">
            <v>BF_1.1.2.1</v>
          </cell>
          <cell r="G487" t="str">
            <v xml:space="preserve">             Ingresos de la Propiedad: Tasas, Derechos, Multas y Sanciones</v>
          </cell>
          <cell r="H487">
            <v>1015.074</v>
          </cell>
          <cell r="I487">
            <v>1069.5898380000001</v>
          </cell>
        </row>
        <row r="488">
          <cell r="A488" t="str">
            <v>63272-BF_1.1.2.2</v>
          </cell>
          <cell r="B488" t="str">
            <v>QUINDIO</v>
          </cell>
          <cell r="C488">
            <v>63272</v>
          </cell>
          <cell r="D488" t="str">
            <v>FILANDIA</v>
          </cell>
          <cell r="E488">
            <v>18</v>
          </cell>
          <cell r="F488" t="str">
            <v>BF_1.1.2.2</v>
          </cell>
          <cell r="G488" t="str">
            <v xml:space="preserve">             Otros No Tributarios</v>
          </cell>
          <cell r="H488">
            <v>13.654</v>
          </cell>
          <cell r="I488">
            <v>0</v>
          </cell>
        </row>
        <row r="489">
          <cell r="A489" t="str">
            <v>63272-BF_1.1.3</v>
          </cell>
          <cell r="B489" t="str">
            <v>QUINDIO</v>
          </cell>
          <cell r="C489">
            <v>63272</v>
          </cell>
          <cell r="D489" t="str">
            <v>FILANDIA</v>
          </cell>
          <cell r="E489">
            <v>19</v>
          </cell>
          <cell r="F489" t="str">
            <v>BF_1.1.3</v>
          </cell>
          <cell r="G489" t="str">
            <v xml:space="preserve">        TRANSFERENCIAS</v>
          </cell>
          <cell r="H489">
            <v>8250.26</v>
          </cell>
          <cell r="I489">
            <v>8227.5235969999994</v>
          </cell>
        </row>
        <row r="490">
          <cell r="A490" t="str">
            <v>63272-BF_1.1.3.1</v>
          </cell>
          <cell r="B490" t="str">
            <v>QUINDIO</v>
          </cell>
          <cell r="C490">
            <v>63272</v>
          </cell>
          <cell r="D490" t="str">
            <v>FILANDIA</v>
          </cell>
          <cell r="E490">
            <v>20</v>
          </cell>
          <cell r="F490" t="str">
            <v>BF_1.1.3.1</v>
          </cell>
          <cell r="G490" t="str">
            <v xml:space="preserve">             Transferencias Para Funcionamiento</v>
          </cell>
          <cell r="H490">
            <v>857.89599999999996</v>
          </cell>
          <cell r="I490">
            <v>1034.0324189999999</v>
          </cell>
        </row>
        <row r="491">
          <cell r="A491" t="str">
            <v>63272-BF_1.1.3.1.1</v>
          </cell>
          <cell r="B491" t="str">
            <v>QUINDIO</v>
          </cell>
          <cell r="C491">
            <v>63272</v>
          </cell>
          <cell r="D491" t="str">
            <v>FILANDIA</v>
          </cell>
          <cell r="E491">
            <v>21</v>
          </cell>
          <cell r="F491" t="str">
            <v>BF_1.1.3.1.1</v>
          </cell>
          <cell r="G491" t="str">
            <v xml:space="preserve">                 Del Nivel Nacional</v>
          </cell>
          <cell r="H491">
            <v>822.58299999999997</v>
          </cell>
          <cell r="I491">
            <v>1004.263453</v>
          </cell>
        </row>
        <row r="492">
          <cell r="A492" t="str">
            <v>63272-BF_1.1.3.1.1.1</v>
          </cell>
          <cell r="B492" t="str">
            <v>QUINDIO</v>
          </cell>
          <cell r="C492">
            <v>63272</v>
          </cell>
          <cell r="D492" t="str">
            <v>FILANDIA</v>
          </cell>
          <cell r="E492">
            <v>22</v>
          </cell>
          <cell r="F492" t="str">
            <v>BF_1.1.3.1.1.1</v>
          </cell>
          <cell r="G492" t="str">
            <v xml:space="preserve">                     Sistema General de Participaciones - Propósito General - Libre destinación - Municipios categorías 4, 5 y 6</v>
          </cell>
          <cell r="H492">
            <v>822.58299999999997</v>
          </cell>
          <cell r="I492">
            <v>1004.263453</v>
          </cell>
        </row>
        <row r="493">
          <cell r="A493" t="str">
            <v>63272-BF_1.1.3.1.2</v>
          </cell>
          <cell r="B493" t="str">
            <v>QUINDIO</v>
          </cell>
          <cell r="C493">
            <v>63272</v>
          </cell>
          <cell r="D493" t="str">
            <v>FILANDIA</v>
          </cell>
          <cell r="E493">
            <v>24</v>
          </cell>
          <cell r="F493" t="str">
            <v>BF_1.1.3.1.2</v>
          </cell>
          <cell r="G493" t="str">
            <v xml:space="preserve">                 Del Nivel Departamental</v>
          </cell>
          <cell r="H493">
            <v>35.313000000000002</v>
          </cell>
          <cell r="I493">
            <v>29.768965999999999</v>
          </cell>
        </row>
        <row r="494">
          <cell r="A494" t="str">
            <v>63272-BF_1.1.3.1.2.1</v>
          </cell>
          <cell r="B494" t="str">
            <v>QUINDIO</v>
          </cell>
          <cell r="C494">
            <v>63272</v>
          </cell>
          <cell r="D494" t="str">
            <v>FILANDIA</v>
          </cell>
          <cell r="E494">
            <v>25</v>
          </cell>
          <cell r="F494" t="str">
            <v>BF_1.1.3.1.2.1</v>
          </cell>
          <cell r="G494" t="str">
            <v xml:space="preserve">                     De Vehículos Automotores</v>
          </cell>
          <cell r="H494">
            <v>35.313000000000002</v>
          </cell>
          <cell r="I494">
            <v>29.768965999999999</v>
          </cell>
        </row>
        <row r="495">
          <cell r="A495" t="str">
            <v>63272-BF_1.1.3.2</v>
          </cell>
          <cell r="B495" t="str">
            <v>QUINDIO</v>
          </cell>
          <cell r="C495">
            <v>63272</v>
          </cell>
          <cell r="D495" t="str">
            <v>FILANDIA</v>
          </cell>
          <cell r="E495">
            <v>28</v>
          </cell>
          <cell r="F495" t="str">
            <v>BF_1.1.3.2</v>
          </cell>
          <cell r="G495" t="str">
            <v xml:space="preserve">             Transferencias Para Inversión</v>
          </cell>
          <cell r="H495">
            <v>7392.3639999999996</v>
          </cell>
          <cell r="I495">
            <v>7193.4911780000002</v>
          </cell>
        </row>
        <row r="496">
          <cell r="A496" t="str">
            <v>63272-BF_1.1.3.2.1</v>
          </cell>
          <cell r="B496" t="str">
            <v>QUINDIO</v>
          </cell>
          <cell r="C496">
            <v>63272</v>
          </cell>
          <cell r="D496" t="str">
            <v>FILANDIA</v>
          </cell>
          <cell r="E496">
            <v>29</v>
          </cell>
          <cell r="F496" t="str">
            <v>BF_1.1.3.2.1</v>
          </cell>
          <cell r="G496" t="str">
            <v xml:space="preserve">                 Del Nivel Nacional</v>
          </cell>
          <cell r="H496">
            <v>6875.6620000000003</v>
          </cell>
          <cell r="I496">
            <v>6697.2684959999997</v>
          </cell>
        </row>
        <row r="497">
          <cell r="A497" t="str">
            <v>63272-BF_1.1.3.2.1.1</v>
          </cell>
          <cell r="B497" t="str">
            <v>QUINDIO</v>
          </cell>
          <cell r="C497">
            <v>63272</v>
          </cell>
          <cell r="D497" t="str">
            <v>FILANDIA</v>
          </cell>
          <cell r="E497">
            <v>30</v>
          </cell>
          <cell r="F497" t="str">
            <v>BF_1.1.3.2.1.1</v>
          </cell>
          <cell r="G497" t="str">
            <v xml:space="preserve">                     Sistema General de Participaciones</v>
          </cell>
          <cell r="H497">
            <v>4267.5950000000003</v>
          </cell>
          <cell r="I497">
            <v>4393.4173840000003</v>
          </cell>
        </row>
        <row r="498">
          <cell r="A498" t="str">
            <v>63272-BF_1.1.3.2.1.1.1</v>
          </cell>
          <cell r="B498" t="str">
            <v>QUINDIO</v>
          </cell>
          <cell r="C498">
            <v>63272</v>
          </cell>
          <cell r="D498" t="str">
            <v>FILANDIA</v>
          </cell>
          <cell r="E498">
            <v>31</v>
          </cell>
          <cell r="F498" t="str">
            <v>BF_1.1.3.2.1.1.1</v>
          </cell>
          <cell r="G498" t="str">
            <v xml:space="preserve">                         Sistema General de Participaciones - Educación</v>
          </cell>
          <cell r="H498">
            <v>323.31200000000001</v>
          </cell>
          <cell r="I498">
            <v>312.07675899999998</v>
          </cell>
        </row>
        <row r="499">
          <cell r="A499" t="str">
            <v>63272-BF_1.1.3.2.1.1.2</v>
          </cell>
          <cell r="B499" t="str">
            <v>QUINDIO</v>
          </cell>
          <cell r="C499">
            <v>63272</v>
          </cell>
          <cell r="D499" t="str">
            <v>FILANDIA</v>
          </cell>
          <cell r="E499">
            <v>32</v>
          </cell>
          <cell r="F499" t="str">
            <v>BF_1.1.3.2.1.1.2</v>
          </cell>
          <cell r="G499" t="str">
            <v xml:space="preserve">                         Sistema General de Participaciones - Salud</v>
          </cell>
          <cell r="H499">
            <v>2313.7669999999998</v>
          </cell>
          <cell r="I499">
            <v>2300.1962960000001</v>
          </cell>
        </row>
        <row r="500">
          <cell r="A500" t="str">
            <v>63272-BF_1.1.3.2.1.1.3</v>
          </cell>
          <cell r="B500" t="str">
            <v>QUINDIO</v>
          </cell>
          <cell r="C500">
            <v>63272</v>
          </cell>
          <cell r="D500" t="str">
            <v>FILANDIA</v>
          </cell>
          <cell r="E500">
            <v>33</v>
          </cell>
          <cell r="F500" t="str">
            <v>BF_1.1.3.2.1.1.3</v>
          </cell>
          <cell r="G500" t="str">
            <v xml:space="preserve">                         Sistema General de Participaciones - Agua Potable y Saneamiento Básico</v>
          </cell>
          <cell r="H500">
            <v>456.59800000000001</v>
          </cell>
          <cell r="I500">
            <v>428.655306</v>
          </cell>
        </row>
        <row r="501">
          <cell r="A501" t="str">
            <v>63272-BF_1.1.3.2.1.1.4</v>
          </cell>
          <cell r="B501" t="str">
            <v>QUINDIO</v>
          </cell>
          <cell r="C501">
            <v>63272</v>
          </cell>
          <cell r="D501" t="str">
            <v>FILANDIA</v>
          </cell>
          <cell r="E501">
            <v>34</v>
          </cell>
          <cell r="F501" t="str">
            <v>BF_1.1.3.2.1.1.4</v>
          </cell>
          <cell r="G501" t="str">
            <v xml:space="preserve">                         Sistema General de Participaciones - Propósito General - Forzosa Inversión</v>
          </cell>
          <cell r="H501">
            <v>1112.798</v>
          </cell>
          <cell r="I501">
            <v>1318.172018</v>
          </cell>
        </row>
        <row r="502">
          <cell r="A502" t="str">
            <v>63272-BF_1.1.3.2.1.1.5</v>
          </cell>
          <cell r="B502" t="str">
            <v>QUINDIO</v>
          </cell>
          <cell r="C502">
            <v>63272</v>
          </cell>
          <cell r="D502" t="str">
            <v>FILANDIA</v>
          </cell>
          <cell r="E502">
            <v>35</v>
          </cell>
          <cell r="F502" t="str">
            <v>BF_1.1.3.2.1.1.5</v>
          </cell>
          <cell r="G502" t="str">
            <v xml:space="preserve">                         Otras del Sistema General de Participaciones</v>
          </cell>
          <cell r="H502">
            <v>61.12</v>
          </cell>
          <cell r="I502">
            <v>34.317005000000002</v>
          </cell>
        </row>
        <row r="503">
          <cell r="A503" t="str">
            <v>63272-BF_1.1.3.2.1.2</v>
          </cell>
          <cell r="B503" t="str">
            <v>QUINDIO</v>
          </cell>
          <cell r="C503">
            <v>63272</v>
          </cell>
          <cell r="D503" t="str">
            <v>FILANDIA</v>
          </cell>
          <cell r="E503">
            <v>36</v>
          </cell>
          <cell r="F503" t="str">
            <v>BF_1.1.3.2.1.2</v>
          </cell>
          <cell r="G503" t="str">
            <v xml:space="preserve">                     FOSYGA y COLJUEGOS</v>
          </cell>
          <cell r="H503">
            <v>2608.067</v>
          </cell>
          <cell r="I503">
            <v>2303.8511119999998</v>
          </cell>
        </row>
        <row r="504">
          <cell r="A504" t="str">
            <v>63272-BF_1.1.3.2.2</v>
          </cell>
          <cell r="B504" t="str">
            <v>QUINDIO</v>
          </cell>
          <cell r="C504">
            <v>63272</v>
          </cell>
          <cell r="D504" t="str">
            <v>FILANDIA</v>
          </cell>
          <cell r="E504">
            <v>38</v>
          </cell>
          <cell r="F504" t="str">
            <v>BF_1.1.3.2.2</v>
          </cell>
          <cell r="G504" t="str">
            <v xml:space="preserve">                 Del Nivel Departamental</v>
          </cell>
          <cell r="H504">
            <v>516.702</v>
          </cell>
          <cell r="I504">
            <v>496.22268200000002</v>
          </cell>
        </row>
        <row r="505">
          <cell r="A505" t="str">
            <v>63272-BF_2</v>
          </cell>
          <cell r="B505" t="str">
            <v>QUINDIO</v>
          </cell>
          <cell r="C505">
            <v>63272</v>
          </cell>
          <cell r="D505" t="str">
            <v>FILANDIA</v>
          </cell>
          <cell r="E505">
            <v>43</v>
          </cell>
          <cell r="F505" t="str">
            <v>BF_2</v>
          </cell>
          <cell r="G505" t="str">
            <v>GASTOS  TOTALES</v>
          </cell>
          <cell r="H505">
            <v>13711.655000000001</v>
          </cell>
          <cell r="I505">
            <v>15362.8468882</v>
          </cell>
        </row>
        <row r="506">
          <cell r="A506" t="str">
            <v>63272-BF_2.1</v>
          </cell>
          <cell r="B506" t="str">
            <v>QUINDIO</v>
          </cell>
          <cell r="C506">
            <v>63272</v>
          </cell>
          <cell r="D506" t="str">
            <v>FILANDIA</v>
          </cell>
          <cell r="E506">
            <v>44</v>
          </cell>
          <cell r="F506" t="str">
            <v>BF_2.1</v>
          </cell>
          <cell r="G506" t="str">
            <v xml:space="preserve">    GASTOS CORRIENTES</v>
          </cell>
          <cell r="H506">
            <v>9246.3860000000004</v>
          </cell>
          <cell r="I506">
            <v>12609.8442228</v>
          </cell>
        </row>
        <row r="507">
          <cell r="A507" t="str">
            <v>63272-BF_2.1.1</v>
          </cell>
          <cell r="B507" t="str">
            <v>QUINDIO</v>
          </cell>
          <cell r="C507">
            <v>63272</v>
          </cell>
          <cell r="D507" t="str">
            <v>FILANDIA</v>
          </cell>
          <cell r="E507">
            <v>45</v>
          </cell>
          <cell r="F507" t="str">
            <v>BF_2.1.1</v>
          </cell>
          <cell r="G507" t="str">
            <v xml:space="preserve">        FUNCIONAMIENTO</v>
          </cell>
          <cell r="H507">
            <v>2211.9209999999998</v>
          </cell>
          <cell r="I507">
            <v>2846.9145640000002</v>
          </cell>
        </row>
        <row r="508">
          <cell r="A508" t="str">
            <v>63272-BF_2.1.1.1</v>
          </cell>
          <cell r="B508" t="str">
            <v>QUINDIO</v>
          </cell>
          <cell r="C508">
            <v>63272</v>
          </cell>
          <cell r="D508" t="str">
            <v>FILANDIA</v>
          </cell>
          <cell r="E508">
            <v>46</v>
          </cell>
          <cell r="F508" t="str">
            <v>BF_2.1.1.1</v>
          </cell>
          <cell r="G508" t="str">
            <v xml:space="preserve">             Gastos de Personal  </v>
          </cell>
          <cell r="H508">
            <v>1044.74</v>
          </cell>
          <cell r="I508">
            <v>1232.46169622</v>
          </cell>
        </row>
        <row r="509">
          <cell r="A509" t="str">
            <v>63272-BF_2.1.1.2</v>
          </cell>
          <cell r="B509" t="str">
            <v>QUINDIO</v>
          </cell>
          <cell r="C509">
            <v>63272</v>
          </cell>
          <cell r="D509" t="str">
            <v>FILANDIA</v>
          </cell>
          <cell r="E509">
            <v>47</v>
          </cell>
          <cell r="F509" t="str">
            <v>BF_2.1.1.2</v>
          </cell>
          <cell r="G509" t="str">
            <v xml:space="preserve">             Gastos Generales</v>
          </cell>
          <cell r="H509">
            <v>452.512</v>
          </cell>
          <cell r="I509">
            <v>551.64015479</v>
          </cell>
        </row>
        <row r="510">
          <cell r="A510" t="str">
            <v>63272-BF_2.1.1.3</v>
          </cell>
          <cell r="B510" t="str">
            <v>QUINDIO</v>
          </cell>
          <cell r="C510">
            <v>63272</v>
          </cell>
          <cell r="D510" t="str">
            <v>FILANDIA</v>
          </cell>
          <cell r="E510">
            <v>48</v>
          </cell>
          <cell r="F510" t="str">
            <v>BF_2.1.1.3</v>
          </cell>
          <cell r="G510" t="str">
            <v xml:space="preserve">             Transferencias</v>
          </cell>
          <cell r="H510">
            <v>712.197</v>
          </cell>
          <cell r="I510">
            <v>1062.8127129899999</v>
          </cell>
        </row>
        <row r="511">
          <cell r="A511" t="str">
            <v>63272-BF_2.1.1.3.1</v>
          </cell>
          <cell r="B511" t="str">
            <v>QUINDIO</v>
          </cell>
          <cell r="C511">
            <v>63272</v>
          </cell>
          <cell r="D511" t="str">
            <v>FILANDIA</v>
          </cell>
          <cell r="E511">
            <v>49</v>
          </cell>
          <cell r="F511" t="str">
            <v>BF_2.1.1.3.1</v>
          </cell>
          <cell r="G511" t="str">
            <v xml:space="preserve">                 Pensiones</v>
          </cell>
          <cell r="H511">
            <v>170.87899999999999</v>
          </cell>
          <cell r="I511">
            <v>163.87262179000001</v>
          </cell>
        </row>
        <row r="512">
          <cell r="A512" t="str">
            <v>63272-BF_2.1.1.3.4</v>
          </cell>
          <cell r="B512" t="str">
            <v>QUINDIO</v>
          </cell>
          <cell r="C512">
            <v>63272</v>
          </cell>
          <cell r="D512" t="str">
            <v>FILANDIA</v>
          </cell>
          <cell r="E512">
            <v>52</v>
          </cell>
          <cell r="F512" t="str">
            <v>BF_2.1.1.3.4</v>
          </cell>
          <cell r="G512" t="str">
            <v xml:space="preserve">                 A Organismos de Control</v>
          </cell>
          <cell r="H512">
            <v>251.345</v>
          </cell>
          <cell r="I512">
            <v>275.46059697999999</v>
          </cell>
        </row>
        <row r="513">
          <cell r="A513" t="str">
            <v>63272-BF_2.1.1.3.5</v>
          </cell>
          <cell r="B513" t="str">
            <v>QUINDIO</v>
          </cell>
          <cell r="C513">
            <v>63272</v>
          </cell>
          <cell r="D513" t="str">
            <v>FILANDIA</v>
          </cell>
          <cell r="E513">
            <v>53</v>
          </cell>
          <cell r="F513" t="str">
            <v>BF_2.1.1.3.5</v>
          </cell>
          <cell r="G513" t="str">
            <v xml:space="preserve">                 A Establecimientos Públicos y Entidades Descentralizadas - Nivel Territorial</v>
          </cell>
          <cell r="H513">
            <v>280.58800000000002</v>
          </cell>
          <cell r="I513">
            <v>0</v>
          </cell>
        </row>
        <row r="514">
          <cell r="A514" t="str">
            <v>63272-BF_2.1.1.3.6</v>
          </cell>
          <cell r="B514" t="str">
            <v>QUINDIO</v>
          </cell>
          <cell r="C514">
            <v>63272</v>
          </cell>
          <cell r="D514" t="str">
            <v>FILANDIA</v>
          </cell>
          <cell r="E514">
            <v>54</v>
          </cell>
          <cell r="F514" t="str">
            <v>BF_2.1.1.3.6</v>
          </cell>
          <cell r="G514" t="str">
            <v xml:space="preserve">                 Sentencias y Conciliaciones</v>
          </cell>
          <cell r="H514">
            <v>9.0229999999999997</v>
          </cell>
          <cell r="I514">
            <v>0</v>
          </cell>
        </row>
        <row r="515">
          <cell r="A515" t="str">
            <v>63272-BF_2.1.1.3.7</v>
          </cell>
          <cell r="B515" t="str">
            <v>QUINDIO</v>
          </cell>
          <cell r="C515">
            <v>63272</v>
          </cell>
          <cell r="D515" t="str">
            <v>FILANDIA</v>
          </cell>
          <cell r="E515">
            <v>55</v>
          </cell>
          <cell r="F515" t="str">
            <v>BF_2.1.1.3.7</v>
          </cell>
          <cell r="G515" t="str">
            <v xml:space="preserve">                 Otras Transferencias</v>
          </cell>
          <cell r="H515">
            <v>0.36199999999999999</v>
          </cell>
          <cell r="I515">
            <v>623.47949421999999</v>
          </cell>
        </row>
        <row r="516">
          <cell r="A516" t="str">
            <v>63272-BF_2.1.1.6</v>
          </cell>
          <cell r="B516" t="str">
            <v>QUINDIO</v>
          </cell>
          <cell r="C516">
            <v>63272</v>
          </cell>
          <cell r="D516" t="str">
            <v>FILANDIA</v>
          </cell>
          <cell r="E516">
            <v>58</v>
          </cell>
          <cell r="F516" t="str">
            <v>BF_2.1.1.6</v>
          </cell>
          <cell r="G516" t="str">
            <v xml:space="preserve">             Otros Gastos de Funcionamiento</v>
          </cell>
          <cell r="H516">
            <v>2.472</v>
          </cell>
          <cell r="I516">
            <v>0</v>
          </cell>
        </row>
        <row r="517">
          <cell r="A517" t="str">
            <v>63272-BF_2.1.4</v>
          </cell>
          <cell r="B517" t="str">
            <v>QUINDIO</v>
          </cell>
          <cell r="C517">
            <v>63272</v>
          </cell>
          <cell r="D517" t="str">
            <v>FILANDIA</v>
          </cell>
          <cell r="E517">
            <v>61</v>
          </cell>
          <cell r="F517" t="str">
            <v>BF_2.1.4</v>
          </cell>
          <cell r="G517" t="str">
            <v xml:space="preserve">        GASTOS OPERATIVOS EN SECTORES SOCIALES (Remuneración al Trabajo, Prestaciones, y Subsidios en Sectores de Inversión)</v>
          </cell>
          <cell r="H517">
            <v>7034.4650000000001</v>
          </cell>
          <cell r="I517">
            <v>9762.9296587999997</v>
          </cell>
        </row>
        <row r="518">
          <cell r="A518" t="str">
            <v>63272-BF_2.1.4.1</v>
          </cell>
          <cell r="B518" t="str">
            <v>QUINDIO</v>
          </cell>
          <cell r="C518">
            <v>63272</v>
          </cell>
          <cell r="D518" t="str">
            <v>FILANDIA</v>
          </cell>
          <cell r="E518">
            <v>62</v>
          </cell>
          <cell r="F518" t="str">
            <v>BF_2.1.4.1</v>
          </cell>
          <cell r="G518" t="str">
            <v xml:space="preserve">             Educación</v>
          </cell>
          <cell r="H518">
            <v>679.15200000000004</v>
          </cell>
          <cell r="I518">
            <v>764.54578100000003</v>
          </cell>
        </row>
        <row r="519">
          <cell r="A519" t="str">
            <v>63272-BF_2.1.4.2</v>
          </cell>
          <cell r="B519" t="str">
            <v>QUINDIO</v>
          </cell>
          <cell r="C519">
            <v>63272</v>
          </cell>
          <cell r="D519" t="str">
            <v>FILANDIA</v>
          </cell>
          <cell r="E519">
            <v>63</v>
          </cell>
          <cell r="F519" t="str">
            <v>BF_2.1.4.2</v>
          </cell>
          <cell r="G519" t="str">
            <v xml:space="preserve">             Salud</v>
          </cell>
          <cell r="H519">
            <v>5860.8389999999999</v>
          </cell>
          <cell r="I519">
            <v>6367.0363470000002</v>
          </cell>
        </row>
        <row r="520">
          <cell r="A520" t="str">
            <v>63272-BF_2.1.4.3</v>
          </cell>
          <cell r="B520" t="str">
            <v>QUINDIO</v>
          </cell>
          <cell r="C520">
            <v>63272</v>
          </cell>
          <cell r="D520" t="str">
            <v>FILANDIA</v>
          </cell>
          <cell r="E520">
            <v>64</v>
          </cell>
          <cell r="F520" t="str">
            <v>BF_2.1.4.3</v>
          </cell>
          <cell r="G520" t="str">
            <v xml:space="preserve">             Agua Potable y Saneamiento Básico</v>
          </cell>
          <cell r="H520">
            <v>308.51</v>
          </cell>
          <cell r="I520">
            <v>329.40157572999999</v>
          </cell>
        </row>
        <row r="521">
          <cell r="A521" t="str">
            <v>63272-BF_2.1.4.4</v>
          </cell>
          <cell r="B521" t="str">
            <v>QUINDIO</v>
          </cell>
          <cell r="C521">
            <v>63272</v>
          </cell>
          <cell r="D521" t="str">
            <v>FILANDIA</v>
          </cell>
          <cell r="E521">
            <v>65</v>
          </cell>
          <cell r="F521" t="str">
            <v>BF_2.1.4.4</v>
          </cell>
          <cell r="G521" t="str">
            <v xml:space="preserve">             Vivienda</v>
          </cell>
          <cell r="H521">
            <v>5.5259999999999998</v>
          </cell>
          <cell r="I521">
            <v>22.392959999999999</v>
          </cell>
        </row>
        <row r="522">
          <cell r="A522" t="str">
            <v>63272-BF_2.1.4.5</v>
          </cell>
          <cell r="B522" t="str">
            <v>QUINDIO</v>
          </cell>
          <cell r="C522">
            <v>63272</v>
          </cell>
          <cell r="D522" t="str">
            <v>FILANDIA</v>
          </cell>
          <cell r="E522">
            <v>66</v>
          </cell>
          <cell r="F522" t="str">
            <v>BF_2.1.4.5</v>
          </cell>
          <cell r="G522" t="str">
            <v xml:space="preserve">             Otros Sectores</v>
          </cell>
          <cell r="H522">
            <v>180.43799999999999</v>
          </cell>
          <cell r="I522">
            <v>2279.5529950700002</v>
          </cell>
        </row>
        <row r="523">
          <cell r="A523" t="str">
            <v>63272-BF_3</v>
          </cell>
          <cell r="B523" t="str">
            <v>QUINDIO</v>
          </cell>
          <cell r="C523">
            <v>63272</v>
          </cell>
          <cell r="D523" t="str">
            <v>FILANDIA</v>
          </cell>
          <cell r="E523">
            <v>70</v>
          </cell>
          <cell r="F523" t="str">
            <v>BF_3</v>
          </cell>
          <cell r="G523" t="str">
            <v>DÉFICIT O AHORRO CORRIENTE</v>
          </cell>
          <cell r="H523">
            <v>3130.9589999999998</v>
          </cell>
          <cell r="I523">
            <v>-175.66874780000001</v>
          </cell>
        </row>
        <row r="524">
          <cell r="A524" t="str">
            <v>63272-BF_4</v>
          </cell>
          <cell r="B524" t="str">
            <v>QUINDIO</v>
          </cell>
          <cell r="C524">
            <v>63272</v>
          </cell>
          <cell r="D524" t="str">
            <v>FILANDIA</v>
          </cell>
          <cell r="E524">
            <v>71</v>
          </cell>
          <cell r="F524" t="str">
            <v>BF_4</v>
          </cell>
          <cell r="G524" t="str">
            <v>INGRESOS DE CAPITAL</v>
          </cell>
          <cell r="H524">
            <v>1877.846</v>
          </cell>
          <cell r="I524">
            <v>3111.7138890000001</v>
          </cell>
        </row>
        <row r="525">
          <cell r="A525" t="str">
            <v>63272-BF_4.1</v>
          </cell>
          <cell r="B525" t="str">
            <v>QUINDIO</v>
          </cell>
          <cell r="C525">
            <v>63272</v>
          </cell>
          <cell r="D525" t="str">
            <v>FILANDIA</v>
          </cell>
          <cell r="E525">
            <v>72</v>
          </cell>
          <cell r="F525" t="str">
            <v>BF_4.1</v>
          </cell>
          <cell r="G525" t="str">
            <v xml:space="preserve">    Cofinanciación</v>
          </cell>
          <cell r="H525">
            <v>1375.242</v>
          </cell>
          <cell r="I525">
            <v>954.82590800000003</v>
          </cell>
        </row>
        <row r="526">
          <cell r="A526" t="str">
            <v>63272-BF_4.4</v>
          </cell>
          <cell r="B526" t="str">
            <v>QUINDIO</v>
          </cell>
          <cell r="C526">
            <v>63272</v>
          </cell>
          <cell r="D526" t="str">
            <v>FILANDIA</v>
          </cell>
          <cell r="E526">
            <v>75</v>
          </cell>
          <cell r="F526" t="str">
            <v>BF_4.4</v>
          </cell>
          <cell r="G526" t="str">
            <v xml:space="preserve">    Rendimientos Financieros</v>
          </cell>
          <cell r="H526">
            <v>121.90300000000001</v>
          </cell>
          <cell r="I526">
            <v>105.040997</v>
          </cell>
        </row>
        <row r="527">
          <cell r="A527" t="str">
            <v>63272-BF_4.6</v>
          </cell>
          <cell r="B527" t="str">
            <v>QUINDIO</v>
          </cell>
          <cell r="C527">
            <v>63272</v>
          </cell>
          <cell r="D527" t="str">
            <v>FILANDIA</v>
          </cell>
          <cell r="E527">
            <v>77</v>
          </cell>
          <cell r="F527" t="str">
            <v>BF_4.6</v>
          </cell>
          <cell r="G527" t="str">
            <v xml:space="preserve">    Desahorro FONPET</v>
          </cell>
          <cell r="H527">
            <v>369.46</v>
          </cell>
          <cell r="I527">
            <v>2045.304261</v>
          </cell>
        </row>
        <row r="528">
          <cell r="A528" t="str">
            <v>63272-BF_4.6.1</v>
          </cell>
          <cell r="B528" t="str">
            <v>QUINDIO</v>
          </cell>
          <cell r="C528">
            <v>63272</v>
          </cell>
          <cell r="D528" t="str">
            <v>FILANDIA</v>
          </cell>
          <cell r="E528">
            <v>78</v>
          </cell>
          <cell r="F528" t="str">
            <v>BF_4.6.1</v>
          </cell>
          <cell r="G528" t="str">
            <v xml:space="preserve">    Salud</v>
          </cell>
          <cell r="H528">
            <v>369.46</v>
          </cell>
          <cell r="I528">
            <v>1278.7760000000001</v>
          </cell>
        </row>
        <row r="529">
          <cell r="A529" t="str">
            <v>63272-BF_4.6.3</v>
          </cell>
          <cell r="B529" t="str">
            <v>QUINDIO</v>
          </cell>
          <cell r="C529">
            <v>63272</v>
          </cell>
          <cell r="D529" t="str">
            <v>FILANDIA</v>
          </cell>
          <cell r="E529">
            <v>80</v>
          </cell>
          <cell r="F529" t="str">
            <v>BF_4.6.3</v>
          </cell>
          <cell r="G529" t="str">
            <v xml:space="preserve">    Propósito General</v>
          </cell>
          <cell r="H529">
            <v>0</v>
          </cell>
          <cell r="I529">
            <v>352.26797299999998</v>
          </cell>
        </row>
        <row r="530">
          <cell r="A530" t="str">
            <v>63272-BF_4.6.4</v>
          </cell>
          <cell r="B530" t="str">
            <v>QUINDIO</v>
          </cell>
          <cell r="C530">
            <v>63272</v>
          </cell>
          <cell r="D530" t="str">
            <v>FILANDIA</v>
          </cell>
          <cell r="E530">
            <v>81</v>
          </cell>
          <cell r="F530" t="str">
            <v>BF_4.6.4</v>
          </cell>
          <cell r="G530" t="str">
            <v xml:space="preserve">    Otros Desahorros y Retiros (Cuotas partes, Bonos y Devoluciones)</v>
          </cell>
          <cell r="H530">
            <v>0</v>
          </cell>
          <cell r="I530">
            <v>414.260288</v>
          </cell>
        </row>
        <row r="531">
          <cell r="A531" t="str">
            <v>63272-BF_4.7</v>
          </cell>
          <cell r="B531" t="str">
            <v>QUINDIO</v>
          </cell>
          <cell r="C531">
            <v>63272</v>
          </cell>
          <cell r="D531" t="str">
            <v>FILANDIA</v>
          </cell>
          <cell r="E531">
            <v>82</v>
          </cell>
          <cell r="F531" t="str">
            <v>BF_4.7</v>
          </cell>
          <cell r="G531" t="str">
            <v xml:space="preserve">    Otros Recursos de Capital (Donaciones, Aprovechamientos y Otros)</v>
          </cell>
          <cell r="H531">
            <v>11.241</v>
          </cell>
          <cell r="I531">
            <v>6.5427229999999996</v>
          </cell>
        </row>
        <row r="532">
          <cell r="A532" t="str">
            <v>63272-BF_5</v>
          </cell>
          <cell r="B532" t="str">
            <v>QUINDIO</v>
          </cell>
          <cell r="C532">
            <v>63272</v>
          </cell>
          <cell r="D532" t="str">
            <v>FILANDIA</v>
          </cell>
          <cell r="E532">
            <v>83</v>
          </cell>
          <cell r="F532" t="str">
            <v>BF_5</v>
          </cell>
          <cell r="G532" t="str">
            <v>GASTOS DE CAPITAL</v>
          </cell>
          <cell r="H532">
            <v>4465.2690000000002</v>
          </cell>
          <cell r="I532">
            <v>2753.0026653999998</v>
          </cell>
        </row>
        <row r="533">
          <cell r="A533" t="str">
            <v>63272-BF_5.1</v>
          </cell>
          <cell r="B533" t="str">
            <v>QUINDIO</v>
          </cell>
          <cell r="C533">
            <v>63272</v>
          </cell>
          <cell r="D533" t="str">
            <v>FILANDIA</v>
          </cell>
          <cell r="E533">
            <v>84</v>
          </cell>
          <cell r="F533" t="str">
            <v>BF_5.1</v>
          </cell>
          <cell r="G533" t="str">
            <v xml:space="preserve">    Formación Bruta de Capital (Construcción, Reparación, Mantenimiento, Preinversión, Otros)</v>
          </cell>
          <cell r="H533">
            <v>4465.2690000000002</v>
          </cell>
          <cell r="I533">
            <v>2753.0026653999998</v>
          </cell>
        </row>
        <row r="534">
          <cell r="A534" t="str">
            <v>63272-BF_5.1.1</v>
          </cell>
          <cell r="B534" t="str">
            <v>QUINDIO</v>
          </cell>
          <cell r="C534">
            <v>63272</v>
          </cell>
          <cell r="D534" t="str">
            <v>FILANDIA</v>
          </cell>
          <cell r="E534">
            <v>85</v>
          </cell>
          <cell r="F534" t="str">
            <v>BF_5.1.1</v>
          </cell>
          <cell r="G534" t="str">
            <v xml:space="preserve">        Educación</v>
          </cell>
          <cell r="H534">
            <v>19.510000000000002</v>
          </cell>
          <cell r="I534">
            <v>29.474851999999998</v>
          </cell>
        </row>
        <row r="535">
          <cell r="A535" t="str">
            <v>63272-BF_5.1.2</v>
          </cell>
          <cell r="B535" t="str">
            <v>QUINDIO</v>
          </cell>
          <cell r="C535">
            <v>63272</v>
          </cell>
          <cell r="D535" t="str">
            <v>FILANDIA</v>
          </cell>
          <cell r="E535">
            <v>86</v>
          </cell>
          <cell r="F535" t="str">
            <v>BF_5.1.2</v>
          </cell>
          <cell r="G535" t="str">
            <v xml:space="preserve">        Salud</v>
          </cell>
          <cell r="H535">
            <v>0</v>
          </cell>
          <cell r="I535">
            <v>141.959</v>
          </cell>
        </row>
        <row r="536">
          <cell r="A536" t="str">
            <v>63272-BF_5.1.3</v>
          </cell>
          <cell r="B536" t="str">
            <v>QUINDIO</v>
          </cell>
          <cell r="C536">
            <v>63272</v>
          </cell>
          <cell r="D536" t="str">
            <v>FILANDIA</v>
          </cell>
          <cell r="E536">
            <v>87</v>
          </cell>
          <cell r="F536" t="str">
            <v>BF_5.1.3</v>
          </cell>
          <cell r="G536" t="str">
            <v xml:space="preserve">        Agua Potable</v>
          </cell>
          <cell r="H536">
            <v>324.88799999999998</v>
          </cell>
          <cell r="I536">
            <v>279.34557551</v>
          </cell>
        </row>
        <row r="537">
          <cell r="A537" t="str">
            <v>63272-BF_5.1.4</v>
          </cell>
          <cell r="B537" t="str">
            <v>QUINDIO</v>
          </cell>
          <cell r="C537">
            <v>63272</v>
          </cell>
          <cell r="D537" t="str">
            <v>FILANDIA</v>
          </cell>
          <cell r="E537">
            <v>88</v>
          </cell>
          <cell r="F537" t="str">
            <v>BF_5.1.4</v>
          </cell>
          <cell r="G537" t="str">
            <v xml:space="preserve">        Vivienda</v>
          </cell>
          <cell r="H537">
            <v>79.022000000000006</v>
          </cell>
          <cell r="I537">
            <v>255.24131700000001</v>
          </cell>
        </row>
        <row r="538">
          <cell r="A538" t="str">
            <v>63272-BF_5.1.5</v>
          </cell>
          <cell r="B538" t="str">
            <v>QUINDIO</v>
          </cell>
          <cell r="C538">
            <v>63272</v>
          </cell>
          <cell r="D538" t="str">
            <v>FILANDIA</v>
          </cell>
          <cell r="E538">
            <v>89</v>
          </cell>
          <cell r="F538" t="str">
            <v>BF_5.1.5</v>
          </cell>
          <cell r="G538" t="str">
            <v xml:space="preserve">        Vías</v>
          </cell>
          <cell r="H538">
            <v>1085.8969999999999</v>
          </cell>
          <cell r="I538">
            <v>842.38176139999996</v>
          </cell>
        </row>
        <row r="539">
          <cell r="A539" t="str">
            <v>63272-BF_5.1.6</v>
          </cell>
          <cell r="B539" t="str">
            <v>QUINDIO</v>
          </cell>
          <cell r="C539">
            <v>63272</v>
          </cell>
          <cell r="D539" t="str">
            <v>FILANDIA</v>
          </cell>
          <cell r="E539">
            <v>90</v>
          </cell>
          <cell r="F539" t="str">
            <v>BF_5.1.6</v>
          </cell>
          <cell r="G539" t="str">
            <v xml:space="preserve">        Otros Sectores</v>
          </cell>
          <cell r="H539">
            <v>2955.9520000000002</v>
          </cell>
          <cell r="I539">
            <v>1204.6001594899999</v>
          </cell>
        </row>
        <row r="540">
          <cell r="A540" t="str">
            <v>63272-BF_6</v>
          </cell>
          <cell r="B540" t="str">
            <v>QUINDIO</v>
          </cell>
          <cell r="C540">
            <v>63272</v>
          </cell>
          <cell r="D540" t="str">
            <v>FILANDIA</v>
          </cell>
          <cell r="E540">
            <v>92</v>
          </cell>
          <cell r="F540" t="str">
            <v>BF_6</v>
          </cell>
          <cell r="G540" t="str">
            <v>DÉFICIT O SUPERÁVIT DE CAPITAL</v>
          </cell>
          <cell r="H540">
            <v>-2587.4229999999998</v>
          </cell>
          <cell r="I540">
            <v>358.71122359999998</v>
          </cell>
        </row>
        <row r="541">
          <cell r="A541" t="str">
            <v>63272-BF_7</v>
          </cell>
          <cell r="B541" t="str">
            <v>QUINDIO</v>
          </cell>
          <cell r="C541">
            <v>63272</v>
          </cell>
          <cell r="D541" t="str">
            <v>FILANDIA</v>
          </cell>
          <cell r="E541">
            <v>93</v>
          </cell>
          <cell r="F541" t="str">
            <v>BF_7</v>
          </cell>
          <cell r="G541" t="str">
            <v>DÉFICIT O SUPERÁVIT TOTAL</v>
          </cell>
          <cell r="H541">
            <v>543.53599999999994</v>
          </cell>
          <cell r="I541">
            <v>183.04247580000001</v>
          </cell>
        </row>
        <row r="542">
          <cell r="A542" t="str">
            <v>63272-BF_8</v>
          </cell>
          <cell r="B542" t="str">
            <v>QUINDIO</v>
          </cell>
          <cell r="C542">
            <v>63272</v>
          </cell>
          <cell r="D542" t="str">
            <v>FILANDIA</v>
          </cell>
          <cell r="E542">
            <v>94</v>
          </cell>
          <cell r="F542" t="str">
            <v>BF_8</v>
          </cell>
          <cell r="G542" t="str">
            <v>FINANCIACIÓN</v>
          </cell>
          <cell r="H542">
            <v>2746.9949999999999</v>
          </cell>
          <cell r="I542">
            <v>3299.4678509999999</v>
          </cell>
        </row>
        <row r="543">
          <cell r="A543" t="str">
            <v>63272-BF_8.2</v>
          </cell>
          <cell r="B543" t="str">
            <v>QUINDIO</v>
          </cell>
          <cell r="C543">
            <v>63272</v>
          </cell>
          <cell r="D543" t="str">
            <v>FILANDIA</v>
          </cell>
          <cell r="E543">
            <v>102</v>
          </cell>
          <cell r="F543" t="str">
            <v>BF_8.2</v>
          </cell>
          <cell r="G543" t="str">
            <v xml:space="preserve">    Recursos del Balance (Superávit Fiscal, Cancelación de Reservas)</v>
          </cell>
          <cell r="H543">
            <v>2746.9949999999999</v>
          </cell>
          <cell r="I543">
            <v>3288.0418690000001</v>
          </cell>
        </row>
        <row r="544">
          <cell r="A544" t="str">
            <v>63272-BF_8.3</v>
          </cell>
          <cell r="B544" t="str">
            <v>QUINDIO</v>
          </cell>
          <cell r="C544">
            <v>63272</v>
          </cell>
          <cell r="D544" t="str">
            <v>FILANDIA</v>
          </cell>
          <cell r="E544">
            <v>103</v>
          </cell>
          <cell r="F544" t="str">
            <v>BF_8.3</v>
          </cell>
          <cell r="G544" t="str">
            <v xml:space="preserve">    Venta de Activos</v>
          </cell>
          <cell r="H544">
            <v>0</v>
          </cell>
          <cell r="I544">
            <v>11.425981999999999</v>
          </cell>
        </row>
        <row r="545">
          <cell r="A545" t="str">
            <v>63272-BF_9.1</v>
          </cell>
          <cell r="B545" t="str">
            <v>QUINDIO</v>
          </cell>
          <cell r="C545">
            <v>63272</v>
          </cell>
          <cell r="D545" t="str">
            <v>FILANDIA</v>
          </cell>
          <cell r="E545">
            <v>107</v>
          </cell>
          <cell r="F545" t="str">
            <v>BF_9.1</v>
          </cell>
          <cell r="G545" t="str">
            <v xml:space="preserve">    DÉFICIT O SUPERÁVIT PRIMARIO</v>
          </cell>
          <cell r="H545">
            <v>3290.5309999999999</v>
          </cell>
          <cell r="I545">
            <v>3471.0843448000001</v>
          </cell>
        </row>
        <row r="546">
          <cell r="A546" t="str">
            <v>63272-BF_10.1</v>
          </cell>
          <cell r="B546" t="str">
            <v>QUINDIO</v>
          </cell>
          <cell r="C546">
            <v>63272</v>
          </cell>
          <cell r="D546" t="str">
            <v>FILANDIA</v>
          </cell>
          <cell r="E546">
            <v>110</v>
          </cell>
          <cell r="F546" t="str">
            <v>BF_10.1</v>
          </cell>
          <cell r="G546" t="str">
            <v xml:space="preserve">    INGRESOS TOTALES SIN INCLUIR RECURSOS PARA RESERVAS PRESUPUESTALES</v>
          </cell>
          <cell r="H546">
            <v>17002.186000000002</v>
          </cell>
          <cell r="I546">
            <v>18845.357215</v>
          </cell>
        </row>
        <row r="547">
          <cell r="A547" t="str">
            <v>63272-BF_10.2</v>
          </cell>
          <cell r="B547" t="str">
            <v>QUINDIO</v>
          </cell>
          <cell r="C547">
            <v>63272</v>
          </cell>
          <cell r="D547" t="str">
            <v>FILANDIA</v>
          </cell>
          <cell r="E547">
            <v>111</v>
          </cell>
          <cell r="F547" t="str">
            <v>BF_10.2</v>
          </cell>
          <cell r="G547" t="str">
            <v xml:space="preserve">    GASTOS TOTALES SIN INCLUIR GASTOS POR RESERVAS PRESUPUESTALES</v>
          </cell>
          <cell r="H547">
            <v>13711.655000000001</v>
          </cell>
          <cell r="I547">
            <v>15362.8468882</v>
          </cell>
        </row>
        <row r="548">
          <cell r="A548" t="str">
            <v>63272-BF_10.3</v>
          </cell>
          <cell r="B548" t="str">
            <v>QUINDIO</v>
          </cell>
          <cell r="C548">
            <v>63272</v>
          </cell>
          <cell r="D548" t="str">
            <v>FILANDIA</v>
          </cell>
          <cell r="E548">
            <v>112</v>
          </cell>
          <cell r="F548" t="str">
            <v>BF_10.3</v>
          </cell>
          <cell r="G548" t="str">
            <v xml:space="preserve">    DÉFICIT O SUPERÁVIT PRESUPUESTAL SIN INCLUIR RESERVAS PRESUPUESTALES</v>
          </cell>
          <cell r="H548">
            <v>3290.5309999999999</v>
          </cell>
          <cell r="I548">
            <v>3482.5103267999998</v>
          </cell>
        </row>
        <row r="549">
          <cell r="A549" t="str">
            <v>63272-BF_12.1</v>
          </cell>
          <cell r="B549" t="str">
            <v>QUINDIO</v>
          </cell>
          <cell r="C549">
            <v>63272</v>
          </cell>
          <cell r="D549" t="str">
            <v>FILANDIA</v>
          </cell>
          <cell r="E549">
            <v>114</v>
          </cell>
          <cell r="F549" t="str">
            <v>BF_12.1</v>
          </cell>
          <cell r="G549" t="str">
            <v xml:space="preserve">    INGRESOS TOTALES</v>
          </cell>
          <cell r="H549">
            <v>17082.357</v>
          </cell>
          <cell r="I549">
            <v>19528.731534999999</v>
          </cell>
        </row>
        <row r="550">
          <cell r="A550" t="str">
            <v>63272-BF_12.2</v>
          </cell>
          <cell r="B550" t="str">
            <v>QUINDIO</v>
          </cell>
          <cell r="C550">
            <v>63272</v>
          </cell>
          <cell r="D550" t="str">
            <v>FILANDIA</v>
          </cell>
          <cell r="E550">
            <v>115</v>
          </cell>
          <cell r="F550" t="str">
            <v>BF_12.2</v>
          </cell>
          <cell r="G550" t="str">
            <v xml:space="preserve">    GASTOS TOTALES</v>
          </cell>
          <cell r="H550">
            <v>13791.825999999999</v>
          </cell>
          <cell r="I550">
            <v>16035.4589232</v>
          </cell>
        </row>
        <row r="551">
          <cell r="A551" t="str">
            <v>63272-BF_12.3</v>
          </cell>
          <cell r="B551" t="str">
            <v>QUINDIO</v>
          </cell>
          <cell r="C551">
            <v>63272</v>
          </cell>
          <cell r="D551" t="str">
            <v>FILANDIA</v>
          </cell>
          <cell r="E551">
            <v>116</v>
          </cell>
          <cell r="F551" t="str">
            <v>BF_12.3</v>
          </cell>
          <cell r="G551" t="str">
            <v xml:space="preserve">    DÉFICIT O SUPERÁVIT PRESUPUESTAL</v>
          </cell>
          <cell r="H551">
            <v>3290.5309999999999</v>
          </cell>
          <cell r="I551">
            <v>3493.2726118</v>
          </cell>
        </row>
        <row r="552">
          <cell r="A552" t="str">
            <v>63272-BF_13.1</v>
          </cell>
          <cell r="B552" t="str">
            <v>QUINDIO</v>
          </cell>
          <cell r="C552">
            <v>63272</v>
          </cell>
          <cell r="D552" t="str">
            <v>FILANDIA</v>
          </cell>
          <cell r="E552">
            <v>118</v>
          </cell>
          <cell r="F552" t="str">
            <v>BF_13.1</v>
          </cell>
          <cell r="G552" t="str">
            <v xml:space="preserve">    Recursos que Financian Reservas Presupuestales Excepcionales (Ley 819/2003)</v>
          </cell>
          <cell r="H552">
            <v>80.171000000000006</v>
          </cell>
          <cell r="I552">
            <v>683.37432000000001</v>
          </cell>
        </row>
        <row r="553">
          <cell r="A553" t="str">
            <v>63272-BF_13.2</v>
          </cell>
          <cell r="B553" t="str">
            <v>QUINDIO</v>
          </cell>
          <cell r="C553">
            <v>63272</v>
          </cell>
          <cell r="D553" t="str">
            <v>FILANDIA</v>
          </cell>
          <cell r="E553">
            <v>119</v>
          </cell>
          <cell r="F553" t="str">
            <v>BF_13.2</v>
          </cell>
          <cell r="G553" t="str">
            <v xml:space="preserve">    Reservas Presupuestales de Funcionamiento Vigencia Anterior</v>
          </cell>
          <cell r="H553">
            <v>0</v>
          </cell>
          <cell r="I553">
            <v>6.4</v>
          </cell>
        </row>
        <row r="554">
          <cell r="A554" t="str">
            <v>63272-BF_13.3</v>
          </cell>
          <cell r="B554" t="str">
            <v>QUINDIO</v>
          </cell>
          <cell r="C554">
            <v>63272</v>
          </cell>
          <cell r="D554" t="str">
            <v>FILANDIA</v>
          </cell>
          <cell r="E554">
            <v>120</v>
          </cell>
          <cell r="F554" t="str">
            <v>BF_13.3</v>
          </cell>
          <cell r="G554" t="str">
            <v xml:space="preserve">    Reservas Presupuestales de Inversión Vigencia Anterior</v>
          </cell>
          <cell r="H554">
            <v>80.171000000000006</v>
          </cell>
          <cell r="I554">
            <v>666.21203500000001</v>
          </cell>
        </row>
        <row r="555">
          <cell r="A555" t="str">
            <v>63272-BF_13.4</v>
          </cell>
          <cell r="B555" t="str">
            <v>QUINDIO</v>
          </cell>
          <cell r="C555">
            <v>63272</v>
          </cell>
          <cell r="D555" t="str">
            <v>FILANDIA</v>
          </cell>
          <cell r="E555">
            <v>121</v>
          </cell>
          <cell r="F555" t="str">
            <v>BF_13.4</v>
          </cell>
          <cell r="G555" t="str">
            <v xml:space="preserve">    DEFICIT O SUPERAVIT RESERVAS PRESUPUESTALES</v>
          </cell>
          <cell r="H555">
            <v>0</v>
          </cell>
          <cell r="I555">
            <v>10.762285</v>
          </cell>
        </row>
        <row r="556">
          <cell r="A556" t="str">
            <v>63302-BF_1</v>
          </cell>
          <cell r="B556" t="str">
            <v>QUINDIO</v>
          </cell>
          <cell r="C556">
            <v>63302</v>
          </cell>
          <cell r="D556" t="str">
            <v>GÉNOVA</v>
          </cell>
          <cell r="E556">
            <v>1</v>
          </cell>
          <cell r="F556" t="str">
            <v>BF_1</v>
          </cell>
          <cell r="G556" t="str">
            <v>INGRESOS TOTALES</v>
          </cell>
          <cell r="H556">
            <v>9390.5450000000001</v>
          </cell>
          <cell r="I556">
            <v>9669.2762949999997</v>
          </cell>
        </row>
        <row r="557">
          <cell r="A557" t="str">
            <v>63302-BF_1.1</v>
          </cell>
          <cell r="B557" t="str">
            <v>QUINDIO</v>
          </cell>
          <cell r="C557">
            <v>63302</v>
          </cell>
          <cell r="D557" t="str">
            <v>GÉNOVA</v>
          </cell>
          <cell r="E557">
            <v>2</v>
          </cell>
          <cell r="F557" t="str">
            <v>BF_1.1</v>
          </cell>
          <cell r="G557" t="str">
            <v xml:space="preserve">    INGRESOS CORRIENTES</v>
          </cell>
          <cell r="H557">
            <v>8334.8150000000005</v>
          </cell>
          <cell r="I557">
            <v>8529.6254929999996</v>
          </cell>
        </row>
        <row r="558">
          <cell r="A558" t="str">
            <v>63302-BF_1.1.1</v>
          </cell>
          <cell r="B558" t="str">
            <v>QUINDIO</v>
          </cell>
          <cell r="C558">
            <v>63302</v>
          </cell>
          <cell r="D558" t="str">
            <v>GÉNOVA</v>
          </cell>
          <cell r="E558">
            <v>3</v>
          </cell>
          <cell r="F558" t="str">
            <v>BF_1.1.1</v>
          </cell>
          <cell r="G558" t="str">
            <v xml:space="preserve">        TRIBUTARIOS</v>
          </cell>
          <cell r="H558">
            <v>1104.5709999999999</v>
          </cell>
          <cell r="I558">
            <v>1038.7516479999999</v>
          </cell>
        </row>
        <row r="559">
          <cell r="A559" t="str">
            <v>63302-BF_1.1.1.2</v>
          </cell>
          <cell r="B559" t="str">
            <v>QUINDIO</v>
          </cell>
          <cell r="C559">
            <v>63302</v>
          </cell>
          <cell r="D559" t="str">
            <v>GÉNOVA</v>
          </cell>
          <cell r="E559">
            <v>5</v>
          </cell>
          <cell r="F559" t="str">
            <v>BF_1.1.1.2</v>
          </cell>
          <cell r="G559" t="str">
            <v xml:space="preserve">             Impuesto Predial Unificado</v>
          </cell>
          <cell r="H559">
            <v>438.91</v>
          </cell>
          <cell r="I559">
            <v>426.02846399999999</v>
          </cell>
        </row>
        <row r="560">
          <cell r="A560" t="str">
            <v>63302-BF_1.1.1.3</v>
          </cell>
          <cell r="B560" t="str">
            <v>QUINDIO</v>
          </cell>
          <cell r="C560">
            <v>63302</v>
          </cell>
          <cell r="D560" t="str">
            <v>GÉNOVA</v>
          </cell>
          <cell r="E560">
            <v>6</v>
          </cell>
          <cell r="F560" t="str">
            <v>BF_1.1.1.3</v>
          </cell>
          <cell r="G560" t="str">
            <v xml:space="preserve">             Impuesto de Industria y Comercio</v>
          </cell>
          <cell r="H560">
            <v>105.54300000000001</v>
          </cell>
          <cell r="I560">
            <v>109.713853</v>
          </cell>
        </row>
        <row r="561">
          <cell r="A561" t="str">
            <v>63302-BF_1.1.1.8</v>
          </cell>
          <cell r="B561" t="str">
            <v>QUINDIO</v>
          </cell>
          <cell r="C561">
            <v>63302</v>
          </cell>
          <cell r="D561" t="str">
            <v>GÉNOVA</v>
          </cell>
          <cell r="E561">
            <v>11</v>
          </cell>
          <cell r="F561" t="str">
            <v>BF_1.1.1.8</v>
          </cell>
          <cell r="G561" t="str">
            <v xml:space="preserve">             Sobretasa Consumo Gasolina Motor</v>
          </cell>
          <cell r="H561">
            <v>107.288</v>
          </cell>
          <cell r="I561">
            <v>110.649</v>
          </cell>
        </row>
        <row r="562">
          <cell r="A562" t="str">
            <v>63302-BF_1.1.1.9</v>
          </cell>
          <cell r="B562" t="str">
            <v>QUINDIO</v>
          </cell>
          <cell r="C562">
            <v>63302</v>
          </cell>
          <cell r="D562" t="str">
            <v>GÉNOVA</v>
          </cell>
          <cell r="E562">
            <v>12</v>
          </cell>
          <cell r="F562" t="str">
            <v>BF_1.1.1.9</v>
          </cell>
          <cell r="G562" t="str">
            <v xml:space="preserve">             Estampillas</v>
          </cell>
          <cell r="H562">
            <v>134.67699999999999</v>
          </cell>
          <cell r="I562">
            <v>139.774</v>
          </cell>
        </row>
        <row r="563">
          <cell r="A563" t="str">
            <v>63302-BF_1.1.1.12</v>
          </cell>
          <cell r="B563" t="str">
            <v>QUINDIO</v>
          </cell>
          <cell r="C563">
            <v>63302</v>
          </cell>
          <cell r="D563" t="str">
            <v>GÉNOVA</v>
          </cell>
          <cell r="E563">
            <v>15</v>
          </cell>
          <cell r="F563" t="str">
            <v>BF_1.1.1.12</v>
          </cell>
          <cell r="G563" t="str">
            <v xml:space="preserve">             Otros Ingresos Tributarios</v>
          </cell>
          <cell r="H563">
            <v>318.15300000000002</v>
          </cell>
          <cell r="I563">
            <v>252.586331</v>
          </cell>
        </row>
        <row r="564">
          <cell r="A564" t="str">
            <v>63302-BF_1.1.2</v>
          </cell>
          <cell r="B564" t="str">
            <v>QUINDIO</v>
          </cell>
          <cell r="C564">
            <v>63302</v>
          </cell>
          <cell r="D564" t="str">
            <v>GÉNOVA</v>
          </cell>
          <cell r="E564">
            <v>16</v>
          </cell>
          <cell r="F564" t="str">
            <v>BF_1.1.2</v>
          </cell>
          <cell r="G564" t="str">
            <v xml:space="preserve">        NO TRIBUTARIOS</v>
          </cell>
          <cell r="H564">
            <v>133.35400000000001</v>
          </cell>
          <cell r="I564">
            <v>136.03554299999999</v>
          </cell>
        </row>
        <row r="565">
          <cell r="A565" t="str">
            <v>63302-BF_1.1.2.1</v>
          </cell>
          <cell r="B565" t="str">
            <v>QUINDIO</v>
          </cell>
          <cell r="C565">
            <v>63302</v>
          </cell>
          <cell r="D565" t="str">
            <v>GÉNOVA</v>
          </cell>
          <cell r="E565">
            <v>17</v>
          </cell>
          <cell r="F565" t="str">
            <v>BF_1.1.2.1</v>
          </cell>
          <cell r="G565" t="str">
            <v xml:space="preserve">             Ingresos de la Propiedad: Tasas, Derechos, Multas y Sanciones</v>
          </cell>
          <cell r="H565">
            <v>132.33799999999999</v>
          </cell>
          <cell r="I565">
            <v>133.03805199999999</v>
          </cell>
        </row>
        <row r="566">
          <cell r="A566" t="str">
            <v>63302-BF_1.1.2.2</v>
          </cell>
          <cell r="B566" t="str">
            <v>QUINDIO</v>
          </cell>
          <cell r="C566">
            <v>63302</v>
          </cell>
          <cell r="D566" t="str">
            <v>GÉNOVA</v>
          </cell>
          <cell r="E566">
            <v>18</v>
          </cell>
          <cell r="F566" t="str">
            <v>BF_1.1.2.2</v>
          </cell>
          <cell r="G566" t="str">
            <v xml:space="preserve">             Otros No Tributarios</v>
          </cell>
          <cell r="H566">
            <v>1.016</v>
          </cell>
          <cell r="I566">
            <v>2.9974910000000001</v>
          </cell>
        </row>
        <row r="567">
          <cell r="A567" t="str">
            <v>63302-BF_1.1.3</v>
          </cell>
          <cell r="B567" t="str">
            <v>QUINDIO</v>
          </cell>
          <cell r="C567">
            <v>63302</v>
          </cell>
          <cell r="D567" t="str">
            <v>GÉNOVA</v>
          </cell>
          <cell r="E567">
            <v>19</v>
          </cell>
          <cell r="F567" t="str">
            <v>BF_1.1.3</v>
          </cell>
          <cell r="G567" t="str">
            <v xml:space="preserve">        TRANSFERENCIAS</v>
          </cell>
          <cell r="H567">
            <v>7096.89</v>
          </cell>
          <cell r="I567">
            <v>7354.8383020000001</v>
          </cell>
        </row>
        <row r="568">
          <cell r="A568" t="str">
            <v>63302-BF_1.1.3.1</v>
          </cell>
          <cell r="B568" t="str">
            <v>QUINDIO</v>
          </cell>
          <cell r="C568">
            <v>63302</v>
          </cell>
          <cell r="D568" t="str">
            <v>GÉNOVA</v>
          </cell>
          <cell r="E568">
            <v>20</v>
          </cell>
          <cell r="F568" t="str">
            <v>BF_1.1.3.1</v>
          </cell>
          <cell r="G568" t="str">
            <v xml:space="preserve">             Transferencias Para Funcionamiento</v>
          </cell>
          <cell r="H568">
            <v>756.77300000000002</v>
          </cell>
          <cell r="I568">
            <v>893.89556200000004</v>
          </cell>
        </row>
        <row r="569">
          <cell r="A569" t="str">
            <v>63302-BF_1.1.3.1.1</v>
          </cell>
          <cell r="B569" t="str">
            <v>QUINDIO</v>
          </cell>
          <cell r="C569">
            <v>63302</v>
          </cell>
          <cell r="D569" t="str">
            <v>GÉNOVA</v>
          </cell>
          <cell r="E569">
            <v>21</v>
          </cell>
          <cell r="F569" t="str">
            <v>BF_1.1.3.1.1</v>
          </cell>
          <cell r="G569" t="str">
            <v xml:space="preserve">                 Del Nivel Nacional</v>
          </cell>
          <cell r="H569">
            <v>747.13900000000001</v>
          </cell>
          <cell r="I569">
            <v>883.95987400000001</v>
          </cell>
        </row>
        <row r="570">
          <cell r="A570" t="str">
            <v>63302-BF_1.1.3.1.1.1</v>
          </cell>
          <cell r="B570" t="str">
            <v>QUINDIO</v>
          </cell>
          <cell r="C570">
            <v>63302</v>
          </cell>
          <cell r="D570" t="str">
            <v>GÉNOVA</v>
          </cell>
          <cell r="E570">
            <v>22</v>
          </cell>
          <cell r="F570" t="str">
            <v>BF_1.1.3.1.1.1</v>
          </cell>
          <cell r="G570" t="str">
            <v xml:space="preserve">                     Sistema General de Participaciones - Propósito General - Libre destinación - Municipios categorías 4, 5 y 6</v>
          </cell>
          <cell r="H570">
            <v>747.13900000000001</v>
          </cell>
          <cell r="I570">
            <v>883.95987400000001</v>
          </cell>
        </row>
        <row r="571">
          <cell r="A571" t="str">
            <v>63302-BF_1.1.3.1.2</v>
          </cell>
          <cell r="B571" t="str">
            <v>QUINDIO</v>
          </cell>
          <cell r="C571">
            <v>63302</v>
          </cell>
          <cell r="D571" t="str">
            <v>GÉNOVA</v>
          </cell>
          <cell r="E571">
            <v>24</v>
          </cell>
          <cell r="F571" t="str">
            <v>BF_1.1.3.1.2</v>
          </cell>
          <cell r="G571" t="str">
            <v xml:space="preserve">                 Del Nivel Departamental</v>
          </cell>
          <cell r="H571">
            <v>9.6340000000000003</v>
          </cell>
          <cell r="I571">
            <v>9.9356880000000007</v>
          </cell>
        </row>
        <row r="572">
          <cell r="A572" t="str">
            <v>63302-BF_1.1.3.1.2.1</v>
          </cell>
          <cell r="B572" t="str">
            <v>QUINDIO</v>
          </cell>
          <cell r="C572">
            <v>63302</v>
          </cell>
          <cell r="D572" t="str">
            <v>GÉNOVA</v>
          </cell>
          <cell r="E572">
            <v>25</v>
          </cell>
          <cell r="F572" t="str">
            <v>BF_1.1.3.1.2.1</v>
          </cell>
          <cell r="G572" t="str">
            <v xml:space="preserve">                     De Vehículos Automotores</v>
          </cell>
          <cell r="H572">
            <v>9.6340000000000003</v>
          </cell>
          <cell r="I572">
            <v>9.9356880000000007</v>
          </cell>
        </row>
        <row r="573">
          <cell r="A573" t="str">
            <v>63302-BF_1.1.3.2</v>
          </cell>
          <cell r="B573" t="str">
            <v>QUINDIO</v>
          </cell>
          <cell r="C573">
            <v>63302</v>
          </cell>
          <cell r="D573" t="str">
            <v>GÉNOVA</v>
          </cell>
          <cell r="E573">
            <v>28</v>
          </cell>
          <cell r="F573" t="str">
            <v>BF_1.1.3.2</v>
          </cell>
          <cell r="G573" t="str">
            <v xml:space="preserve">             Transferencias Para Inversión</v>
          </cell>
          <cell r="H573">
            <v>6340.1170000000002</v>
          </cell>
          <cell r="I573">
            <v>6460.9427400000004</v>
          </cell>
        </row>
        <row r="574">
          <cell r="A574" t="str">
            <v>63302-BF_1.1.3.2.1</v>
          </cell>
          <cell r="B574" t="str">
            <v>QUINDIO</v>
          </cell>
          <cell r="C574">
            <v>63302</v>
          </cell>
          <cell r="D574" t="str">
            <v>GÉNOVA</v>
          </cell>
          <cell r="E574">
            <v>29</v>
          </cell>
          <cell r="F574" t="str">
            <v>BF_1.1.3.2.1</v>
          </cell>
          <cell r="G574" t="str">
            <v xml:space="preserve">                 Del Nivel Nacional</v>
          </cell>
          <cell r="H574">
            <v>6002.2259999999997</v>
          </cell>
          <cell r="I574">
            <v>6005.2276250000004</v>
          </cell>
        </row>
        <row r="575">
          <cell r="A575" t="str">
            <v>63302-BF_1.1.3.2.1.1</v>
          </cell>
          <cell r="B575" t="str">
            <v>QUINDIO</v>
          </cell>
          <cell r="C575">
            <v>63302</v>
          </cell>
          <cell r="D575" t="str">
            <v>GÉNOVA</v>
          </cell>
          <cell r="E575">
            <v>30</v>
          </cell>
          <cell r="F575" t="str">
            <v>BF_1.1.3.2.1.1</v>
          </cell>
          <cell r="G575" t="str">
            <v xml:space="preserve">                     Sistema General de Participaciones</v>
          </cell>
          <cell r="H575">
            <v>3693.047</v>
          </cell>
          <cell r="I575">
            <v>3873.7986719999999</v>
          </cell>
        </row>
        <row r="576">
          <cell r="A576" t="str">
            <v>63302-BF_1.1.3.2.1.1.1</v>
          </cell>
          <cell r="B576" t="str">
            <v>QUINDIO</v>
          </cell>
          <cell r="C576">
            <v>63302</v>
          </cell>
          <cell r="D576" t="str">
            <v>GÉNOVA</v>
          </cell>
          <cell r="E576">
            <v>31</v>
          </cell>
          <cell r="F576" t="str">
            <v>BF_1.1.3.2.1.1.1</v>
          </cell>
          <cell r="G576" t="str">
            <v xml:space="preserve">                         Sistema General de Participaciones - Educación</v>
          </cell>
          <cell r="H576">
            <v>266.39400000000001</v>
          </cell>
          <cell r="I576">
            <v>256.36716999999999</v>
          </cell>
        </row>
        <row r="577">
          <cell r="A577" t="str">
            <v>63302-BF_1.1.3.2.1.1.2</v>
          </cell>
          <cell r="B577" t="str">
            <v>QUINDIO</v>
          </cell>
          <cell r="C577">
            <v>63302</v>
          </cell>
          <cell r="D577" t="str">
            <v>GÉNOVA</v>
          </cell>
          <cell r="E577">
            <v>32</v>
          </cell>
          <cell r="F577" t="str">
            <v>BF_1.1.3.2.1.1.2</v>
          </cell>
          <cell r="G577" t="str">
            <v xml:space="preserve">                         Sistema General de Participaciones - Salud</v>
          </cell>
          <cell r="H577">
            <v>1985.0830000000001</v>
          </cell>
          <cell r="I577">
            <v>1976.2168119999999</v>
          </cell>
        </row>
        <row r="578">
          <cell r="A578" t="str">
            <v>63302-BF_1.1.3.2.1.1.3</v>
          </cell>
          <cell r="B578" t="str">
            <v>QUINDIO</v>
          </cell>
          <cell r="C578">
            <v>63302</v>
          </cell>
          <cell r="D578" t="str">
            <v>GÉNOVA</v>
          </cell>
          <cell r="E578">
            <v>33</v>
          </cell>
          <cell r="F578" t="str">
            <v>BF_1.1.3.2.1.1.3</v>
          </cell>
          <cell r="G578" t="str">
            <v xml:space="preserve">                         Sistema General de Participaciones - Agua Potable y Saneamiento Básico</v>
          </cell>
          <cell r="H578">
            <v>400.48200000000003</v>
          </cell>
          <cell r="I578">
            <v>389.69577399999997</v>
          </cell>
        </row>
        <row r="579">
          <cell r="A579" t="str">
            <v>63302-BF_1.1.3.2.1.1.4</v>
          </cell>
          <cell r="B579" t="str">
            <v>QUINDIO</v>
          </cell>
          <cell r="C579">
            <v>63302</v>
          </cell>
          <cell r="D579" t="str">
            <v>GÉNOVA</v>
          </cell>
          <cell r="E579">
            <v>34</v>
          </cell>
          <cell r="F579" t="str">
            <v>BF_1.1.3.2.1.1.4</v>
          </cell>
          <cell r="G579" t="str">
            <v xml:space="preserve">                         Sistema General de Participaciones - Propósito General - Forzosa Inversión</v>
          </cell>
          <cell r="H579">
            <v>996.89499999999998</v>
          </cell>
          <cell r="I579">
            <v>1223.499793</v>
          </cell>
        </row>
        <row r="580">
          <cell r="A580" t="str">
            <v>63302-BF_1.1.3.2.1.1.5</v>
          </cell>
          <cell r="B580" t="str">
            <v>QUINDIO</v>
          </cell>
          <cell r="C580">
            <v>63302</v>
          </cell>
          <cell r="D580" t="str">
            <v>GÉNOVA</v>
          </cell>
          <cell r="E580">
            <v>35</v>
          </cell>
          <cell r="F580" t="str">
            <v>BF_1.1.3.2.1.1.5</v>
          </cell>
          <cell r="G580" t="str">
            <v xml:space="preserve">                         Otras del Sistema General de Participaciones</v>
          </cell>
          <cell r="H580">
            <v>44.192999999999998</v>
          </cell>
          <cell r="I580">
            <v>28.019123</v>
          </cell>
        </row>
        <row r="581">
          <cell r="A581" t="str">
            <v>63302-BF_1.1.3.2.1.2</v>
          </cell>
          <cell r="B581" t="str">
            <v>QUINDIO</v>
          </cell>
          <cell r="C581">
            <v>63302</v>
          </cell>
          <cell r="D581" t="str">
            <v>GÉNOVA</v>
          </cell>
          <cell r="E581">
            <v>36</v>
          </cell>
          <cell r="F581" t="str">
            <v>BF_1.1.3.2.1.2</v>
          </cell>
          <cell r="G581" t="str">
            <v xml:space="preserve">                     FOSYGA y COLJUEGOS</v>
          </cell>
          <cell r="H581">
            <v>2269.998</v>
          </cell>
          <cell r="I581">
            <v>2046.6742879999999</v>
          </cell>
        </row>
        <row r="582">
          <cell r="A582" t="str">
            <v>63302-BF_1.1.3.2.1.3</v>
          </cell>
          <cell r="B582" t="str">
            <v>QUINDIO</v>
          </cell>
          <cell r="C582">
            <v>63302</v>
          </cell>
          <cell r="D582" t="str">
            <v>GÉNOVA</v>
          </cell>
          <cell r="E582">
            <v>37</v>
          </cell>
          <cell r="F582" t="str">
            <v>BF_1.1.3.2.1.3</v>
          </cell>
          <cell r="G582" t="str">
            <v xml:space="preserve">                     Otras Transferencias de la Nación</v>
          </cell>
          <cell r="H582">
            <v>39.180999999999997</v>
          </cell>
          <cell r="I582">
            <v>84.754665000000003</v>
          </cell>
        </row>
        <row r="583">
          <cell r="A583" t="str">
            <v>63302-BF_1.1.3.2.2</v>
          </cell>
          <cell r="B583" t="str">
            <v>QUINDIO</v>
          </cell>
          <cell r="C583">
            <v>63302</v>
          </cell>
          <cell r="D583" t="str">
            <v>GÉNOVA</v>
          </cell>
          <cell r="E583">
            <v>38</v>
          </cell>
          <cell r="F583" t="str">
            <v>BF_1.1.3.2.2</v>
          </cell>
          <cell r="G583" t="str">
            <v xml:space="preserve">                 Del Nivel Departamental</v>
          </cell>
          <cell r="H583">
            <v>337.89100000000002</v>
          </cell>
          <cell r="I583">
            <v>455.71511500000003</v>
          </cell>
        </row>
        <row r="584">
          <cell r="A584" t="str">
            <v>63302-BF_2</v>
          </cell>
          <cell r="B584" t="str">
            <v>QUINDIO</v>
          </cell>
          <cell r="C584">
            <v>63302</v>
          </cell>
          <cell r="D584" t="str">
            <v>GÉNOVA</v>
          </cell>
          <cell r="E584">
            <v>43</v>
          </cell>
          <cell r="F584" t="str">
            <v>BF_2</v>
          </cell>
          <cell r="G584" t="str">
            <v>GASTOS  TOTALES</v>
          </cell>
          <cell r="H584">
            <v>9150.1460000000006</v>
          </cell>
          <cell r="I584">
            <v>10174.30952576</v>
          </cell>
        </row>
        <row r="585">
          <cell r="A585" t="str">
            <v>63302-BF_2.1</v>
          </cell>
          <cell r="B585" t="str">
            <v>QUINDIO</v>
          </cell>
          <cell r="C585">
            <v>63302</v>
          </cell>
          <cell r="D585" t="str">
            <v>GÉNOVA</v>
          </cell>
          <cell r="E585">
            <v>44</v>
          </cell>
          <cell r="F585" t="str">
            <v>BF_2.1</v>
          </cell>
          <cell r="G585" t="str">
            <v xml:space="preserve">    GASTOS CORRIENTES</v>
          </cell>
          <cell r="H585">
            <v>7481.1509999999998</v>
          </cell>
          <cell r="I585">
            <v>8829.2173715900008</v>
          </cell>
        </row>
        <row r="586">
          <cell r="A586" t="str">
            <v>63302-BF_2.1.1</v>
          </cell>
          <cell r="B586" t="str">
            <v>QUINDIO</v>
          </cell>
          <cell r="C586">
            <v>63302</v>
          </cell>
          <cell r="D586" t="str">
            <v>GÉNOVA</v>
          </cell>
          <cell r="E586">
            <v>45</v>
          </cell>
          <cell r="F586" t="str">
            <v>BF_2.1.1</v>
          </cell>
          <cell r="G586" t="str">
            <v xml:space="preserve">        FUNCIONAMIENTO</v>
          </cell>
          <cell r="H586">
            <v>1317.1179999999999</v>
          </cell>
          <cell r="I586">
            <v>1524.35728503</v>
          </cell>
        </row>
        <row r="587">
          <cell r="A587" t="str">
            <v>63302-BF_2.1.1.1</v>
          </cell>
          <cell r="B587" t="str">
            <v>QUINDIO</v>
          </cell>
          <cell r="C587">
            <v>63302</v>
          </cell>
          <cell r="D587" t="str">
            <v>GÉNOVA</v>
          </cell>
          <cell r="E587">
            <v>46</v>
          </cell>
          <cell r="F587" t="str">
            <v>BF_2.1.1.1</v>
          </cell>
          <cell r="G587" t="str">
            <v xml:space="preserve">             Gastos de Personal  </v>
          </cell>
          <cell r="H587">
            <v>745.20600000000002</v>
          </cell>
          <cell r="I587">
            <v>859.63371594</v>
          </cell>
        </row>
        <row r="588">
          <cell r="A588" t="str">
            <v>63302-BF_2.1.1.2</v>
          </cell>
          <cell r="B588" t="str">
            <v>QUINDIO</v>
          </cell>
          <cell r="C588">
            <v>63302</v>
          </cell>
          <cell r="D588" t="str">
            <v>GÉNOVA</v>
          </cell>
          <cell r="E588">
            <v>47</v>
          </cell>
          <cell r="F588" t="str">
            <v>BF_2.1.1.2</v>
          </cell>
          <cell r="G588" t="str">
            <v xml:space="preserve">             Gastos Generales</v>
          </cell>
          <cell r="H588">
            <v>198.357</v>
          </cell>
          <cell r="I588">
            <v>178.33308602</v>
          </cell>
        </row>
        <row r="589">
          <cell r="A589" t="str">
            <v>63302-BF_2.1.1.3</v>
          </cell>
          <cell r="B589" t="str">
            <v>QUINDIO</v>
          </cell>
          <cell r="C589">
            <v>63302</v>
          </cell>
          <cell r="D589" t="str">
            <v>GÉNOVA</v>
          </cell>
          <cell r="E589">
            <v>48</v>
          </cell>
          <cell r="F589" t="str">
            <v>BF_2.1.1.3</v>
          </cell>
          <cell r="G589" t="str">
            <v xml:space="preserve">             Transferencias</v>
          </cell>
          <cell r="H589">
            <v>373.55500000000001</v>
          </cell>
          <cell r="I589">
            <v>474.39048307000002</v>
          </cell>
        </row>
        <row r="590">
          <cell r="A590" t="str">
            <v>63302-BF_2.1.1.3.1</v>
          </cell>
          <cell r="B590" t="str">
            <v>QUINDIO</v>
          </cell>
          <cell r="C590">
            <v>63302</v>
          </cell>
          <cell r="D590" t="str">
            <v>GÉNOVA</v>
          </cell>
          <cell r="E590">
            <v>49</v>
          </cell>
          <cell r="F590" t="str">
            <v>BF_2.1.1.3.1</v>
          </cell>
          <cell r="G590" t="str">
            <v xml:space="preserve">                 Pensiones</v>
          </cell>
          <cell r="H590">
            <v>153.553</v>
          </cell>
          <cell r="I590">
            <v>159.01605506999999</v>
          </cell>
        </row>
        <row r="591">
          <cell r="A591" t="str">
            <v>63302-BF_2.1.1.3.2</v>
          </cell>
          <cell r="B591" t="str">
            <v>QUINDIO</v>
          </cell>
          <cell r="C591">
            <v>63302</v>
          </cell>
          <cell r="D591" t="str">
            <v>GÉNOVA</v>
          </cell>
          <cell r="E591">
            <v>50</v>
          </cell>
          <cell r="F591" t="str">
            <v>BF_2.1.1.3.2</v>
          </cell>
          <cell r="G591" t="str">
            <v xml:space="preserve">                 A Fonpet</v>
          </cell>
          <cell r="H591">
            <v>0</v>
          </cell>
          <cell r="I591">
            <v>80.659000000000006</v>
          </cell>
        </row>
        <row r="592">
          <cell r="A592" t="str">
            <v>63302-BF_2.1.1.3.4</v>
          </cell>
          <cell r="B592" t="str">
            <v>QUINDIO</v>
          </cell>
          <cell r="C592">
            <v>63302</v>
          </cell>
          <cell r="D592" t="str">
            <v>GÉNOVA</v>
          </cell>
          <cell r="E592">
            <v>52</v>
          </cell>
          <cell r="F592" t="str">
            <v>BF_2.1.1.3.4</v>
          </cell>
          <cell r="G592" t="str">
            <v xml:space="preserve">                 A Organismos de Control</v>
          </cell>
          <cell r="H592">
            <v>220.00200000000001</v>
          </cell>
          <cell r="I592">
            <v>234.37168700000001</v>
          </cell>
        </row>
        <row r="593">
          <cell r="A593" t="str">
            <v>63302-BF_2.1.1.3.7</v>
          </cell>
          <cell r="B593" t="str">
            <v>QUINDIO</v>
          </cell>
          <cell r="C593">
            <v>63302</v>
          </cell>
          <cell r="D593" t="str">
            <v>GÉNOVA</v>
          </cell>
          <cell r="E593">
            <v>55</v>
          </cell>
          <cell r="F593" t="str">
            <v>BF_2.1.1.3.7</v>
          </cell>
          <cell r="G593" t="str">
            <v xml:space="preserve">                 Otras Transferencias</v>
          </cell>
          <cell r="H593">
            <v>0</v>
          </cell>
          <cell r="I593">
            <v>0.34374100000000002</v>
          </cell>
        </row>
        <row r="594">
          <cell r="A594" t="str">
            <v>63302-BF_2.1.1.6</v>
          </cell>
          <cell r="B594" t="str">
            <v>QUINDIO</v>
          </cell>
          <cell r="C594">
            <v>63302</v>
          </cell>
          <cell r="D594" t="str">
            <v>GÉNOVA</v>
          </cell>
          <cell r="E594">
            <v>58</v>
          </cell>
          <cell r="F594" t="str">
            <v>BF_2.1.1.6</v>
          </cell>
          <cell r="G594" t="str">
            <v xml:space="preserve">             Otros Gastos de Funcionamiento</v>
          </cell>
          <cell r="H594">
            <v>0</v>
          </cell>
          <cell r="I594">
            <v>12</v>
          </cell>
        </row>
        <row r="595">
          <cell r="A595" t="str">
            <v>63302-BF_2.1.4</v>
          </cell>
          <cell r="B595" t="str">
            <v>QUINDIO</v>
          </cell>
          <cell r="C595">
            <v>63302</v>
          </cell>
          <cell r="D595" t="str">
            <v>GÉNOVA</v>
          </cell>
          <cell r="E595">
            <v>61</v>
          </cell>
          <cell r="F595" t="str">
            <v>BF_2.1.4</v>
          </cell>
          <cell r="G595" t="str">
            <v xml:space="preserve">        GASTOS OPERATIVOS EN SECTORES SOCIALES (Remuneración al Trabajo, Prestaciones, y Subsidios en Sectores de Inversión)</v>
          </cell>
          <cell r="H595">
            <v>6113.616</v>
          </cell>
          <cell r="I595">
            <v>7209.0122975599998</v>
          </cell>
        </row>
        <row r="596">
          <cell r="A596" t="str">
            <v>63302-BF_2.1.4.1</v>
          </cell>
          <cell r="B596" t="str">
            <v>QUINDIO</v>
          </cell>
          <cell r="C596">
            <v>63302</v>
          </cell>
          <cell r="D596" t="str">
            <v>GÉNOVA</v>
          </cell>
          <cell r="E596">
            <v>62</v>
          </cell>
          <cell r="F596" t="str">
            <v>BF_2.1.4.1</v>
          </cell>
          <cell r="G596" t="str">
            <v xml:space="preserve">             Educación</v>
          </cell>
          <cell r="H596">
            <v>598.70500000000004</v>
          </cell>
          <cell r="I596">
            <v>577.43905900000004</v>
          </cell>
        </row>
        <row r="597">
          <cell r="A597" t="str">
            <v>63302-BF_2.1.4.2</v>
          </cell>
          <cell r="B597" t="str">
            <v>QUINDIO</v>
          </cell>
          <cell r="C597">
            <v>63302</v>
          </cell>
          <cell r="D597" t="str">
            <v>GÉNOVA</v>
          </cell>
          <cell r="E597">
            <v>63</v>
          </cell>
          <cell r="F597" t="str">
            <v>BF_2.1.4.2</v>
          </cell>
          <cell r="G597" t="str">
            <v xml:space="preserve">             Salud</v>
          </cell>
          <cell r="H597">
            <v>5082.7139999999999</v>
          </cell>
          <cell r="I597">
            <v>5250.7629619999998</v>
          </cell>
        </row>
        <row r="598">
          <cell r="A598" t="str">
            <v>63302-BF_2.1.4.3</v>
          </cell>
          <cell r="B598" t="str">
            <v>QUINDIO</v>
          </cell>
          <cell r="C598">
            <v>63302</v>
          </cell>
          <cell r="D598" t="str">
            <v>GÉNOVA</v>
          </cell>
          <cell r="E598">
            <v>64</v>
          </cell>
          <cell r="F598" t="str">
            <v>BF_2.1.4.3</v>
          </cell>
          <cell r="G598" t="str">
            <v xml:space="preserve">             Agua Potable y Saneamiento Básico</v>
          </cell>
          <cell r="H598">
            <v>157.529</v>
          </cell>
          <cell r="I598">
            <v>159.22780499999999</v>
          </cell>
        </row>
        <row r="599">
          <cell r="A599" t="str">
            <v>63302-BF_2.1.4.4</v>
          </cell>
          <cell r="B599" t="str">
            <v>QUINDIO</v>
          </cell>
          <cell r="C599">
            <v>63302</v>
          </cell>
          <cell r="D599" t="str">
            <v>GÉNOVA</v>
          </cell>
          <cell r="E599">
            <v>65</v>
          </cell>
          <cell r="F599" t="str">
            <v>BF_2.1.4.4</v>
          </cell>
          <cell r="G599" t="str">
            <v xml:space="preserve">             Vivienda</v>
          </cell>
          <cell r="H599">
            <v>4</v>
          </cell>
          <cell r="I599">
            <v>0</v>
          </cell>
        </row>
        <row r="600">
          <cell r="A600" t="str">
            <v>63302-BF_2.1.4.5</v>
          </cell>
          <cell r="B600" t="str">
            <v>QUINDIO</v>
          </cell>
          <cell r="C600">
            <v>63302</v>
          </cell>
          <cell r="D600" t="str">
            <v>GÉNOVA</v>
          </cell>
          <cell r="E600">
            <v>66</v>
          </cell>
          <cell r="F600" t="str">
            <v>BF_2.1.4.5</v>
          </cell>
          <cell r="G600" t="str">
            <v xml:space="preserve">             Otros Sectores</v>
          </cell>
          <cell r="H600">
            <v>270.66800000000001</v>
          </cell>
          <cell r="I600">
            <v>1221.5824715599999</v>
          </cell>
        </row>
        <row r="601">
          <cell r="A601" t="str">
            <v>63302-BF_2.1.5</v>
          </cell>
          <cell r="B601" t="str">
            <v>QUINDIO</v>
          </cell>
          <cell r="C601">
            <v>63302</v>
          </cell>
          <cell r="D601" t="str">
            <v>GÉNOVA</v>
          </cell>
          <cell r="E601">
            <v>67</v>
          </cell>
          <cell r="F601" t="str">
            <v>BF_2.1.5</v>
          </cell>
          <cell r="G601" t="str">
            <v xml:space="preserve">        INTERESES Y COMISIONES DE LA DEUDA</v>
          </cell>
          <cell r="H601">
            <v>50.417000000000002</v>
          </cell>
          <cell r="I601">
            <v>95.847789000000006</v>
          </cell>
        </row>
        <row r="602">
          <cell r="A602" t="str">
            <v>63302-BF_2.1.5.1</v>
          </cell>
          <cell r="B602" t="str">
            <v>QUINDIO</v>
          </cell>
          <cell r="C602">
            <v>63302</v>
          </cell>
          <cell r="D602" t="str">
            <v>GÉNOVA</v>
          </cell>
          <cell r="E602">
            <v>68</v>
          </cell>
          <cell r="F602" t="str">
            <v>BF_2.1.5.1</v>
          </cell>
          <cell r="G602" t="str">
            <v xml:space="preserve">             Interna</v>
          </cell>
          <cell r="H602">
            <v>50.417000000000002</v>
          </cell>
          <cell r="I602">
            <v>95.847789000000006</v>
          </cell>
        </row>
        <row r="603">
          <cell r="A603" t="str">
            <v>63302-BF_3</v>
          </cell>
          <cell r="B603" t="str">
            <v>QUINDIO</v>
          </cell>
          <cell r="C603">
            <v>63302</v>
          </cell>
          <cell r="D603" t="str">
            <v>GÉNOVA</v>
          </cell>
          <cell r="E603">
            <v>70</v>
          </cell>
          <cell r="F603" t="str">
            <v>BF_3</v>
          </cell>
          <cell r="G603" t="str">
            <v>DÉFICIT O AHORRO CORRIENTE</v>
          </cell>
          <cell r="H603">
            <v>853.66399999999999</v>
          </cell>
          <cell r="I603">
            <v>-299.59187859000002</v>
          </cell>
        </row>
        <row r="604">
          <cell r="A604" t="str">
            <v>63302-BF_4</v>
          </cell>
          <cell r="B604" t="str">
            <v>QUINDIO</v>
          </cell>
          <cell r="C604">
            <v>63302</v>
          </cell>
          <cell r="D604" t="str">
            <v>GÉNOVA</v>
          </cell>
          <cell r="E604">
            <v>71</v>
          </cell>
          <cell r="F604" t="str">
            <v>BF_4</v>
          </cell>
          <cell r="G604" t="str">
            <v>INGRESOS DE CAPITAL</v>
          </cell>
          <cell r="H604">
            <v>1055.73</v>
          </cell>
          <cell r="I604">
            <v>1139.6508020000001</v>
          </cell>
        </row>
        <row r="605">
          <cell r="A605" t="str">
            <v>63302-BF_4.1</v>
          </cell>
          <cell r="B605" t="str">
            <v>QUINDIO</v>
          </cell>
          <cell r="C605">
            <v>63302</v>
          </cell>
          <cell r="D605" t="str">
            <v>GÉNOVA</v>
          </cell>
          <cell r="E605">
            <v>72</v>
          </cell>
          <cell r="F605" t="str">
            <v>BF_4.1</v>
          </cell>
          <cell r="G605" t="str">
            <v xml:space="preserve">    Cofinanciación</v>
          </cell>
          <cell r="H605">
            <v>239.452</v>
          </cell>
          <cell r="I605">
            <v>236.93018799999999</v>
          </cell>
        </row>
        <row r="606">
          <cell r="A606" t="str">
            <v>63302-BF_4.4</v>
          </cell>
          <cell r="B606" t="str">
            <v>QUINDIO</v>
          </cell>
          <cell r="C606">
            <v>63302</v>
          </cell>
          <cell r="D606" t="str">
            <v>GÉNOVA</v>
          </cell>
          <cell r="E606">
            <v>75</v>
          </cell>
          <cell r="F606" t="str">
            <v>BF_4.4</v>
          </cell>
          <cell r="G606" t="str">
            <v xml:space="preserve">    Rendimientos Financieros</v>
          </cell>
          <cell r="H606">
            <v>20.992999999999999</v>
          </cell>
          <cell r="I606">
            <v>11.414859</v>
          </cell>
        </row>
        <row r="607">
          <cell r="A607" t="str">
            <v>63302-BF_4.6</v>
          </cell>
          <cell r="B607" t="str">
            <v>QUINDIO</v>
          </cell>
          <cell r="C607">
            <v>63302</v>
          </cell>
          <cell r="D607" t="str">
            <v>GÉNOVA</v>
          </cell>
          <cell r="E607">
            <v>77</v>
          </cell>
          <cell r="F607" t="str">
            <v>BF_4.6</v>
          </cell>
          <cell r="G607" t="str">
            <v xml:space="preserve">    Desahorro FONPET</v>
          </cell>
          <cell r="H607">
            <v>788.41</v>
          </cell>
          <cell r="I607">
            <v>886.87526800000001</v>
          </cell>
        </row>
        <row r="608">
          <cell r="A608" t="str">
            <v>63302-BF_4.6.1</v>
          </cell>
          <cell r="B608" t="str">
            <v>QUINDIO</v>
          </cell>
          <cell r="C608">
            <v>63302</v>
          </cell>
          <cell r="D608" t="str">
            <v>GÉNOVA</v>
          </cell>
          <cell r="E608">
            <v>78</v>
          </cell>
          <cell r="F608" t="str">
            <v>BF_4.6.1</v>
          </cell>
          <cell r="G608" t="str">
            <v xml:space="preserve">    Salud</v>
          </cell>
          <cell r="H608">
            <v>179.58500000000001</v>
          </cell>
          <cell r="I608">
            <v>685.90499999999997</v>
          </cell>
        </row>
        <row r="609">
          <cell r="A609" t="str">
            <v>63302-BF_4.6.3</v>
          </cell>
          <cell r="B609" t="str">
            <v>QUINDIO</v>
          </cell>
          <cell r="C609">
            <v>63302</v>
          </cell>
          <cell r="D609" t="str">
            <v>GÉNOVA</v>
          </cell>
          <cell r="E609">
            <v>80</v>
          </cell>
          <cell r="F609" t="str">
            <v>BF_4.6.3</v>
          </cell>
          <cell r="G609" t="str">
            <v xml:space="preserve">    Propósito General</v>
          </cell>
          <cell r="H609">
            <v>479.99700000000001</v>
          </cell>
          <cell r="I609">
            <v>0</v>
          </cell>
        </row>
        <row r="610">
          <cell r="A610" t="str">
            <v>63302-BF_4.6.4</v>
          </cell>
          <cell r="B610" t="str">
            <v>QUINDIO</v>
          </cell>
          <cell r="C610">
            <v>63302</v>
          </cell>
          <cell r="D610" t="str">
            <v>GÉNOVA</v>
          </cell>
          <cell r="E610">
            <v>81</v>
          </cell>
          <cell r="F610" t="str">
            <v>BF_4.6.4</v>
          </cell>
          <cell r="G610" t="str">
            <v xml:space="preserve">    Otros Desahorros y Retiros (Cuotas partes, Bonos y Devoluciones)</v>
          </cell>
          <cell r="H610">
            <v>128.828</v>
          </cell>
          <cell r="I610">
            <v>200.970268</v>
          </cell>
        </row>
        <row r="611">
          <cell r="A611" t="str">
            <v>63302-BF_4.7</v>
          </cell>
          <cell r="B611" t="str">
            <v>QUINDIO</v>
          </cell>
          <cell r="C611">
            <v>63302</v>
          </cell>
          <cell r="D611" t="str">
            <v>GÉNOVA</v>
          </cell>
          <cell r="E611">
            <v>82</v>
          </cell>
          <cell r="F611" t="str">
            <v>BF_4.7</v>
          </cell>
          <cell r="G611" t="str">
            <v xml:space="preserve">    Otros Recursos de Capital (Donaciones, Aprovechamientos y Otros)</v>
          </cell>
          <cell r="H611">
            <v>6.875</v>
          </cell>
          <cell r="I611">
            <v>4.4304870000000003</v>
          </cell>
        </row>
        <row r="612">
          <cell r="A612" t="str">
            <v>63302-BF_5</v>
          </cell>
          <cell r="B612" t="str">
            <v>QUINDIO</v>
          </cell>
          <cell r="C612">
            <v>63302</v>
          </cell>
          <cell r="D612" t="str">
            <v>GÉNOVA</v>
          </cell>
          <cell r="E612">
            <v>83</v>
          </cell>
          <cell r="F612" t="str">
            <v>BF_5</v>
          </cell>
          <cell r="G612" t="str">
            <v>GASTOS DE CAPITAL</v>
          </cell>
          <cell r="H612">
            <v>1668.9949999999999</v>
          </cell>
          <cell r="I612">
            <v>1345.09215417</v>
          </cell>
        </row>
        <row r="613">
          <cell r="A613" t="str">
            <v>63302-BF_5.1</v>
          </cell>
          <cell r="B613" t="str">
            <v>QUINDIO</v>
          </cell>
          <cell r="C613">
            <v>63302</v>
          </cell>
          <cell r="D613" t="str">
            <v>GÉNOVA</v>
          </cell>
          <cell r="E613">
            <v>84</v>
          </cell>
          <cell r="F613" t="str">
            <v>BF_5.1</v>
          </cell>
          <cell r="G613" t="str">
            <v xml:space="preserve">    Formación Bruta de Capital (Construcción, Reparación, Mantenimiento, Preinversión, Otros)</v>
          </cell>
          <cell r="H613">
            <v>1638.739</v>
          </cell>
          <cell r="I613">
            <v>1345.09215417</v>
          </cell>
        </row>
        <row r="614">
          <cell r="A614" t="str">
            <v>63302-BF_5.1.1</v>
          </cell>
          <cell r="B614" t="str">
            <v>QUINDIO</v>
          </cell>
          <cell r="C614">
            <v>63302</v>
          </cell>
          <cell r="D614" t="str">
            <v>GÉNOVA</v>
          </cell>
          <cell r="E614">
            <v>85</v>
          </cell>
          <cell r="F614" t="str">
            <v>BF_5.1.1</v>
          </cell>
          <cell r="G614" t="str">
            <v xml:space="preserve">        Educación</v>
          </cell>
          <cell r="H614">
            <v>20</v>
          </cell>
          <cell r="I614">
            <v>52.644661999999997</v>
          </cell>
        </row>
        <row r="615">
          <cell r="A615" t="str">
            <v>63302-BF_5.1.3</v>
          </cell>
          <cell r="B615" t="str">
            <v>QUINDIO</v>
          </cell>
          <cell r="C615">
            <v>63302</v>
          </cell>
          <cell r="D615" t="str">
            <v>GÉNOVA</v>
          </cell>
          <cell r="E615">
            <v>87</v>
          </cell>
          <cell r="F615" t="str">
            <v>BF_5.1.3</v>
          </cell>
          <cell r="G615" t="str">
            <v xml:space="preserve">        Agua Potable</v>
          </cell>
          <cell r="H615">
            <v>305.27199999999999</v>
          </cell>
          <cell r="I615">
            <v>270.60224499999998</v>
          </cell>
        </row>
        <row r="616">
          <cell r="A616" t="str">
            <v>63302-BF_5.1.4</v>
          </cell>
          <cell r="B616" t="str">
            <v>QUINDIO</v>
          </cell>
          <cell r="C616">
            <v>63302</v>
          </cell>
          <cell r="D616" t="str">
            <v>GÉNOVA</v>
          </cell>
          <cell r="E616">
            <v>88</v>
          </cell>
          <cell r="F616" t="str">
            <v>BF_5.1.4</v>
          </cell>
          <cell r="G616" t="str">
            <v xml:space="preserve">        Vivienda</v>
          </cell>
          <cell r="H616">
            <v>0</v>
          </cell>
          <cell r="I616">
            <v>21.77858968</v>
          </cell>
        </row>
        <row r="617">
          <cell r="A617" t="str">
            <v>63302-BF_5.1.5</v>
          </cell>
          <cell r="B617" t="str">
            <v>QUINDIO</v>
          </cell>
          <cell r="C617">
            <v>63302</v>
          </cell>
          <cell r="D617" t="str">
            <v>GÉNOVA</v>
          </cell>
          <cell r="E617">
            <v>89</v>
          </cell>
          <cell r="F617" t="str">
            <v>BF_5.1.5</v>
          </cell>
          <cell r="G617" t="str">
            <v xml:space="preserve">        Vías</v>
          </cell>
          <cell r="H617">
            <v>157.93700000000001</v>
          </cell>
          <cell r="I617">
            <v>270.61193749</v>
          </cell>
        </row>
        <row r="618">
          <cell r="A618" t="str">
            <v>63302-BF_5.1.6</v>
          </cell>
          <cell r="B618" t="str">
            <v>QUINDIO</v>
          </cell>
          <cell r="C618">
            <v>63302</v>
          </cell>
          <cell r="D618" t="str">
            <v>GÉNOVA</v>
          </cell>
          <cell r="E618">
            <v>90</v>
          </cell>
          <cell r="F618" t="str">
            <v>BF_5.1.6</v>
          </cell>
          <cell r="G618" t="str">
            <v xml:space="preserve">        Otros Sectores</v>
          </cell>
          <cell r="H618">
            <v>1155.53</v>
          </cell>
          <cell r="I618">
            <v>729.45471999999995</v>
          </cell>
        </row>
        <row r="619">
          <cell r="A619" t="str">
            <v>63302-BF_5.2</v>
          </cell>
          <cell r="B619" t="str">
            <v>QUINDIO</v>
          </cell>
          <cell r="C619">
            <v>63302</v>
          </cell>
          <cell r="D619" t="str">
            <v>GÉNOVA</v>
          </cell>
          <cell r="E619">
            <v>91</v>
          </cell>
          <cell r="F619" t="str">
            <v>BF_5.2</v>
          </cell>
          <cell r="G619" t="str">
            <v xml:space="preserve">    Déficit Fiscal de Vigencias Anteriores por Inversión</v>
          </cell>
          <cell r="H619">
            <v>30.256</v>
          </cell>
          <cell r="I619">
            <v>0</v>
          </cell>
        </row>
        <row r="620">
          <cell r="A620" t="str">
            <v>63302-BF_6</v>
          </cell>
          <cell r="B620" t="str">
            <v>QUINDIO</v>
          </cell>
          <cell r="C620">
            <v>63302</v>
          </cell>
          <cell r="D620" t="str">
            <v>GÉNOVA</v>
          </cell>
          <cell r="E620">
            <v>92</v>
          </cell>
          <cell r="F620" t="str">
            <v>BF_6</v>
          </cell>
          <cell r="G620" t="str">
            <v>DÉFICIT O SUPERÁVIT DE CAPITAL</v>
          </cell>
          <cell r="H620">
            <v>-613.26499999999999</v>
          </cell>
          <cell r="I620">
            <v>-205.44135216999999</v>
          </cell>
        </row>
        <row r="621">
          <cell r="A621" t="str">
            <v>63302-BF_7</v>
          </cell>
          <cell r="B621" t="str">
            <v>QUINDIO</v>
          </cell>
          <cell r="C621">
            <v>63302</v>
          </cell>
          <cell r="D621" t="str">
            <v>GÉNOVA</v>
          </cell>
          <cell r="E621">
            <v>93</v>
          </cell>
          <cell r="F621" t="str">
            <v>BF_7</v>
          </cell>
          <cell r="G621" t="str">
            <v>DÉFICIT O SUPERÁVIT TOTAL</v>
          </cell>
          <cell r="H621">
            <v>240.399</v>
          </cell>
          <cell r="I621">
            <v>-505.03323075999998</v>
          </cell>
        </row>
        <row r="622">
          <cell r="A622" t="str">
            <v>63302-BF_8</v>
          </cell>
          <cell r="B622" t="str">
            <v>QUINDIO</v>
          </cell>
          <cell r="C622">
            <v>63302</v>
          </cell>
          <cell r="D622" t="str">
            <v>GÉNOVA</v>
          </cell>
          <cell r="E622">
            <v>94</v>
          </cell>
          <cell r="F622" t="str">
            <v>BF_8</v>
          </cell>
          <cell r="G622" t="str">
            <v>FINANCIACIÓN</v>
          </cell>
          <cell r="H622">
            <v>922.35299999999995</v>
          </cell>
          <cell r="I622">
            <v>1076.59727</v>
          </cell>
        </row>
        <row r="623">
          <cell r="A623" t="str">
            <v>63302-BF_8.1</v>
          </cell>
          <cell r="B623" t="str">
            <v>QUINDIO</v>
          </cell>
          <cell r="C623">
            <v>63302</v>
          </cell>
          <cell r="D623" t="str">
            <v>GÉNOVA</v>
          </cell>
          <cell r="E623">
            <v>95</v>
          </cell>
          <cell r="F623" t="str">
            <v>BF_8.1</v>
          </cell>
          <cell r="G623" t="str">
            <v xml:space="preserve">    RECURSOS DEL CRÉDITO</v>
          </cell>
          <cell r="H623">
            <v>-99.986999999999995</v>
          </cell>
          <cell r="I623">
            <v>-74.377347999999998</v>
          </cell>
        </row>
        <row r="624">
          <cell r="A624" t="str">
            <v>63302-BF_8.1.1</v>
          </cell>
          <cell r="B624" t="str">
            <v>QUINDIO</v>
          </cell>
          <cell r="C624">
            <v>63302</v>
          </cell>
          <cell r="D624" t="str">
            <v>GÉNOVA</v>
          </cell>
          <cell r="E624">
            <v>96</v>
          </cell>
          <cell r="F624" t="str">
            <v>BF_8.1.1</v>
          </cell>
          <cell r="G624" t="str">
            <v xml:space="preserve">        Interno</v>
          </cell>
          <cell r="H624">
            <v>-99.986999999999995</v>
          </cell>
          <cell r="I624">
            <v>-74.377347999999998</v>
          </cell>
        </row>
        <row r="625">
          <cell r="A625" t="str">
            <v>63302-BF_8.1.1.2</v>
          </cell>
          <cell r="B625" t="str">
            <v>QUINDIO</v>
          </cell>
          <cell r="C625">
            <v>63302</v>
          </cell>
          <cell r="D625" t="str">
            <v>GÉNOVA</v>
          </cell>
          <cell r="E625">
            <v>98</v>
          </cell>
          <cell r="F625" t="str">
            <v>BF_8.1.1.2</v>
          </cell>
          <cell r="G625" t="str">
            <v xml:space="preserve">             Amortizaciones</v>
          </cell>
          <cell r="H625">
            <v>99.986999999999995</v>
          </cell>
          <cell r="I625">
            <v>74.377347999999998</v>
          </cell>
        </row>
        <row r="626">
          <cell r="A626" t="str">
            <v>63302-BF_8.2</v>
          </cell>
          <cell r="B626" t="str">
            <v>QUINDIO</v>
          </cell>
          <cell r="C626">
            <v>63302</v>
          </cell>
          <cell r="D626" t="str">
            <v>GÉNOVA</v>
          </cell>
          <cell r="E626">
            <v>102</v>
          </cell>
          <cell r="F626" t="str">
            <v>BF_8.2</v>
          </cell>
          <cell r="G626" t="str">
            <v xml:space="preserve">    Recursos del Balance (Superávit Fiscal, Cancelación de Reservas)</v>
          </cell>
          <cell r="H626">
            <v>1022.34</v>
          </cell>
          <cell r="I626">
            <v>1150.974618</v>
          </cell>
        </row>
        <row r="627">
          <cell r="A627" t="str">
            <v>63302-BF_9.1</v>
          </cell>
          <cell r="B627" t="str">
            <v>QUINDIO</v>
          </cell>
          <cell r="C627">
            <v>63302</v>
          </cell>
          <cell r="D627" t="str">
            <v>GÉNOVA</v>
          </cell>
          <cell r="E627">
            <v>107</v>
          </cell>
          <cell r="F627" t="str">
            <v>BF_9.1</v>
          </cell>
          <cell r="G627" t="str">
            <v xml:space="preserve">    DÉFICIT O SUPERÁVIT PRIMARIO</v>
          </cell>
          <cell r="H627">
            <v>1313.1559999999999</v>
          </cell>
          <cell r="I627">
            <v>741.78917623999996</v>
          </cell>
        </row>
        <row r="628">
          <cell r="A628" t="str">
            <v>63302-BF_9.2</v>
          </cell>
          <cell r="B628" t="str">
            <v>QUINDIO</v>
          </cell>
          <cell r="C628">
            <v>63302</v>
          </cell>
          <cell r="D628" t="str">
            <v>GÉNOVA</v>
          </cell>
          <cell r="E628">
            <v>108</v>
          </cell>
          <cell r="F628" t="str">
            <v>BF_9.2</v>
          </cell>
          <cell r="G628" t="str">
            <v xml:space="preserve">    DÉFICIT O SUPERÁVIT PRIMARIO/INTERESES</v>
          </cell>
          <cell r="H628">
            <v>26.045999999999999</v>
          </cell>
          <cell r="I628">
            <v>7.7392413949999996</v>
          </cell>
        </row>
        <row r="629">
          <cell r="A629" t="str">
            <v>63302-BF_10.1</v>
          </cell>
          <cell r="B629" t="str">
            <v>QUINDIO</v>
          </cell>
          <cell r="C629">
            <v>63302</v>
          </cell>
          <cell r="D629" t="str">
            <v>GÉNOVA</v>
          </cell>
          <cell r="E629">
            <v>110</v>
          </cell>
          <cell r="F629" t="str">
            <v>BF_10.1</v>
          </cell>
          <cell r="G629" t="str">
            <v xml:space="preserve">    INGRESOS TOTALES SIN INCLUIR RECURSOS PARA RESERVAS PRESUPUESTALES</v>
          </cell>
          <cell r="H629">
            <v>10412.885</v>
          </cell>
          <cell r="I629">
            <v>10820.250913</v>
          </cell>
        </row>
        <row r="630">
          <cell r="A630" t="str">
            <v>63302-BF_10.2</v>
          </cell>
          <cell r="B630" t="str">
            <v>QUINDIO</v>
          </cell>
          <cell r="C630">
            <v>63302</v>
          </cell>
          <cell r="D630" t="str">
            <v>GÉNOVA</v>
          </cell>
          <cell r="E630">
            <v>111</v>
          </cell>
          <cell r="F630" t="str">
            <v>BF_10.2</v>
          </cell>
          <cell r="G630" t="str">
            <v xml:space="preserve">    GASTOS TOTALES SIN INCLUIR GASTOS POR RESERVAS PRESUPUESTALES</v>
          </cell>
          <cell r="H630">
            <v>9250.1329999999998</v>
          </cell>
          <cell r="I630">
            <v>10248.68687376</v>
          </cell>
        </row>
        <row r="631">
          <cell r="A631" t="str">
            <v>63302-BF_10.3</v>
          </cell>
          <cell r="B631" t="str">
            <v>QUINDIO</v>
          </cell>
          <cell r="C631">
            <v>63302</v>
          </cell>
          <cell r="D631" t="str">
            <v>GÉNOVA</v>
          </cell>
          <cell r="E631">
            <v>112</v>
          </cell>
          <cell r="F631" t="str">
            <v>BF_10.3</v>
          </cell>
          <cell r="G631" t="str">
            <v xml:space="preserve">    DÉFICIT O SUPERÁVIT PRESUPUESTAL SIN INCLUIR RESERVAS PRESUPUESTALES</v>
          </cell>
          <cell r="H631">
            <v>1162.752</v>
          </cell>
          <cell r="I631">
            <v>571.56403924000006</v>
          </cell>
        </row>
        <row r="632">
          <cell r="A632" t="str">
            <v>63302-BF_12.1</v>
          </cell>
          <cell r="B632" t="str">
            <v>QUINDIO</v>
          </cell>
          <cell r="C632">
            <v>63302</v>
          </cell>
          <cell r="D632" t="str">
            <v>GÉNOVA</v>
          </cell>
          <cell r="E632">
            <v>114</v>
          </cell>
          <cell r="F632" t="str">
            <v>BF_12.1</v>
          </cell>
          <cell r="G632" t="str">
            <v xml:space="preserve">    INGRESOS TOTALES</v>
          </cell>
          <cell r="H632">
            <v>10577.803</v>
          </cell>
          <cell r="I632">
            <v>10833.370982</v>
          </cell>
        </row>
        <row r="633">
          <cell r="A633" t="str">
            <v>63302-BF_12.2</v>
          </cell>
          <cell r="B633" t="str">
            <v>QUINDIO</v>
          </cell>
          <cell r="C633">
            <v>63302</v>
          </cell>
          <cell r="D633" t="str">
            <v>GÉNOVA</v>
          </cell>
          <cell r="E633">
            <v>115</v>
          </cell>
          <cell r="F633" t="str">
            <v>BF_12.2</v>
          </cell>
          <cell r="G633" t="str">
            <v xml:space="preserve">    GASTOS TOTALES</v>
          </cell>
          <cell r="H633">
            <v>9411.9639999999999</v>
          </cell>
          <cell r="I633">
            <v>10261.653745760001</v>
          </cell>
        </row>
        <row r="634">
          <cell r="A634" t="str">
            <v>63302-BF_12.3</v>
          </cell>
          <cell r="B634" t="str">
            <v>QUINDIO</v>
          </cell>
          <cell r="C634">
            <v>63302</v>
          </cell>
          <cell r="D634" t="str">
            <v>GÉNOVA</v>
          </cell>
          <cell r="E634">
            <v>116</v>
          </cell>
          <cell r="F634" t="str">
            <v>BF_12.3</v>
          </cell>
          <cell r="G634" t="str">
            <v xml:space="preserve">    DÉFICIT O SUPERÁVIT PRESUPUESTAL</v>
          </cell>
          <cell r="H634">
            <v>1165.8389999999999</v>
          </cell>
          <cell r="I634">
            <v>571.71723624000003</v>
          </cell>
        </row>
        <row r="635">
          <cell r="A635" t="str">
            <v>63302-BF_13.1</v>
          </cell>
          <cell r="B635" t="str">
            <v>QUINDIO</v>
          </cell>
          <cell r="C635">
            <v>63302</v>
          </cell>
          <cell r="D635" t="str">
            <v>GÉNOVA</v>
          </cell>
          <cell r="E635">
            <v>118</v>
          </cell>
          <cell r="F635" t="str">
            <v>BF_13.1</v>
          </cell>
          <cell r="G635" t="str">
            <v xml:space="preserve">    Recursos que Financian Reservas Presupuestales Excepcionales (Ley 819/2003)</v>
          </cell>
          <cell r="H635">
            <v>164.91800000000001</v>
          </cell>
          <cell r="I635">
            <v>13.120069000000001</v>
          </cell>
        </row>
        <row r="636">
          <cell r="A636" t="str">
            <v>63302-BF_13.2</v>
          </cell>
          <cell r="B636" t="str">
            <v>QUINDIO</v>
          </cell>
          <cell r="C636">
            <v>63302</v>
          </cell>
          <cell r="D636" t="str">
            <v>GÉNOVA</v>
          </cell>
          <cell r="E636">
            <v>119</v>
          </cell>
          <cell r="F636" t="str">
            <v>BF_13.2</v>
          </cell>
          <cell r="G636" t="str">
            <v xml:space="preserve">    Reservas Presupuestales de Funcionamiento Vigencia Anterior</v>
          </cell>
          <cell r="H636">
            <v>2.335</v>
          </cell>
          <cell r="I636">
            <v>0</v>
          </cell>
        </row>
        <row r="637">
          <cell r="A637" t="str">
            <v>63302-BF_13.3</v>
          </cell>
          <cell r="B637" t="str">
            <v>QUINDIO</v>
          </cell>
          <cell r="C637">
            <v>63302</v>
          </cell>
          <cell r="D637" t="str">
            <v>GÉNOVA</v>
          </cell>
          <cell r="E637">
            <v>120</v>
          </cell>
          <cell r="F637" t="str">
            <v>BF_13.3</v>
          </cell>
          <cell r="G637" t="str">
            <v xml:space="preserve">    Reservas Presupuestales de Inversión Vigencia Anterior</v>
          </cell>
          <cell r="H637">
            <v>159.49600000000001</v>
          </cell>
          <cell r="I637">
            <v>12.966872</v>
          </cell>
        </row>
        <row r="638">
          <cell r="A638" t="str">
            <v>63302-BF_13.4</v>
          </cell>
          <cell r="B638" t="str">
            <v>QUINDIO</v>
          </cell>
          <cell r="C638">
            <v>63302</v>
          </cell>
          <cell r="D638" t="str">
            <v>GÉNOVA</v>
          </cell>
          <cell r="E638">
            <v>121</v>
          </cell>
          <cell r="F638" t="str">
            <v>BF_13.4</v>
          </cell>
          <cell r="G638" t="str">
            <v xml:space="preserve">    DEFICIT O SUPERAVIT RESERVAS PRESUPUESTALES</v>
          </cell>
          <cell r="H638">
            <v>3.0870000000000002</v>
          </cell>
          <cell r="I638">
            <v>0.153197</v>
          </cell>
        </row>
        <row r="639">
          <cell r="A639" t="str">
            <v>63401-BF_1</v>
          </cell>
          <cell r="B639" t="str">
            <v>QUINDIO</v>
          </cell>
          <cell r="C639">
            <v>63401</v>
          </cell>
          <cell r="D639" t="str">
            <v>LA TEBAIDA</v>
          </cell>
          <cell r="E639">
            <v>1</v>
          </cell>
          <cell r="F639" t="str">
            <v>BF_1</v>
          </cell>
          <cell r="G639" t="str">
            <v>INGRESOS TOTALES</v>
          </cell>
          <cell r="H639">
            <v>38398.767999999996</v>
          </cell>
          <cell r="I639">
            <v>34002.796489</v>
          </cell>
        </row>
        <row r="640">
          <cell r="A640" t="str">
            <v>63401-BF_1.1</v>
          </cell>
          <cell r="B640" t="str">
            <v>QUINDIO</v>
          </cell>
          <cell r="C640">
            <v>63401</v>
          </cell>
          <cell r="D640" t="str">
            <v>LA TEBAIDA</v>
          </cell>
          <cell r="E640">
            <v>2</v>
          </cell>
          <cell r="F640" t="str">
            <v>BF_1.1</v>
          </cell>
          <cell r="G640" t="str">
            <v xml:space="preserve">    INGRESOS CORRIENTES</v>
          </cell>
          <cell r="H640">
            <v>31399.587</v>
          </cell>
          <cell r="I640">
            <v>30614.387838999999</v>
          </cell>
        </row>
        <row r="641">
          <cell r="A641" t="str">
            <v>63401-BF_1.1.1</v>
          </cell>
          <cell r="B641" t="str">
            <v>QUINDIO</v>
          </cell>
          <cell r="C641">
            <v>63401</v>
          </cell>
          <cell r="D641" t="str">
            <v>LA TEBAIDA</v>
          </cell>
          <cell r="E641">
            <v>3</v>
          </cell>
          <cell r="F641" t="str">
            <v>BF_1.1.1</v>
          </cell>
          <cell r="G641" t="str">
            <v xml:space="preserve">        TRIBUTARIOS</v>
          </cell>
          <cell r="H641">
            <v>7838.6660000000002</v>
          </cell>
          <cell r="I641">
            <v>8339.8808009999993</v>
          </cell>
        </row>
        <row r="642">
          <cell r="A642" t="str">
            <v>63401-BF_1.1.1.2</v>
          </cell>
          <cell r="B642" t="str">
            <v>QUINDIO</v>
          </cell>
          <cell r="C642">
            <v>63401</v>
          </cell>
          <cell r="D642" t="str">
            <v>LA TEBAIDA</v>
          </cell>
          <cell r="E642">
            <v>5</v>
          </cell>
          <cell r="F642" t="str">
            <v>BF_1.1.1.2</v>
          </cell>
          <cell r="G642" t="str">
            <v xml:space="preserve">             Impuesto Predial Unificado</v>
          </cell>
          <cell r="H642">
            <v>2690.511</v>
          </cell>
          <cell r="I642">
            <v>2480.3630929999999</v>
          </cell>
        </row>
        <row r="643">
          <cell r="A643" t="str">
            <v>63401-BF_1.1.1.3</v>
          </cell>
          <cell r="B643" t="str">
            <v>QUINDIO</v>
          </cell>
          <cell r="C643">
            <v>63401</v>
          </cell>
          <cell r="D643" t="str">
            <v>LA TEBAIDA</v>
          </cell>
          <cell r="E643">
            <v>6</v>
          </cell>
          <cell r="F643" t="str">
            <v>BF_1.1.1.3</v>
          </cell>
          <cell r="G643" t="str">
            <v xml:space="preserve">             Impuesto de Industria y Comercio</v>
          </cell>
          <cell r="H643">
            <v>1017.412</v>
          </cell>
          <cell r="I643">
            <v>1384.7995679999999</v>
          </cell>
        </row>
        <row r="644">
          <cell r="A644" t="str">
            <v>63401-BF_1.1.1.8</v>
          </cell>
          <cell r="B644" t="str">
            <v>QUINDIO</v>
          </cell>
          <cell r="C644">
            <v>63401</v>
          </cell>
          <cell r="D644" t="str">
            <v>LA TEBAIDA</v>
          </cell>
          <cell r="E644">
            <v>11</v>
          </cell>
          <cell r="F644" t="str">
            <v>BF_1.1.1.8</v>
          </cell>
          <cell r="G644" t="str">
            <v xml:space="preserve">             Sobretasa Consumo Gasolina Motor</v>
          </cell>
          <cell r="H644">
            <v>1199.2439999999999</v>
          </cell>
          <cell r="I644">
            <v>1200.4670000000001</v>
          </cell>
        </row>
        <row r="645">
          <cell r="A645" t="str">
            <v>63401-BF_1.1.1.9</v>
          </cell>
          <cell r="B645" t="str">
            <v>QUINDIO</v>
          </cell>
          <cell r="C645">
            <v>63401</v>
          </cell>
          <cell r="D645" t="str">
            <v>LA TEBAIDA</v>
          </cell>
          <cell r="E645">
            <v>12</v>
          </cell>
          <cell r="F645" t="str">
            <v>BF_1.1.1.9</v>
          </cell>
          <cell r="G645" t="str">
            <v xml:space="preserve">             Estampillas</v>
          </cell>
          <cell r="H645">
            <v>343.22800000000001</v>
          </cell>
          <cell r="I645">
            <v>421.64335599999998</v>
          </cell>
        </row>
        <row r="646">
          <cell r="A646" t="str">
            <v>63401-BF_1.1.1.10</v>
          </cell>
          <cell r="B646" t="str">
            <v>QUINDIO</v>
          </cell>
          <cell r="C646">
            <v>63401</v>
          </cell>
          <cell r="D646" t="str">
            <v>LA TEBAIDA</v>
          </cell>
          <cell r="E646">
            <v>13</v>
          </cell>
          <cell r="F646" t="str">
            <v>BF_1.1.1.10</v>
          </cell>
          <cell r="G646" t="str">
            <v xml:space="preserve">             Impuesto de Transporte por Oleoductos y Gasoductos</v>
          </cell>
          <cell r="H646">
            <v>124.779</v>
          </cell>
          <cell r="I646">
            <v>15.735868</v>
          </cell>
        </row>
        <row r="647">
          <cell r="A647" t="str">
            <v>63401-BF_1.1.1.12</v>
          </cell>
          <cell r="B647" t="str">
            <v>QUINDIO</v>
          </cell>
          <cell r="C647">
            <v>63401</v>
          </cell>
          <cell r="D647" t="str">
            <v>LA TEBAIDA</v>
          </cell>
          <cell r="E647">
            <v>15</v>
          </cell>
          <cell r="F647" t="str">
            <v>BF_1.1.1.12</v>
          </cell>
          <cell r="G647" t="str">
            <v xml:space="preserve">             Otros Ingresos Tributarios</v>
          </cell>
          <cell r="H647">
            <v>2463.4920000000002</v>
          </cell>
          <cell r="I647">
            <v>2836.8719160000001</v>
          </cell>
        </row>
        <row r="648">
          <cell r="A648" t="str">
            <v>63401-BF_1.1.2</v>
          </cell>
          <cell r="B648" t="str">
            <v>QUINDIO</v>
          </cell>
          <cell r="C648">
            <v>63401</v>
          </cell>
          <cell r="D648" t="str">
            <v>LA TEBAIDA</v>
          </cell>
          <cell r="E648">
            <v>16</v>
          </cell>
          <cell r="F648" t="str">
            <v>BF_1.1.2</v>
          </cell>
          <cell r="G648" t="str">
            <v xml:space="preserve">        NO TRIBUTARIOS</v>
          </cell>
          <cell r="H648">
            <v>1198.6479999999999</v>
          </cell>
          <cell r="I648">
            <v>1135.2045290000001</v>
          </cell>
        </row>
        <row r="649">
          <cell r="A649" t="str">
            <v>63401-BF_1.1.2.1</v>
          </cell>
          <cell r="B649" t="str">
            <v>QUINDIO</v>
          </cell>
          <cell r="C649">
            <v>63401</v>
          </cell>
          <cell r="D649" t="str">
            <v>LA TEBAIDA</v>
          </cell>
          <cell r="E649">
            <v>17</v>
          </cell>
          <cell r="F649" t="str">
            <v>BF_1.1.2.1</v>
          </cell>
          <cell r="G649" t="str">
            <v xml:space="preserve">             Ingresos de la Propiedad: Tasas, Derechos, Multas y Sanciones</v>
          </cell>
          <cell r="H649">
            <v>1089.1869999999999</v>
          </cell>
          <cell r="I649">
            <v>942.45230400000003</v>
          </cell>
        </row>
        <row r="650">
          <cell r="A650" t="str">
            <v>63401-BF_1.1.2.2</v>
          </cell>
          <cell r="B650" t="str">
            <v>QUINDIO</v>
          </cell>
          <cell r="C650">
            <v>63401</v>
          </cell>
          <cell r="D650" t="str">
            <v>LA TEBAIDA</v>
          </cell>
          <cell r="E650">
            <v>18</v>
          </cell>
          <cell r="F650" t="str">
            <v>BF_1.1.2.2</v>
          </cell>
          <cell r="G650" t="str">
            <v xml:space="preserve">             Otros No Tributarios</v>
          </cell>
          <cell r="H650">
            <v>109.461</v>
          </cell>
          <cell r="I650">
            <v>192.75222500000001</v>
          </cell>
        </row>
        <row r="651">
          <cell r="A651" t="str">
            <v>63401-BF_1.1.3</v>
          </cell>
          <cell r="B651" t="str">
            <v>QUINDIO</v>
          </cell>
          <cell r="C651">
            <v>63401</v>
          </cell>
          <cell r="D651" t="str">
            <v>LA TEBAIDA</v>
          </cell>
          <cell r="E651">
            <v>19</v>
          </cell>
          <cell r="F651" t="str">
            <v>BF_1.1.3</v>
          </cell>
          <cell r="G651" t="str">
            <v xml:space="preserve">        TRANSFERENCIAS</v>
          </cell>
          <cell r="H651">
            <v>22362.273000000001</v>
          </cell>
          <cell r="I651">
            <v>21139.302509000001</v>
          </cell>
        </row>
        <row r="652">
          <cell r="A652" t="str">
            <v>63401-BF_1.1.3.1</v>
          </cell>
          <cell r="B652" t="str">
            <v>QUINDIO</v>
          </cell>
          <cell r="C652">
            <v>63401</v>
          </cell>
          <cell r="D652" t="str">
            <v>LA TEBAIDA</v>
          </cell>
          <cell r="E652">
            <v>20</v>
          </cell>
          <cell r="F652" t="str">
            <v>BF_1.1.3.1</v>
          </cell>
          <cell r="G652" t="str">
            <v xml:space="preserve">             Transferencias Para Funcionamiento</v>
          </cell>
          <cell r="H652">
            <v>1124.606</v>
          </cell>
          <cell r="I652">
            <v>1133.6683869999999</v>
          </cell>
        </row>
        <row r="653">
          <cell r="A653" t="str">
            <v>63401-BF_1.1.3.1.1</v>
          </cell>
          <cell r="B653" t="str">
            <v>QUINDIO</v>
          </cell>
          <cell r="C653">
            <v>63401</v>
          </cell>
          <cell r="D653" t="str">
            <v>LA TEBAIDA</v>
          </cell>
          <cell r="E653">
            <v>21</v>
          </cell>
          <cell r="F653" t="str">
            <v>BF_1.1.3.1.1</v>
          </cell>
          <cell r="G653" t="str">
            <v xml:space="preserve">                 Del Nivel Nacional</v>
          </cell>
          <cell r="H653">
            <v>1056.652</v>
          </cell>
          <cell r="I653">
            <v>1053.6919820000001</v>
          </cell>
        </row>
        <row r="654">
          <cell r="A654" t="str">
            <v>63401-BF_1.1.3.1.1.1</v>
          </cell>
          <cell r="B654" t="str">
            <v>QUINDIO</v>
          </cell>
          <cell r="C654">
            <v>63401</v>
          </cell>
          <cell r="D654" t="str">
            <v>LA TEBAIDA</v>
          </cell>
          <cell r="E654">
            <v>22</v>
          </cell>
          <cell r="F654" t="str">
            <v>BF_1.1.3.1.1.1</v>
          </cell>
          <cell r="G654" t="str">
            <v xml:space="preserve">                     Sistema General de Participaciones - Propósito General - Libre destinación - Municipios categorías 4, 5 y 6</v>
          </cell>
          <cell r="H654">
            <v>1056.652</v>
          </cell>
          <cell r="I654">
            <v>1053.6919820000001</v>
          </cell>
        </row>
        <row r="655">
          <cell r="A655" t="str">
            <v>63401-BF_1.1.3.1.2</v>
          </cell>
          <cell r="B655" t="str">
            <v>QUINDIO</v>
          </cell>
          <cell r="C655">
            <v>63401</v>
          </cell>
          <cell r="D655" t="str">
            <v>LA TEBAIDA</v>
          </cell>
          <cell r="E655">
            <v>24</v>
          </cell>
          <cell r="F655" t="str">
            <v>BF_1.1.3.1.2</v>
          </cell>
          <cell r="G655" t="str">
            <v xml:space="preserve">                 Del Nivel Departamental</v>
          </cell>
          <cell r="H655">
            <v>67.953999999999994</v>
          </cell>
          <cell r="I655">
            <v>79.976405</v>
          </cell>
        </row>
        <row r="656">
          <cell r="A656" t="str">
            <v>63401-BF_1.1.3.1.2.1</v>
          </cell>
          <cell r="B656" t="str">
            <v>QUINDIO</v>
          </cell>
          <cell r="C656">
            <v>63401</v>
          </cell>
          <cell r="D656" t="str">
            <v>LA TEBAIDA</v>
          </cell>
          <cell r="E656">
            <v>25</v>
          </cell>
          <cell r="F656" t="str">
            <v>BF_1.1.3.1.2.1</v>
          </cell>
          <cell r="G656" t="str">
            <v xml:space="preserve">                     De Vehículos Automotores</v>
          </cell>
          <cell r="H656">
            <v>67.953999999999994</v>
          </cell>
          <cell r="I656">
            <v>79.976405</v>
          </cell>
        </row>
        <row r="657">
          <cell r="A657" t="str">
            <v>63401-BF_1.1.3.2</v>
          </cell>
          <cell r="B657" t="str">
            <v>QUINDIO</v>
          </cell>
          <cell r="C657">
            <v>63401</v>
          </cell>
          <cell r="D657" t="str">
            <v>LA TEBAIDA</v>
          </cell>
          <cell r="E657">
            <v>28</v>
          </cell>
          <cell r="F657" t="str">
            <v>BF_1.1.3.2</v>
          </cell>
          <cell r="G657" t="str">
            <v xml:space="preserve">             Transferencias Para Inversión</v>
          </cell>
          <cell r="H657">
            <v>21237.667000000001</v>
          </cell>
          <cell r="I657">
            <v>20005.634121999999</v>
          </cell>
        </row>
        <row r="658">
          <cell r="A658" t="str">
            <v>63401-BF_1.1.3.2.1</v>
          </cell>
          <cell r="B658" t="str">
            <v>QUINDIO</v>
          </cell>
          <cell r="C658">
            <v>63401</v>
          </cell>
          <cell r="D658" t="str">
            <v>LA TEBAIDA</v>
          </cell>
          <cell r="E658">
            <v>29</v>
          </cell>
          <cell r="F658" t="str">
            <v>BF_1.1.3.2.1</v>
          </cell>
          <cell r="G658" t="str">
            <v xml:space="preserve">                 Del Nivel Nacional</v>
          </cell>
          <cell r="H658">
            <v>18972.092000000001</v>
          </cell>
          <cell r="I658">
            <v>17716.635074999998</v>
          </cell>
        </row>
        <row r="659">
          <cell r="A659" t="str">
            <v>63401-BF_1.1.3.2.1.1</v>
          </cell>
          <cell r="B659" t="str">
            <v>QUINDIO</v>
          </cell>
          <cell r="C659">
            <v>63401</v>
          </cell>
          <cell r="D659" t="str">
            <v>LA TEBAIDA</v>
          </cell>
          <cell r="E659">
            <v>30</v>
          </cell>
          <cell r="F659" t="str">
            <v>BF_1.1.3.2.1.1</v>
          </cell>
          <cell r="G659" t="str">
            <v xml:space="preserve">                     Sistema General de Participaciones</v>
          </cell>
          <cell r="H659">
            <v>10852.446</v>
          </cell>
          <cell r="I659">
            <v>10693.242963999999</v>
          </cell>
        </row>
        <row r="660">
          <cell r="A660" t="str">
            <v>63401-BF_1.1.3.2.1.1.1</v>
          </cell>
          <cell r="B660" t="str">
            <v>QUINDIO</v>
          </cell>
          <cell r="C660">
            <v>63401</v>
          </cell>
          <cell r="D660" t="str">
            <v>LA TEBAIDA</v>
          </cell>
          <cell r="E660">
            <v>31</v>
          </cell>
          <cell r="F660" t="str">
            <v>BF_1.1.3.2.1.1.1</v>
          </cell>
          <cell r="G660" t="str">
            <v xml:space="preserve">                         Sistema General de Participaciones - Educación</v>
          </cell>
          <cell r="H660">
            <v>1089.923</v>
          </cell>
          <cell r="I660">
            <v>1035.746065</v>
          </cell>
        </row>
        <row r="661">
          <cell r="A661" t="str">
            <v>63401-BF_1.1.3.2.1.1.2</v>
          </cell>
          <cell r="B661" t="str">
            <v>QUINDIO</v>
          </cell>
          <cell r="C661">
            <v>63401</v>
          </cell>
          <cell r="D661" t="str">
            <v>LA TEBAIDA</v>
          </cell>
          <cell r="E661">
            <v>32</v>
          </cell>
          <cell r="F661" t="str">
            <v>BF_1.1.3.2.1.1.2</v>
          </cell>
          <cell r="G661" t="str">
            <v xml:space="preserve">                         Sistema General de Participaciones - Salud</v>
          </cell>
          <cell r="H661">
            <v>6756.2449999999999</v>
          </cell>
          <cell r="I661">
            <v>6783.9298349999999</v>
          </cell>
        </row>
        <row r="662">
          <cell r="A662" t="str">
            <v>63401-BF_1.1.3.2.1.1.3</v>
          </cell>
          <cell r="B662" t="str">
            <v>QUINDIO</v>
          </cell>
          <cell r="C662">
            <v>63401</v>
          </cell>
          <cell r="D662" t="str">
            <v>LA TEBAIDA</v>
          </cell>
          <cell r="E662">
            <v>33</v>
          </cell>
          <cell r="F662" t="str">
            <v>BF_1.1.3.2.1.1.3</v>
          </cell>
          <cell r="G662" t="str">
            <v xml:space="preserve">                         Sistema General de Participaciones - Agua Potable y Saneamiento Básico</v>
          </cell>
          <cell r="H662">
            <v>1322.64</v>
          </cell>
          <cell r="I662">
            <v>1307.900899</v>
          </cell>
        </row>
        <row r="663">
          <cell r="A663" t="str">
            <v>63401-BF_1.1.3.2.1.1.4</v>
          </cell>
          <cell r="B663" t="str">
            <v>QUINDIO</v>
          </cell>
          <cell r="C663">
            <v>63401</v>
          </cell>
          <cell r="D663" t="str">
            <v>LA TEBAIDA</v>
          </cell>
          <cell r="E663">
            <v>34</v>
          </cell>
          <cell r="F663" t="str">
            <v>BF_1.1.3.2.1.1.4</v>
          </cell>
          <cell r="G663" t="str">
            <v xml:space="preserve">                         Sistema General de Participaciones - Propósito General - Forzosa Inversión</v>
          </cell>
          <cell r="H663">
            <v>1459.1869999999999</v>
          </cell>
          <cell r="I663">
            <v>1455.09845</v>
          </cell>
        </row>
        <row r="664">
          <cell r="A664" t="str">
            <v>63401-BF_1.1.3.2.1.1.5</v>
          </cell>
          <cell r="B664" t="str">
            <v>QUINDIO</v>
          </cell>
          <cell r="C664">
            <v>63401</v>
          </cell>
          <cell r="D664" t="str">
            <v>LA TEBAIDA</v>
          </cell>
          <cell r="E664">
            <v>35</v>
          </cell>
          <cell r="F664" t="str">
            <v>BF_1.1.3.2.1.1.5</v>
          </cell>
          <cell r="G664" t="str">
            <v xml:space="preserve">                         Otras del Sistema General de Participaciones</v>
          </cell>
          <cell r="H664">
            <v>224.45099999999999</v>
          </cell>
          <cell r="I664">
            <v>110.56771500000001</v>
          </cell>
        </row>
        <row r="665">
          <cell r="A665" t="str">
            <v>63401-BF_1.1.3.2.1.2</v>
          </cell>
          <cell r="B665" t="str">
            <v>QUINDIO</v>
          </cell>
          <cell r="C665">
            <v>63401</v>
          </cell>
          <cell r="D665" t="str">
            <v>LA TEBAIDA</v>
          </cell>
          <cell r="E665">
            <v>36</v>
          </cell>
          <cell r="F665" t="str">
            <v>BF_1.1.3.2.1.2</v>
          </cell>
          <cell r="G665" t="str">
            <v xml:space="preserve">                     FOSYGA y COLJUEGOS</v>
          </cell>
          <cell r="H665">
            <v>7505.107</v>
          </cell>
          <cell r="I665">
            <v>6991.8921110000001</v>
          </cell>
        </row>
        <row r="666">
          <cell r="A666" t="str">
            <v>63401-BF_1.1.3.2.1.3</v>
          </cell>
          <cell r="B666" t="str">
            <v>QUINDIO</v>
          </cell>
          <cell r="C666">
            <v>63401</v>
          </cell>
          <cell r="D666" t="str">
            <v>LA TEBAIDA</v>
          </cell>
          <cell r="E666">
            <v>37</v>
          </cell>
          <cell r="F666" t="str">
            <v>BF_1.1.3.2.1.3</v>
          </cell>
          <cell r="G666" t="str">
            <v xml:space="preserve">                     Otras Transferencias de la Nación</v>
          </cell>
          <cell r="H666">
            <v>614.53899999999999</v>
          </cell>
          <cell r="I666">
            <v>31.5</v>
          </cell>
        </row>
        <row r="667">
          <cell r="A667" t="str">
            <v>63401-BF_1.1.3.2.2</v>
          </cell>
          <cell r="B667" t="str">
            <v>QUINDIO</v>
          </cell>
          <cell r="C667">
            <v>63401</v>
          </cell>
          <cell r="D667" t="str">
            <v>LA TEBAIDA</v>
          </cell>
          <cell r="E667">
            <v>38</v>
          </cell>
          <cell r="F667" t="str">
            <v>BF_1.1.3.2.2</v>
          </cell>
          <cell r="G667" t="str">
            <v xml:space="preserve">                 Del Nivel Departamental</v>
          </cell>
          <cell r="H667">
            <v>2215.0050000000001</v>
          </cell>
          <cell r="I667">
            <v>2288.9990469999998</v>
          </cell>
        </row>
        <row r="668">
          <cell r="A668" t="str">
            <v>63401-BF_1.1.3.2.4</v>
          </cell>
          <cell r="B668" t="str">
            <v>QUINDIO</v>
          </cell>
          <cell r="C668">
            <v>63401</v>
          </cell>
          <cell r="D668" t="str">
            <v>LA TEBAIDA</v>
          </cell>
          <cell r="E668">
            <v>40</v>
          </cell>
          <cell r="F668" t="str">
            <v>BF_1.1.3.2.4</v>
          </cell>
          <cell r="G668" t="str">
            <v xml:space="preserve">                 Sector Descentralizado</v>
          </cell>
          <cell r="H668">
            <v>13.507</v>
          </cell>
          <cell r="I668">
            <v>0</v>
          </cell>
        </row>
        <row r="669">
          <cell r="A669" t="str">
            <v>63401-BF_1.1.3.2.5</v>
          </cell>
          <cell r="B669" t="str">
            <v>QUINDIO</v>
          </cell>
          <cell r="C669">
            <v>63401</v>
          </cell>
          <cell r="D669" t="str">
            <v>LA TEBAIDA</v>
          </cell>
          <cell r="E669">
            <v>41</v>
          </cell>
          <cell r="F669" t="str">
            <v>BF_1.1.3.2.5</v>
          </cell>
          <cell r="G669" t="str">
            <v xml:space="preserve">                 Sector Privado</v>
          </cell>
          <cell r="H669">
            <v>35.033999999999999</v>
          </cell>
          <cell r="I669">
            <v>0</v>
          </cell>
        </row>
        <row r="670">
          <cell r="A670" t="str">
            <v>63401-BF_1.1.3.2.6</v>
          </cell>
          <cell r="B670" t="str">
            <v>QUINDIO</v>
          </cell>
          <cell r="C670">
            <v>63401</v>
          </cell>
          <cell r="D670" t="str">
            <v>LA TEBAIDA</v>
          </cell>
          <cell r="E670">
            <v>42</v>
          </cell>
          <cell r="F670" t="str">
            <v>BF_1.1.3.2.6</v>
          </cell>
          <cell r="G670" t="str">
            <v xml:space="preserve">                 Otras Transferencias para Inversión</v>
          </cell>
          <cell r="H670">
            <v>2.0289999999999999</v>
          </cell>
          <cell r="I670">
            <v>0</v>
          </cell>
        </row>
        <row r="671">
          <cell r="A671" t="str">
            <v>63401-BF_2</v>
          </cell>
          <cell r="B671" t="str">
            <v>QUINDIO</v>
          </cell>
          <cell r="C671">
            <v>63401</v>
          </cell>
          <cell r="D671" t="str">
            <v>LA TEBAIDA</v>
          </cell>
          <cell r="E671">
            <v>43</v>
          </cell>
          <cell r="F671" t="str">
            <v>BF_2</v>
          </cell>
          <cell r="G671" t="str">
            <v>GASTOS  TOTALES</v>
          </cell>
          <cell r="H671">
            <v>33161.544999999998</v>
          </cell>
          <cell r="I671">
            <v>35544.106580469997</v>
          </cell>
        </row>
        <row r="672">
          <cell r="A672" t="str">
            <v>63401-BF_2.1</v>
          </cell>
          <cell r="B672" t="str">
            <v>QUINDIO</v>
          </cell>
          <cell r="C672">
            <v>63401</v>
          </cell>
          <cell r="D672" t="str">
            <v>LA TEBAIDA</v>
          </cell>
          <cell r="E672">
            <v>44</v>
          </cell>
          <cell r="F672" t="str">
            <v>BF_2.1</v>
          </cell>
          <cell r="G672" t="str">
            <v xml:space="preserve">    GASTOS CORRIENTES</v>
          </cell>
          <cell r="H672">
            <v>24473.922999999999</v>
          </cell>
          <cell r="I672">
            <v>30345.94251366</v>
          </cell>
        </row>
        <row r="673">
          <cell r="A673" t="str">
            <v>63401-BF_2.1.1</v>
          </cell>
          <cell r="B673" t="str">
            <v>QUINDIO</v>
          </cell>
          <cell r="C673">
            <v>63401</v>
          </cell>
          <cell r="D673" t="str">
            <v>LA TEBAIDA</v>
          </cell>
          <cell r="E673">
            <v>45</v>
          </cell>
          <cell r="F673" t="str">
            <v>BF_2.1.1</v>
          </cell>
          <cell r="G673" t="str">
            <v xml:space="preserve">        FUNCIONAMIENTO</v>
          </cell>
          <cell r="H673">
            <v>4642.9390000000003</v>
          </cell>
          <cell r="I673">
            <v>5231.0055871200002</v>
          </cell>
        </row>
        <row r="674">
          <cell r="A674" t="str">
            <v>63401-BF_2.1.1.1</v>
          </cell>
          <cell r="B674" t="str">
            <v>QUINDIO</v>
          </cell>
          <cell r="C674">
            <v>63401</v>
          </cell>
          <cell r="D674" t="str">
            <v>LA TEBAIDA</v>
          </cell>
          <cell r="E674">
            <v>46</v>
          </cell>
          <cell r="F674" t="str">
            <v>BF_2.1.1.1</v>
          </cell>
          <cell r="G674" t="str">
            <v xml:space="preserve">             Gastos de Personal  </v>
          </cell>
          <cell r="H674">
            <v>2506.8449999999998</v>
          </cell>
          <cell r="I674">
            <v>3153.1036789999998</v>
          </cell>
        </row>
        <row r="675">
          <cell r="A675" t="str">
            <v>63401-BF_2.1.1.2</v>
          </cell>
          <cell r="B675" t="str">
            <v>QUINDIO</v>
          </cell>
          <cell r="C675">
            <v>63401</v>
          </cell>
          <cell r="D675" t="str">
            <v>LA TEBAIDA</v>
          </cell>
          <cell r="E675">
            <v>47</v>
          </cell>
          <cell r="F675" t="str">
            <v>BF_2.1.1.2</v>
          </cell>
          <cell r="G675" t="str">
            <v xml:space="preserve">             Gastos Generales</v>
          </cell>
          <cell r="H675">
            <v>845.85400000000004</v>
          </cell>
          <cell r="I675">
            <v>684.57874537999999</v>
          </cell>
        </row>
        <row r="676">
          <cell r="A676" t="str">
            <v>63401-BF_2.1.1.3</v>
          </cell>
          <cell r="B676" t="str">
            <v>QUINDIO</v>
          </cell>
          <cell r="C676">
            <v>63401</v>
          </cell>
          <cell r="D676" t="str">
            <v>LA TEBAIDA</v>
          </cell>
          <cell r="E676">
            <v>48</v>
          </cell>
          <cell r="F676" t="str">
            <v>BF_2.1.1.3</v>
          </cell>
          <cell r="G676" t="str">
            <v xml:space="preserve">             Transferencias</v>
          </cell>
          <cell r="H676">
            <v>1289.0340000000001</v>
          </cell>
          <cell r="I676">
            <v>1392.2099077400001</v>
          </cell>
        </row>
        <row r="677">
          <cell r="A677" t="str">
            <v>63401-BF_2.1.1.3.1</v>
          </cell>
          <cell r="B677" t="str">
            <v>QUINDIO</v>
          </cell>
          <cell r="C677">
            <v>63401</v>
          </cell>
          <cell r="D677" t="str">
            <v>LA TEBAIDA</v>
          </cell>
          <cell r="E677">
            <v>49</v>
          </cell>
          <cell r="F677" t="str">
            <v>BF_2.1.1.3.1</v>
          </cell>
          <cell r="G677" t="str">
            <v xml:space="preserve">                 Pensiones</v>
          </cell>
          <cell r="H677">
            <v>192.02699999999999</v>
          </cell>
          <cell r="I677">
            <v>137.07182</v>
          </cell>
        </row>
        <row r="678">
          <cell r="A678" t="str">
            <v>63401-BF_2.1.1.3.4</v>
          </cell>
          <cell r="B678" t="str">
            <v>QUINDIO</v>
          </cell>
          <cell r="C678">
            <v>63401</v>
          </cell>
          <cell r="D678" t="str">
            <v>LA TEBAIDA</v>
          </cell>
          <cell r="E678">
            <v>52</v>
          </cell>
          <cell r="F678" t="str">
            <v>BF_2.1.1.3.4</v>
          </cell>
          <cell r="G678" t="str">
            <v xml:space="preserve">                 A Organismos de Control</v>
          </cell>
          <cell r="H678">
            <v>322.25400000000002</v>
          </cell>
          <cell r="I678">
            <v>320.41297900000001</v>
          </cell>
        </row>
        <row r="679">
          <cell r="A679" t="str">
            <v>63401-BF_2.1.1.3.6</v>
          </cell>
          <cell r="B679" t="str">
            <v>QUINDIO</v>
          </cell>
          <cell r="C679">
            <v>63401</v>
          </cell>
          <cell r="D679" t="str">
            <v>LA TEBAIDA</v>
          </cell>
          <cell r="E679">
            <v>54</v>
          </cell>
          <cell r="F679" t="str">
            <v>BF_2.1.1.3.6</v>
          </cell>
          <cell r="G679" t="str">
            <v xml:space="preserve">                 Sentencias y Conciliaciones</v>
          </cell>
          <cell r="H679">
            <v>251.86199999999999</v>
          </cell>
          <cell r="I679">
            <v>453.21353539</v>
          </cell>
        </row>
        <row r="680">
          <cell r="A680" t="str">
            <v>63401-BF_2.1.1.3.7</v>
          </cell>
          <cell r="B680" t="str">
            <v>QUINDIO</v>
          </cell>
          <cell r="C680">
            <v>63401</v>
          </cell>
          <cell r="D680" t="str">
            <v>LA TEBAIDA</v>
          </cell>
          <cell r="E680">
            <v>55</v>
          </cell>
          <cell r="F680" t="str">
            <v>BF_2.1.1.3.7</v>
          </cell>
          <cell r="G680" t="str">
            <v xml:space="preserve">                 Otras Transferencias</v>
          </cell>
          <cell r="H680">
            <v>522.89099999999996</v>
          </cell>
          <cell r="I680">
            <v>481.51157334999999</v>
          </cell>
        </row>
        <row r="681">
          <cell r="A681" t="str">
            <v>63401-BF_2.1.1.6</v>
          </cell>
          <cell r="B681" t="str">
            <v>QUINDIO</v>
          </cell>
          <cell r="C681">
            <v>63401</v>
          </cell>
          <cell r="D681" t="str">
            <v>LA TEBAIDA</v>
          </cell>
          <cell r="E681">
            <v>58</v>
          </cell>
          <cell r="F681" t="str">
            <v>BF_2.1.1.6</v>
          </cell>
          <cell r="G681" t="str">
            <v xml:space="preserve">             Otros Gastos de Funcionamiento</v>
          </cell>
          <cell r="H681">
            <v>1.206</v>
          </cell>
          <cell r="I681">
            <v>1.1132550000000001</v>
          </cell>
        </row>
        <row r="682">
          <cell r="A682" t="str">
            <v>63401-BF_2.1.4</v>
          </cell>
          <cell r="B682" t="str">
            <v>QUINDIO</v>
          </cell>
          <cell r="C682">
            <v>63401</v>
          </cell>
          <cell r="D682" t="str">
            <v>LA TEBAIDA</v>
          </cell>
          <cell r="E682">
            <v>61</v>
          </cell>
          <cell r="F682" t="str">
            <v>BF_2.1.4</v>
          </cell>
          <cell r="G682" t="str">
            <v xml:space="preserve">        GASTOS OPERATIVOS EN SECTORES SOCIALES (Remuneración al Trabajo, Prestaciones, y Subsidios en Sectores de Inversión)</v>
          </cell>
          <cell r="H682">
            <v>19675.272000000001</v>
          </cell>
          <cell r="I682">
            <v>24926.203231079999</v>
          </cell>
        </row>
        <row r="683">
          <cell r="A683" t="str">
            <v>63401-BF_2.1.4.1</v>
          </cell>
          <cell r="B683" t="str">
            <v>QUINDIO</v>
          </cell>
          <cell r="C683">
            <v>63401</v>
          </cell>
          <cell r="D683" t="str">
            <v>LA TEBAIDA</v>
          </cell>
          <cell r="E683">
            <v>62</v>
          </cell>
          <cell r="F683" t="str">
            <v>BF_2.1.4.1</v>
          </cell>
          <cell r="G683" t="str">
            <v xml:space="preserve">             Educación</v>
          </cell>
          <cell r="H683">
            <v>1496.8150000000001</v>
          </cell>
          <cell r="I683">
            <v>1562.680887</v>
          </cell>
        </row>
        <row r="684">
          <cell r="A684" t="str">
            <v>63401-BF_2.1.4.2</v>
          </cell>
          <cell r="B684" t="str">
            <v>QUINDIO</v>
          </cell>
          <cell r="C684">
            <v>63401</v>
          </cell>
          <cell r="D684" t="str">
            <v>LA TEBAIDA</v>
          </cell>
          <cell r="E684">
            <v>63</v>
          </cell>
          <cell r="F684" t="str">
            <v>BF_2.1.4.2</v>
          </cell>
          <cell r="G684" t="str">
            <v xml:space="preserve">             Salud</v>
          </cell>
          <cell r="H684">
            <v>16607.007000000001</v>
          </cell>
          <cell r="I684">
            <v>18099.11655264</v>
          </cell>
        </row>
        <row r="685">
          <cell r="A685" t="str">
            <v>63401-BF_2.1.4.3</v>
          </cell>
          <cell r="B685" t="str">
            <v>QUINDIO</v>
          </cell>
          <cell r="C685">
            <v>63401</v>
          </cell>
          <cell r="D685" t="str">
            <v>LA TEBAIDA</v>
          </cell>
          <cell r="E685">
            <v>64</v>
          </cell>
          <cell r="F685" t="str">
            <v>BF_2.1.4.3</v>
          </cell>
          <cell r="G685" t="str">
            <v xml:space="preserve">             Agua Potable y Saneamiento Básico</v>
          </cell>
          <cell r="H685">
            <v>1053.1880000000001</v>
          </cell>
          <cell r="I685">
            <v>1053.301616</v>
          </cell>
        </row>
        <row r="686">
          <cell r="A686" t="str">
            <v>63401-BF_2.1.4.5</v>
          </cell>
          <cell r="B686" t="str">
            <v>QUINDIO</v>
          </cell>
          <cell r="C686">
            <v>63401</v>
          </cell>
          <cell r="D686" t="str">
            <v>LA TEBAIDA</v>
          </cell>
          <cell r="E686">
            <v>66</v>
          </cell>
          <cell r="F686" t="str">
            <v>BF_2.1.4.5</v>
          </cell>
          <cell r="G686" t="str">
            <v xml:space="preserve">             Otros Sectores</v>
          </cell>
          <cell r="H686">
            <v>518.26199999999994</v>
          </cell>
          <cell r="I686">
            <v>4211.1041754400003</v>
          </cell>
        </row>
        <row r="687">
          <cell r="A687" t="str">
            <v>63401-BF_2.1.5</v>
          </cell>
          <cell r="B687" t="str">
            <v>QUINDIO</v>
          </cell>
          <cell r="C687">
            <v>63401</v>
          </cell>
          <cell r="D687" t="str">
            <v>LA TEBAIDA</v>
          </cell>
          <cell r="E687">
            <v>67</v>
          </cell>
          <cell r="F687" t="str">
            <v>BF_2.1.5</v>
          </cell>
          <cell r="G687" t="str">
            <v xml:space="preserve">        INTERESES Y COMISIONES DE LA DEUDA</v>
          </cell>
          <cell r="H687">
            <v>155.71199999999999</v>
          </cell>
          <cell r="I687">
            <v>188.73369546000001</v>
          </cell>
        </row>
        <row r="688">
          <cell r="A688" t="str">
            <v>63401-BF_2.1.5.1</v>
          </cell>
          <cell r="B688" t="str">
            <v>QUINDIO</v>
          </cell>
          <cell r="C688">
            <v>63401</v>
          </cell>
          <cell r="D688" t="str">
            <v>LA TEBAIDA</v>
          </cell>
          <cell r="E688">
            <v>68</v>
          </cell>
          <cell r="F688" t="str">
            <v>BF_2.1.5.1</v>
          </cell>
          <cell r="G688" t="str">
            <v xml:space="preserve">             Interna</v>
          </cell>
          <cell r="H688">
            <v>155.71199999999999</v>
          </cell>
          <cell r="I688">
            <v>188.73369546000001</v>
          </cell>
        </row>
        <row r="689">
          <cell r="A689" t="str">
            <v>63401-BF_3</v>
          </cell>
          <cell r="B689" t="str">
            <v>QUINDIO</v>
          </cell>
          <cell r="C689">
            <v>63401</v>
          </cell>
          <cell r="D689" t="str">
            <v>LA TEBAIDA</v>
          </cell>
          <cell r="E689">
            <v>70</v>
          </cell>
          <cell r="F689" t="str">
            <v>BF_3</v>
          </cell>
          <cell r="G689" t="str">
            <v>DÉFICIT O AHORRO CORRIENTE</v>
          </cell>
          <cell r="H689">
            <v>6925.6639999999998</v>
          </cell>
          <cell r="I689">
            <v>268.44532534000001</v>
          </cell>
        </row>
        <row r="690">
          <cell r="A690" t="str">
            <v>63401-BF_4</v>
          </cell>
          <cell r="B690" t="str">
            <v>QUINDIO</v>
          </cell>
          <cell r="C690">
            <v>63401</v>
          </cell>
          <cell r="D690" t="str">
            <v>LA TEBAIDA</v>
          </cell>
          <cell r="E690">
            <v>71</v>
          </cell>
          <cell r="F690" t="str">
            <v>BF_4</v>
          </cell>
          <cell r="G690" t="str">
            <v>INGRESOS DE CAPITAL</v>
          </cell>
          <cell r="H690">
            <v>6999.1809999999996</v>
          </cell>
          <cell r="I690">
            <v>3388.4086499999999</v>
          </cell>
        </row>
        <row r="691">
          <cell r="A691" t="str">
            <v>63401-BF_4.1</v>
          </cell>
          <cell r="B691" t="str">
            <v>QUINDIO</v>
          </cell>
          <cell r="C691">
            <v>63401</v>
          </cell>
          <cell r="D691" t="str">
            <v>LA TEBAIDA</v>
          </cell>
          <cell r="E691">
            <v>72</v>
          </cell>
          <cell r="F691" t="str">
            <v>BF_4.1</v>
          </cell>
          <cell r="G691" t="str">
            <v xml:space="preserve">    Cofinanciación</v>
          </cell>
          <cell r="H691">
            <v>229.624</v>
          </cell>
          <cell r="I691">
            <v>7.8900269999999999</v>
          </cell>
        </row>
        <row r="692">
          <cell r="A692" t="str">
            <v>63401-BF_4.4</v>
          </cell>
          <cell r="B692" t="str">
            <v>QUINDIO</v>
          </cell>
          <cell r="C692">
            <v>63401</v>
          </cell>
          <cell r="D692" t="str">
            <v>LA TEBAIDA</v>
          </cell>
          <cell r="E692">
            <v>75</v>
          </cell>
          <cell r="F692" t="str">
            <v>BF_4.4</v>
          </cell>
          <cell r="G692" t="str">
            <v xml:space="preserve">    Rendimientos Financieros</v>
          </cell>
          <cell r="H692">
            <v>112.423</v>
          </cell>
          <cell r="I692">
            <v>248.88264000000001</v>
          </cell>
        </row>
        <row r="693">
          <cell r="A693" t="str">
            <v>63401-BF_4.6</v>
          </cell>
          <cell r="B693" t="str">
            <v>QUINDIO</v>
          </cell>
          <cell r="C693">
            <v>63401</v>
          </cell>
          <cell r="D693" t="str">
            <v>LA TEBAIDA</v>
          </cell>
          <cell r="E693">
            <v>77</v>
          </cell>
          <cell r="F693" t="str">
            <v>BF_4.6</v>
          </cell>
          <cell r="G693" t="str">
            <v xml:space="preserve">    Desahorro FONPET</v>
          </cell>
          <cell r="H693">
            <v>6591.1909999999998</v>
          </cell>
          <cell r="I693">
            <v>3016.044578</v>
          </cell>
        </row>
        <row r="694">
          <cell r="A694" t="str">
            <v>63401-BF_4.6.1</v>
          </cell>
          <cell r="B694" t="str">
            <v>QUINDIO</v>
          </cell>
          <cell r="C694">
            <v>63401</v>
          </cell>
          <cell r="D694" t="str">
            <v>LA TEBAIDA</v>
          </cell>
          <cell r="E694">
            <v>78</v>
          </cell>
          <cell r="F694" t="str">
            <v>BF_4.6.1</v>
          </cell>
          <cell r="G694" t="str">
            <v xml:space="preserve">    Salud</v>
          </cell>
          <cell r="H694">
            <v>846.19399999999996</v>
          </cell>
          <cell r="I694">
            <v>2874.665</v>
          </cell>
        </row>
        <row r="695">
          <cell r="A695" t="str">
            <v>63401-BF_4.6.3</v>
          </cell>
          <cell r="B695" t="str">
            <v>QUINDIO</v>
          </cell>
          <cell r="C695">
            <v>63401</v>
          </cell>
          <cell r="D695" t="str">
            <v>LA TEBAIDA</v>
          </cell>
          <cell r="E695">
            <v>80</v>
          </cell>
          <cell r="F695" t="str">
            <v>BF_4.6.3</v>
          </cell>
          <cell r="G695" t="str">
            <v xml:space="preserve">    Propósito General</v>
          </cell>
          <cell r="H695">
            <v>5629.5720000000001</v>
          </cell>
          <cell r="I695">
            <v>0</v>
          </cell>
        </row>
        <row r="696">
          <cell r="A696" t="str">
            <v>63401-BF_4.6.4</v>
          </cell>
          <cell r="B696" t="str">
            <v>QUINDIO</v>
          </cell>
          <cell r="C696">
            <v>63401</v>
          </cell>
          <cell r="D696" t="str">
            <v>LA TEBAIDA</v>
          </cell>
          <cell r="E696">
            <v>81</v>
          </cell>
          <cell r="F696" t="str">
            <v>BF_4.6.4</v>
          </cell>
          <cell r="G696" t="str">
            <v xml:space="preserve">    Otros Desahorros y Retiros (Cuotas partes, Bonos y Devoluciones)</v>
          </cell>
          <cell r="H696">
            <v>115.425</v>
          </cell>
          <cell r="I696">
            <v>141.37957800000001</v>
          </cell>
        </row>
        <row r="697">
          <cell r="A697" t="str">
            <v>63401-BF_4.7</v>
          </cell>
          <cell r="B697" t="str">
            <v>QUINDIO</v>
          </cell>
          <cell r="C697">
            <v>63401</v>
          </cell>
          <cell r="D697" t="str">
            <v>LA TEBAIDA</v>
          </cell>
          <cell r="E697">
            <v>82</v>
          </cell>
          <cell r="F697" t="str">
            <v>BF_4.7</v>
          </cell>
          <cell r="G697" t="str">
            <v xml:space="preserve">    Otros Recursos de Capital (Donaciones, Aprovechamientos y Otros)</v>
          </cell>
          <cell r="H697">
            <v>65.942999999999998</v>
          </cell>
          <cell r="I697">
            <v>115.59140499999999</v>
          </cell>
        </row>
        <row r="698">
          <cell r="A698" t="str">
            <v>63401-BF_5</v>
          </cell>
          <cell r="B698" t="str">
            <v>QUINDIO</v>
          </cell>
          <cell r="C698">
            <v>63401</v>
          </cell>
          <cell r="D698" t="str">
            <v>LA TEBAIDA</v>
          </cell>
          <cell r="E698">
            <v>83</v>
          </cell>
          <cell r="F698" t="str">
            <v>BF_5</v>
          </cell>
          <cell r="G698" t="str">
            <v>GASTOS DE CAPITAL</v>
          </cell>
          <cell r="H698">
            <v>8687.6219999999994</v>
          </cell>
          <cell r="I698">
            <v>5198.1640668099999</v>
          </cell>
        </row>
        <row r="699">
          <cell r="A699" t="str">
            <v>63401-BF_5.1</v>
          </cell>
          <cell r="B699" t="str">
            <v>QUINDIO</v>
          </cell>
          <cell r="C699">
            <v>63401</v>
          </cell>
          <cell r="D699" t="str">
            <v>LA TEBAIDA</v>
          </cell>
          <cell r="E699">
            <v>84</v>
          </cell>
          <cell r="F699" t="str">
            <v>BF_5.1</v>
          </cell>
          <cell r="G699" t="str">
            <v xml:space="preserve">    Formación Bruta de Capital (Construcción, Reparación, Mantenimiento, Preinversión, Otros)</v>
          </cell>
          <cell r="H699">
            <v>8114.2079999999996</v>
          </cell>
          <cell r="I699">
            <v>5190.0396798100001</v>
          </cell>
        </row>
        <row r="700">
          <cell r="A700" t="str">
            <v>63401-BF_5.1.1</v>
          </cell>
          <cell r="B700" t="str">
            <v>QUINDIO</v>
          </cell>
          <cell r="C700">
            <v>63401</v>
          </cell>
          <cell r="D700" t="str">
            <v>LA TEBAIDA</v>
          </cell>
          <cell r="E700">
            <v>85</v>
          </cell>
          <cell r="F700" t="str">
            <v>BF_5.1.1</v>
          </cell>
          <cell r="G700" t="str">
            <v xml:space="preserve">        Educación</v>
          </cell>
          <cell r="H700">
            <v>140.38499999999999</v>
          </cell>
          <cell r="I700">
            <v>104.226354</v>
          </cell>
        </row>
        <row r="701">
          <cell r="A701" t="str">
            <v>63401-BF_5.1.2</v>
          </cell>
          <cell r="B701" t="str">
            <v>QUINDIO</v>
          </cell>
          <cell r="C701">
            <v>63401</v>
          </cell>
          <cell r="D701" t="str">
            <v>LA TEBAIDA</v>
          </cell>
          <cell r="E701">
            <v>86</v>
          </cell>
          <cell r="F701" t="str">
            <v>BF_5.1.2</v>
          </cell>
          <cell r="G701" t="str">
            <v xml:space="preserve">        Salud</v>
          </cell>
          <cell r="H701">
            <v>1210.635</v>
          </cell>
          <cell r="I701">
            <v>0.61151299999999997</v>
          </cell>
        </row>
        <row r="702">
          <cell r="A702" t="str">
            <v>63401-BF_5.1.3</v>
          </cell>
          <cell r="B702" t="str">
            <v>QUINDIO</v>
          </cell>
          <cell r="C702">
            <v>63401</v>
          </cell>
          <cell r="D702" t="str">
            <v>LA TEBAIDA</v>
          </cell>
          <cell r="E702">
            <v>87</v>
          </cell>
          <cell r="F702" t="str">
            <v>BF_5.1.3</v>
          </cell>
          <cell r="G702" t="str">
            <v xml:space="preserve">        Agua Potable</v>
          </cell>
          <cell r="H702">
            <v>1031.4949999999999</v>
          </cell>
          <cell r="I702">
            <v>1482.51894827</v>
          </cell>
        </row>
        <row r="703">
          <cell r="A703" t="str">
            <v>63401-BF_5.1.4</v>
          </cell>
          <cell r="B703" t="str">
            <v>QUINDIO</v>
          </cell>
          <cell r="C703">
            <v>63401</v>
          </cell>
          <cell r="D703" t="str">
            <v>LA TEBAIDA</v>
          </cell>
          <cell r="E703">
            <v>88</v>
          </cell>
          <cell r="F703" t="str">
            <v>BF_5.1.4</v>
          </cell>
          <cell r="G703" t="str">
            <v xml:space="preserve">        Vivienda</v>
          </cell>
          <cell r="H703">
            <v>2.4</v>
          </cell>
          <cell r="I703">
            <v>34.138080000000002</v>
          </cell>
        </row>
        <row r="704">
          <cell r="A704" t="str">
            <v>63401-BF_5.1.5</v>
          </cell>
          <cell r="B704" t="str">
            <v>QUINDIO</v>
          </cell>
          <cell r="C704">
            <v>63401</v>
          </cell>
          <cell r="D704" t="str">
            <v>LA TEBAIDA</v>
          </cell>
          <cell r="E704">
            <v>89</v>
          </cell>
          <cell r="F704" t="str">
            <v>BF_5.1.5</v>
          </cell>
          <cell r="G704" t="str">
            <v xml:space="preserve">        Vías</v>
          </cell>
          <cell r="H704">
            <v>307.11700000000002</v>
          </cell>
          <cell r="I704">
            <v>1613.931286</v>
          </cell>
        </row>
        <row r="705">
          <cell r="A705" t="str">
            <v>63401-BF_5.1.6</v>
          </cell>
          <cell r="B705" t="str">
            <v>QUINDIO</v>
          </cell>
          <cell r="C705">
            <v>63401</v>
          </cell>
          <cell r="D705" t="str">
            <v>LA TEBAIDA</v>
          </cell>
          <cell r="E705">
            <v>90</v>
          </cell>
          <cell r="F705" t="str">
            <v>BF_5.1.6</v>
          </cell>
          <cell r="G705" t="str">
            <v xml:space="preserve">        Otros Sectores</v>
          </cell>
          <cell r="H705">
            <v>5422.1760000000004</v>
          </cell>
          <cell r="I705">
            <v>1954.6134985399999</v>
          </cell>
        </row>
        <row r="706">
          <cell r="A706" t="str">
            <v>63401-BF_5.2</v>
          </cell>
          <cell r="B706" t="str">
            <v>QUINDIO</v>
          </cell>
          <cell r="C706">
            <v>63401</v>
          </cell>
          <cell r="D706" t="str">
            <v>LA TEBAIDA</v>
          </cell>
          <cell r="E706">
            <v>91</v>
          </cell>
          <cell r="F706" t="str">
            <v>BF_5.2</v>
          </cell>
          <cell r="G706" t="str">
            <v xml:space="preserve">    Déficit Fiscal de Vigencias Anteriores por Inversión</v>
          </cell>
          <cell r="H706">
            <v>573.41399999999999</v>
          </cell>
          <cell r="I706">
            <v>8.1243870000000005</v>
          </cell>
        </row>
        <row r="707">
          <cell r="A707" t="str">
            <v>63401-BF_6</v>
          </cell>
          <cell r="B707" t="str">
            <v>QUINDIO</v>
          </cell>
          <cell r="C707">
            <v>63401</v>
          </cell>
          <cell r="D707" t="str">
            <v>LA TEBAIDA</v>
          </cell>
          <cell r="E707">
            <v>92</v>
          </cell>
          <cell r="F707" t="str">
            <v>BF_6</v>
          </cell>
          <cell r="G707" t="str">
            <v>DÉFICIT O SUPERÁVIT DE CAPITAL</v>
          </cell>
          <cell r="H707">
            <v>-1688.441</v>
          </cell>
          <cell r="I707">
            <v>-1809.75541681</v>
          </cell>
        </row>
        <row r="708">
          <cell r="A708" t="str">
            <v>63401-BF_7</v>
          </cell>
          <cell r="B708" t="str">
            <v>QUINDIO</v>
          </cell>
          <cell r="C708">
            <v>63401</v>
          </cell>
          <cell r="D708" t="str">
            <v>LA TEBAIDA</v>
          </cell>
          <cell r="E708">
            <v>93</v>
          </cell>
          <cell r="F708" t="str">
            <v>BF_7</v>
          </cell>
          <cell r="G708" t="str">
            <v>DÉFICIT O SUPERÁVIT TOTAL</v>
          </cell>
          <cell r="H708">
            <v>5237.223</v>
          </cell>
          <cell r="I708">
            <v>-1541.3100914700001</v>
          </cell>
        </row>
        <row r="709">
          <cell r="A709" t="str">
            <v>63401-BF_8</v>
          </cell>
          <cell r="B709" t="str">
            <v>QUINDIO</v>
          </cell>
          <cell r="C709">
            <v>63401</v>
          </cell>
          <cell r="D709" t="str">
            <v>LA TEBAIDA</v>
          </cell>
          <cell r="E709">
            <v>94</v>
          </cell>
          <cell r="F709" t="str">
            <v>BF_8</v>
          </cell>
          <cell r="G709" t="str">
            <v>FINANCIACIÓN</v>
          </cell>
          <cell r="H709">
            <v>4063.1959999999999</v>
          </cell>
          <cell r="I709">
            <v>11625.11140946</v>
          </cell>
        </row>
        <row r="710">
          <cell r="A710" t="str">
            <v>63401-BF_8.1</v>
          </cell>
          <cell r="B710" t="str">
            <v>QUINDIO</v>
          </cell>
          <cell r="C710">
            <v>63401</v>
          </cell>
          <cell r="D710" t="str">
            <v>LA TEBAIDA</v>
          </cell>
          <cell r="E710">
            <v>95</v>
          </cell>
          <cell r="F710" t="str">
            <v>BF_8.1</v>
          </cell>
          <cell r="G710" t="str">
            <v xml:space="preserve">    RECURSOS DEL CRÉDITO</v>
          </cell>
          <cell r="H710">
            <v>-942.38699999999994</v>
          </cell>
          <cell r="I710">
            <v>2311.7359164600002</v>
          </cell>
        </row>
        <row r="711">
          <cell r="A711" t="str">
            <v>63401-BF_8.1.1</v>
          </cell>
          <cell r="B711" t="str">
            <v>QUINDIO</v>
          </cell>
          <cell r="C711">
            <v>63401</v>
          </cell>
          <cell r="D711" t="str">
            <v>LA TEBAIDA</v>
          </cell>
          <cell r="E711">
            <v>96</v>
          </cell>
          <cell r="F711" t="str">
            <v>BF_8.1.1</v>
          </cell>
          <cell r="G711" t="str">
            <v xml:space="preserve">        Interno</v>
          </cell>
          <cell r="H711">
            <v>-942.38699999999994</v>
          </cell>
          <cell r="I711">
            <v>2311.7359164600002</v>
          </cell>
        </row>
        <row r="712">
          <cell r="A712" t="str">
            <v>63401-BF_8.1.1.1</v>
          </cell>
          <cell r="B712" t="str">
            <v>QUINDIO</v>
          </cell>
          <cell r="C712">
            <v>63401</v>
          </cell>
          <cell r="D712" t="str">
            <v>LA TEBAIDA</v>
          </cell>
          <cell r="E712">
            <v>97</v>
          </cell>
          <cell r="F712" t="str">
            <v>BF_8.1.1.1</v>
          </cell>
          <cell r="G712" t="str">
            <v xml:space="preserve">             Desembolsos</v>
          </cell>
          <cell r="H712">
            <v>0</v>
          </cell>
          <cell r="I712">
            <v>2938.479288</v>
          </cell>
        </row>
        <row r="713">
          <cell r="A713" t="str">
            <v>63401-BF_8.1.1.2</v>
          </cell>
          <cell r="B713" t="str">
            <v>QUINDIO</v>
          </cell>
          <cell r="C713">
            <v>63401</v>
          </cell>
          <cell r="D713" t="str">
            <v>LA TEBAIDA</v>
          </cell>
          <cell r="E713">
            <v>98</v>
          </cell>
          <cell r="F713" t="str">
            <v>BF_8.1.1.2</v>
          </cell>
          <cell r="G713" t="str">
            <v xml:space="preserve">             Amortizaciones</v>
          </cell>
          <cell r="H713">
            <v>942.38699999999994</v>
          </cell>
          <cell r="I713">
            <v>626.74337154</v>
          </cell>
        </row>
        <row r="714">
          <cell r="A714" t="str">
            <v>63401-BF_8.2</v>
          </cell>
          <cell r="B714" t="str">
            <v>QUINDIO</v>
          </cell>
          <cell r="C714">
            <v>63401</v>
          </cell>
          <cell r="D714" t="str">
            <v>LA TEBAIDA</v>
          </cell>
          <cell r="E714">
            <v>102</v>
          </cell>
          <cell r="F714" t="str">
            <v>BF_8.2</v>
          </cell>
          <cell r="G714" t="str">
            <v xml:space="preserve">    Recursos del Balance (Superávit Fiscal, Cancelación de Reservas)</v>
          </cell>
          <cell r="H714">
            <v>5005.5829999999996</v>
          </cell>
          <cell r="I714">
            <v>9313.3754929999996</v>
          </cell>
        </row>
        <row r="715">
          <cell r="A715" t="str">
            <v>63401-BF_9.1</v>
          </cell>
          <cell r="B715" t="str">
            <v>QUINDIO</v>
          </cell>
          <cell r="C715">
            <v>63401</v>
          </cell>
          <cell r="D715" t="str">
            <v>LA TEBAIDA</v>
          </cell>
          <cell r="E715">
            <v>107</v>
          </cell>
          <cell r="F715" t="str">
            <v>BF_9.1</v>
          </cell>
          <cell r="G715" t="str">
            <v xml:space="preserve">    DÉFICIT O SUPERÁVIT PRIMARIO</v>
          </cell>
          <cell r="H715">
            <v>10398.518</v>
          </cell>
          <cell r="I715">
            <v>7960.7990969900002</v>
          </cell>
        </row>
        <row r="716">
          <cell r="A716" t="str">
            <v>63401-BF_9.2</v>
          </cell>
          <cell r="B716" t="str">
            <v>QUINDIO</v>
          </cell>
          <cell r="C716">
            <v>63401</v>
          </cell>
          <cell r="D716" t="str">
            <v>LA TEBAIDA</v>
          </cell>
          <cell r="E716">
            <v>108</v>
          </cell>
          <cell r="F716" t="str">
            <v>BF_9.2</v>
          </cell>
          <cell r="G716" t="str">
            <v xml:space="preserve">    DÉFICIT O SUPERÁVIT PRIMARIO/INTERESES</v>
          </cell>
          <cell r="H716">
            <v>66.78</v>
          </cell>
          <cell r="I716">
            <v>42.180062640999999</v>
          </cell>
        </row>
        <row r="717">
          <cell r="A717" t="str">
            <v>63401-BF_10.1</v>
          </cell>
          <cell r="B717" t="str">
            <v>QUINDIO</v>
          </cell>
          <cell r="C717">
            <v>63401</v>
          </cell>
          <cell r="D717" t="str">
            <v>LA TEBAIDA</v>
          </cell>
          <cell r="E717">
            <v>110</v>
          </cell>
          <cell r="F717" t="str">
            <v>BF_10.1</v>
          </cell>
          <cell r="G717" t="str">
            <v xml:space="preserve">    INGRESOS TOTALES SIN INCLUIR RECURSOS PARA RESERVAS PRESUPUESTALES</v>
          </cell>
          <cell r="H717">
            <v>43404.351000000002</v>
          </cell>
          <cell r="I717">
            <v>46254.651270000002</v>
          </cell>
        </row>
        <row r="718">
          <cell r="A718" t="str">
            <v>63401-BF_10.2</v>
          </cell>
          <cell r="B718" t="str">
            <v>QUINDIO</v>
          </cell>
          <cell r="C718">
            <v>63401</v>
          </cell>
          <cell r="D718" t="str">
            <v>LA TEBAIDA</v>
          </cell>
          <cell r="E718">
            <v>111</v>
          </cell>
          <cell r="F718" t="str">
            <v>BF_10.2</v>
          </cell>
          <cell r="G718" t="str">
            <v xml:space="preserve">    GASTOS TOTALES SIN INCLUIR GASTOS POR RESERVAS PRESUPUESTALES</v>
          </cell>
          <cell r="H718">
            <v>34103.932000000001</v>
          </cell>
          <cell r="I718">
            <v>36170.849952010001</v>
          </cell>
        </row>
        <row r="719">
          <cell r="A719" t="str">
            <v>63401-BF_10.3</v>
          </cell>
          <cell r="B719" t="str">
            <v>QUINDIO</v>
          </cell>
          <cell r="C719">
            <v>63401</v>
          </cell>
          <cell r="D719" t="str">
            <v>LA TEBAIDA</v>
          </cell>
          <cell r="E719">
            <v>112</v>
          </cell>
          <cell r="F719" t="str">
            <v>BF_10.3</v>
          </cell>
          <cell r="G719" t="str">
            <v xml:space="preserve">    DÉFICIT O SUPERÁVIT PRESUPUESTAL SIN INCLUIR RESERVAS PRESUPUESTALES</v>
          </cell>
          <cell r="H719">
            <v>9300.4189999999999</v>
          </cell>
          <cell r="I719">
            <v>10083.801317990001</v>
          </cell>
        </row>
        <row r="720">
          <cell r="A720" t="str">
            <v>63401-BF_12.1</v>
          </cell>
          <cell r="B720" t="str">
            <v>QUINDIO</v>
          </cell>
          <cell r="C720">
            <v>63401</v>
          </cell>
          <cell r="D720" t="str">
            <v>LA TEBAIDA</v>
          </cell>
          <cell r="E720">
            <v>114</v>
          </cell>
          <cell r="F720" t="str">
            <v>BF_12.1</v>
          </cell>
          <cell r="G720" t="str">
            <v xml:space="preserve">    INGRESOS TOTALES</v>
          </cell>
          <cell r="H720">
            <v>43935.701000000001</v>
          </cell>
          <cell r="I720">
            <v>46481.459745400003</v>
          </cell>
        </row>
        <row r="721">
          <cell r="A721" t="str">
            <v>63401-BF_12.2</v>
          </cell>
          <cell r="B721" t="str">
            <v>QUINDIO</v>
          </cell>
          <cell r="C721">
            <v>63401</v>
          </cell>
          <cell r="D721" t="str">
            <v>LA TEBAIDA</v>
          </cell>
          <cell r="E721">
            <v>115</v>
          </cell>
          <cell r="F721" t="str">
            <v>BF_12.2</v>
          </cell>
          <cell r="G721" t="str">
            <v xml:space="preserve">    GASTOS TOTALES</v>
          </cell>
          <cell r="H721">
            <v>34632.644999999997</v>
          </cell>
          <cell r="I721">
            <v>36382.844077970003</v>
          </cell>
        </row>
        <row r="722">
          <cell r="A722" t="str">
            <v>63401-BF_12.3</v>
          </cell>
          <cell r="B722" t="str">
            <v>QUINDIO</v>
          </cell>
          <cell r="C722">
            <v>63401</v>
          </cell>
          <cell r="D722" t="str">
            <v>LA TEBAIDA</v>
          </cell>
          <cell r="E722">
            <v>116</v>
          </cell>
          <cell r="F722" t="str">
            <v>BF_12.3</v>
          </cell>
          <cell r="G722" t="str">
            <v xml:space="preserve">    DÉFICIT O SUPERÁVIT PRESUPUESTAL</v>
          </cell>
          <cell r="H722">
            <v>9303.0560000000005</v>
          </cell>
          <cell r="I722">
            <v>10098.61566743</v>
          </cell>
        </row>
        <row r="723">
          <cell r="A723" t="str">
            <v>63401-BF_13.1</v>
          </cell>
          <cell r="B723" t="str">
            <v>QUINDIO</v>
          </cell>
          <cell r="C723">
            <v>63401</v>
          </cell>
          <cell r="D723" t="str">
            <v>LA TEBAIDA</v>
          </cell>
          <cell r="E723">
            <v>118</v>
          </cell>
          <cell r="F723" t="str">
            <v>BF_13.1</v>
          </cell>
          <cell r="G723" t="str">
            <v xml:space="preserve">    Recursos que Financian Reservas Presupuestales Excepcionales (Ley 819/2003)</v>
          </cell>
          <cell r="H723">
            <v>531.35</v>
          </cell>
          <cell r="I723">
            <v>226.80847539999999</v>
          </cell>
        </row>
        <row r="724">
          <cell r="A724" t="str">
            <v>63401-BF_13.2</v>
          </cell>
          <cell r="B724" t="str">
            <v>QUINDIO</v>
          </cell>
          <cell r="C724">
            <v>63401</v>
          </cell>
          <cell r="D724" t="str">
            <v>LA TEBAIDA</v>
          </cell>
          <cell r="E724">
            <v>119</v>
          </cell>
          <cell r="F724" t="str">
            <v>BF_13.2</v>
          </cell>
          <cell r="G724" t="str">
            <v xml:space="preserve">    Reservas Presupuestales de Funcionamiento Vigencia Anterior</v>
          </cell>
          <cell r="H724">
            <v>2.3519999999999999</v>
          </cell>
          <cell r="I724">
            <v>18.233035999999998</v>
          </cell>
        </row>
        <row r="725">
          <cell r="A725" t="str">
            <v>63401-BF_13.3</v>
          </cell>
          <cell r="B725" t="str">
            <v>QUINDIO</v>
          </cell>
          <cell r="C725">
            <v>63401</v>
          </cell>
          <cell r="D725" t="str">
            <v>LA TEBAIDA</v>
          </cell>
          <cell r="E725">
            <v>120</v>
          </cell>
          <cell r="F725" t="str">
            <v>BF_13.3</v>
          </cell>
          <cell r="G725" t="str">
            <v xml:space="preserve">    Reservas Presupuestales de Inversión Vigencia Anterior</v>
          </cell>
          <cell r="H725">
            <v>526.36099999999999</v>
          </cell>
          <cell r="I725">
            <v>193.76108995999999</v>
          </cell>
        </row>
        <row r="726">
          <cell r="A726" t="str">
            <v>63401-BF_13.4</v>
          </cell>
          <cell r="B726" t="str">
            <v>QUINDIO</v>
          </cell>
          <cell r="C726">
            <v>63401</v>
          </cell>
          <cell r="D726" t="str">
            <v>LA TEBAIDA</v>
          </cell>
          <cell r="E726">
            <v>121</v>
          </cell>
          <cell r="F726" t="str">
            <v>BF_13.4</v>
          </cell>
          <cell r="G726" t="str">
            <v xml:space="preserve">    DEFICIT O SUPERAVIT RESERVAS PRESUPUESTALES</v>
          </cell>
          <cell r="H726">
            <v>2.637</v>
          </cell>
          <cell r="I726">
            <v>14.814349440000001</v>
          </cell>
        </row>
        <row r="727">
          <cell r="A727" t="str">
            <v>63470-BF_1</v>
          </cell>
          <cell r="B727" t="str">
            <v>QUINDIO</v>
          </cell>
          <cell r="C727">
            <v>63470</v>
          </cell>
          <cell r="D727" t="str">
            <v>MONTENEGRO</v>
          </cell>
          <cell r="E727">
            <v>1</v>
          </cell>
          <cell r="F727" t="str">
            <v>BF_1</v>
          </cell>
          <cell r="G727" t="str">
            <v>INGRESOS TOTALES</v>
          </cell>
          <cell r="H727">
            <v>34831.332999999999</v>
          </cell>
          <cell r="I727">
            <v>37757.859476999998</v>
          </cell>
        </row>
        <row r="728">
          <cell r="A728" t="str">
            <v>63470-BF_1.1</v>
          </cell>
          <cell r="B728" t="str">
            <v>QUINDIO</v>
          </cell>
          <cell r="C728">
            <v>63470</v>
          </cell>
          <cell r="D728" t="str">
            <v>MONTENEGRO</v>
          </cell>
          <cell r="E728">
            <v>2</v>
          </cell>
          <cell r="F728" t="str">
            <v>BF_1.1</v>
          </cell>
          <cell r="G728" t="str">
            <v xml:space="preserve">    INGRESOS CORRIENTES</v>
          </cell>
          <cell r="H728">
            <v>32575.127</v>
          </cell>
          <cell r="I728">
            <v>33126.754760999997</v>
          </cell>
        </row>
        <row r="729">
          <cell r="A729" t="str">
            <v>63470-BF_1.1.1</v>
          </cell>
          <cell r="B729" t="str">
            <v>QUINDIO</v>
          </cell>
          <cell r="C729">
            <v>63470</v>
          </cell>
          <cell r="D729" t="str">
            <v>MONTENEGRO</v>
          </cell>
          <cell r="E729">
            <v>3</v>
          </cell>
          <cell r="F729" t="str">
            <v>BF_1.1.1</v>
          </cell>
          <cell r="G729" t="str">
            <v xml:space="preserve">        TRIBUTARIOS</v>
          </cell>
          <cell r="H729">
            <v>7291.4179999999997</v>
          </cell>
          <cell r="I729">
            <v>7310.1484259999997</v>
          </cell>
        </row>
        <row r="730">
          <cell r="A730" t="str">
            <v>63470-BF_1.1.1.2</v>
          </cell>
          <cell r="B730" t="str">
            <v>QUINDIO</v>
          </cell>
          <cell r="C730">
            <v>63470</v>
          </cell>
          <cell r="D730" t="str">
            <v>MONTENEGRO</v>
          </cell>
          <cell r="E730">
            <v>5</v>
          </cell>
          <cell r="F730" t="str">
            <v>BF_1.1.1.2</v>
          </cell>
          <cell r="G730" t="str">
            <v xml:space="preserve">             Impuesto Predial Unificado</v>
          </cell>
          <cell r="H730">
            <v>3080.0360000000001</v>
          </cell>
          <cell r="I730">
            <v>2665.1469959999999</v>
          </cell>
        </row>
        <row r="731">
          <cell r="A731" t="str">
            <v>63470-BF_1.1.1.3</v>
          </cell>
          <cell r="B731" t="str">
            <v>QUINDIO</v>
          </cell>
          <cell r="C731">
            <v>63470</v>
          </cell>
          <cell r="D731" t="str">
            <v>MONTENEGRO</v>
          </cell>
          <cell r="E731">
            <v>6</v>
          </cell>
          <cell r="F731" t="str">
            <v>BF_1.1.1.3</v>
          </cell>
          <cell r="G731" t="str">
            <v xml:space="preserve">             Impuesto de Industria y Comercio</v>
          </cell>
          <cell r="H731">
            <v>925.87199999999996</v>
          </cell>
          <cell r="I731">
            <v>1172.072813</v>
          </cell>
        </row>
        <row r="732">
          <cell r="A732" t="str">
            <v>63470-BF_1.1.1.8</v>
          </cell>
          <cell r="B732" t="str">
            <v>QUINDIO</v>
          </cell>
          <cell r="C732">
            <v>63470</v>
          </cell>
          <cell r="D732" t="str">
            <v>MONTENEGRO</v>
          </cell>
          <cell r="E732">
            <v>11</v>
          </cell>
          <cell r="F732" t="str">
            <v>BF_1.1.1.8</v>
          </cell>
          <cell r="G732" t="str">
            <v xml:space="preserve">             Sobretasa Consumo Gasolina Motor</v>
          </cell>
          <cell r="H732">
            <v>746.38099999999997</v>
          </cell>
          <cell r="I732">
            <v>805.774</v>
          </cell>
        </row>
        <row r="733">
          <cell r="A733" t="str">
            <v>63470-BF_1.1.1.9</v>
          </cell>
          <cell r="B733" t="str">
            <v>QUINDIO</v>
          </cell>
          <cell r="C733">
            <v>63470</v>
          </cell>
          <cell r="D733" t="str">
            <v>MONTENEGRO</v>
          </cell>
          <cell r="E733">
            <v>12</v>
          </cell>
          <cell r="F733" t="str">
            <v>BF_1.1.1.9</v>
          </cell>
          <cell r="G733" t="str">
            <v xml:space="preserve">             Estampillas</v>
          </cell>
          <cell r="H733">
            <v>221.041</v>
          </cell>
          <cell r="I733">
            <v>394.86093299999999</v>
          </cell>
        </row>
        <row r="734">
          <cell r="A734" t="str">
            <v>63470-BF_1.1.1.10</v>
          </cell>
          <cell r="B734" t="str">
            <v>QUINDIO</v>
          </cell>
          <cell r="C734">
            <v>63470</v>
          </cell>
          <cell r="D734" t="str">
            <v>MONTENEGRO</v>
          </cell>
          <cell r="E734">
            <v>13</v>
          </cell>
          <cell r="F734" t="str">
            <v>BF_1.1.1.10</v>
          </cell>
          <cell r="G734" t="str">
            <v xml:space="preserve">             Impuesto de Transporte por Oleoductos y Gasoductos</v>
          </cell>
          <cell r="H734">
            <v>0.99</v>
          </cell>
          <cell r="I734">
            <v>0.92211600000000005</v>
          </cell>
        </row>
        <row r="735">
          <cell r="A735" t="str">
            <v>63470-BF_1.1.1.12</v>
          </cell>
          <cell r="B735" t="str">
            <v>QUINDIO</v>
          </cell>
          <cell r="C735">
            <v>63470</v>
          </cell>
          <cell r="D735" t="str">
            <v>MONTENEGRO</v>
          </cell>
          <cell r="E735">
            <v>15</v>
          </cell>
          <cell r="F735" t="str">
            <v>BF_1.1.1.12</v>
          </cell>
          <cell r="G735" t="str">
            <v xml:space="preserve">             Otros Ingresos Tributarios</v>
          </cell>
          <cell r="H735">
            <v>2317.098</v>
          </cell>
          <cell r="I735">
            <v>2271.371568</v>
          </cell>
        </row>
        <row r="736">
          <cell r="A736" t="str">
            <v>63470-BF_1.1.2</v>
          </cell>
          <cell r="B736" t="str">
            <v>QUINDIO</v>
          </cell>
          <cell r="C736">
            <v>63470</v>
          </cell>
          <cell r="D736" t="str">
            <v>MONTENEGRO</v>
          </cell>
          <cell r="E736">
            <v>16</v>
          </cell>
          <cell r="F736" t="str">
            <v>BF_1.1.2</v>
          </cell>
          <cell r="G736" t="str">
            <v xml:space="preserve">        NO TRIBUTARIOS</v>
          </cell>
          <cell r="H736">
            <v>1108.57</v>
          </cell>
          <cell r="I736">
            <v>938.32062399999995</v>
          </cell>
        </row>
        <row r="737">
          <cell r="A737" t="str">
            <v>63470-BF_1.1.2.1</v>
          </cell>
          <cell r="B737" t="str">
            <v>QUINDIO</v>
          </cell>
          <cell r="C737">
            <v>63470</v>
          </cell>
          <cell r="D737" t="str">
            <v>MONTENEGRO</v>
          </cell>
          <cell r="E737">
            <v>17</v>
          </cell>
          <cell r="F737" t="str">
            <v>BF_1.1.2.1</v>
          </cell>
          <cell r="G737" t="str">
            <v xml:space="preserve">             Ingresos de la Propiedad: Tasas, Derechos, Multas y Sanciones</v>
          </cell>
          <cell r="H737">
            <v>823.07500000000005</v>
          </cell>
          <cell r="I737">
            <v>590.25134300000002</v>
          </cell>
        </row>
        <row r="738">
          <cell r="A738" t="str">
            <v>63470-BF_1.1.2.2</v>
          </cell>
          <cell r="B738" t="str">
            <v>QUINDIO</v>
          </cell>
          <cell r="C738">
            <v>63470</v>
          </cell>
          <cell r="D738" t="str">
            <v>MONTENEGRO</v>
          </cell>
          <cell r="E738">
            <v>18</v>
          </cell>
          <cell r="F738" t="str">
            <v>BF_1.1.2.2</v>
          </cell>
          <cell r="G738" t="str">
            <v xml:space="preserve">             Otros No Tributarios</v>
          </cell>
          <cell r="H738">
            <v>285.495</v>
          </cell>
          <cell r="I738">
            <v>348.06928099999999</v>
          </cell>
        </row>
        <row r="739">
          <cell r="A739" t="str">
            <v>63470-BF_1.1.3</v>
          </cell>
          <cell r="B739" t="str">
            <v>QUINDIO</v>
          </cell>
          <cell r="C739">
            <v>63470</v>
          </cell>
          <cell r="D739" t="str">
            <v>MONTENEGRO</v>
          </cell>
          <cell r="E739">
            <v>19</v>
          </cell>
          <cell r="F739" t="str">
            <v>BF_1.1.3</v>
          </cell>
          <cell r="G739" t="str">
            <v xml:space="preserve">        TRANSFERENCIAS</v>
          </cell>
          <cell r="H739">
            <v>24175.138999999999</v>
          </cell>
          <cell r="I739">
            <v>24878.285711</v>
          </cell>
        </row>
        <row r="740">
          <cell r="A740" t="str">
            <v>63470-BF_1.1.3.1</v>
          </cell>
          <cell r="B740" t="str">
            <v>QUINDIO</v>
          </cell>
          <cell r="C740">
            <v>63470</v>
          </cell>
          <cell r="D740" t="str">
            <v>MONTENEGRO</v>
          </cell>
          <cell r="E740">
            <v>20</v>
          </cell>
          <cell r="F740" t="str">
            <v>BF_1.1.3.1</v>
          </cell>
          <cell r="G740" t="str">
            <v xml:space="preserve">             Transferencias Para Funcionamiento</v>
          </cell>
          <cell r="H740">
            <v>980.61500000000001</v>
          </cell>
          <cell r="I740">
            <v>1133.7183849999999</v>
          </cell>
        </row>
        <row r="741">
          <cell r="A741" t="str">
            <v>63470-BF_1.1.3.1.1</v>
          </cell>
          <cell r="B741" t="str">
            <v>QUINDIO</v>
          </cell>
          <cell r="C741">
            <v>63470</v>
          </cell>
          <cell r="D741" t="str">
            <v>MONTENEGRO</v>
          </cell>
          <cell r="E741">
            <v>21</v>
          </cell>
          <cell r="F741" t="str">
            <v>BF_1.1.3.1.1</v>
          </cell>
          <cell r="G741" t="str">
            <v xml:space="preserve">                 Del Nivel Nacional</v>
          </cell>
          <cell r="H741">
            <v>904.52300000000002</v>
          </cell>
          <cell r="I741">
            <v>1048.9634470000001</v>
          </cell>
        </row>
        <row r="742">
          <cell r="A742" t="str">
            <v>63470-BF_1.1.3.1.1.1</v>
          </cell>
          <cell r="B742" t="str">
            <v>QUINDIO</v>
          </cell>
          <cell r="C742">
            <v>63470</v>
          </cell>
          <cell r="D742" t="str">
            <v>MONTENEGRO</v>
          </cell>
          <cell r="E742">
            <v>22</v>
          </cell>
          <cell r="F742" t="str">
            <v>BF_1.1.3.1.1.1</v>
          </cell>
          <cell r="G742" t="str">
            <v xml:space="preserve">                     Sistema General de Participaciones - Propósito General - Libre destinación - Municipios categorías 4, 5 y 6</v>
          </cell>
          <cell r="H742">
            <v>904.52300000000002</v>
          </cell>
          <cell r="I742">
            <v>1048.9634470000001</v>
          </cell>
        </row>
        <row r="743">
          <cell r="A743" t="str">
            <v>63470-BF_1.1.3.1.2</v>
          </cell>
          <cell r="B743" t="str">
            <v>QUINDIO</v>
          </cell>
          <cell r="C743">
            <v>63470</v>
          </cell>
          <cell r="D743" t="str">
            <v>MONTENEGRO</v>
          </cell>
          <cell r="E743">
            <v>24</v>
          </cell>
          <cell r="F743" t="str">
            <v>BF_1.1.3.1.2</v>
          </cell>
          <cell r="G743" t="str">
            <v xml:space="preserve">                 Del Nivel Departamental</v>
          </cell>
          <cell r="H743">
            <v>76.091999999999999</v>
          </cell>
          <cell r="I743">
            <v>84.754937999999996</v>
          </cell>
        </row>
        <row r="744">
          <cell r="A744" t="str">
            <v>63470-BF_1.1.3.1.2.1</v>
          </cell>
          <cell r="B744" t="str">
            <v>QUINDIO</v>
          </cell>
          <cell r="C744">
            <v>63470</v>
          </cell>
          <cell r="D744" t="str">
            <v>MONTENEGRO</v>
          </cell>
          <cell r="E744">
            <v>25</v>
          </cell>
          <cell r="F744" t="str">
            <v>BF_1.1.3.1.2.1</v>
          </cell>
          <cell r="G744" t="str">
            <v xml:space="preserve">                     De Vehículos Automotores</v>
          </cell>
          <cell r="H744">
            <v>76.091999999999999</v>
          </cell>
          <cell r="I744">
            <v>84.754937999999996</v>
          </cell>
        </row>
        <row r="745">
          <cell r="A745" t="str">
            <v>63470-BF_1.1.3.2</v>
          </cell>
          <cell r="B745" t="str">
            <v>QUINDIO</v>
          </cell>
          <cell r="C745">
            <v>63470</v>
          </cell>
          <cell r="D745" t="str">
            <v>MONTENEGRO</v>
          </cell>
          <cell r="E745">
            <v>28</v>
          </cell>
          <cell r="F745" t="str">
            <v>BF_1.1.3.2</v>
          </cell>
          <cell r="G745" t="str">
            <v xml:space="preserve">             Transferencias Para Inversión</v>
          </cell>
          <cell r="H745">
            <v>23194.524000000001</v>
          </cell>
          <cell r="I745">
            <v>23744.567326</v>
          </cell>
        </row>
        <row r="746">
          <cell r="A746" t="str">
            <v>63470-BF_1.1.3.2.1</v>
          </cell>
          <cell r="B746" t="str">
            <v>QUINDIO</v>
          </cell>
          <cell r="C746">
            <v>63470</v>
          </cell>
          <cell r="D746" t="str">
            <v>MONTENEGRO</v>
          </cell>
          <cell r="E746">
            <v>29</v>
          </cell>
          <cell r="F746" t="str">
            <v>BF_1.1.3.2.1</v>
          </cell>
          <cell r="G746" t="str">
            <v xml:space="preserve">                 Del Nivel Nacional</v>
          </cell>
          <cell r="H746">
            <v>21463.353999999999</v>
          </cell>
          <cell r="I746">
            <v>21850.123154000001</v>
          </cell>
        </row>
        <row r="747">
          <cell r="A747" t="str">
            <v>63470-BF_1.1.3.2.1.1</v>
          </cell>
          <cell r="B747" t="str">
            <v>QUINDIO</v>
          </cell>
          <cell r="C747">
            <v>63470</v>
          </cell>
          <cell r="D747" t="str">
            <v>MONTENEGRO</v>
          </cell>
          <cell r="E747">
            <v>30</v>
          </cell>
          <cell r="F747" t="str">
            <v>BF_1.1.3.2.1.1</v>
          </cell>
          <cell r="G747" t="str">
            <v xml:space="preserve">                     Sistema General de Participaciones</v>
          </cell>
          <cell r="H747">
            <v>11913.481</v>
          </cell>
          <cell r="I747">
            <v>11906.765583</v>
          </cell>
        </row>
        <row r="748">
          <cell r="A748" t="str">
            <v>63470-BF_1.1.3.2.1.1.1</v>
          </cell>
          <cell r="B748" t="str">
            <v>QUINDIO</v>
          </cell>
          <cell r="C748">
            <v>63470</v>
          </cell>
          <cell r="D748" t="str">
            <v>MONTENEGRO</v>
          </cell>
          <cell r="E748">
            <v>31</v>
          </cell>
          <cell r="F748" t="str">
            <v>BF_1.1.3.2.1.1.1</v>
          </cell>
          <cell r="G748" t="str">
            <v xml:space="preserve">                         Sistema General de Participaciones - Educación</v>
          </cell>
          <cell r="H748">
            <v>1190.5139999999999</v>
          </cell>
          <cell r="I748">
            <v>1155.8594390000001</v>
          </cell>
        </row>
        <row r="749">
          <cell r="A749" t="str">
            <v>63470-BF_1.1.3.2.1.1.2</v>
          </cell>
          <cell r="B749" t="str">
            <v>QUINDIO</v>
          </cell>
          <cell r="C749">
            <v>63470</v>
          </cell>
          <cell r="D749" t="str">
            <v>MONTENEGRO</v>
          </cell>
          <cell r="E749">
            <v>32</v>
          </cell>
          <cell r="F749" t="str">
            <v>BF_1.1.3.2.1.1.2</v>
          </cell>
          <cell r="G749" t="str">
            <v xml:space="preserve">                         Sistema General de Participaciones - Salud</v>
          </cell>
          <cell r="H749">
            <v>8218.7109999999993</v>
          </cell>
          <cell r="I749">
            <v>8187.4638169999998</v>
          </cell>
        </row>
        <row r="750">
          <cell r="A750" t="str">
            <v>63470-BF_1.1.3.2.1.1.3</v>
          </cell>
          <cell r="B750" t="str">
            <v>QUINDIO</v>
          </cell>
          <cell r="C750">
            <v>63470</v>
          </cell>
          <cell r="D750" t="str">
            <v>MONTENEGRO</v>
          </cell>
          <cell r="E750">
            <v>33</v>
          </cell>
          <cell r="F750" t="str">
            <v>BF_1.1.3.2.1.1.3</v>
          </cell>
          <cell r="G750" t="str">
            <v xml:space="preserve">                         Sistema General de Participaciones - Agua Potable y Saneamiento Básico</v>
          </cell>
          <cell r="H750">
            <v>1166.1980000000001</v>
          </cell>
          <cell r="I750">
            <v>1145.0140389999999</v>
          </cell>
        </row>
        <row r="751">
          <cell r="A751" t="str">
            <v>63470-BF_1.1.3.2.1.1.4</v>
          </cell>
          <cell r="B751" t="str">
            <v>QUINDIO</v>
          </cell>
          <cell r="C751">
            <v>63470</v>
          </cell>
          <cell r="D751" t="str">
            <v>MONTENEGRO</v>
          </cell>
          <cell r="E751">
            <v>34</v>
          </cell>
          <cell r="F751" t="str">
            <v>BF_1.1.3.2.1.1.4</v>
          </cell>
          <cell r="G751" t="str">
            <v xml:space="preserve">                         Sistema General de Participaciones - Propósito General - Forzosa Inversión</v>
          </cell>
          <cell r="H751">
            <v>1124.193</v>
          </cell>
          <cell r="I751">
            <v>1303.7117149999999</v>
          </cell>
        </row>
        <row r="752">
          <cell r="A752" t="str">
            <v>63470-BF_1.1.3.2.1.1.5</v>
          </cell>
          <cell r="B752" t="str">
            <v>QUINDIO</v>
          </cell>
          <cell r="C752">
            <v>63470</v>
          </cell>
          <cell r="D752" t="str">
            <v>MONTENEGRO</v>
          </cell>
          <cell r="E752">
            <v>35</v>
          </cell>
          <cell r="F752" t="str">
            <v>BF_1.1.3.2.1.1.5</v>
          </cell>
          <cell r="G752" t="str">
            <v xml:space="preserve">                         Otras del Sistema General de Participaciones</v>
          </cell>
          <cell r="H752">
            <v>213.86500000000001</v>
          </cell>
          <cell r="I752">
            <v>114.716573</v>
          </cell>
        </row>
        <row r="753">
          <cell r="A753" t="str">
            <v>63470-BF_1.1.3.2.1.2</v>
          </cell>
          <cell r="B753" t="str">
            <v>QUINDIO</v>
          </cell>
          <cell r="C753">
            <v>63470</v>
          </cell>
          <cell r="D753" t="str">
            <v>MONTENEGRO</v>
          </cell>
          <cell r="E753">
            <v>36</v>
          </cell>
          <cell r="F753" t="str">
            <v>BF_1.1.3.2.1.2</v>
          </cell>
          <cell r="G753" t="str">
            <v xml:space="preserve">                     FOSYGA y COLJUEGOS</v>
          </cell>
          <cell r="H753">
            <v>9549.8729999999996</v>
          </cell>
          <cell r="I753">
            <v>9943.3575710000005</v>
          </cell>
        </row>
        <row r="754">
          <cell r="A754" t="str">
            <v>63470-BF_1.1.3.2.2</v>
          </cell>
          <cell r="B754" t="str">
            <v>QUINDIO</v>
          </cell>
          <cell r="C754">
            <v>63470</v>
          </cell>
          <cell r="D754" t="str">
            <v>MONTENEGRO</v>
          </cell>
          <cell r="E754">
            <v>38</v>
          </cell>
          <cell r="F754" t="str">
            <v>BF_1.1.3.2.2</v>
          </cell>
          <cell r="G754" t="str">
            <v xml:space="preserve">                 Del Nivel Departamental</v>
          </cell>
          <cell r="H754">
            <v>1731.17</v>
          </cell>
          <cell r="I754">
            <v>1894.444172</v>
          </cell>
        </row>
        <row r="755">
          <cell r="A755" t="str">
            <v>63470-BF_2</v>
          </cell>
          <cell r="B755" t="str">
            <v>QUINDIO</v>
          </cell>
          <cell r="C755">
            <v>63470</v>
          </cell>
          <cell r="D755" t="str">
            <v>MONTENEGRO</v>
          </cell>
          <cell r="E755">
            <v>43</v>
          </cell>
          <cell r="F755" t="str">
            <v>BF_2</v>
          </cell>
          <cell r="G755" t="str">
            <v>GASTOS  TOTALES</v>
          </cell>
          <cell r="H755">
            <v>34717.292000000001</v>
          </cell>
          <cell r="I755">
            <v>41319.261890000002</v>
          </cell>
        </row>
        <row r="756">
          <cell r="A756" t="str">
            <v>63470-BF_2.1</v>
          </cell>
          <cell r="B756" t="str">
            <v>QUINDIO</v>
          </cell>
          <cell r="C756">
            <v>63470</v>
          </cell>
          <cell r="D756" t="str">
            <v>MONTENEGRO</v>
          </cell>
          <cell r="E756">
            <v>44</v>
          </cell>
          <cell r="F756" t="str">
            <v>BF_2.1</v>
          </cell>
          <cell r="G756" t="str">
            <v xml:space="preserve">    GASTOS CORRIENTES</v>
          </cell>
          <cell r="H756">
            <v>27769.093000000001</v>
          </cell>
          <cell r="I756">
            <v>34455.203657999999</v>
          </cell>
        </row>
        <row r="757">
          <cell r="A757" t="str">
            <v>63470-BF_2.1.1</v>
          </cell>
          <cell r="B757" t="str">
            <v>QUINDIO</v>
          </cell>
          <cell r="C757">
            <v>63470</v>
          </cell>
          <cell r="D757" t="str">
            <v>MONTENEGRO</v>
          </cell>
          <cell r="E757">
            <v>45</v>
          </cell>
          <cell r="F757" t="str">
            <v>BF_2.1.1</v>
          </cell>
          <cell r="G757" t="str">
            <v xml:space="preserve">        FUNCIONAMIENTO</v>
          </cell>
          <cell r="H757">
            <v>4689.808</v>
          </cell>
          <cell r="I757">
            <v>5476.1061110000001</v>
          </cell>
        </row>
        <row r="758">
          <cell r="A758" t="str">
            <v>63470-BF_2.1.1.1</v>
          </cell>
          <cell r="B758" t="str">
            <v>QUINDIO</v>
          </cell>
          <cell r="C758">
            <v>63470</v>
          </cell>
          <cell r="D758" t="str">
            <v>MONTENEGRO</v>
          </cell>
          <cell r="E758">
            <v>46</v>
          </cell>
          <cell r="F758" t="str">
            <v>BF_2.1.1.1</v>
          </cell>
          <cell r="G758" t="str">
            <v xml:space="preserve">             Gastos de Personal  </v>
          </cell>
          <cell r="H758">
            <v>1990.4159999999999</v>
          </cell>
          <cell r="I758">
            <v>2299.209237</v>
          </cell>
        </row>
        <row r="759">
          <cell r="A759" t="str">
            <v>63470-BF_2.1.1.2</v>
          </cell>
          <cell r="B759" t="str">
            <v>QUINDIO</v>
          </cell>
          <cell r="C759">
            <v>63470</v>
          </cell>
          <cell r="D759" t="str">
            <v>MONTENEGRO</v>
          </cell>
          <cell r="E759">
            <v>47</v>
          </cell>
          <cell r="F759" t="str">
            <v>BF_2.1.1.2</v>
          </cell>
          <cell r="G759" t="str">
            <v xml:space="preserve">             Gastos Generales</v>
          </cell>
          <cell r="H759">
            <v>552.27599999999995</v>
          </cell>
          <cell r="I759">
            <v>616.79099799999995</v>
          </cell>
        </row>
        <row r="760">
          <cell r="A760" t="str">
            <v>63470-BF_2.1.1.3</v>
          </cell>
          <cell r="B760" t="str">
            <v>QUINDIO</v>
          </cell>
          <cell r="C760">
            <v>63470</v>
          </cell>
          <cell r="D760" t="str">
            <v>MONTENEGRO</v>
          </cell>
          <cell r="E760">
            <v>48</v>
          </cell>
          <cell r="F760" t="str">
            <v>BF_2.1.1.3</v>
          </cell>
          <cell r="G760" t="str">
            <v xml:space="preserve">             Transferencias</v>
          </cell>
          <cell r="H760">
            <v>2147.116</v>
          </cell>
          <cell r="I760">
            <v>2556.199666</v>
          </cell>
        </row>
        <row r="761">
          <cell r="A761" t="str">
            <v>63470-BF_2.1.1.3.1</v>
          </cell>
          <cell r="B761" t="str">
            <v>QUINDIO</v>
          </cell>
          <cell r="C761">
            <v>63470</v>
          </cell>
          <cell r="D761" t="str">
            <v>MONTENEGRO</v>
          </cell>
          <cell r="E761">
            <v>49</v>
          </cell>
          <cell r="F761" t="str">
            <v>BF_2.1.1.3.1</v>
          </cell>
          <cell r="G761" t="str">
            <v xml:space="preserve">                 Pensiones</v>
          </cell>
          <cell r="H761">
            <v>653.64099999999996</v>
          </cell>
          <cell r="I761">
            <v>618.87024399999996</v>
          </cell>
        </row>
        <row r="762">
          <cell r="A762" t="str">
            <v>63470-BF_2.1.1.3.4</v>
          </cell>
          <cell r="B762" t="str">
            <v>QUINDIO</v>
          </cell>
          <cell r="C762">
            <v>63470</v>
          </cell>
          <cell r="D762" t="str">
            <v>MONTENEGRO</v>
          </cell>
          <cell r="E762">
            <v>52</v>
          </cell>
          <cell r="F762" t="str">
            <v>BF_2.1.1.3.4</v>
          </cell>
          <cell r="G762" t="str">
            <v xml:space="preserve">                 A Organismos de Control</v>
          </cell>
          <cell r="H762">
            <v>319.45800000000003</v>
          </cell>
          <cell r="I762">
            <v>351.51380699999999</v>
          </cell>
        </row>
        <row r="763">
          <cell r="A763" t="str">
            <v>63470-BF_2.1.1.3.6</v>
          </cell>
          <cell r="B763" t="str">
            <v>QUINDIO</v>
          </cell>
          <cell r="C763">
            <v>63470</v>
          </cell>
          <cell r="D763" t="str">
            <v>MONTENEGRO</v>
          </cell>
          <cell r="E763">
            <v>54</v>
          </cell>
          <cell r="F763" t="str">
            <v>BF_2.1.1.3.6</v>
          </cell>
          <cell r="G763" t="str">
            <v xml:space="preserve">                 Sentencias y Conciliaciones</v>
          </cell>
          <cell r="H763">
            <v>1170.2249999999999</v>
          </cell>
          <cell r="I763">
            <v>1114.9386870000001</v>
          </cell>
        </row>
        <row r="764">
          <cell r="A764" t="str">
            <v>63470-BF_2.1.1.3.7</v>
          </cell>
          <cell r="B764" t="str">
            <v>QUINDIO</v>
          </cell>
          <cell r="C764">
            <v>63470</v>
          </cell>
          <cell r="D764" t="str">
            <v>MONTENEGRO</v>
          </cell>
          <cell r="E764">
            <v>55</v>
          </cell>
          <cell r="F764" t="str">
            <v>BF_2.1.1.3.7</v>
          </cell>
          <cell r="G764" t="str">
            <v xml:space="preserve">                 Otras Transferencias</v>
          </cell>
          <cell r="H764">
            <v>3.7919999999999998</v>
          </cell>
          <cell r="I764">
            <v>470.87692800000002</v>
          </cell>
        </row>
        <row r="765">
          <cell r="A765" t="str">
            <v>63470-BF_2.1.1.6</v>
          </cell>
          <cell r="B765" t="str">
            <v>QUINDIO</v>
          </cell>
          <cell r="C765">
            <v>63470</v>
          </cell>
          <cell r="D765" t="str">
            <v>MONTENEGRO</v>
          </cell>
          <cell r="E765">
            <v>58</v>
          </cell>
          <cell r="F765" t="str">
            <v>BF_2.1.1.6</v>
          </cell>
          <cell r="G765" t="str">
            <v xml:space="preserve">             Otros Gastos de Funcionamiento</v>
          </cell>
          <cell r="H765">
            <v>0</v>
          </cell>
          <cell r="I765">
            <v>3.9062100000000002</v>
          </cell>
        </row>
        <row r="766">
          <cell r="A766" t="str">
            <v>63470-BF_2.1.2</v>
          </cell>
          <cell r="B766" t="str">
            <v>QUINDIO</v>
          </cell>
          <cell r="C766">
            <v>63470</v>
          </cell>
          <cell r="D766" t="str">
            <v>MONTENEGRO</v>
          </cell>
          <cell r="E766">
            <v>59</v>
          </cell>
          <cell r="F766" t="str">
            <v>BF_2.1.2</v>
          </cell>
          <cell r="G766" t="str">
            <v xml:space="preserve">        PAGO DE BONOS PENSIONALES Y CUOTAS PARTES DE BONO PENSIONAL</v>
          </cell>
          <cell r="H766">
            <v>102.05800000000001</v>
          </cell>
          <cell r="I766">
            <v>37.651000000000003</v>
          </cell>
        </row>
        <row r="767">
          <cell r="A767" t="str">
            <v>63470-BF_2.1.4</v>
          </cell>
          <cell r="B767" t="str">
            <v>QUINDIO</v>
          </cell>
          <cell r="C767">
            <v>63470</v>
          </cell>
          <cell r="D767" t="str">
            <v>MONTENEGRO</v>
          </cell>
          <cell r="E767">
            <v>61</v>
          </cell>
          <cell r="F767" t="str">
            <v>BF_2.1.4</v>
          </cell>
          <cell r="G767" t="str">
            <v xml:space="preserve">        GASTOS OPERATIVOS EN SECTORES SOCIALES (Remuneración al Trabajo, Prestaciones, y Subsidios en Sectores de Inversión)</v>
          </cell>
          <cell r="H767">
            <v>22833.409</v>
          </cell>
          <cell r="I767">
            <v>28861.265574000001</v>
          </cell>
        </row>
        <row r="768">
          <cell r="A768" t="str">
            <v>63470-BF_2.1.4.1</v>
          </cell>
          <cell r="B768" t="str">
            <v>QUINDIO</v>
          </cell>
          <cell r="C768">
            <v>63470</v>
          </cell>
          <cell r="D768" t="str">
            <v>MONTENEGRO</v>
          </cell>
          <cell r="E768">
            <v>62</v>
          </cell>
          <cell r="F768" t="str">
            <v>BF_2.1.4.1</v>
          </cell>
          <cell r="G768" t="str">
            <v xml:space="preserve">             Educación</v>
          </cell>
          <cell r="H768">
            <v>1550.671</v>
          </cell>
          <cell r="I768">
            <v>1436.2906190000001</v>
          </cell>
        </row>
        <row r="769">
          <cell r="A769" t="str">
            <v>63470-BF_2.1.4.2</v>
          </cell>
          <cell r="B769" t="str">
            <v>QUINDIO</v>
          </cell>
          <cell r="C769">
            <v>63470</v>
          </cell>
          <cell r="D769" t="str">
            <v>MONTENEGRO</v>
          </cell>
          <cell r="E769">
            <v>63</v>
          </cell>
          <cell r="F769" t="str">
            <v>BF_2.1.4.2</v>
          </cell>
          <cell r="G769" t="str">
            <v xml:space="preserve">             Salud</v>
          </cell>
          <cell r="H769">
            <v>20150.794000000002</v>
          </cell>
          <cell r="I769">
            <v>22605.198363</v>
          </cell>
        </row>
        <row r="770">
          <cell r="A770" t="str">
            <v>63470-BF_2.1.4.3</v>
          </cell>
          <cell r="B770" t="str">
            <v>QUINDIO</v>
          </cell>
          <cell r="C770">
            <v>63470</v>
          </cell>
          <cell r="D770" t="str">
            <v>MONTENEGRO</v>
          </cell>
          <cell r="E770">
            <v>64</v>
          </cell>
          <cell r="F770" t="str">
            <v>BF_2.1.4.3</v>
          </cell>
          <cell r="G770" t="str">
            <v xml:space="preserve">             Agua Potable y Saneamiento Básico</v>
          </cell>
          <cell r="H770">
            <v>692.32299999999998</v>
          </cell>
          <cell r="I770">
            <v>1081.5209170000001</v>
          </cell>
        </row>
        <row r="771">
          <cell r="A771" t="str">
            <v>63470-BF_2.1.4.4</v>
          </cell>
          <cell r="B771" t="str">
            <v>QUINDIO</v>
          </cell>
          <cell r="C771">
            <v>63470</v>
          </cell>
          <cell r="D771" t="str">
            <v>MONTENEGRO</v>
          </cell>
          <cell r="E771">
            <v>65</v>
          </cell>
          <cell r="F771" t="str">
            <v>BF_2.1.4.4</v>
          </cell>
          <cell r="G771" t="str">
            <v xml:space="preserve">             Vivienda</v>
          </cell>
          <cell r="H771">
            <v>0</v>
          </cell>
          <cell r="I771">
            <v>16.529667</v>
          </cell>
        </row>
        <row r="772">
          <cell r="A772" t="str">
            <v>63470-BF_2.1.4.5</v>
          </cell>
          <cell r="B772" t="str">
            <v>QUINDIO</v>
          </cell>
          <cell r="C772">
            <v>63470</v>
          </cell>
          <cell r="D772" t="str">
            <v>MONTENEGRO</v>
          </cell>
          <cell r="E772">
            <v>66</v>
          </cell>
          <cell r="F772" t="str">
            <v>BF_2.1.4.5</v>
          </cell>
          <cell r="G772" t="str">
            <v xml:space="preserve">             Otros Sectores</v>
          </cell>
          <cell r="H772">
            <v>439.62099999999998</v>
          </cell>
          <cell r="I772">
            <v>3721.7260080000001</v>
          </cell>
        </row>
        <row r="773">
          <cell r="A773" t="str">
            <v>63470-BF_2.1.5</v>
          </cell>
          <cell r="B773" t="str">
            <v>QUINDIO</v>
          </cell>
          <cell r="C773">
            <v>63470</v>
          </cell>
          <cell r="D773" t="str">
            <v>MONTENEGRO</v>
          </cell>
          <cell r="E773">
            <v>67</v>
          </cell>
          <cell r="F773" t="str">
            <v>BF_2.1.5</v>
          </cell>
          <cell r="G773" t="str">
            <v xml:space="preserve">        INTERESES Y COMISIONES DE LA DEUDA</v>
          </cell>
          <cell r="H773">
            <v>143.81800000000001</v>
          </cell>
          <cell r="I773">
            <v>80.180972999999994</v>
          </cell>
        </row>
        <row r="774">
          <cell r="A774" t="str">
            <v>63470-BF_2.1.5.1</v>
          </cell>
          <cell r="B774" t="str">
            <v>QUINDIO</v>
          </cell>
          <cell r="C774">
            <v>63470</v>
          </cell>
          <cell r="D774" t="str">
            <v>MONTENEGRO</v>
          </cell>
          <cell r="E774">
            <v>68</v>
          </cell>
          <cell r="F774" t="str">
            <v>BF_2.1.5.1</v>
          </cell>
          <cell r="G774" t="str">
            <v xml:space="preserve">             Interna</v>
          </cell>
          <cell r="H774">
            <v>143.81800000000001</v>
          </cell>
          <cell r="I774">
            <v>80.180972999999994</v>
          </cell>
        </row>
        <row r="775">
          <cell r="A775" t="str">
            <v>63470-BF_3</v>
          </cell>
          <cell r="B775" t="str">
            <v>QUINDIO</v>
          </cell>
          <cell r="C775">
            <v>63470</v>
          </cell>
          <cell r="D775" t="str">
            <v>MONTENEGRO</v>
          </cell>
          <cell r="E775">
            <v>70</v>
          </cell>
          <cell r="F775" t="str">
            <v>BF_3</v>
          </cell>
          <cell r="G775" t="str">
            <v>DÉFICIT O AHORRO CORRIENTE</v>
          </cell>
          <cell r="H775">
            <v>4806.0339999999997</v>
          </cell>
          <cell r="I775">
            <v>-1328.448897</v>
          </cell>
        </row>
        <row r="776">
          <cell r="A776" t="str">
            <v>63470-BF_4</v>
          </cell>
          <cell r="B776" t="str">
            <v>QUINDIO</v>
          </cell>
          <cell r="C776">
            <v>63470</v>
          </cell>
          <cell r="D776" t="str">
            <v>MONTENEGRO</v>
          </cell>
          <cell r="E776">
            <v>71</v>
          </cell>
          <cell r="F776" t="str">
            <v>BF_4</v>
          </cell>
          <cell r="G776" t="str">
            <v>INGRESOS DE CAPITAL</v>
          </cell>
          <cell r="H776">
            <v>2256.2060000000001</v>
          </cell>
          <cell r="I776">
            <v>4631.1047159999998</v>
          </cell>
        </row>
        <row r="777">
          <cell r="A777" t="str">
            <v>63470-BF_4.1</v>
          </cell>
          <cell r="B777" t="str">
            <v>QUINDIO</v>
          </cell>
          <cell r="C777">
            <v>63470</v>
          </cell>
          <cell r="D777" t="str">
            <v>MONTENEGRO</v>
          </cell>
          <cell r="E777">
            <v>72</v>
          </cell>
          <cell r="F777" t="str">
            <v>BF_4.1</v>
          </cell>
          <cell r="G777" t="str">
            <v xml:space="preserve">    Cofinanciación</v>
          </cell>
          <cell r="H777">
            <v>0</v>
          </cell>
          <cell r="I777">
            <v>736.04216599999995</v>
          </cell>
        </row>
        <row r="778">
          <cell r="A778" t="str">
            <v>63470-BF_4.4</v>
          </cell>
          <cell r="B778" t="str">
            <v>QUINDIO</v>
          </cell>
          <cell r="C778">
            <v>63470</v>
          </cell>
          <cell r="D778" t="str">
            <v>MONTENEGRO</v>
          </cell>
          <cell r="E778">
            <v>75</v>
          </cell>
          <cell r="F778" t="str">
            <v>BF_4.4</v>
          </cell>
          <cell r="G778" t="str">
            <v xml:space="preserve">    Rendimientos Financieros</v>
          </cell>
          <cell r="H778">
            <v>164.786</v>
          </cell>
          <cell r="I778">
            <v>126.095237</v>
          </cell>
        </row>
        <row r="779">
          <cell r="A779" t="str">
            <v>63470-BF_4.5</v>
          </cell>
          <cell r="B779" t="str">
            <v>QUINDIO</v>
          </cell>
          <cell r="C779">
            <v>63470</v>
          </cell>
          <cell r="D779" t="str">
            <v>MONTENEGRO</v>
          </cell>
          <cell r="E779">
            <v>76</v>
          </cell>
          <cell r="F779" t="str">
            <v>BF_4.5</v>
          </cell>
          <cell r="G779" t="str">
            <v xml:space="preserve">    Excedentes Financieros</v>
          </cell>
          <cell r="H779">
            <v>27.901</v>
          </cell>
          <cell r="I779">
            <v>40</v>
          </cell>
        </row>
        <row r="780">
          <cell r="A780" t="str">
            <v>63470-BF_4.6</v>
          </cell>
          <cell r="B780" t="str">
            <v>QUINDIO</v>
          </cell>
          <cell r="C780">
            <v>63470</v>
          </cell>
          <cell r="D780" t="str">
            <v>MONTENEGRO</v>
          </cell>
          <cell r="E780">
            <v>77</v>
          </cell>
          <cell r="F780" t="str">
            <v>BF_4.6</v>
          </cell>
          <cell r="G780" t="str">
            <v xml:space="preserve">    Desahorro FONPET</v>
          </cell>
          <cell r="H780">
            <v>1194.702</v>
          </cell>
          <cell r="I780">
            <v>3609.3037119999999</v>
          </cell>
        </row>
        <row r="781">
          <cell r="A781" t="str">
            <v>63470-BF_4.6.1</v>
          </cell>
          <cell r="B781" t="str">
            <v>QUINDIO</v>
          </cell>
          <cell r="C781">
            <v>63470</v>
          </cell>
          <cell r="D781" t="str">
            <v>MONTENEGRO</v>
          </cell>
          <cell r="E781">
            <v>78</v>
          </cell>
          <cell r="F781" t="str">
            <v>BF_4.6.1</v>
          </cell>
          <cell r="G781" t="str">
            <v xml:space="preserve">    Salud</v>
          </cell>
          <cell r="H781">
            <v>548.40099999999995</v>
          </cell>
          <cell r="I781">
            <v>2549.1819999999998</v>
          </cell>
        </row>
        <row r="782">
          <cell r="A782" t="str">
            <v>63470-BF_4.6.4</v>
          </cell>
          <cell r="B782" t="str">
            <v>QUINDIO</v>
          </cell>
          <cell r="C782">
            <v>63470</v>
          </cell>
          <cell r="D782" t="str">
            <v>MONTENEGRO</v>
          </cell>
          <cell r="E782">
            <v>81</v>
          </cell>
          <cell r="F782" t="str">
            <v>BF_4.6.4</v>
          </cell>
          <cell r="G782" t="str">
            <v xml:space="preserve">    Otros Desahorros y Retiros (Cuotas partes, Bonos y Devoluciones)</v>
          </cell>
          <cell r="H782">
            <v>646.30100000000004</v>
          </cell>
          <cell r="I782">
            <v>1060.1217119999999</v>
          </cell>
        </row>
        <row r="783">
          <cell r="A783" t="str">
            <v>63470-BF_4.7</v>
          </cell>
          <cell r="B783" t="str">
            <v>QUINDIO</v>
          </cell>
          <cell r="C783">
            <v>63470</v>
          </cell>
          <cell r="D783" t="str">
            <v>MONTENEGRO</v>
          </cell>
          <cell r="E783">
            <v>82</v>
          </cell>
          <cell r="F783" t="str">
            <v>BF_4.7</v>
          </cell>
          <cell r="G783" t="str">
            <v xml:space="preserve">    Otros Recursos de Capital (Donaciones, Aprovechamientos y Otros)</v>
          </cell>
          <cell r="H783">
            <v>868.81700000000001</v>
          </cell>
          <cell r="I783">
            <v>119.663601</v>
          </cell>
        </row>
        <row r="784">
          <cell r="A784" t="str">
            <v>63470-BF_5</v>
          </cell>
          <cell r="B784" t="str">
            <v>QUINDIO</v>
          </cell>
          <cell r="C784">
            <v>63470</v>
          </cell>
          <cell r="D784" t="str">
            <v>MONTENEGRO</v>
          </cell>
          <cell r="E784">
            <v>83</v>
          </cell>
          <cell r="F784" t="str">
            <v>BF_5</v>
          </cell>
          <cell r="G784" t="str">
            <v>GASTOS DE CAPITAL</v>
          </cell>
          <cell r="H784">
            <v>6948.1989999999996</v>
          </cell>
          <cell r="I784">
            <v>6864.0582320000003</v>
          </cell>
        </row>
        <row r="785">
          <cell r="A785" t="str">
            <v>63470-BF_5.1</v>
          </cell>
          <cell r="B785" t="str">
            <v>QUINDIO</v>
          </cell>
          <cell r="C785">
            <v>63470</v>
          </cell>
          <cell r="D785" t="str">
            <v>MONTENEGRO</v>
          </cell>
          <cell r="E785">
            <v>84</v>
          </cell>
          <cell r="F785" t="str">
            <v>BF_5.1</v>
          </cell>
          <cell r="G785" t="str">
            <v xml:space="preserve">    Formación Bruta de Capital (Construcción, Reparación, Mantenimiento, Preinversión, Otros)</v>
          </cell>
          <cell r="H785">
            <v>6948.1989999999996</v>
          </cell>
          <cell r="I785">
            <v>6864.0582320000003</v>
          </cell>
        </row>
        <row r="786">
          <cell r="A786" t="str">
            <v>63470-BF_5.1.1</v>
          </cell>
          <cell r="B786" t="str">
            <v>QUINDIO</v>
          </cell>
          <cell r="C786">
            <v>63470</v>
          </cell>
          <cell r="D786" t="str">
            <v>MONTENEGRO</v>
          </cell>
          <cell r="E786">
            <v>85</v>
          </cell>
          <cell r="F786" t="str">
            <v>BF_5.1.1</v>
          </cell>
          <cell r="G786" t="str">
            <v xml:space="preserve">        Educación</v>
          </cell>
          <cell r="H786">
            <v>161.952</v>
          </cell>
          <cell r="I786">
            <v>72.406899999999993</v>
          </cell>
        </row>
        <row r="787">
          <cell r="A787" t="str">
            <v>63470-BF_5.1.2</v>
          </cell>
          <cell r="B787" t="str">
            <v>QUINDIO</v>
          </cell>
          <cell r="C787">
            <v>63470</v>
          </cell>
          <cell r="D787" t="str">
            <v>MONTENEGRO</v>
          </cell>
          <cell r="E787">
            <v>86</v>
          </cell>
          <cell r="F787" t="str">
            <v>BF_5.1.2</v>
          </cell>
          <cell r="G787" t="str">
            <v xml:space="preserve">        Salud</v>
          </cell>
          <cell r="H787">
            <v>0</v>
          </cell>
          <cell r="I787">
            <v>342.55753199999998</v>
          </cell>
        </row>
        <row r="788">
          <cell r="A788" t="str">
            <v>63470-BF_5.1.3</v>
          </cell>
          <cell r="B788" t="str">
            <v>QUINDIO</v>
          </cell>
          <cell r="C788">
            <v>63470</v>
          </cell>
          <cell r="D788" t="str">
            <v>MONTENEGRO</v>
          </cell>
          <cell r="E788">
            <v>87</v>
          </cell>
          <cell r="F788" t="str">
            <v>BF_5.1.3</v>
          </cell>
          <cell r="G788" t="str">
            <v xml:space="preserve">        Agua Potable</v>
          </cell>
          <cell r="H788">
            <v>613.798</v>
          </cell>
          <cell r="I788">
            <v>862.44747299999995</v>
          </cell>
        </row>
        <row r="789">
          <cell r="A789" t="str">
            <v>63470-BF_5.1.4</v>
          </cell>
          <cell r="B789" t="str">
            <v>QUINDIO</v>
          </cell>
          <cell r="C789">
            <v>63470</v>
          </cell>
          <cell r="D789" t="str">
            <v>MONTENEGRO</v>
          </cell>
          <cell r="E789">
            <v>88</v>
          </cell>
          <cell r="F789" t="str">
            <v>BF_5.1.4</v>
          </cell>
          <cell r="G789" t="str">
            <v xml:space="preserve">        Vivienda</v>
          </cell>
          <cell r="H789">
            <v>399.52699999999999</v>
          </cell>
          <cell r="I789">
            <v>0</v>
          </cell>
        </row>
        <row r="790">
          <cell r="A790" t="str">
            <v>63470-BF_5.1.5</v>
          </cell>
          <cell r="B790" t="str">
            <v>QUINDIO</v>
          </cell>
          <cell r="C790">
            <v>63470</v>
          </cell>
          <cell r="D790" t="str">
            <v>MONTENEGRO</v>
          </cell>
          <cell r="E790">
            <v>89</v>
          </cell>
          <cell r="F790" t="str">
            <v>BF_5.1.5</v>
          </cell>
          <cell r="G790" t="str">
            <v xml:space="preserve">        Vías</v>
          </cell>
          <cell r="H790">
            <v>470.262</v>
          </cell>
          <cell r="I790">
            <v>4006.6769949999998</v>
          </cell>
        </row>
        <row r="791">
          <cell r="A791" t="str">
            <v>63470-BF_5.1.6</v>
          </cell>
          <cell r="B791" t="str">
            <v>QUINDIO</v>
          </cell>
          <cell r="C791">
            <v>63470</v>
          </cell>
          <cell r="D791" t="str">
            <v>MONTENEGRO</v>
          </cell>
          <cell r="E791">
            <v>90</v>
          </cell>
          <cell r="F791" t="str">
            <v>BF_5.1.6</v>
          </cell>
          <cell r="G791" t="str">
            <v xml:space="preserve">        Otros Sectores</v>
          </cell>
          <cell r="H791">
            <v>5302.66</v>
          </cell>
          <cell r="I791">
            <v>1579.9693319999999</v>
          </cell>
        </row>
        <row r="792">
          <cell r="A792" t="str">
            <v>63470-BF_6</v>
          </cell>
          <cell r="B792" t="str">
            <v>QUINDIO</v>
          </cell>
          <cell r="C792">
            <v>63470</v>
          </cell>
          <cell r="D792" t="str">
            <v>MONTENEGRO</v>
          </cell>
          <cell r="E792">
            <v>92</v>
          </cell>
          <cell r="F792" t="str">
            <v>BF_6</v>
          </cell>
          <cell r="G792" t="str">
            <v>DÉFICIT O SUPERÁVIT DE CAPITAL</v>
          </cell>
          <cell r="H792">
            <v>-4691.9930000000004</v>
          </cell>
          <cell r="I792">
            <v>-2232.953516</v>
          </cell>
        </row>
        <row r="793">
          <cell r="A793" t="str">
            <v>63470-BF_7</v>
          </cell>
          <cell r="B793" t="str">
            <v>QUINDIO</v>
          </cell>
          <cell r="C793">
            <v>63470</v>
          </cell>
          <cell r="D793" t="str">
            <v>MONTENEGRO</v>
          </cell>
          <cell r="E793">
            <v>93</v>
          </cell>
          <cell r="F793" t="str">
            <v>BF_7</v>
          </cell>
          <cell r="G793" t="str">
            <v>DÉFICIT O SUPERÁVIT TOTAL</v>
          </cell>
          <cell r="H793">
            <v>114.041</v>
          </cell>
          <cell r="I793">
            <v>-3561.4024129999998</v>
          </cell>
        </row>
        <row r="794">
          <cell r="A794" t="str">
            <v>63470-BF_8</v>
          </cell>
          <cell r="B794" t="str">
            <v>QUINDIO</v>
          </cell>
          <cell r="C794">
            <v>63470</v>
          </cell>
          <cell r="D794" t="str">
            <v>MONTENEGRO</v>
          </cell>
          <cell r="E794">
            <v>94</v>
          </cell>
          <cell r="F794" t="str">
            <v>BF_8</v>
          </cell>
          <cell r="G794" t="str">
            <v>FINANCIACIÓN</v>
          </cell>
          <cell r="H794">
            <v>5820.3389999999999</v>
          </cell>
          <cell r="I794">
            <v>6656.02358</v>
          </cell>
        </row>
        <row r="795">
          <cell r="A795" t="str">
            <v>63470-BF_8.1</v>
          </cell>
          <cell r="B795" t="str">
            <v>QUINDIO</v>
          </cell>
          <cell r="C795">
            <v>63470</v>
          </cell>
          <cell r="D795" t="str">
            <v>MONTENEGRO</v>
          </cell>
          <cell r="E795">
            <v>95</v>
          </cell>
          <cell r="F795" t="str">
            <v>BF_8.1</v>
          </cell>
          <cell r="G795" t="str">
            <v xml:space="preserve">    RECURSOS DEL CRÉDITO</v>
          </cell>
          <cell r="H795">
            <v>-541.66700000000003</v>
          </cell>
          <cell r="I795">
            <v>735.62355000000002</v>
          </cell>
        </row>
        <row r="796">
          <cell r="A796" t="str">
            <v>63470-BF_8.1.1</v>
          </cell>
          <cell r="B796" t="str">
            <v>QUINDIO</v>
          </cell>
          <cell r="C796">
            <v>63470</v>
          </cell>
          <cell r="D796" t="str">
            <v>MONTENEGRO</v>
          </cell>
          <cell r="E796">
            <v>96</v>
          </cell>
          <cell r="F796" t="str">
            <v>BF_8.1.1</v>
          </cell>
          <cell r="G796" t="str">
            <v xml:space="preserve">        Interno</v>
          </cell>
          <cell r="H796">
            <v>-541.66700000000003</v>
          </cell>
          <cell r="I796">
            <v>735.62355000000002</v>
          </cell>
        </row>
        <row r="797">
          <cell r="A797" t="str">
            <v>63470-BF_8.1.1.1</v>
          </cell>
          <cell r="B797" t="str">
            <v>QUINDIO</v>
          </cell>
          <cell r="C797">
            <v>63470</v>
          </cell>
          <cell r="D797" t="str">
            <v>MONTENEGRO</v>
          </cell>
          <cell r="E797">
            <v>97</v>
          </cell>
          <cell r="F797" t="str">
            <v>BF_8.1.1.1</v>
          </cell>
          <cell r="G797" t="str">
            <v xml:space="preserve">             Desembolsos</v>
          </cell>
          <cell r="H797">
            <v>0</v>
          </cell>
          <cell r="I797">
            <v>1277.2452149999999</v>
          </cell>
        </row>
        <row r="798">
          <cell r="A798" t="str">
            <v>63470-BF_8.1.1.2</v>
          </cell>
          <cell r="B798" t="str">
            <v>QUINDIO</v>
          </cell>
          <cell r="C798">
            <v>63470</v>
          </cell>
          <cell r="D798" t="str">
            <v>MONTENEGRO</v>
          </cell>
          <cell r="E798">
            <v>98</v>
          </cell>
          <cell r="F798" t="str">
            <v>BF_8.1.1.2</v>
          </cell>
          <cell r="G798" t="str">
            <v xml:space="preserve">             Amortizaciones</v>
          </cell>
          <cell r="H798">
            <v>541.66700000000003</v>
          </cell>
          <cell r="I798">
            <v>541.62166500000001</v>
          </cell>
        </row>
        <row r="799">
          <cell r="A799" t="str">
            <v>63470-BF_8.2</v>
          </cell>
          <cell r="B799" t="str">
            <v>QUINDIO</v>
          </cell>
          <cell r="C799">
            <v>63470</v>
          </cell>
          <cell r="D799" t="str">
            <v>MONTENEGRO</v>
          </cell>
          <cell r="E799">
            <v>102</v>
          </cell>
          <cell r="F799" t="str">
            <v>BF_8.2</v>
          </cell>
          <cell r="G799" t="str">
            <v xml:space="preserve">    Recursos del Balance (Superávit Fiscal, Cancelación de Reservas)</v>
          </cell>
          <cell r="H799">
            <v>6362.0060000000003</v>
          </cell>
          <cell r="I799">
            <v>5920.4000299999998</v>
          </cell>
        </row>
        <row r="800">
          <cell r="A800" t="str">
            <v>63470-BF_9.1</v>
          </cell>
          <cell r="B800" t="str">
            <v>QUINDIO</v>
          </cell>
          <cell r="C800">
            <v>63470</v>
          </cell>
          <cell r="D800" t="str">
            <v>MONTENEGRO</v>
          </cell>
          <cell r="E800">
            <v>107</v>
          </cell>
          <cell r="F800" t="str">
            <v>BF_9.1</v>
          </cell>
          <cell r="G800" t="str">
            <v xml:space="preserve">    DÉFICIT O SUPERÁVIT PRIMARIO</v>
          </cell>
          <cell r="H800">
            <v>6619.8649999999998</v>
          </cell>
          <cell r="I800">
            <v>2439.17859</v>
          </cell>
        </row>
        <row r="801">
          <cell r="A801" t="str">
            <v>63470-BF_9.2</v>
          </cell>
          <cell r="B801" t="str">
            <v>QUINDIO</v>
          </cell>
          <cell r="C801">
            <v>63470</v>
          </cell>
          <cell r="D801" t="str">
            <v>MONTENEGRO</v>
          </cell>
          <cell r="E801">
            <v>108</v>
          </cell>
          <cell r="F801" t="str">
            <v>BF_9.2</v>
          </cell>
          <cell r="G801" t="str">
            <v xml:space="preserve">    DÉFICIT O SUPERÁVIT PRIMARIO/INTERESES</v>
          </cell>
          <cell r="H801">
            <v>46.029000000000003</v>
          </cell>
          <cell r="I801">
            <v>30.420915320999999</v>
          </cell>
        </row>
        <row r="802">
          <cell r="A802" t="str">
            <v>63470-BF_10.1</v>
          </cell>
          <cell r="B802" t="str">
            <v>QUINDIO</v>
          </cell>
          <cell r="C802">
            <v>63470</v>
          </cell>
          <cell r="D802" t="str">
            <v>MONTENEGRO</v>
          </cell>
          <cell r="E802">
            <v>110</v>
          </cell>
          <cell r="F802" t="str">
            <v>BF_10.1</v>
          </cell>
          <cell r="G802" t="str">
            <v xml:space="preserve">    INGRESOS TOTALES SIN INCLUIR RECURSOS PARA RESERVAS PRESUPUESTALES</v>
          </cell>
          <cell r="H802">
            <v>41193.339</v>
          </cell>
          <cell r="I802">
            <v>44955.504721999998</v>
          </cell>
        </row>
        <row r="803">
          <cell r="A803" t="str">
            <v>63470-BF_10.2</v>
          </cell>
          <cell r="B803" t="str">
            <v>QUINDIO</v>
          </cell>
          <cell r="C803">
            <v>63470</v>
          </cell>
          <cell r="D803" t="str">
            <v>MONTENEGRO</v>
          </cell>
          <cell r="E803">
            <v>111</v>
          </cell>
          <cell r="F803" t="str">
            <v>BF_10.2</v>
          </cell>
          <cell r="G803" t="str">
            <v xml:space="preserve">    GASTOS TOTALES SIN INCLUIR GASTOS POR RESERVAS PRESUPUESTALES</v>
          </cell>
          <cell r="H803">
            <v>35258.959000000003</v>
          </cell>
          <cell r="I803">
            <v>41860.883555</v>
          </cell>
        </row>
        <row r="804">
          <cell r="A804" t="str">
            <v>63470-BF_10.3</v>
          </cell>
          <cell r="B804" t="str">
            <v>QUINDIO</v>
          </cell>
          <cell r="C804">
            <v>63470</v>
          </cell>
          <cell r="D804" t="str">
            <v>MONTENEGRO</v>
          </cell>
          <cell r="E804">
            <v>112</v>
          </cell>
          <cell r="F804" t="str">
            <v>BF_10.3</v>
          </cell>
          <cell r="G804" t="str">
            <v xml:space="preserve">    DÉFICIT O SUPERÁVIT PRESUPUESTAL SIN INCLUIR RESERVAS PRESUPUESTALES</v>
          </cell>
          <cell r="H804">
            <v>5934.38</v>
          </cell>
          <cell r="I804">
            <v>3094.6211669999998</v>
          </cell>
        </row>
        <row r="805">
          <cell r="A805" t="str">
            <v>63470-BF_12.1</v>
          </cell>
          <cell r="B805" t="str">
            <v>QUINDIO</v>
          </cell>
          <cell r="C805">
            <v>63470</v>
          </cell>
          <cell r="D805" t="str">
            <v>MONTENEGRO</v>
          </cell>
          <cell r="E805">
            <v>114</v>
          </cell>
          <cell r="F805" t="str">
            <v>BF_12.1</v>
          </cell>
          <cell r="G805" t="str">
            <v xml:space="preserve">    INGRESOS TOTALES</v>
          </cell>
          <cell r="H805">
            <v>41212.339</v>
          </cell>
          <cell r="I805">
            <v>45103.762248999999</v>
          </cell>
        </row>
        <row r="806">
          <cell r="A806" t="str">
            <v>63470-BF_12.2</v>
          </cell>
          <cell r="B806" t="str">
            <v>QUINDIO</v>
          </cell>
          <cell r="C806">
            <v>63470</v>
          </cell>
          <cell r="D806" t="str">
            <v>MONTENEGRO</v>
          </cell>
          <cell r="E806">
            <v>115</v>
          </cell>
          <cell r="F806" t="str">
            <v>BF_12.2</v>
          </cell>
          <cell r="G806" t="str">
            <v xml:space="preserve">    GASTOS TOTALES</v>
          </cell>
          <cell r="H806">
            <v>35258.959000000003</v>
          </cell>
          <cell r="I806">
            <v>42004.299285000001</v>
          </cell>
        </row>
        <row r="807">
          <cell r="A807" t="str">
            <v>63470-BF_12.3</v>
          </cell>
          <cell r="B807" t="str">
            <v>QUINDIO</v>
          </cell>
          <cell r="C807">
            <v>63470</v>
          </cell>
          <cell r="D807" t="str">
            <v>MONTENEGRO</v>
          </cell>
          <cell r="E807">
            <v>116</v>
          </cell>
          <cell r="F807" t="str">
            <v>BF_12.3</v>
          </cell>
          <cell r="G807" t="str">
            <v xml:space="preserve">    DÉFICIT O SUPERÁVIT PRESUPUESTAL</v>
          </cell>
          <cell r="H807">
            <v>5953.38</v>
          </cell>
          <cell r="I807">
            <v>3099.4629639999998</v>
          </cell>
        </row>
        <row r="808">
          <cell r="A808" t="str">
            <v>63470-BF_13.1</v>
          </cell>
          <cell r="B808" t="str">
            <v>QUINDIO</v>
          </cell>
          <cell r="C808">
            <v>63470</v>
          </cell>
          <cell r="D808" t="str">
            <v>MONTENEGRO</v>
          </cell>
          <cell r="E808">
            <v>118</v>
          </cell>
          <cell r="F808" t="str">
            <v>BF_13.1</v>
          </cell>
          <cell r="G808" t="str">
            <v xml:space="preserve">    Recursos que Financian Reservas Presupuestales Excepcionales (Ley 819/2003)</v>
          </cell>
          <cell r="H808">
            <v>19</v>
          </cell>
          <cell r="I808">
            <v>148.25752700000001</v>
          </cell>
        </row>
        <row r="809">
          <cell r="A809" t="str">
            <v>63470-BF_13.2</v>
          </cell>
          <cell r="B809" t="str">
            <v>QUINDIO</v>
          </cell>
          <cell r="C809">
            <v>63470</v>
          </cell>
          <cell r="D809" t="str">
            <v>MONTENEGRO</v>
          </cell>
          <cell r="E809">
            <v>119</v>
          </cell>
          <cell r="F809" t="str">
            <v>BF_13.2</v>
          </cell>
          <cell r="G809" t="str">
            <v xml:space="preserve">    Reservas Presupuestales de Funcionamiento Vigencia Anterior</v>
          </cell>
          <cell r="H809">
            <v>0</v>
          </cell>
          <cell r="I809">
            <v>0.56000000000000005</v>
          </cell>
        </row>
        <row r="810">
          <cell r="A810" t="str">
            <v>63470-BF_13.3</v>
          </cell>
          <cell r="B810" t="str">
            <v>QUINDIO</v>
          </cell>
          <cell r="C810">
            <v>63470</v>
          </cell>
          <cell r="D810" t="str">
            <v>MONTENEGRO</v>
          </cell>
          <cell r="E810">
            <v>120</v>
          </cell>
          <cell r="F810" t="str">
            <v>BF_13.3</v>
          </cell>
          <cell r="G810" t="str">
            <v xml:space="preserve">    Reservas Presupuestales de Inversión Vigencia Anterior</v>
          </cell>
          <cell r="H810">
            <v>0</v>
          </cell>
          <cell r="I810">
            <v>142.85572999999999</v>
          </cell>
        </row>
        <row r="811">
          <cell r="A811" t="str">
            <v>63470-BF_13.4</v>
          </cell>
          <cell r="B811" t="str">
            <v>QUINDIO</v>
          </cell>
          <cell r="C811">
            <v>63470</v>
          </cell>
          <cell r="D811" t="str">
            <v>MONTENEGRO</v>
          </cell>
          <cell r="E811">
            <v>121</v>
          </cell>
          <cell r="F811" t="str">
            <v>BF_13.4</v>
          </cell>
          <cell r="G811" t="str">
            <v xml:space="preserve">    DEFICIT O SUPERAVIT RESERVAS PRESUPUESTALES</v>
          </cell>
          <cell r="H811">
            <v>19</v>
          </cell>
          <cell r="I811">
            <v>4.8417969999999997</v>
          </cell>
        </row>
        <row r="812">
          <cell r="A812" t="str">
            <v>63548-BF_1</v>
          </cell>
          <cell r="B812" t="str">
            <v>QUINDIO</v>
          </cell>
          <cell r="C812">
            <v>63548</v>
          </cell>
          <cell r="D812" t="str">
            <v>PIJAO</v>
          </cell>
          <cell r="E812">
            <v>1</v>
          </cell>
          <cell r="F812" t="str">
            <v>BF_1</v>
          </cell>
          <cell r="G812" t="str">
            <v>INGRESOS TOTALES</v>
          </cell>
          <cell r="H812">
            <v>7431.0870000000004</v>
          </cell>
          <cell r="I812">
            <v>7153.790688</v>
          </cell>
        </row>
        <row r="813">
          <cell r="A813" t="str">
            <v>63548-BF_1.1</v>
          </cell>
          <cell r="B813" t="str">
            <v>QUINDIO</v>
          </cell>
          <cell r="C813">
            <v>63548</v>
          </cell>
          <cell r="D813" t="str">
            <v>PIJAO</v>
          </cell>
          <cell r="E813">
            <v>2</v>
          </cell>
          <cell r="F813" t="str">
            <v>BF_1.1</v>
          </cell>
          <cell r="G813" t="str">
            <v xml:space="preserve">    INGRESOS CORRIENTES</v>
          </cell>
          <cell r="H813">
            <v>7275.54</v>
          </cell>
          <cell r="I813">
            <v>6573.8211209999999</v>
          </cell>
        </row>
        <row r="814">
          <cell r="A814" t="str">
            <v>63548-BF_1.1.1</v>
          </cell>
          <cell r="B814" t="str">
            <v>QUINDIO</v>
          </cell>
          <cell r="C814">
            <v>63548</v>
          </cell>
          <cell r="D814" t="str">
            <v>PIJAO</v>
          </cell>
          <cell r="E814">
            <v>3</v>
          </cell>
          <cell r="F814" t="str">
            <v>BF_1.1.1</v>
          </cell>
          <cell r="G814" t="str">
            <v xml:space="preserve">        TRIBUTARIOS</v>
          </cell>
          <cell r="H814">
            <v>878.32899999999995</v>
          </cell>
          <cell r="I814">
            <v>820.75812699999994</v>
          </cell>
        </row>
        <row r="815">
          <cell r="A815" t="str">
            <v>63548-BF_1.1.1.2</v>
          </cell>
          <cell r="B815" t="str">
            <v>QUINDIO</v>
          </cell>
          <cell r="C815">
            <v>63548</v>
          </cell>
          <cell r="D815" t="str">
            <v>PIJAO</v>
          </cell>
          <cell r="E815">
            <v>5</v>
          </cell>
          <cell r="F815" t="str">
            <v>BF_1.1.1.2</v>
          </cell>
          <cell r="G815" t="str">
            <v xml:space="preserve">             Impuesto Predial Unificado</v>
          </cell>
          <cell r="H815">
            <v>327.56</v>
          </cell>
          <cell r="I815">
            <v>308.19431900000001</v>
          </cell>
        </row>
        <row r="816">
          <cell r="A816" t="str">
            <v>63548-BF_1.1.1.3</v>
          </cell>
          <cell r="B816" t="str">
            <v>QUINDIO</v>
          </cell>
          <cell r="C816">
            <v>63548</v>
          </cell>
          <cell r="D816" t="str">
            <v>PIJAO</v>
          </cell>
          <cell r="E816">
            <v>6</v>
          </cell>
          <cell r="F816" t="str">
            <v>BF_1.1.1.3</v>
          </cell>
          <cell r="G816" t="str">
            <v xml:space="preserve">             Impuesto de Industria y Comercio</v>
          </cell>
          <cell r="H816">
            <v>67.52</v>
          </cell>
          <cell r="I816">
            <v>67.378291000000004</v>
          </cell>
        </row>
        <row r="817">
          <cell r="A817" t="str">
            <v>63548-BF_1.1.1.8</v>
          </cell>
          <cell r="B817" t="str">
            <v>QUINDIO</v>
          </cell>
          <cell r="C817">
            <v>63548</v>
          </cell>
          <cell r="D817" t="str">
            <v>PIJAO</v>
          </cell>
          <cell r="E817">
            <v>11</v>
          </cell>
          <cell r="F817" t="str">
            <v>BF_1.1.1.8</v>
          </cell>
          <cell r="G817" t="str">
            <v xml:space="preserve">             Sobretasa Consumo Gasolina Motor</v>
          </cell>
          <cell r="H817">
            <v>53.213000000000001</v>
          </cell>
          <cell r="I817">
            <v>44.222999999999999</v>
          </cell>
        </row>
        <row r="818">
          <cell r="A818" t="str">
            <v>63548-BF_1.1.1.9</v>
          </cell>
          <cell r="B818" t="str">
            <v>QUINDIO</v>
          </cell>
          <cell r="C818">
            <v>63548</v>
          </cell>
          <cell r="D818" t="str">
            <v>PIJAO</v>
          </cell>
          <cell r="E818">
            <v>12</v>
          </cell>
          <cell r="F818" t="str">
            <v>BF_1.1.1.9</v>
          </cell>
          <cell r="G818" t="str">
            <v xml:space="preserve">             Estampillas</v>
          </cell>
          <cell r="H818">
            <v>124.048</v>
          </cell>
          <cell r="I818">
            <v>124.17165199999999</v>
          </cell>
        </row>
        <row r="819">
          <cell r="A819" t="str">
            <v>63548-BF_1.1.1.12</v>
          </cell>
          <cell r="B819" t="str">
            <v>QUINDIO</v>
          </cell>
          <cell r="C819">
            <v>63548</v>
          </cell>
          <cell r="D819" t="str">
            <v>PIJAO</v>
          </cell>
          <cell r="E819">
            <v>15</v>
          </cell>
          <cell r="F819" t="str">
            <v>BF_1.1.1.12</v>
          </cell>
          <cell r="G819" t="str">
            <v xml:space="preserve">             Otros Ingresos Tributarios</v>
          </cell>
          <cell r="H819">
            <v>305.988</v>
          </cell>
          <cell r="I819">
            <v>276.790865</v>
          </cell>
        </row>
        <row r="820">
          <cell r="A820" t="str">
            <v>63548-BF_1.1.2</v>
          </cell>
          <cell r="B820" t="str">
            <v>QUINDIO</v>
          </cell>
          <cell r="C820">
            <v>63548</v>
          </cell>
          <cell r="D820" t="str">
            <v>PIJAO</v>
          </cell>
          <cell r="E820">
            <v>16</v>
          </cell>
          <cell r="F820" t="str">
            <v>BF_1.1.2</v>
          </cell>
          <cell r="G820" t="str">
            <v xml:space="preserve">        NO TRIBUTARIOS</v>
          </cell>
          <cell r="H820">
            <v>71.507000000000005</v>
          </cell>
          <cell r="I820">
            <v>103.01932100000001</v>
          </cell>
        </row>
        <row r="821">
          <cell r="A821" t="str">
            <v>63548-BF_1.1.2.1</v>
          </cell>
          <cell r="B821" t="str">
            <v>QUINDIO</v>
          </cell>
          <cell r="C821">
            <v>63548</v>
          </cell>
          <cell r="D821" t="str">
            <v>PIJAO</v>
          </cell>
          <cell r="E821">
            <v>17</v>
          </cell>
          <cell r="F821" t="str">
            <v>BF_1.1.2.1</v>
          </cell>
          <cell r="G821" t="str">
            <v xml:space="preserve">             Ingresos de la Propiedad: Tasas, Derechos, Multas y Sanciones</v>
          </cell>
          <cell r="H821">
            <v>71.507000000000005</v>
          </cell>
          <cell r="I821">
            <v>103.01932100000001</v>
          </cell>
        </row>
        <row r="822">
          <cell r="A822" t="str">
            <v>63548-BF_1.1.3</v>
          </cell>
          <cell r="B822" t="str">
            <v>QUINDIO</v>
          </cell>
          <cell r="C822">
            <v>63548</v>
          </cell>
          <cell r="D822" t="str">
            <v>PIJAO</v>
          </cell>
          <cell r="E822">
            <v>19</v>
          </cell>
          <cell r="F822" t="str">
            <v>BF_1.1.3</v>
          </cell>
          <cell r="G822" t="str">
            <v xml:space="preserve">        TRANSFERENCIAS</v>
          </cell>
          <cell r="H822">
            <v>6325.7039999999997</v>
          </cell>
          <cell r="I822">
            <v>5650.0436730000001</v>
          </cell>
        </row>
        <row r="823">
          <cell r="A823" t="str">
            <v>63548-BF_1.1.3.1</v>
          </cell>
          <cell r="B823" t="str">
            <v>QUINDIO</v>
          </cell>
          <cell r="C823">
            <v>63548</v>
          </cell>
          <cell r="D823" t="str">
            <v>PIJAO</v>
          </cell>
          <cell r="E823">
            <v>20</v>
          </cell>
          <cell r="F823" t="str">
            <v>BF_1.1.3.1</v>
          </cell>
          <cell r="G823" t="str">
            <v xml:space="preserve">             Transferencias Para Funcionamiento</v>
          </cell>
          <cell r="H823">
            <v>692.548</v>
          </cell>
          <cell r="I823">
            <v>655.92753800000003</v>
          </cell>
        </row>
        <row r="824">
          <cell r="A824" t="str">
            <v>63548-BF_1.1.3.1.1</v>
          </cell>
          <cell r="B824" t="str">
            <v>QUINDIO</v>
          </cell>
          <cell r="C824">
            <v>63548</v>
          </cell>
          <cell r="D824" t="str">
            <v>PIJAO</v>
          </cell>
          <cell r="E824">
            <v>21</v>
          </cell>
          <cell r="F824" t="str">
            <v>BF_1.1.3.1.1</v>
          </cell>
          <cell r="G824" t="str">
            <v xml:space="preserve">                 Del Nivel Nacional</v>
          </cell>
          <cell r="H824">
            <v>685.88099999999997</v>
          </cell>
          <cell r="I824">
            <v>646.50631799999996</v>
          </cell>
        </row>
        <row r="825">
          <cell r="A825" t="str">
            <v>63548-BF_1.1.3.1.1.1</v>
          </cell>
          <cell r="B825" t="str">
            <v>QUINDIO</v>
          </cell>
          <cell r="C825">
            <v>63548</v>
          </cell>
          <cell r="D825" t="str">
            <v>PIJAO</v>
          </cell>
          <cell r="E825">
            <v>22</v>
          </cell>
          <cell r="F825" t="str">
            <v>BF_1.1.3.1.1.1</v>
          </cell>
          <cell r="G825" t="str">
            <v xml:space="preserve">                     Sistema General de Participaciones - Propósito General - Libre destinación - Municipios categorías 4, 5 y 6</v>
          </cell>
          <cell r="H825">
            <v>685.88099999999997</v>
          </cell>
          <cell r="I825">
            <v>646.50631799999996</v>
          </cell>
        </row>
        <row r="826">
          <cell r="A826" t="str">
            <v>63548-BF_1.1.3.1.2</v>
          </cell>
          <cell r="B826" t="str">
            <v>QUINDIO</v>
          </cell>
          <cell r="C826">
            <v>63548</v>
          </cell>
          <cell r="D826" t="str">
            <v>PIJAO</v>
          </cell>
          <cell r="E826">
            <v>24</v>
          </cell>
          <cell r="F826" t="str">
            <v>BF_1.1.3.1.2</v>
          </cell>
          <cell r="G826" t="str">
            <v xml:space="preserve">                 Del Nivel Departamental</v>
          </cell>
          <cell r="H826">
            <v>6.6669999999999998</v>
          </cell>
          <cell r="I826">
            <v>9.4212199999999999</v>
          </cell>
        </row>
        <row r="827">
          <cell r="A827" t="str">
            <v>63548-BF_1.1.3.1.2.1</v>
          </cell>
          <cell r="B827" t="str">
            <v>QUINDIO</v>
          </cell>
          <cell r="C827">
            <v>63548</v>
          </cell>
          <cell r="D827" t="str">
            <v>PIJAO</v>
          </cell>
          <cell r="E827">
            <v>25</v>
          </cell>
          <cell r="F827" t="str">
            <v>BF_1.1.3.1.2.1</v>
          </cell>
          <cell r="G827" t="str">
            <v xml:space="preserve">                     De Vehículos Automotores</v>
          </cell>
          <cell r="H827">
            <v>6.6669999999999998</v>
          </cell>
          <cell r="I827">
            <v>9.4212199999999999</v>
          </cell>
        </row>
        <row r="828">
          <cell r="A828" t="str">
            <v>63548-BF_1.1.3.2</v>
          </cell>
          <cell r="B828" t="str">
            <v>QUINDIO</v>
          </cell>
          <cell r="C828">
            <v>63548</v>
          </cell>
          <cell r="D828" t="str">
            <v>PIJAO</v>
          </cell>
          <cell r="E828">
            <v>28</v>
          </cell>
          <cell r="F828" t="str">
            <v>BF_1.1.3.2</v>
          </cell>
          <cell r="G828" t="str">
            <v xml:space="preserve">             Transferencias Para Inversión</v>
          </cell>
          <cell r="H828">
            <v>5633.1559999999999</v>
          </cell>
          <cell r="I828">
            <v>4994.1161350000002</v>
          </cell>
        </row>
        <row r="829">
          <cell r="A829" t="str">
            <v>63548-BF_1.1.3.2.1</v>
          </cell>
          <cell r="B829" t="str">
            <v>QUINDIO</v>
          </cell>
          <cell r="C829">
            <v>63548</v>
          </cell>
          <cell r="D829" t="str">
            <v>PIJAO</v>
          </cell>
          <cell r="E829">
            <v>29</v>
          </cell>
          <cell r="F829" t="str">
            <v>BF_1.1.3.2.1</v>
          </cell>
          <cell r="G829" t="str">
            <v xml:space="preserve">                 Del Nivel Nacional</v>
          </cell>
          <cell r="H829">
            <v>5150.6390000000001</v>
          </cell>
          <cell r="I829">
            <v>4497.8399010000003</v>
          </cell>
        </row>
        <row r="830">
          <cell r="A830" t="str">
            <v>63548-BF_1.1.3.2.1.1</v>
          </cell>
          <cell r="B830" t="str">
            <v>QUINDIO</v>
          </cell>
          <cell r="C830">
            <v>63548</v>
          </cell>
          <cell r="D830" t="str">
            <v>PIJAO</v>
          </cell>
          <cell r="E830">
            <v>30</v>
          </cell>
          <cell r="F830" t="str">
            <v>BF_1.1.3.2.1.1</v>
          </cell>
          <cell r="G830" t="str">
            <v xml:space="preserve">                     Sistema General de Participaciones</v>
          </cell>
          <cell r="H830">
            <v>2887.7689999999998</v>
          </cell>
          <cell r="I830">
            <v>2842.723414</v>
          </cell>
        </row>
        <row r="831">
          <cell r="A831" t="str">
            <v>63548-BF_1.1.3.2.1.1.1</v>
          </cell>
          <cell r="B831" t="str">
            <v>QUINDIO</v>
          </cell>
          <cell r="C831">
            <v>63548</v>
          </cell>
          <cell r="D831" t="str">
            <v>PIJAO</v>
          </cell>
          <cell r="E831">
            <v>31</v>
          </cell>
          <cell r="F831" t="str">
            <v>BF_1.1.3.2.1.1.1</v>
          </cell>
          <cell r="G831" t="str">
            <v xml:space="preserve">                         Sistema General de Participaciones - Educación</v>
          </cell>
          <cell r="H831">
            <v>263.58800000000002</v>
          </cell>
          <cell r="I831">
            <v>266.96311300000002</v>
          </cell>
        </row>
        <row r="832">
          <cell r="A832" t="str">
            <v>63548-BF_1.1.3.2.1.1.2</v>
          </cell>
          <cell r="B832" t="str">
            <v>QUINDIO</v>
          </cell>
          <cell r="C832">
            <v>63548</v>
          </cell>
          <cell r="D832" t="str">
            <v>PIJAO</v>
          </cell>
          <cell r="E832">
            <v>32</v>
          </cell>
          <cell r="F832" t="str">
            <v>BF_1.1.3.2.1.1.2</v>
          </cell>
          <cell r="G832" t="str">
            <v xml:space="preserve">                         Sistema General de Participaciones - Salud</v>
          </cell>
          <cell r="H832">
            <v>1293.627</v>
          </cell>
          <cell r="I832">
            <v>1310.51666</v>
          </cell>
        </row>
        <row r="833">
          <cell r="A833" t="str">
            <v>63548-BF_1.1.3.2.1.1.3</v>
          </cell>
          <cell r="B833" t="str">
            <v>QUINDIO</v>
          </cell>
          <cell r="C833">
            <v>63548</v>
          </cell>
          <cell r="D833" t="str">
            <v>PIJAO</v>
          </cell>
          <cell r="E833">
            <v>33</v>
          </cell>
          <cell r="F833" t="str">
            <v>BF_1.1.3.2.1.1.3</v>
          </cell>
          <cell r="G833" t="str">
            <v xml:space="preserve">                         Sistema General de Participaciones - Agua Potable y Saneamiento Básico</v>
          </cell>
          <cell r="H833">
            <v>386.27800000000002</v>
          </cell>
          <cell r="I833">
            <v>387.77815700000002</v>
          </cell>
        </row>
        <row r="834">
          <cell r="A834" t="str">
            <v>63548-BF_1.1.3.2.1.1.4</v>
          </cell>
          <cell r="B834" t="str">
            <v>QUINDIO</v>
          </cell>
          <cell r="C834">
            <v>63548</v>
          </cell>
          <cell r="D834" t="str">
            <v>PIJAO</v>
          </cell>
          <cell r="E834">
            <v>34</v>
          </cell>
          <cell r="F834" t="str">
            <v>BF_1.1.3.2.1.1.4</v>
          </cell>
          <cell r="G834" t="str">
            <v xml:space="preserve">                         Sistema General de Participaciones - Propósito General - Forzosa Inversión</v>
          </cell>
          <cell r="H834">
            <v>909.06299999999999</v>
          </cell>
          <cell r="I834">
            <v>852.97021600000005</v>
          </cell>
        </row>
        <row r="835">
          <cell r="A835" t="str">
            <v>63548-BF_1.1.3.2.1.1.5</v>
          </cell>
          <cell r="B835" t="str">
            <v>QUINDIO</v>
          </cell>
          <cell r="C835">
            <v>63548</v>
          </cell>
          <cell r="D835" t="str">
            <v>PIJAO</v>
          </cell>
          <cell r="E835">
            <v>35</v>
          </cell>
          <cell r="F835" t="str">
            <v>BF_1.1.3.2.1.1.5</v>
          </cell>
          <cell r="G835" t="str">
            <v xml:space="preserve">                         Otras del Sistema General de Participaciones</v>
          </cell>
          <cell r="H835">
            <v>35.213000000000001</v>
          </cell>
          <cell r="I835">
            <v>24.495267999999999</v>
          </cell>
        </row>
        <row r="836">
          <cell r="A836" t="str">
            <v>63548-BF_1.1.3.2.1.2</v>
          </cell>
          <cell r="B836" t="str">
            <v>QUINDIO</v>
          </cell>
          <cell r="C836">
            <v>63548</v>
          </cell>
          <cell r="D836" t="str">
            <v>PIJAO</v>
          </cell>
          <cell r="E836">
            <v>36</v>
          </cell>
          <cell r="F836" t="str">
            <v>BF_1.1.3.2.1.2</v>
          </cell>
          <cell r="G836" t="str">
            <v xml:space="preserve">                     FOSYGA y COLJUEGOS</v>
          </cell>
          <cell r="H836">
            <v>1508.0709999999999</v>
          </cell>
          <cell r="I836">
            <v>1655.116487</v>
          </cell>
        </row>
        <row r="837">
          <cell r="A837" t="str">
            <v>63548-BF_1.1.3.2.1.3</v>
          </cell>
          <cell r="B837" t="str">
            <v>QUINDIO</v>
          </cell>
          <cell r="C837">
            <v>63548</v>
          </cell>
          <cell r="D837" t="str">
            <v>PIJAO</v>
          </cell>
          <cell r="E837">
            <v>37</v>
          </cell>
          <cell r="F837" t="str">
            <v>BF_1.1.3.2.1.3</v>
          </cell>
          <cell r="G837" t="str">
            <v xml:space="preserve">                     Otras Transferencias de la Nación</v>
          </cell>
          <cell r="H837">
            <v>754.79899999999998</v>
          </cell>
          <cell r="I837">
            <v>0</v>
          </cell>
        </row>
        <row r="838">
          <cell r="A838" t="str">
            <v>63548-BF_1.1.3.2.2</v>
          </cell>
          <cell r="B838" t="str">
            <v>QUINDIO</v>
          </cell>
          <cell r="C838">
            <v>63548</v>
          </cell>
          <cell r="D838" t="str">
            <v>PIJAO</v>
          </cell>
          <cell r="E838">
            <v>38</v>
          </cell>
          <cell r="F838" t="str">
            <v>BF_1.1.3.2.2</v>
          </cell>
          <cell r="G838" t="str">
            <v xml:space="preserve">                 Del Nivel Departamental</v>
          </cell>
          <cell r="H838">
            <v>440.78100000000001</v>
          </cell>
          <cell r="I838">
            <v>380.59126900000001</v>
          </cell>
        </row>
        <row r="839">
          <cell r="A839" t="str">
            <v>63548-BF_1.1.3.2.4</v>
          </cell>
          <cell r="B839" t="str">
            <v>QUINDIO</v>
          </cell>
          <cell r="C839">
            <v>63548</v>
          </cell>
          <cell r="D839" t="str">
            <v>PIJAO</v>
          </cell>
          <cell r="E839">
            <v>40</v>
          </cell>
          <cell r="F839" t="str">
            <v>BF_1.1.3.2.4</v>
          </cell>
          <cell r="G839" t="str">
            <v xml:space="preserve">                 Sector Descentralizado</v>
          </cell>
          <cell r="H839">
            <v>41.735999999999997</v>
          </cell>
          <cell r="I839">
            <v>115.68496500000001</v>
          </cell>
        </row>
        <row r="840">
          <cell r="A840" t="str">
            <v>63548-BF_2</v>
          </cell>
          <cell r="B840" t="str">
            <v>QUINDIO</v>
          </cell>
          <cell r="C840">
            <v>63548</v>
          </cell>
          <cell r="D840" t="str">
            <v>PIJAO</v>
          </cell>
          <cell r="E840">
            <v>43</v>
          </cell>
          <cell r="F840" t="str">
            <v>BF_2</v>
          </cell>
          <cell r="G840" t="str">
            <v>GASTOS  TOTALES</v>
          </cell>
          <cell r="H840">
            <v>7597.7039999999997</v>
          </cell>
          <cell r="I840">
            <v>7386.7056528100002</v>
          </cell>
        </row>
        <row r="841">
          <cell r="A841" t="str">
            <v>63548-BF_2.1</v>
          </cell>
          <cell r="B841" t="str">
            <v>QUINDIO</v>
          </cell>
          <cell r="C841">
            <v>63548</v>
          </cell>
          <cell r="D841" t="str">
            <v>PIJAO</v>
          </cell>
          <cell r="E841">
            <v>44</v>
          </cell>
          <cell r="F841" t="str">
            <v>BF_2.1</v>
          </cell>
          <cell r="G841" t="str">
            <v xml:space="preserve">    GASTOS CORRIENTES</v>
          </cell>
          <cell r="H841">
            <v>5315.2330000000002</v>
          </cell>
          <cell r="I841">
            <v>6616.7859115299998</v>
          </cell>
        </row>
        <row r="842">
          <cell r="A842" t="str">
            <v>63548-BF_2.1.1</v>
          </cell>
          <cell r="B842" t="str">
            <v>QUINDIO</v>
          </cell>
          <cell r="C842">
            <v>63548</v>
          </cell>
          <cell r="D842" t="str">
            <v>PIJAO</v>
          </cell>
          <cell r="E842">
            <v>45</v>
          </cell>
          <cell r="F842" t="str">
            <v>BF_2.1.1</v>
          </cell>
          <cell r="G842" t="str">
            <v xml:space="preserve">        FUNCIONAMIENTO</v>
          </cell>
          <cell r="H842">
            <v>1214.807</v>
          </cell>
          <cell r="I842">
            <v>1196.3384334299999</v>
          </cell>
        </row>
        <row r="843">
          <cell r="A843" t="str">
            <v>63548-BF_2.1.1.1</v>
          </cell>
          <cell r="B843" t="str">
            <v>QUINDIO</v>
          </cell>
          <cell r="C843">
            <v>63548</v>
          </cell>
          <cell r="D843" t="str">
            <v>PIJAO</v>
          </cell>
          <cell r="E843">
            <v>46</v>
          </cell>
          <cell r="F843" t="str">
            <v>BF_2.1.1.1</v>
          </cell>
          <cell r="G843" t="str">
            <v xml:space="preserve">             Gastos de Personal  </v>
          </cell>
          <cell r="H843">
            <v>480.70600000000002</v>
          </cell>
          <cell r="I843">
            <v>438.21043700000001</v>
          </cell>
        </row>
        <row r="844">
          <cell r="A844" t="str">
            <v>63548-BF_2.1.1.2</v>
          </cell>
          <cell r="B844" t="str">
            <v>QUINDIO</v>
          </cell>
          <cell r="C844">
            <v>63548</v>
          </cell>
          <cell r="D844" t="str">
            <v>PIJAO</v>
          </cell>
          <cell r="E844">
            <v>47</v>
          </cell>
          <cell r="F844" t="str">
            <v>BF_2.1.1.2</v>
          </cell>
          <cell r="G844" t="str">
            <v xml:space="preserve">             Gastos Generales</v>
          </cell>
          <cell r="H844">
            <v>203.15299999999999</v>
          </cell>
          <cell r="I844">
            <v>199.07043648999999</v>
          </cell>
        </row>
        <row r="845">
          <cell r="A845" t="str">
            <v>63548-BF_2.1.1.3</v>
          </cell>
          <cell r="B845" t="str">
            <v>QUINDIO</v>
          </cell>
          <cell r="C845">
            <v>63548</v>
          </cell>
          <cell r="D845" t="str">
            <v>PIJAO</v>
          </cell>
          <cell r="E845">
            <v>48</v>
          </cell>
          <cell r="F845" t="str">
            <v>BF_2.1.1.3</v>
          </cell>
          <cell r="G845" t="str">
            <v xml:space="preserve">             Transferencias</v>
          </cell>
          <cell r="H845">
            <v>518.13300000000004</v>
          </cell>
          <cell r="I845">
            <v>559.05755994000003</v>
          </cell>
        </row>
        <row r="846">
          <cell r="A846" t="str">
            <v>63548-BF_2.1.1.3.1</v>
          </cell>
          <cell r="B846" t="str">
            <v>QUINDIO</v>
          </cell>
          <cell r="C846">
            <v>63548</v>
          </cell>
          <cell r="D846" t="str">
            <v>PIJAO</v>
          </cell>
          <cell r="E846">
            <v>49</v>
          </cell>
          <cell r="F846" t="str">
            <v>BF_2.1.1.3.1</v>
          </cell>
          <cell r="G846" t="str">
            <v xml:space="preserve">                 Pensiones</v>
          </cell>
          <cell r="H846">
            <v>86.822999999999993</v>
          </cell>
          <cell r="I846">
            <v>144.67761394999999</v>
          </cell>
        </row>
        <row r="847">
          <cell r="A847" t="str">
            <v>63548-BF_2.1.1.3.4</v>
          </cell>
          <cell r="B847" t="str">
            <v>QUINDIO</v>
          </cell>
          <cell r="C847">
            <v>63548</v>
          </cell>
          <cell r="D847" t="str">
            <v>PIJAO</v>
          </cell>
          <cell r="E847">
            <v>52</v>
          </cell>
          <cell r="F847" t="str">
            <v>BF_2.1.1.3.4</v>
          </cell>
          <cell r="G847" t="str">
            <v xml:space="preserve">                 A Organismos de Control</v>
          </cell>
          <cell r="H847">
            <v>219.77600000000001</v>
          </cell>
          <cell r="I847">
            <v>226.98758599999999</v>
          </cell>
        </row>
        <row r="848">
          <cell r="A848" t="str">
            <v>63548-BF_2.1.1.3.6</v>
          </cell>
          <cell r="B848" t="str">
            <v>QUINDIO</v>
          </cell>
          <cell r="C848">
            <v>63548</v>
          </cell>
          <cell r="D848" t="str">
            <v>PIJAO</v>
          </cell>
          <cell r="E848">
            <v>54</v>
          </cell>
          <cell r="F848" t="str">
            <v>BF_2.1.1.3.6</v>
          </cell>
          <cell r="G848" t="str">
            <v xml:space="preserve">                 Sentencias y Conciliaciones</v>
          </cell>
          <cell r="H848">
            <v>98.534000000000006</v>
          </cell>
          <cell r="I848">
            <v>66.824327999999994</v>
          </cell>
        </row>
        <row r="849">
          <cell r="A849" t="str">
            <v>63548-BF_2.1.1.3.7</v>
          </cell>
          <cell r="B849" t="str">
            <v>QUINDIO</v>
          </cell>
          <cell r="C849">
            <v>63548</v>
          </cell>
          <cell r="D849" t="str">
            <v>PIJAO</v>
          </cell>
          <cell r="E849">
            <v>55</v>
          </cell>
          <cell r="F849" t="str">
            <v>BF_2.1.1.3.7</v>
          </cell>
          <cell r="G849" t="str">
            <v xml:space="preserve">                 Otras Transferencias</v>
          </cell>
          <cell r="H849">
            <v>113</v>
          </cell>
          <cell r="I849">
            <v>120.56803198999999</v>
          </cell>
        </row>
        <row r="850">
          <cell r="A850" t="str">
            <v>63548-BF_2.1.1.4</v>
          </cell>
          <cell r="B850" t="str">
            <v>QUINDIO</v>
          </cell>
          <cell r="C850">
            <v>63548</v>
          </cell>
          <cell r="D850" t="str">
            <v>PIJAO</v>
          </cell>
          <cell r="E850">
            <v>56</v>
          </cell>
          <cell r="F850" t="str">
            <v>BF_2.1.1.4</v>
          </cell>
          <cell r="G850" t="str">
            <v xml:space="preserve">             Déficit Fiscal de Vigencias Anteriores por Funcionamiento</v>
          </cell>
          <cell r="H850">
            <v>9.016</v>
          </cell>
          <cell r="I850">
            <v>0</v>
          </cell>
        </row>
        <row r="851">
          <cell r="A851" t="str">
            <v>63548-BF_2.1.1.6</v>
          </cell>
          <cell r="B851" t="str">
            <v>QUINDIO</v>
          </cell>
          <cell r="C851">
            <v>63548</v>
          </cell>
          <cell r="D851" t="str">
            <v>PIJAO</v>
          </cell>
          <cell r="E851">
            <v>58</v>
          </cell>
          <cell r="F851" t="str">
            <v>BF_2.1.1.6</v>
          </cell>
          <cell r="G851" t="str">
            <v xml:space="preserve">             Otros Gastos de Funcionamiento</v>
          </cell>
          <cell r="H851">
            <v>3.7989999999999999</v>
          </cell>
          <cell r="I851">
            <v>0</v>
          </cell>
        </row>
        <row r="852">
          <cell r="A852" t="str">
            <v>63548-BF_2.1.4</v>
          </cell>
          <cell r="B852" t="str">
            <v>QUINDIO</v>
          </cell>
          <cell r="C852">
            <v>63548</v>
          </cell>
          <cell r="D852" t="str">
            <v>PIJAO</v>
          </cell>
          <cell r="E852">
            <v>61</v>
          </cell>
          <cell r="F852" t="str">
            <v>BF_2.1.4</v>
          </cell>
          <cell r="G852" t="str">
            <v xml:space="preserve">        GASTOS OPERATIVOS EN SECTORES SOCIALES (Remuneración al Trabajo, Prestaciones, y Subsidios en Sectores de Inversión)</v>
          </cell>
          <cell r="H852">
            <v>4100.4260000000004</v>
          </cell>
          <cell r="I852">
            <v>5350.1226700999996</v>
          </cell>
        </row>
        <row r="853">
          <cell r="A853" t="str">
            <v>63548-BF_2.1.4.1</v>
          </cell>
          <cell r="B853" t="str">
            <v>QUINDIO</v>
          </cell>
          <cell r="C853">
            <v>63548</v>
          </cell>
          <cell r="D853" t="str">
            <v>PIJAO</v>
          </cell>
          <cell r="E853">
            <v>62</v>
          </cell>
          <cell r="F853" t="str">
            <v>BF_2.1.4.1</v>
          </cell>
          <cell r="G853" t="str">
            <v xml:space="preserve">             Educación</v>
          </cell>
          <cell r="H853">
            <v>457.928</v>
          </cell>
          <cell r="I853">
            <v>438.43264900000003</v>
          </cell>
        </row>
        <row r="854">
          <cell r="A854" t="str">
            <v>63548-BF_2.1.4.2</v>
          </cell>
          <cell r="B854" t="str">
            <v>QUINDIO</v>
          </cell>
          <cell r="C854">
            <v>63548</v>
          </cell>
          <cell r="D854" t="str">
            <v>PIJAO</v>
          </cell>
          <cell r="E854">
            <v>63</v>
          </cell>
          <cell r="F854" t="str">
            <v>BF_2.1.4.2</v>
          </cell>
          <cell r="G854" t="str">
            <v xml:space="preserve">             Salud</v>
          </cell>
          <cell r="H854">
            <v>3331.9720000000002</v>
          </cell>
          <cell r="I854">
            <v>3771.3740068400002</v>
          </cell>
        </row>
        <row r="855">
          <cell r="A855" t="str">
            <v>63548-BF_2.1.4.3</v>
          </cell>
          <cell r="B855" t="str">
            <v>QUINDIO</v>
          </cell>
          <cell r="C855">
            <v>63548</v>
          </cell>
          <cell r="D855" t="str">
            <v>PIJAO</v>
          </cell>
          <cell r="E855">
            <v>64</v>
          </cell>
          <cell r="F855" t="str">
            <v>BF_2.1.4.3</v>
          </cell>
          <cell r="G855" t="str">
            <v xml:space="preserve">             Agua Potable y Saneamiento Básico</v>
          </cell>
          <cell r="H855">
            <v>138.876</v>
          </cell>
          <cell r="I855">
            <v>140.822363</v>
          </cell>
        </row>
        <row r="856">
          <cell r="A856" t="str">
            <v>63548-BF_2.1.4.4</v>
          </cell>
          <cell r="B856" t="str">
            <v>QUINDIO</v>
          </cell>
          <cell r="C856">
            <v>63548</v>
          </cell>
          <cell r="D856" t="str">
            <v>PIJAO</v>
          </cell>
          <cell r="E856">
            <v>65</v>
          </cell>
          <cell r="F856" t="str">
            <v>BF_2.1.4.4</v>
          </cell>
          <cell r="G856" t="str">
            <v xml:space="preserve">             Vivienda</v>
          </cell>
          <cell r="H856">
            <v>11</v>
          </cell>
          <cell r="I856">
            <v>0</v>
          </cell>
        </row>
        <row r="857">
          <cell r="A857" t="str">
            <v>63548-BF_2.1.4.5</v>
          </cell>
          <cell r="B857" t="str">
            <v>QUINDIO</v>
          </cell>
          <cell r="C857">
            <v>63548</v>
          </cell>
          <cell r="D857" t="str">
            <v>PIJAO</v>
          </cell>
          <cell r="E857">
            <v>66</v>
          </cell>
          <cell r="F857" t="str">
            <v>BF_2.1.4.5</v>
          </cell>
          <cell r="G857" t="str">
            <v xml:space="preserve">             Otros Sectores</v>
          </cell>
          <cell r="H857">
            <v>160.65</v>
          </cell>
          <cell r="I857">
            <v>999.49365125999998</v>
          </cell>
        </row>
        <row r="858">
          <cell r="A858" t="str">
            <v>63548-BF_2.1.5</v>
          </cell>
          <cell r="B858" t="str">
            <v>QUINDIO</v>
          </cell>
          <cell r="C858">
            <v>63548</v>
          </cell>
          <cell r="D858" t="str">
            <v>PIJAO</v>
          </cell>
          <cell r="E858">
            <v>67</v>
          </cell>
          <cell r="F858" t="str">
            <v>BF_2.1.5</v>
          </cell>
          <cell r="G858" t="str">
            <v xml:space="preserve">        INTERESES Y COMISIONES DE LA DEUDA</v>
          </cell>
          <cell r="H858">
            <v>0</v>
          </cell>
          <cell r="I858">
            <v>70.324808000000004</v>
          </cell>
        </row>
        <row r="859">
          <cell r="A859" t="str">
            <v>63548-BF_2.1.5.1</v>
          </cell>
          <cell r="B859" t="str">
            <v>QUINDIO</v>
          </cell>
          <cell r="C859">
            <v>63548</v>
          </cell>
          <cell r="D859" t="str">
            <v>PIJAO</v>
          </cell>
          <cell r="E859">
            <v>68</v>
          </cell>
          <cell r="F859" t="str">
            <v>BF_2.1.5.1</v>
          </cell>
          <cell r="G859" t="str">
            <v xml:space="preserve">             Interna</v>
          </cell>
          <cell r="H859">
            <v>0</v>
          </cell>
          <cell r="I859">
            <v>70.324808000000004</v>
          </cell>
        </row>
        <row r="860">
          <cell r="A860" t="str">
            <v>63548-BF_3</v>
          </cell>
          <cell r="B860" t="str">
            <v>QUINDIO</v>
          </cell>
          <cell r="C860">
            <v>63548</v>
          </cell>
          <cell r="D860" t="str">
            <v>PIJAO</v>
          </cell>
          <cell r="E860">
            <v>70</v>
          </cell>
          <cell r="F860" t="str">
            <v>BF_3</v>
          </cell>
          <cell r="G860" t="str">
            <v>DÉFICIT O AHORRO CORRIENTE</v>
          </cell>
          <cell r="H860">
            <v>1960.307</v>
          </cell>
          <cell r="I860">
            <v>-42.964790530000002</v>
          </cell>
        </row>
        <row r="861">
          <cell r="A861" t="str">
            <v>63548-BF_4</v>
          </cell>
          <cell r="B861" t="str">
            <v>QUINDIO</v>
          </cell>
          <cell r="C861">
            <v>63548</v>
          </cell>
          <cell r="D861" t="str">
            <v>PIJAO</v>
          </cell>
          <cell r="E861">
            <v>71</v>
          </cell>
          <cell r="F861" t="str">
            <v>BF_4</v>
          </cell>
          <cell r="G861" t="str">
            <v>INGRESOS DE CAPITAL</v>
          </cell>
          <cell r="H861">
            <v>155.547</v>
          </cell>
          <cell r="I861">
            <v>579.96956699999998</v>
          </cell>
        </row>
        <row r="862">
          <cell r="A862" t="str">
            <v>63548-BF_4.4</v>
          </cell>
          <cell r="B862" t="str">
            <v>QUINDIO</v>
          </cell>
          <cell r="C862">
            <v>63548</v>
          </cell>
          <cell r="D862" t="str">
            <v>PIJAO</v>
          </cell>
          <cell r="E862">
            <v>75</v>
          </cell>
          <cell r="F862" t="str">
            <v>BF_4.4</v>
          </cell>
          <cell r="G862" t="str">
            <v xml:space="preserve">    Rendimientos Financieros</v>
          </cell>
          <cell r="H862">
            <v>15.478</v>
          </cell>
          <cell r="I862">
            <v>13.593552000000001</v>
          </cell>
        </row>
        <row r="863">
          <cell r="A863" t="str">
            <v>63548-BF_4.5</v>
          </cell>
          <cell r="B863" t="str">
            <v>QUINDIO</v>
          </cell>
          <cell r="C863">
            <v>63548</v>
          </cell>
          <cell r="D863" t="str">
            <v>PIJAO</v>
          </cell>
          <cell r="E863">
            <v>76</v>
          </cell>
          <cell r="F863" t="str">
            <v>BF_4.5</v>
          </cell>
          <cell r="G863" t="str">
            <v xml:space="preserve">    Excedentes Financieros</v>
          </cell>
          <cell r="H863">
            <v>6.0309999999999997</v>
          </cell>
          <cell r="I863">
            <v>4.8434429999999997</v>
          </cell>
        </row>
        <row r="864">
          <cell r="A864" t="str">
            <v>63548-BF_4.6</v>
          </cell>
          <cell r="B864" t="str">
            <v>QUINDIO</v>
          </cell>
          <cell r="C864">
            <v>63548</v>
          </cell>
          <cell r="D864" t="str">
            <v>PIJAO</v>
          </cell>
          <cell r="E864">
            <v>77</v>
          </cell>
          <cell r="F864" t="str">
            <v>BF_4.6</v>
          </cell>
          <cell r="G864" t="str">
            <v xml:space="preserve">    Desahorro FONPET</v>
          </cell>
          <cell r="H864">
            <v>133.03800000000001</v>
          </cell>
          <cell r="I864">
            <v>552.60415999999998</v>
          </cell>
        </row>
        <row r="865">
          <cell r="A865" t="str">
            <v>63548-BF_4.6.1</v>
          </cell>
          <cell r="B865" t="str">
            <v>QUINDIO</v>
          </cell>
          <cell r="C865">
            <v>63548</v>
          </cell>
          <cell r="D865" t="str">
            <v>PIJAO</v>
          </cell>
          <cell r="E865">
            <v>78</v>
          </cell>
          <cell r="F865" t="str">
            <v>BF_4.6.1</v>
          </cell>
          <cell r="G865" t="str">
            <v xml:space="preserve">    Salud</v>
          </cell>
          <cell r="H865">
            <v>133.03800000000001</v>
          </cell>
          <cell r="I865">
            <v>508.13799999999998</v>
          </cell>
        </row>
        <row r="866">
          <cell r="A866" t="str">
            <v>63548-BF_4.6.4</v>
          </cell>
          <cell r="B866" t="str">
            <v>QUINDIO</v>
          </cell>
          <cell r="C866">
            <v>63548</v>
          </cell>
          <cell r="D866" t="str">
            <v>PIJAO</v>
          </cell>
          <cell r="E866">
            <v>81</v>
          </cell>
          <cell r="F866" t="str">
            <v>BF_4.6.4</v>
          </cell>
          <cell r="G866" t="str">
            <v xml:space="preserve">    Otros Desahorros y Retiros (Cuotas partes, Bonos y Devoluciones)</v>
          </cell>
          <cell r="H866">
            <v>0</v>
          </cell>
          <cell r="I866">
            <v>44.466160000000002</v>
          </cell>
        </row>
        <row r="867">
          <cell r="A867" t="str">
            <v>63548-BF_4.7</v>
          </cell>
          <cell r="B867" t="str">
            <v>QUINDIO</v>
          </cell>
          <cell r="C867">
            <v>63548</v>
          </cell>
          <cell r="D867" t="str">
            <v>PIJAO</v>
          </cell>
          <cell r="E867">
            <v>82</v>
          </cell>
          <cell r="F867" t="str">
            <v>BF_4.7</v>
          </cell>
          <cell r="G867" t="str">
            <v xml:space="preserve">    Otros Recursos de Capital (Donaciones, Aprovechamientos y Otros)</v>
          </cell>
          <cell r="H867">
            <v>1</v>
          </cell>
          <cell r="I867">
            <v>8.9284119999999998</v>
          </cell>
        </row>
        <row r="868">
          <cell r="A868" t="str">
            <v>63548-BF_5</v>
          </cell>
          <cell r="B868" t="str">
            <v>QUINDIO</v>
          </cell>
          <cell r="C868">
            <v>63548</v>
          </cell>
          <cell r="D868" t="str">
            <v>PIJAO</v>
          </cell>
          <cell r="E868">
            <v>83</v>
          </cell>
          <cell r="F868" t="str">
            <v>BF_5</v>
          </cell>
          <cell r="G868" t="str">
            <v>GASTOS DE CAPITAL</v>
          </cell>
          <cell r="H868">
            <v>2282.471</v>
          </cell>
          <cell r="I868">
            <v>769.91974128000004</v>
          </cell>
        </row>
        <row r="869">
          <cell r="A869" t="str">
            <v>63548-BF_5.1</v>
          </cell>
          <cell r="B869" t="str">
            <v>QUINDIO</v>
          </cell>
          <cell r="C869">
            <v>63548</v>
          </cell>
          <cell r="D869" t="str">
            <v>PIJAO</v>
          </cell>
          <cell r="E869">
            <v>84</v>
          </cell>
          <cell r="F869" t="str">
            <v>BF_5.1</v>
          </cell>
          <cell r="G869" t="str">
            <v xml:space="preserve">    Formación Bruta de Capital (Construcción, Reparación, Mantenimiento, Preinversión, Otros)</v>
          </cell>
          <cell r="H869">
            <v>2282.471</v>
          </cell>
          <cell r="I869">
            <v>769.91974128000004</v>
          </cell>
        </row>
        <row r="870">
          <cell r="A870" t="str">
            <v>63548-BF_5.1.2</v>
          </cell>
          <cell r="B870" t="str">
            <v>QUINDIO</v>
          </cell>
          <cell r="C870">
            <v>63548</v>
          </cell>
          <cell r="D870" t="str">
            <v>PIJAO</v>
          </cell>
          <cell r="E870">
            <v>86</v>
          </cell>
          <cell r="F870" t="str">
            <v>BF_5.1.2</v>
          </cell>
          <cell r="G870" t="str">
            <v xml:space="preserve">        Salud</v>
          </cell>
          <cell r="H870">
            <v>0</v>
          </cell>
          <cell r="I870">
            <v>19.38</v>
          </cell>
        </row>
        <row r="871">
          <cell r="A871" t="str">
            <v>63548-BF_5.1.3</v>
          </cell>
          <cell r="B871" t="str">
            <v>QUINDIO</v>
          </cell>
          <cell r="C871">
            <v>63548</v>
          </cell>
          <cell r="D871" t="str">
            <v>PIJAO</v>
          </cell>
          <cell r="E871">
            <v>87</v>
          </cell>
          <cell r="F871" t="str">
            <v>BF_5.1.3</v>
          </cell>
          <cell r="G871" t="str">
            <v xml:space="preserve">        Agua Potable</v>
          </cell>
          <cell r="H871">
            <v>289.27499999999998</v>
          </cell>
          <cell r="I871">
            <v>273.35234807000001</v>
          </cell>
        </row>
        <row r="872">
          <cell r="A872" t="str">
            <v>63548-BF_5.1.4</v>
          </cell>
          <cell r="B872" t="str">
            <v>QUINDIO</v>
          </cell>
          <cell r="C872">
            <v>63548</v>
          </cell>
          <cell r="D872" t="str">
            <v>PIJAO</v>
          </cell>
          <cell r="E872">
            <v>88</v>
          </cell>
          <cell r="F872" t="str">
            <v>BF_5.1.4</v>
          </cell>
          <cell r="G872" t="str">
            <v xml:space="preserve">        Vivienda</v>
          </cell>
          <cell r="H872">
            <v>0</v>
          </cell>
          <cell r="I872">
            <v>14.784000000000001</v>
          </cell>
        </row>
        <row r="873">
          <cell r="A873" t="str">
            <v>63548-BF_5.1.5</v>
          </cell>
          <cell r="B873" t="str">
            <v>QUINDIO</v>
          </cell>
          <cell r="C873">
            <v>63548</v>
          </cell>
          <cell r="D873" t="str">
            <v>PIJAO</v>
          </cell>
          <cell r="E873">
            <v>89</v>
          </cell>
          <cell r="F873" t="str">
            <v>BF_5.1.5</v>
          </cell>
          <cell r="G873" t="str">
            <v xml:space="preserve">        Vías</v>
          </cell>
          <cell r="H873">
            <v>65.385000000000005</v>
          </cell>
          <cell r="I873">
            <v>149.65528225</v>
          </cell>
        </row>
        <row r="874">
          <cell r="A874" t="str">
            <v>63548-BF_5.1.6</v>
          </cell>
          <cell r="B874" t="str">
            <v>QUINDIO</v>
          </cell>
          <cell r="C874">
            <v>63548</v>
          </cell>
          <cell r="D874" t="str">
            <v>PIJAO</v>
          </cell>
          <cell r="E874">
            <v>90</v>
          </cell>
          <cell r="F874" t="str">
            <v>BF_5.1.6</v>
          </cell>
          <cell r="G874" t="str">
            <v xml:space="preserve">        Otros Sectores</v>
          </cell>
          <cell r="H874">
            <v>1927.8109999999999</v>
          </cell>
          <cell r="I874">
            <v>312.74811096000002</v>
          </cell>
        </row>
        <row r="875">
          <cell r="A875" t="str">
            <v>63548-BF_6</v>
          </cell>
          <cell r="B875" t="str">
            <v>QUINDIO</v>
          </cell>
          <cell r="C875">
            <v>63548</v>
          </cell>
          <cell r="D875" t="str">
            <v>PIJAO</v>
          </cell>
          <cell r="E875">
            <v>92</v>
          </cell>
          <cell r="F875" t="str">
            <v>BF_6</v>
          </cell>
          <cell r="G875" t="str">
            <v>DÉFICIT O SUPERÁVIT DE CAPITAL</v>
          </cell>
          <cell r="H875">
            <v>-2126.924</v>
          </cell>
          <cell r="I875">
            <v>-189.95017428</v>
          </cell>
        </row>
        <row r="876">
          <cell r="A876" t="str">
            <v>63548-BF_7</v>
          </cell>
          <cell r="B876" t="str">
            <v>QUINDIO</v>
          </cell>
          <cell r="C876">
            <v>63548</v>
          </cell>
          <cell r="D876" t="str">
            <v>PIJAO</v>
          </cell>
          <cell r="E876">
            <v>93</v>
          </cell>
          <cell r="F876" t="str">
            <v>BF_7</v>
          </cell>
          <cell r="G876" t="str">
            <v>DÉFICIT O SUPERÁVIT TOTAL</v>
          </cell>
          <cell r="H876">
            <v>-166.61699999999999</v>
          </cell>
          <cell r="I876">
            <v>-232.91496480999999</v>
          </cell>
        </row>
        <row r="877">
          <cell r="A877" t="str">
            <v>63548-BF_8</v>
          </cell>
          <cell r="B877" t="str">
            <v>QUINDIO</v>
          </cell>
          <cell r="C877">
            <v>63548</v>
          </cell>
          <cell r="D877" t="str">
            <v>PIJAO</v>
          </cell>
          <cell r="E877">
            <v>94</v>
          </cell>
          <cell r="F877" t="str">
            <v>BF_8</v>
          </cell>
          <cell r="G877" t="str">
            <v>FINANCIACIÓN</v>
          </cell>
          <cell r="H877">
            <v>902.70699999999999</v>
          </cell>
          <cell r="I877">
            <v>905.80068200000005</v>
          </cell>
        </row>
        <row r="878">
          <cell r="A878" t="str">
            <v>63548-BF_8.2</v>
          </cell>
          <cell r="B878" t="str">
            <v>QUINDIO</v>
          </cell>
          <cell r="C878">
            <v>63548</v>
          </cell>
          <cell r="D878" t="str">
            <v>PIJAO</v>
          </cell>
          <cell r="E878">
            <v>102</v>
          </cell>
          <cell r="F878" t="str">
            <v>BF_8.2</v>
          </cell>
          <cell r="G878" t="str">
            <v xml:space="preserve">    Recursos del Balance (Superávit Fiscal, Cancelación de Reservas)</v>
          </cell>
          <cell r="H878">
            <v>902.70699999999999</v>
          </cell>
          <cell r="I878">
            <v>905.80068200000005</v>
          </cell>
        </row>
        <row r="879">
          <cell r="A879" t="str">
            <v>63548-BF_9.1</v>
          </cell>
          <cell r="B879" t="str">
            <v>QUINDIO</v>
          </cell>
          <cell r="C879">
            <v>63548</v>
          </cell>
          <cell r="D879" t="str">
            <v>PIJAO</v>
          </cell>
          <cell r="E879">
            <v>107</v>
          </cell>
          <cell r="F879" t="str">
            <v>BF_9.1</v>
          </cell>
          <cell r="G879" t="str">
            <v xml:space="preserve">    DÉFICIT O SUPERÁVIT PRIMARIO</v>
          </cell>
          <cell r="H879">
            <v>736.09</v>
          </cell>
          <cell r="I879">
            <v>743.21052519</v>
          </cell>
        </row>
        <row r="880">
          <cell r="A880" t="str">
            <v>63548-BF_9.2</v>
          </cell>
          <cell r="B880" t="str">
            <v>QUINDIO</v>
          </cell>
          <cell r="C880">
            <v>63548</v>
          </cell>
          <cell r="D880" t="str">
            <v>PIJAO</v>
          </cell>
          <cell r="E880">
            <v>108</v>
          </cell>
          <cell r="F880" t="str">
            <v>BF_9.2</v>
          </cell>
          <cell r="G880" t="str">
            <v xml:space="preserve">    DÉFICIT O SUPERÁVIT PRIMARIO/INTERESES</v>
          </cell>
          <cell r="H880">
            <v>0</v>
          </cell>
          <cell r="I880">
            <v>10.568255304999999</v>
          </cell>
        </row>
        <row r="881">
          <cell r="A881" t="str">
            <v>63548-BF_10.1</v>
          </cell>
          <cell r="B881" t="str">
            <v>QUINDIO</v>
          </cell>
          <cell r="C881">
            <v>63548</v>
          </cell>
          <cell r="D881" t="str">
            <v>PIJAO</v>
          </cell>
          <cell r="E881">
            <v>110</v>
          </cell>
          <cell r="F881" t="str">
            <v>BF_10.1</v>
          </cell>
          <cell r="G881" t="str">
            <v xml:space="preserve">    INGRESOS TOTALES SIN INCLUIR RECURSOS PARA RESERVAS PRESUPUESTALES</v>
          </cell>
          <cell r="H881">
            <v>8333.7939999999999</v>
          </cell>
          <cell r="I881">
            <v>8059.5913700000001</v>
          </cell>
        </row>
        <row r="882">
          <cell r="A882" t="str">
            <v>63548-BF_10.2</v>
          </cell>
          <cell r="B882" t="str">
            <v>QUINDIO</v>
          </cell>
          <cell r="C882">
            <v>63548</v>
          </cell>
          <cell r="D882" t="str">
            <v>PIJAO</v>
          </cell>
          <cell r="E882">
            <v>111</v>
          </cell>
          <cell r="F882" t="str">
            <v>BF_10.2</v>
          </cell>
          <cell r="G882" t="str">
            <v xml:space="preserve">    GASTOS TOTALES SIN INCLUIR GASTOS POR RESERVAS PRESUPUESTALES</v>
          </cell>
          <cell r="H882">
            <v>7597.7039999999997</v>
          </cell>
          <cell r="I882">
            <v>7386.7056528100002</v>
          </cell>
        </row>
        <row r="883">
          <cell r="A883" t="str">
            <v>63548-BF_10.3</v>
          </cell>
          <cell r="B883" t="str">
            <v>QUINDIO</v>
          </cell>
          <cell r="C883">
            <v>63548</v>
          </cell>
          <cell r="D883" t="str">
            <v>PIJAO</v>
          </cell>
          <cell r="E883">
            <v>112</v>
          </cell>
          <cell r="F883" t="str">
            <v>BF_10.3</v>
          </cell>
          <cell r="G883" t="str">
            <v xml:space="preserve">    DÉFICIT O SUPERÁVIT PRESUPUESTAL SIN INCLUIR RESERVAS PRESUPUESTALES</v>
          </cell>
          <cell r="H883">
            <v>736.09</v>
          </cell>
          <cell r="I883">
            <v>672.88571719000004</v>
          </cell>
        </row>
        <row r="884">
          <cell r="A884" t="str">
            <v>63548-BF_12.1</v>
          </cell>
          <cell r="B884" t="str">
            <v>QUINDIO</v>
          </cell>
          <cell r="C884">
            <v>63548</v>
          </cell>
          <cell r="D884" t="str">
            <v>PIJAO</v>
          </cell>
          <cell r="E884">
            <v>114</v>
          </cell>
          <cell r="F884" t="str">
            <v>BF_12.1</v>
          </cell>
          <cell r="G884" t="str">
            <v xml:space="preserve">    INGRESOS TOTALES</v>
          </cell>
          <cell r="H884">
            <v>8333.7939999999999</v>
          </cell>
          <cell r="I884">
            <v>8227.4601849699993</v>
          </cell>
        </row>
        <row r="885">
          <cell r="A885" t="str">
            <v>63548-BF_12.2</v>
          </cell>
          <cell r="B885" t="str">
            <v>QUINDIO</v>
          </cell>
          <cell r="C885">
            <v>63548</v>
          </cell>
          <cell r="D885" t="str">
            <v>PIJAO</v>
          </cell>
          <cell r="E885">
            <v>115</v>
          </cell>
          <cell r="F885" t="str">
            <v>BF_12.2</v>
          </cell>
          <cell r="G885" t="str">
            <v xml:space="preserve">    GASTOS TOTALES</v>
          </cell>
          <cell r="H885">
            <v>7597.7039999999997</v>
          </cell>
          <cell r="I885">
            <v>7554.5744677800003</v>
          </cell>
        </row>
        <row r="886">
          <cell r="A886" t="str">
            <v>63548-BF_12.3</v>
          </cell>
          <cell r="B886" t="str">
            <v>QUINDIO</v>
          </cell>
          <cell r="C886">
            <v>63548</v>
          </cell>
          <cell r="D886" t="str">
            <v>PIJAO</v>
          </cell>
          <cell r="E886">
            <v>116</v>
          </cell>
          <cell r="F886" t="str">
            <v>BF_12.3</v>
          </cell>
          <cell r="G886" t="str">
            <v xml:space="preserve">    DÉFICIT O SUPERÁVIT PRESUPUESTAL</v>
          </cell>
          <cell r="H886">
            <v>736.09</v>
          </cell>
          <cell r="I886">
            <v>672.88571719000004</v>
          </cell>
        </row>
        <row r="887">
          <cell r="A887" t="str">
            <v>63548-BF_13.1</v>
          </cell>
          <cell r="B887" t="str">
            <v>QUINDIO</v>
          </cell>
          <cell r="C887">
            <v>63548</v>
          </cell>
          <cell r="D887" t="str">
            <v>PIJAO</v>
          </cell>
          <cell r="E887">
            <v>118</v>
          </cell>
          <cell r="F887" t="str">
            <v>BF_13.1</v>
          </cell>
          <cell r="G887" t="str">
            <v xml:space="preserve">    Recursos que Financian Reservas Presupuestales Excepcionales (Ley 819/2003)</v>
          </cell>
          <cell r="H887">
            <v>0</v>
          </cell>
          <cell r="I887">
            <v>167.86881496999999</v>
          </cell>
        </row>
        <row r="888">
          <cell r="A888" t="str">
            <v>63548-BF_13.3</v>
          </cell>
          <cell r="B888" t="str">
            <v>QUINDIO</v>
          </cell>
          <cell r="C888">
            <v>63548</v>
          </cell>
          <cell r="D888" t="str">
            <v>PIJAO</v>
          </cell>
          <cell r="E888">
            <v>120</v>
          </cell>
          <cell r="F888" t="str">
            <v>BF_13.3</v>
          </cell>
          <cell r="G888" t="str">
            <v xml:space="preserve">    Reservas Presupuestales de Inversión Vigencia Anterior</v>
          </cell>
          <cell r="H888">
            <v>0</v>
          </cell>
          <cell r="I888">
            <v>167.86881496999999</v>
          </cell>
        </row>
        <row r="889">
          <cell r="A889" t="str">
            <v>63594-BF_1</v>
          </cell>
          <cell r="B889" t="str">
            <v>QUINDIO</v>
          </cell>
          <cell r="C889">
            <v>63594</v>
          </cell>
          <cell r="D889" t="str">
            <v>QUIMBAYA</v>
          </cell>
          <cell r="E889">
            <v>1</v>
          </cell>
          <cell r="F889" t="str">
            <v>BF_1</v>
          </cell>
          <cell r="G889" t="str">
            <v>INGRESOS TOTALES</v>
          </cell>
          <cell r="H889">
            <v>29447.642</v>
          </cell>
          <cell r="I889">
            <v>35523.321686000003</v>
          </cell>
        </row>
        <row r="890">
          <cell r="A890" t="str">
            <v>63594-BF_1.1</v>
          </cell>
          <cell r="B890" t="str">
            <v>QUINDIO</v>
          </cell>
          <cell r="C890">
            <v>63594</v>
          </cell>
          <cell r="D890" t="str">
            <v>QUIMBAYA</v>
          </cell>
          <cell r="E890">
            <v>2</v>
          </cell>
          <cell r="F890" t="str">
            <v>BF_1.1</v>
          </cell>
          <cell r="G890" t="str">
            <v xml:space="preserve">    INGRESOS CORRIENTES</v>
          </cell>
          <cell r="H890">
            <v>29022.18</v>
          </cell>
          <cell r="I890">
            <v>28367.880430000001</v>
          </cell>
        </row>
        <row r="891">
          <cell r="A891" t="str">
            <v>63594-BF_1.1.1</v>
          </cell>
          <cell r="B891" t="str">
            <v>QUINDIO</v>
          </cell>
          <cell r="C891">
            <v>63594</v>
          </cell>
          <cell r="D891" t="str">
            <v>QUIMBAYA</v>
          </cell>
          <cell r="E891">
            <v>3</v>
          </cell>
          <cell r="F891" t="str">
            <v>BF_1.1.1</v>
          </cell>
          <cell r="G891" t="str">
            <v xml:space="preserve">        TRIBUTARIOS</v>
          </cell>
          <cell r="H891">
            <v>7390.7749999999996</v>
          </cell>
          <cell r="I891">
            <v>7223.5460229999999</v>
          </cell>
        </row>
        <row r="892">
          <cell r="A892" t="str">
            <v>63594-BF_1.1.1.2</v>
          </cell>
          <cell r="B892" t="str">
            <v>QUINDIO</v>
          </cell>
          <cell r="C892">
            <v>63594</v>
          </cell>
          <cell r="D892" t="str">
            <v>QUIMBAYA</v>
          </cell>
          <cell r="E892">
            <v>5</v>
          </cell>
          <cell r="F892" t="str">
            <v>BF_1.1.1.2</v>
          </cell>
          <cell r="G892" t="str">
            <v xml:space="preserve">             Impuesto Predial Unificado</v>
          </cell>
          <cell r="H892">
            <v>3314.337</v>
          </cell>
          <cell r="I892">
            <v>3161.8114150000001</v>
          </cell>
        </row>
        <row r="893">
          <cell r="A893" t="str">
            <v>63594-BF_1.1.1.3</v>
          </cell>
          <cell r="B893" t="str">
            <v>QUINDIO</v>
          </cell>
          <cell r="C893">
            <v>63594</v>
          </cell>
          <cell r="D893" t="str">
            <v>QUIMBAYA</v>
          </cell>
          <cell r="E893">
            <v>6</v>
          </cell>
          <cell r="F893" t="str">
            <v>BF_1.1.1.3</v>
          </cell>
          <cell r="G893" t="str">
            <v xml:space="preserve">             Impuesto de Industria y Comercio</v>
          </cell>
          <cell r="H893">
            <v>718.72900000000004</v>
          </cell>
          <cell r="I893">
            <v>626.37850800000001</v>
          </cell>
        </row>
        <row r="894">
          <cell r="A894" t="str">
            <v>63594-BF_1.1.1.8</v>
          </cell>
          <cell r="B894" t="str">
            <v>QUINDIO</v>
          </cell>
          <cell r="C894">
            <v>63594</v>
          </cell>
          <cell r="D894" t="str">
            <v>QUIMBAYA</v>
          </cell>
          <cell r="E894">
            <v>11</v>
          </cell>
          <cell r="F894" t="str">
            <v>BF_1.1.1.8</v>
          </cell>
          <cell r="G894" t="str">
            <v xml:space="preserve">             Sobretasa Consumo Gasolina Motor</v>
          </cell>
          <cell r="H894">
            <v>885.85299999999995</v>
          </cell>
          <cell r="I894">
            <v>922.20209699999998</v>
          </cell>
        </row>
        <row r="895">
          <cell r="A895" t="str">
            <v>63594-BF_1.1.1.9</v>
          </cell>
          <cell r="B895" t="str">
            <v>QUINDIO</v>
          </cell>
          <cell r="C895">
            <v>63594</v>
          </cell>
          <cell r="D895" t="str">
            <v>QUIMBAYA</v>
          </cell>
          <cell r="E895">
            <v>12</v>
          </cell>
          <cell r="F895" t="str">
            <v>BF_1.1.1.9</v>
          </cell>
          <cell r="G895" t="str">
            <v xml:space="preserve">             Estampillas</v>
          </cell>
          <cell r="H895">
            <v>408.58600000000001</v>
          </cell>
          <cell r="I895">
            <v>512.1146</v>
          </cell>
        </row>
        <row r="896">
          <cell r="A896" t="str">
            <v>63594-BF_1.1.1.12</v>
          </cell>
          <cell r="B896" t="str">
            <v>QUINDIO</v>
          </cell>
          <cell r="C896">
            <v>63594</v>
          </cell>
          <cell r="D896" t="str">
            <v>QUIMBAYA</v>
          </cell>
          <cell r="E896">
            <v>15</v>
          </cell>
          <cell r="F896" t="str">
            <v>BF_1.1.1.12</v>
          </cell>
          <cell r="G896" t="str">
            <v xml:space="preserve">             Otros Ingresos Tributarios</v>
          </cell>
          <cell r="H896">
            <v>2063.27</v>
          </cell>
          <cell r="I896">
            <v>2001.039403</v>
          </cell>
        </row>
        <row r="897">
          <cell r="A897" t="str">
            <v>63594-BF_1.1.2</v>
          </cell>
          <cell r="B897" t="str">
            <v>QUINDIO</v>
          </cell>
          <cell r="C897">
            <v>63594</v>
          </cell>
          <cell r="D897" t="str">
            <v>QUIMBAYA</v>
          </cell>
          <cell r="E897">
            <v>16</v>
          </cell>
          <cell r="F897" t="str">
            <v>BF_1.1.2</v>
          </cell>
          <cell r="G897" t="str">
            <v xml:space="preserve">        NO TRIBUTARIOS</v>
          </cell>
          <cell r="H897">
            <v>995.52599999999995</v>
          </cell>
          <cell r="I897">
            <v>959.88563299999998</v>
          </cell>
        </row>
        <row r="898">
          <cell r="A898" t="str">
            <v>63594-BF_1.1.2.1</v>
          </cell>
          <cell r="B898" t="str">
            <v>QUINDIO</v>
          </cell>
          <cell r="C898">
            <v>63594</v>
          </cell>
          <cell r="D898" t="str">
            <v>QUIMBAYA</v>
          </cell>
          <cell r="E898">
            <v>17</v>
          </cell>
          <cell r="F898" t="str">
            <v>BF_1.1.2.1</v>
          </cell>
          <cell r="G898" t="str">
            <v xml:space="preserve">             Ingresos de la Propiedad: Tasas, Derechos, Multas y Sanciones</v>
          </cell>
          <cell r="H898">
            <v>318.73200000000003</v>
          </cell>
          <cell r="I898">
            <v>229.74100899999999</v>
          </cell>
        </row>
        <row r="899">
          <cell r="A899" t="str">
            <v>63594-BF_1.1.2.2</v>
          </cell>
          <cell r="B899" t="str">
            <v>QUINDIO</v>
          </cell>
          <cell r="C899">
            <v>63594</v>
          </cell>
          <cell r="D899" t="str">
            <v>QUIMBAYA</v>
          </cell>
          <cell r="E899">
            <v>18</v>
          </cell>
          <cell r="F899" t="str">
            <v>BF_1.1.2.2</v>
          </cell>
          <cell r="G899" t="str">
            <v xml:space="preserve">             Otros No Tributarios</v>
          </cell>
          <cell r="H899">
            <v>676.79399999999998</v>
          </cell>
          <cell r="I899">
            <v>730.14462400000002</v>
          </cell>
        </row>
        <row r="900">
          <cell r="A900" t="str">
            <v>63594-BF_1.1.3</v>
          </cell>
          <cell r="B900" t="str">
            <v>QUINDIO</v>
          </cell>
          <cell r="C900">
            <v>63594</v>
          </cell>
          <cell r="D900" t="str">
            <v>QUIMBAYA</v>
          </cell>
          <cell r="E900">
            <v>19</v>
          </cell>
          <cell r="F900" t="str">
            <v>BF_1.1.3</v>
          </cell>
          <cell r="G900" t="str">
            <v xml:space="preserve">        TRANSFERENCIAS</v>
          </cell>
          <cell r="H900">
            <v>20635.879000000001</v>
          </cell>
          <cell r="I900">
            <v>20184.448774</v>
          </cell>
        </row>
        <row r="901">
          <cell r="A901" t="str">
            <v>63594-BF_1.1.3.1</v>
          </cell>
          <cell r="B901" t="str">
            <v>QUINDIO</v>
          </cell>
          <cell r="C901">
            <v>63594</v>
          </cell>
          <cell r="D901" t="str">
            <v>QUIMBAYA</v>
          </cell>
          <cell r="E901">
            <v>20</v>
          </cell>
          <cell r="F901" t="str">
            <v>BF_1.1.3.1</v>
          </cell>
          <cell r="G901" t="str">
            <v xml:space="preserve">             Transferencias Para Funcionamiento</v>
          </cell>
          <cell r="H901">
            <v>843.20299999999997</v>
          </cell>
          <cell r="I901">
            <v>1282.0112489999999</v>
          </cell>
        </row>
        <row r="902">
          <cell r="A902" t="str">
            <v>63594-BF_1.1.3.1.1</v>
          </cell>
          <cell r="B902" t="str">
            <v>QUINDIO</v>
          </cell>
          <cell r="C902">
            <v>63594</v>
          </cell>
          <cell r="D902" t="str">
            <v>QUIMBAYA</v>
          </cell>
          <cell r="E902">
            <v>21</v>
          </cell>
          <cell r="F902" t="str">
            <v>BF_1.1.3.1.1</v>
          </cell>
          <cell r="G902" t="str">
            <v xml:space="preserve">                 Del Nivel Nacional</v>
          </cell>
          <cell r="H902">
            <v>771.67600000000004</v>
          </cell>
          <cell r="I902">
            <v>1097.2976980000001</v>
          </cell>
        </row>
        <row r="903">
          <cell r="A903" t="str">
            <v>63594-BF_1.1.3.1.1.1</v>
          </cell>
          <cell r="B903" t="str">
            <v>QUINDIO</v>
          </cell>
          <cell r="C903">
            <v>63594</v>
          </cell>
          <cell r="D903" t="str">
            <v>QUIMBAYA</v>
          </cell>
          <cell r="E903">
            <v>22</v>
          </cell>
          <cell r="F903" t="str">
            <v>BF_1.1.3.1.1.1</v>
          </cell>
          <cell r="G903" t="str">
            <v xml:space="preserve">                     Sistema General de Participaciones - Propósito General - Libre destinación - Municipios categorías 4, 5 y 6</v>
          </cell>
          <cell r="H903">
            <v>771.67600000000004</v>
          </cell>
          <cell r="I903">
            <v>1097.2976980000001</v>
          </cell>
        </row>
        <row r="904">
          <cell r="A904" t="str">
            <v>63594-BF_1.1.3.1.2</v>
          </cell>
          <cell r="B904" t="str">
            <v>QUINDIO</v>
          </cell>
          <cell r="C904">
            <v>63594</v>
          </cell>
          <cell r="D904" t="str">
            <v>QUIMBAYA</v>
          </cell>
          <cell r="E904">
            <v>24</v>
          </cell>
          <cell r="F904" t="str">
            <v>BF_1.1.3.1.2</v>
          </cell>
          <cell r="G904" t="str">
            <v xml:space="preserve">                 Del Nivel Departamental</v>
          </cell>
          <cell r="H904">
            <v>71.527000000000001</v>
          </cell>
          <cell r="I904">
            <v>184.713551</v>
          </cell>
        </row>
        <row r="905">
          <cell r="A905" t="str">
            <v>63594-BF_1.1.3.1.2.1</v>
          </cell>
          <cell r="B905" t="str">
            <v>QUINDIO</v>
          </cell>
          <cell r="C905">
            <v>63594</v>
          </cell>
          <cell r="D905" t="str">
            <v>QUIMBAYA</v>
          </cell>
          <cell r="E905">
            <v>25</v>
          </cell>
          <cell r="F905" t="str">
            <v>BF_1.1.3.1.2.1</v>
          </cell>
          <cell r="G905" t="str">
            <v xml:space="preserve">                     De Vehículos Automotores</v>
          </cell>
          <cell r="H905">
            <v>71.527000000000001</v>
          </cell>
          <cell r="I905">
            <v>184.713551</v>
          </cell>
        </row>
        <row r="906">
          <cell r="A906" t="str">
            <v>63594-BF_1.1.3.2</v>
          </cell>
          <cell r="B906" t="str">
            <v>QUINDIO</v>
          </cell>
          <cell r="C906">
            <v>63594</v>
          </cell>
          <cell r="D906" t="str">
            <v>QUIMBAYA</v>
          </cell>
          <cell r="E906">
            <v>28</v>
          </cell>
          <cell r="F906" t="str">
            <v>BF_1.1.3.2</v>
          </cell>
          <cell r="G906" t="str">
            <v xml:space="preserve">             Transferencias Para Inversión</v>
          </cell>
          <cell r="H906">
            <v>19792.675999999999</v>
          </cell>
          <cell r="I906">
            <v>18902.437525000001</v>
          </cell>
        </row>
        <row r="907">
          <cell r="A907" t="str">
            <v>63594-BF_1.1.3.2.1</v>
          </cell>
          <cell r="B907" t="str">
            <v>QUINDIO</v>
          </cell>
          <cell r="C907">
            <v>63594</v>
          </cell>
          <cell r="D907" t="str">
            <v>QUIMBAYA</v>
          </cell>
          <cell r="E907">
            <v>29</v>
          </cell>
          <cell r="F907" t="str">
            <v>BF_1.1.3.2.1</v>
          </cell>
          <cell r="G907" t="str">
            <v xml:space="preserve">                 Del Nivel Nacional</v>
          </cell>
          <cell r="H907">
            <v>18440.536</v>
          </cell>
          <cell r="I907">
            <v>17338.72321</v>
          </cell>
        </row>
        <row r="908">
          <cell r="A908" t="str">
            <v>63594-BF_1.1.3.2.1.1</v>
          </cell>
          <cell r="B908" t="str">
            <v>QUINDIO</v>
          </cell>
          <cell r="C908">
            <v>63594</v>
          </cell>
          <cell r="D908" t="str">
            <v>QUIMBAYA</v>
          </cell>
          <cell r="E908">
            <v>30</v>
          </cell>
          <cell r="F908" t="str">
            <v>BF_1.1.3.2.1.1</v>
          </cell>
          <cell r="G908" t="str">
            <v xml:space="preserve">                     Sistema General de Participaciones</v>
          </cell>
          <cell r="H908">
            <v>9688.93</v>
          </cell>
          <cell r="I908">
            <v>10053.794576</v>
          </cell>
        </row>
        <row r="909">
          <cell r="A909" t="str">
            <v>63594-BF_1.1.3.2.1.1.1</v>
          </cell>
          <cell r="B909" t="str">
            <v>QUINDIO</v>
          </cell>
          <cell r="C909">
            <v>63594</v>
          </cell>
          <cell r="D909" t="str">
            <v>QUIMBAYA</v>
          </cell>
          <cell r="E909">
            <v>31</v>
          </cell>
          <cell r="F909" t="str">
            <v>BF_1.1.3.2.1.1.1</v>
          </cell>
          <cell r="G909" t="str">
            <v xml:space="preserve">                         Sistema General de Participaciones - Educación</v>
          </cell>
          <cell r="H909">
            <v>986.31299999999999</v>
          </cell>
          <cell r="I909">
            <v>944.00766499999997</v>
          </cell>
        </row>
        <row r="910">
          <cell r="A910" t="str">
            <v>63594-BF_1.1.3.2.1.1.2</v>
          </cell>
          <cell r="B910" t="str">
            <v>QUINDIO</v>
          </cell>
          <cell r="C910">
            <v>63594</v>
          </cell>
          <cell r="D910" t="str">
            <v>QUIMBAYA</v>
          </cell>
          <cell r="E910">
            <v>32</v>
          </cell>
          <cell r="F910" t="str">
            <v>BF_1.1.3.2.1.1.2</v>
          </cell>
          <cell r="G910" t="str">
            <v xml:space="preserve">                         Sistema General de Participaciones - Salud</v>
          </cell>
          <cell r="H910">
            <v>6670.4930000000004</v>
          </cell>
          <cell r="I910">
            <v>6688.3761089999998</v>
          </cell>
        </row>
        <row r="911">
          <cell r="A911" t="str">
            <v>63594-BF_1.1.3.2.1.1.3</v>
          </cell>
          <cell r="B911" t="str">
            <v>QUINDIO</v>
          </cell>
          <cell r="C911">
            <v>63594</v>
          </cell>
          <cell r="D911" t="str">
            <v>QUIMBAYA</v>
          </cell>
          <cell r="E911">
            <v>33</v>
          </cell>
          <cell r="F911" t="str">
            <v>BF_1.1.3.2.1.1.3</v>
          </cell>
          <cell r="G911" t="str">
            <v xml:space="preserve">                         Sistema General de Participaciones - Agua Potable y Saneamiento Básico</v>
          </cell>
          <cell r="H911">
            <v>912.19500000000005</v>
          </cell>
          <cell r="I911">
            <v>963.43083200000001</v>
          </cell>
        </row>
        <row r="912">
          <cell r="A912" t="str">
            <v>63594-BF_1.1.3.2.1.1.4</v>
          </cell>
          <cell r="B912" t="str">
            <v>QUINDIO</v>
          </cell>
          <cell r="C912">
            <v>63594</v>
          </cell>
          <cell r="D912" t="str">
            <v>QUIMBAYA</v>
          </cell>
          <cell r="E912">
            <v>34</v>
          </cell>
          <cell r="F912" t="str">
            <v>BF_1.1.3.2.1.1.4</v>
          </cell>
          <cell r="G912" t="str">
            <v xml:space="preserve">                         Sistema General de Participaciones - Propósito General - Forzosa Inversión</v>
          </cell>
          <cell r="H912">
            <v>959.08299999999997</v>
          </cell>
          <cell r="I912">
            <v>1363.784283</v>
          </cell>
        </row>
        <row r="913">
          <cell r="A913" t="str">
            <v>63594-BF_1.1.3.2.1.1.5</v>
          </cell>
          <cell r="B913" t="str">
            <v>QUINDIO</v>
          </cell>
          <cell r="C913">
            <v>63594</v>
          </cell>
          <cell r="D913" t="str">
            <v>QUIMBAYA</v>
          </cell>
          <cell r="E913">
            <v>35</v>
          </cell>
          <cell r="F913" t="str">
            <v>BF_1.1.3.2.1.1.5</v>
          </cell>
          <cell r="G913" t="str">
            <v xml:space="preserve">                         Otras del Sistema General de Participaciones</v>
          </cell>
          <cell r="H913">
            <v>160.846</v>
          </cell>
          <cell r="I913">
            <v>94.195687000000007</v>
          </cell>
        </row>
        <row r="914">
          <cell r="A914" t="str">
            <v>63594-BF_1.1.3.2.1.2</v>
          </cell>
          <cell r="B914" t="str">
            <v>QUINDIO</v>
          </cell>
          <cell r="C914">
            <v>63594</v>
          </cell>
          <cell r="D914" t="str">
            <v>QUIMBAYA</v>
          </cell>
          <cell r="E914">
            <v>36</v>
          </cell>
          <cell r="F914" t="str">
            <v>BF_1.1.3.2.1.2</v>
          </cell>
          <cell r="G914" t="str">
            <v xml:space="preserve">                     FOSYGA y COLJUEGOS</v>
          </cell>
          <cell r="H914">
            <v>7829.1540000000005</v>
          </cell>
          <cell r="I914">
            <v>7284.9286339999999</v>
          </cell>
        </row>
        <row r="915">
          <cell r="A915" t="str">
            <v>63594-BF_1.1.3.2.1.3</v>
          </cell>
          <cell r="B915" t="str">
            <v>QUINDIO</v>
          </cell>
          <cell r="C915">
            <v>63594</v>
          </cell>
          <cell r="D915" t="str">
            <v>QUIMBAYA</v>
          </cell>
          <cell r="E915">
            <v>37</v>
          </cell>
          <cell r="F915" t="str">
            <v>BF_1.1.3.2.1.3</v>
          </cell>
          <cell r="G915" t="str">
            <v xml:space="preserve">                     Otras Transferencias de la Nación</v>
          </cell>
          <cell r="H915">
            <v>922.452</v>
          </cell>
          <cell r="I915">
            <v>0</v>
          </cell>
        </row>
        <row r="916">
          <cell r="A916" t="str">
            <v>63594-BF_1.1.3.2.2</v>
          </cell>
          <cell r="B916" t="str">
            <v>QUINDIO</v>
          </cell>
          <cell r="C916">
            <v>63594</v>
          </cell>
          <cell r="D916" t="str">
            <v>QUIMBAYA</v>
          </cell>
          <cell r="E916">
            <v>38</v>
          </cell>
          <cell r="F916" t="str">
            <v>BF_1.1.3.2.2</v>
          </cell>
          <cell r="G916" t="str">
            <v xml:space="preserve">                 Del Nivel Departamental</v>
          </cell>
          <cell r="H916">
            <v>1352.14</v>
          </cell>
          <cell r="I916">
            <v>1563.7143149999999</v>
          </cell>
        </row>
        <row r="917">
          <cell r="A917" t="str">
            <v>63594-BF_2</v>
          </cell>
          <cell r="B917" t="str">
            <v>QUINDIO</v>
          </cell>
          <cell r="C917">
            <v>63594</v>
          </cell>
          <cell r="D917" t="str">
            <v>QUIMBAYA</v>
          </cell>
          <cell r="E917">
            <v>43</v>
          </cell>
          <cell r="F917" t="str">
            <v>BF_2</v>
          </cell>
          <cell r="G917" t="str">
            <v>GASTOS  TOTALES</v>
          </cell>
          <cell r="H917">
            <v>30361.06</v>
          </cell>
          <cell r="I917">
            <v>40351.985916999998</v>
          </cell>
        </row>
        <row r="918">
          <cell r="A918" t="str">
            <v>63594-BF_2.1</v>
          </cell>
          <cell r="B918" t="str">
            <v>QUINDIO</v>
          </cell>
          <cell r="C918">
            <v>63594</v>
          </cell>
          <cell r="D918" t="str">
            <v>QUIMBAYA</v>
          </cell>
          <cell r="E918">
            <v>44</v>
          </cell>
          <cell r="F918" t="str">
            <v>BF_2.1</v>
          </cell>
          <cell r="G918" t="str">
            <v xml:space="preserve">    GASTOS CORRIENTES</v>
          </cell>
          <cell r="H918">
            <v>23097.491999999998</v>
          </cell>
          <cell r="I918">
            <v>30737.939781000001</v>
          </cell>
        </row>
        <row r="919">
          <cell r="A919" t="str">
            <v>63594-BF_2.1.1</v>
          </cell>
          <cell r="B919" t="str">
            <v>QUINDIO</v>
          </cell>
          <cell r="C919">
            <v>63594</v>
          </cell>
          <cell r="D919" t="str">
            <v>QUIMBAYA</v>
          </cell>
          <cell r="E919">
            <v>45</v>
          </cell>
          <cell r="F919" t="str">
            <v>BF_2.1.1</v>
          </cell>
          <cell r="G919" t="str">
            <v xml:space="preserve">        FUNCIONAMIENTO</v>
          </cell>
          <cell r="H919">
            <v>4235.1769999999997</v>
          </cell>
          <cell r="I919">
            <v>4742.338643</v>
          </cell>
        </row>
        <row r="920">
          <cell r="A920" t="str">
            <v>63594-BF_2.1.1.1</v>
          </cell>
          <cell r="B920" t="str">
            <v>QUINDIO</v>
          </cell>
          <cell r="C920">
            <v>63594</v>
          </cell>
          <cell r="D920" t="str">
            <v>QUIMBAYA</v>
          </cell>
          <cell r="E920">
            <v>46</v>
          </cell>
          <cell r="F920" t="str">
            <v>BF_2.1.1.1</v>
          </cell>
          <cell r="G920" t="str">
            <v xml:space="preserve">             Gastos de Personal  </v>
          </cell>
          <cell r="H920">
            <v>2703.8049999999998</v>
          </cell>
          <cell r="I920">
            <v>3178.6729180000002</v>
          </cell>
        </row>
        <row r="921">
          <cell r="A921" t="str">
            <v>63594-BF_2.1.1.2</v>
          </cell>
          <cell r="B921" t="str">
            <v>QUINDIO</v>
          </cell>
          <cell r="C921">
            <v>63594</v>
          </cell>
          <cell r="D921" t="str">
            <v>QUIMBAYA</v>
          </cell>
          <cell r="E921">
            <v>47</v>
          </cell>
          <cell r="F921" t="str">
            <v>BF_2.1.1.2</v>
          </cell>
          <cell r="G921" t="str">
            <v xml:space="preserve">             Gastos Generales</v>
          </cell>
          <cell r="H921">
            <v>773.73099999999999</v>
          </cell>
          <cell r="I921">
            <v>821.96352899999999</v>
          </cell>
        </row>
        <row r="922">
          <cell r="A922" t="str">
            <v>63594-BF_2.1.1.3</v>
          </cell>
          <cell r="B922" t="str">
            <v>QUINDIO</v>
          </cell>
          <cell r="C922">
            <v>63594</v>
          </cell>
          <cell r="D922" t="str">
            <v>QUIMBAYA</v>
          </cell>
          <cell r="E922">
            <v>48</v>
          </cell>
          <cell r="F922" t="str">
            <v>BF_2.1.1.3</v>
          </cell>
          <cell r="G922" t="str">
            <v xml:space="preserve">             Transferencias</v>
          </cell>
          <cell r="H922">
            <v>757.64099999999996</v>
          </cell>
          <cell r="I922">
            <v>741.70219599999996</v>
          </cell>
        </row>
        <row r="923">
          <cell r="A923" t="str">
            <v>63594-BF_2.1.1.3.1</v>
          </cell>
          <cell r="B923" t="str">
            <v>QUINDIO</v>
          </cell>
          <cell r="C923">
            <v>63594</v>
          </cell>
          <cell r="D923" t="str">
            <v>QUIMBAYA</v>
          </cell>
          <cell r="E923">
            <v>49</v>
          </cell>
          <cell r="F923" t="str">
            <v>BF_2.1.1.3.1</v>
          </cell>
          <cell r="G923" t="str">
            <v xml:space="preserve">                 Pensiones</v>
          </cell>
          <cell r="H923">
            <v>379.072</v>
          </cell>
          <cell r="I923">
            <v>398.98592100000002</v>
          </cell>
        </row>
        <row r="924">
          <cell r="A924" t="str">
            <v>63594-BF_2.1.1.3.4</v>
          </cell>
          <cell r="B924" t="str">
            <v>QUINDIO</v>
          </cell>
          <cell r="C924">
            <v>63594</v>
          </cell>
          <cell r="D924" t="str">
            <v>QUIMBAYA</v>
          </cell>
          <cell r="E924">
            <v>52</v>
          </cell>
          <cell r="F924" t="str">
            <v>BF_2.1.1.3.4</v>
          </cell>
          <cell r="G924" t="str">
            <v xml:space="preserve">                 A Organismos de Control</v>
          </cell>
          <cell r="H924">
            <v>330.31400000000002</v>
          </cell>
          <cell r="I924">
            <v>331.28114099999999</v>
          </cell>
        </row>
        <row r="925">
          <cell r="A925" t="str">
            <v>63594-BF_2.1.1.3.6</v>
          </cell>
          <cell r="B925" t="str">
            <v>QUINDIO</v>
          </cell>
          <cell r="C925">
            <v>63594</v>
          </cell>
          <cell r="D925" t="str">
            <v>QUIMBAYA</v>
          </cell>
          <cell r="E925">
            <v>54</v>
          </cell>
          <cell r="F925" t="str">
            <v>BF_2.1.1.3.6</v>
          </cell>
          <cell r="G925" t="str">
            <v xml:space="preserve">                 Sentencias y Conciliaciones</v>
          </cell>
          <cell r="H925">
            <v>48.255000000000003</v>
          </cell>
          <cell r="I925">
            <v>10.5</v>
          </cell>
        </row>
        <row r="926">
          <cell r="A926" t="str">
            <v>63594-BF_2.1.1.3.7</v>
          </cell>
          <cell r="B926" t="str">
            <v>QUINDIO</v>
          </cell>
          <cell r="C926">
            <v>63594</v>
          </cell>
          <cell r="D926" t="str">
            <v>QUIMBAYA</v>
          </cell>
          <cell r="E926">
            <v>55</v>
          </cell>
          <cell r="F926" t="str">
            <v>BF_2.1.1.3.7</v>
          </cell>
          <cell r="G926" t="str">
            <v xml:space="preserve">                 Otras Transferencias</v>
          </cell>
          <cell r="H926">
            <v>0</v>
          </cell>
          <cell r="I926">
            <v>0.93513400000000002</v>
          </cell>
        </row>
        <row r="927">
          <cell r="A927" t="str">
            <v>63594-BF_2.1.2</v>
          </cell>
          <cell r="B927" t="str">
            <v>QUINDIO</v>
          </cell>
          <cell r="C927">
            <v>63594</v>
          </cell>
          <cell r="D927" t="str">
            <v>QUIMBAYA</v>
          </cell>
          <cell r="E927">
            <v>59</v>
          </cell>
          <cell r="F927" t="str">
            <v>BF_2.1.2</v>
          </cell>
          <cell r="G927" t="str">
            <v xml:space="preserve">        PAGO DE BONOS PENSIONALES Y CUOTAS PARTES DE BONO PENSIONAL</v>
          </cell>
          <cell r="H927">
            <v>0</v>
          </cell>
          <cell r="I927">
            <v>1216.8614150000001</v>
          </cell>
        </row>
        <row r="928">
          <cell r="A928" t="str">
            <v>63594-BF_2.1.4</v>
          </cell>
          <cell r="B928" t="str">
            <v>QUINDIO</v>
          </cell>
          <cell r="C928">
            <v>63594</v>
          </cell>
          <cell r="D928" t="str">
            <v>QUIMBAYA</v>
          </cell>
          <cell r="E928">
            <v>61</v>
          </cell>
          <cell r="F928" t="str">
            <v>BF_2.1.4</v>
          </cell>
          <cell r="G928" t="str">
            <v xml:space="preserve">        GASTOS OPERATIVOS EN SECTORES SOCIALES (Remuneración al Trabajo, Prestaciones, y Subsidios en Sectores de Inversión)</v>
          </cell>
          <cell r="H928">
            <v>18643.21</v>
          </cell>
          <cell r="I928">
            <v>24646.622975999999</v>
          </cell>
        </row>
        <row r="929">
          <cell r="A929" t="str">
            <v>63594-BF_2.1.4.1</v>
          </cell>
          <cell r="B929" t="str">
            <v>QUINDIO</v>
          </cell>
          <cell r="C929">
            <v>63594</v>
          </cell>
          <cell r="D929" t="str">
            <v>QUIMBAYA</v>
          </cell>
          <cell r="E929">
            <v>62</v>
          </cell>
          <cell r="F929" t="str">
            <v>BF_2.1.4.1</v>
          </cell>
          <cell r="G929" t="str">
            <v xml:space="preserve">             Educación</v>
          </cell>
          <cell r="H929">
            <v>882.50800000000004</v>
          </cell>
          <cell r="I929">
            <v>796.03152599999999</v>
          </cell>
        </row>
        <row r="930">
          <cell r="A930" t="str">
            <v>63594-BF_2.1.4.2</v>
          </cell>
          <cell r="B930" t="str">
            <v>QUINDIO</v>
          </cell>
          <cell r="C930">
            <v>63594</v>
          </cell>
          <cell r="D930" t="str">
            <v>QUIMBAYA</v>
          </cell>
          <cell r="E930">
            <v>63</v>
          </cell>
          <cell r="F930" t="str">
            <v>BF_2.1.4.2</v>
          </cell>
          <cell r="G930" t="str">
            <v xml:space="preserve">             Salud</v>
          </cell>
          <cell r="H930">
            <v>16969.976999999999</v>
          </cell>
          <cell r="I930">
            <v>18870.358098000001</v>
          </cell>
        </row>
        <row r="931">
          <cell r="A931" t="str">
            <v>63594-BF_2.1.4.3</v>
          </cell>
          <cell r="B931" t="str">
            <v>QUINDIO</v>
          </cell>
          <cell r="C931">
            <v>63594</v>
          </cell>
          <cell r="D931" t="str">
            <v>QUIMBAYA</v>
          </cell>
          <cell r="E931">
            <v>64</v>
          </cell>
          <cell r="F931" t="str">
            <v>BF_2.1.4.3</v>
          </cell>
          <cell r="G931" t="str">
            <v xml:space="preserve">             Agua Potable y Saneamiento Básico</v>
          </cell>
          <cell r="H931">
            <v>361.78399999999999</v>
          </cell>
          <cell r="I931">
            <v>286.718434</v>
          </cell>
        </row>
        <row r="932">
          <cell r="A932" t="str">
            <v>63594-BF_2.1.4.5</v>
          </cell>
          <cell r="B932" t="str">
            <v>QUINDIO</v>
          </cell>
          <cell r="C932">
            <v>63594</v>
          </cell>
          <cell r="D932" t="str">
            <v>QUIMBAYA</v>
          </cell>
          <cell r="E932">
            <v>66</v>
          </cell>
          <cell r="F932" t="str">
            <v>BF_2.1.4.5</v>
          </cell>
          <cell r="G932" t="str">
            <v xml:space="preserve">             Otros Sectores</v>
          </cell>
          <cell r="H932">
            <v>428.94099999999997</v>
          </cell>
          <cell r="I932">
            <v>4693.5149179999999</v>
          </cell>
        </row>
        <row r="933">
          <cell r="A933" t="str">
            <v>63594-BF_2.1.5</v>
          </cell>
          <cell r="B933" t="str">
            <v>QUINDIO</v>
          </cell>
          <cell r="C933">
            <v>63594</v>
          </cell>
          <cell r="D933" t="str">
            <v>QUIMBAYA</v>
          </cell>
          <cell r="E933">
            <v>67</v>
          </cell>
          <cell r="F933" t="str">
            <v>BF_2.1.5</v>
          </cell>
          <cell r="G933" t="str">
            <v xml:space="preserve">        INTERESES Y COMISIONES DE LA DEUDA</v>
          </cell>
          <cell r="H933">
            <v>219.10499999999999</v>
          </cell>
          <cell r="I933">
            <v>132.116747</v>
          </cell>
        </row>
        <row r="934">
          <cell r="A934" t="str">
            <v>63594-BF_2.1.5.1</v>
          </cell>
          <cell r="B934" t="str">
            <v>QUINDIO</v>
          </cell>
          <cell r="C934">
            <v>63594</v>
          </cell>
          <cell r="D934" t="str">
            <v>QUIMBAYA</v>
          </cell>
          <cell r="E934">
            <v>68</v>
          </cell>
          <cell r="F934" t="str">
            <v>BF_2.1.5.1</v>
          </cell>
          <cell r="G934" t="str">
            <v xml:space="preserve">             Interna</v>
          </cell>
          <cell r="H934">
            <v>219.10499999999999</v>
          </cell>
          <cell r="I934">
            <v>132.116747</v>
          </cell>
        </row>
        <row r="935">
          <cell r="A935" t="str">
            <v>63594-BF_3</v>
          </cell>
          <cell r="B935" t="str">
            <v>QUINDIO</v>
          </cell>
          <cell r="C935">
            <v>63594</v>
          </cell>
          <cell r="D935" t="str">
            <v>QUIMBAYA</v>
          </cell>
          <cell r="E935">
            <v>70</v>
          </cell>
          <cell r="F935" t="str">
            <v>BF_3</v>
          </cell>
          <cell r="G935" t="str">
            <v>DÉFICIT O AHORRO CORRIENTE</v>
          </cell>
          <cell r="H935">
            <v>5924.6880000000001</v>
          </cell>
          <cell r="I935">
            <v>-2370.0593509999999</v>
          </cell>
        </row>
        <row r="936">
          <cell r="A936" t="str">
            <v>63594-BF_4</v>
          </cell>
          <cell r="B936" t="str">
            <v>QUINDIO</v>
          </cell>
          <cell r="C936">
            <v>63594</v>
          </cell>
          <cell r="D936" t="str">
            <v>QUIMBAYA</v>
          </cell>
          <cell r="E936">
            <v>71</v>
          </cell>
          <cell r="F936" t="str">
            <v>BF_4</v>
          </cell>
          <cell r="G936" t="str">
            <v>INGRESOS DE CAPITAL</v>
          </cell>
          <cell r="H936">
            <v>425.46199999999999</v>
          </cell>
          <cell r="I936">
            <v>7155.4412560000001</v>
          </cell>
        </row>
        <row r="937">
          <cell r="A937" t="str">
            <v>63594-BF_4.1</v>
          </cell>
          <cell r="B937" t="str">
            <v>QUINDIO</v>
          </cell>
          <cell r="C937">
            <v>63594</v>
          </cell>
          <cell r="D937" t="str">
            <v>QUIMBAYA</v>
          </cell>
          <cell r="E937">
            <v>72</v>
          </cell>
          <cell r="F937" t="str">
            <v>BF_4.1</v>
          </cell>
          <cell r="G937" t="str">
            <v xml:space="preserve">    Cofinanciación</v>
          </cell>
          <cell r="H937">
            <v>314.33300000000003</v>
          </cell>
          <cell r="I937">
            <v>2079.126757</v>
          </cell>
        </row>
        <row r="938">
          <cell r="A938" t="str">
            <v>63594-BF_4.4</v>
          </cell>
          <cell r="B938" t="str">
            <v>QUINDIO</v>
          </cell>
          <cell r="C938">
            <v>63594</v>
          </cell>
          <cell r="D938" t="str">
            <v>QUIMBAYA</v>
          </cell>
          <cell r="E938">
            <v>75</v>
          </cell>
          <cell r="F938" t="str">
            <v>BF_4.4</v>
          </cell>
          <cell r="G938" t="str">
            <v xml:space="preserve">    Rendimientos Financieros</v>
          </cell>
          <cell r="H938">
            <v>111.129</v>
          </cell>
          <cell r="I938">
            <v>54.139806999999998</v>
          </cell>
        </row>
        <row r="939">
          <cell r="A939" t="str">
            <v>63594-BF_4.5</v>
          </cell>
          <cell r="B939" t="str">
            <v>QUINDIO</v>
          </cell>
          <cell r="C939">
            <v>63594</v>
          </cell>
          <cell r="D939" t="str">
            <v>QUIMBAYA</v>
          </cell>
          <cell r="E939">
            <v>76</v>
          </cell>
          <cell r="F939" t="str">
            <v>BF_4.5</v>
          </cell>
          <cell r="G939" t="str">
            <v xml:space="preserve">    Excedentes Financieros</v>
          </cell>
          <cell r="H939">
            <v>0</v>
          </cell>
          <cell r="I939">
            <v>63.464176999999999</v>
          </cell>
        </row>
        <row r="940">
          <cell r="A940" t="str">
            <v>63594-BF_4.6</v>
          </cell>
          <cell r="B940" t="str">
            <v>QUINDIO</v>
          </cell>
          <cell r="C940">
            <v>63594</v>
          </cell>
          <cell r="D940" t="str">
            <v>QUIMBAYA</v>
          </cell>
          <cell r="E940">
            <v>77</v>
          </cell>
          <cell r="F940" t="str">
            <v>BF_4.6</v>
          </cell>
          <cell r="G940" t="str">
            <v xml:space="preserve">    Desahorro FONPET</v>
          </cell>
          <cell r="H940">
            <v>0</v>
          </cell>
          <cell r="I940">
            <v>4859.739818</v>
          </cell>
        </row>
        <row r="941">
          <cell r="A941" t="str">
            <v>63594-BF_4.6.1</v>
          </cell>
          <cell r="B941" t="str">
            <v>QUINDIO</v>
          </cell>
          <cell r="C941">
            <v>63594</v>
          </cell>
          <cell r="D941" t="str">
            <v>QUIMBAYA</v>
          </cell>
          <cell r="E941">
            <v>78</v>
          </cell>
          <cell r="F941" t="str">
            <v>BF_4.6.1</v>
          </cell>
          <cell r="G941" t="str">
            <v xml:space="preserve">    Salud</v>
          </cell>
          <cell r="H941">
            <v>0</v>
          </cell>
          <cell r="I941">
            <v>3283.515997</v>
          </cell>
        </row>
        <row r="942">
          <cell r="A942" t="str">
            <v>63594-BF_4.6.4</v>
          </cell>
          <cell r="B942" t="str">
            <v>QUINDIO</v>
          </cell>
          <cell r="C942">
            <v>63594</v>
          </cell>
          <cell r="D942" t="str">
            <v>QUIMBAYA</v>
          </cell>
          <cell r="E942">
            <v>81</v>
          </cell>
          <cell r="F942" t="str">
            <v>BF_4.6.4</v>
          </cell>
          <cell r="G942" t="str">
            <v xml:space="preserve">    Otros Desahorros y Retiros (Cuotas partes, Bonos y Devoluciones)</v>
          </cell>
          <cell r="H942">
            <v>0</v>
          </cell>
          <cell r="I942">
            <v>1576.223821</v>
          </cell>
        </row>
        <row r="943">
          <cell r="A943" t="str">
            <v>63594-BF_4.7</v>
          </cell>
          <cell r="B943" t="str">
            <v>QUINDIO</v>
          </cell>
          <cell r="C943">
            <v>63594</v>
          </cell>
          <cell r="D943" t="str">
            <v>QUIMBAYA</v>
          </cell>
          <cell r="E943">
            <v>82</v>
          </cell>
          <cell r="F943" t="str">
            <v>BF_4.7</v>
          </cell>
          <cell r="G943" t="str">
            <v xml:space="preserve">    Otros Recursos de Capital (Donaciones, Aprovechamientos y Otros)</v>
          </cell>
          <cell r="H943">
            <v>0</v>
          </cell>
          <cell r="I943">
            <v>98.970697000000001</v>
          </cell>
        </row>
        <row r="944">
          <cell r="A944" t="str">
            <v>63594-BF_5</v>
          </cell>
          <cell r="B944" t="str">
            <v>QUINDIO</v>
          </cell>
          <cell r="C944">
            <v>63594</v>
          </cell>
          <cell r="D944" t="str">
            <v>QUIMBAYA</v>
          </cell>
          <cell r="E944">
            <v>83</v>
          </cell>
          <cell r="F944" t="str">
            <v>BF_5</v>
          </cell>
          <cell r="G944" t="str">
            <v>GASTOS DE CAPITAL</v>
          </cell>
          <cell r="H944">
            <v>7263.5680000000002</v>
          </cell>
          <cell r="I944">
            <v>9614.0461360000008</v>
          </cell>
        </row>
        <row r="945">
          <cell r="A945" t="str">
            <v>63594-BF_5.1</v>
          </cell>
          <cell r="B945" t="str">
            <v>QUINDIO</v>
          </cell>
          <cell r="C945">
            <v>63594</v>
          </cell>
          <cell r="D945" t="str">
            <v>QUIMBAYA</v>
          </cell>
          <cell r="E945">
            <v>84</v>
          </cell>
          <cell r="F945" t="str">
            <v>BF_5.1</v>
          </cell>
          <cell r="G945" t="str">
            <v xml:space="preserve">    Formación Bruta de Capital (Construcción, Reparación, Mantenimiento, Preinversión, Otros)</v>
          </cell>
          <cell r="H945">
            <v>7263.5680000000002</v>
          </cell>
          <cell r="I945">
            <v>9614.0461360000008</v>
          </cell>
        </row>
        <row r="946">
          <cell r="A946" t="str">
            <v>63594-BF_5.1.1</v>
          </cell>
          <cell r="B946" t="str">
            <v>QUINDIO</v>
          </cell>
          <cell r="C946">
            <v>63594</v>
          </cell>
          <cell r="D946" t="str">
            <v>QUIMBAYA</v>
          </cell>
          <cell r="E946">
            <v>85</v>
          </cell>
          <cell r="F946" t="str">
            <v>BF_5.1.1</v>
          </cell>
          <cell r="G946" t="str">
            <v xml:space="preserve">        Educación</v>
          </cell>
          <cell r="H946">
            <v>344.11799999999999</v>
          </cell>
          <cell r="I946">
            <v>364.64442600000001</v>
          </cell>
        </row>
        <row r="947">
          <cell r="A947" t="str">
            <v>63594-BF_5.1.2</v>
          </cell>
          <cell r="B947" t="str">
            <v>QUINDIO</v>
          </cell>
          <cell r="C947">
            <v>63594</v>
          </cell>
          <cell r="D947" t="str">
            <v>QUIMBAYA</v>
          </cell>
          <cell r="E947">
            <v>86</v>
          </cell>
          <cell r="F947" t="str">
            <v>BF_5.1.2</v>
          </cell>
          <cell r="G947" t="str">
            <v xml:space="preserve">        Salud</v>
          </cell>
          <cell r="H947">
            <v>5</v>
          </cell>
          <cell r="I947">
            <v>0</v>
          </cell>
        </row>
        <row r="948">
          <cell r="A948" t="str">
            <v>63594-BF_5.1.3</v>
          </cell>
          <cell r="B948" t="str">
            <v>QUINDIO</v>
          </cell>
          <cell r="C948">
            <v>63594</v>
          </cell>
          <cell r="D948" t="str">
            <v>QUIMBAYA</v>
          </cell>
          <cell r="E948">
            <v>87</v>
          </cell>
          <cell r="F948" t="str">
            <v>BF_5.1.3</v>
          </cell>
          <cell r="G948" t="str">
            <v xml:space="preserve">        Agua Potable</v>
          </cell>
          <cell r="H948">
            <v>414.68599999999998</v>
          </cell>
          <cell r="I948">
            <v>801.75485600000002</v>
          </cell>
        </row>
        <row r="949">
          <cell r="A949" t="str">
            <v>63594-BF_5.1.4</v>
          </cell>
          <cell r="B949" t="str">
            <v>QUINDIO</v>
          </cell>
          <cell r="C949">
            <v>63594</v>
          </cell>
          <cell r="D949" t="str">
            <v>QUIMBAYA</v>
          </cell>
          <cell r="E949">
            <v>88</v>
          </cell>
          <cell r="F949" t="str">
            <v>BF_5.1.4</v>
          </cell>
          <cell r="G949" t="str">
            <v xml:space="preserve">        Vivienda</v>
          </cell>
          <cell r="H949">
            <v>1001.8150000000001</v>
          </cell>
          <cell r="I949">
            <v>242.85134500000001</v>
          </cell>
        </row>
        <row r="950">
          <cell r="A950" t="str">
            <v>63594-BF_5.1.5</v>
          </cell>
          <cell r="B950" t="str">
            <v>QUINDIO</v>
          </cell>
          <cell r="C950">
            <v>63594</v>
          </cell>
          <cell r="D950" t="str">
            <v>QUIMBAYA</v>
          </cell>
          <cell r="E950">
            <v>89</v>
          </cell>
          <cell r="F950" t="str">
            <v>BF_5.1.5</v>
          </cell>
          <cell r="G950" t="str">
            <v xml:space="preserve">        Vías</v>
          </cell>
          <cell r="H950">
            <v>566.90599999999995</v>
          </cell>
          <cell r="I950">
            <v>2869.805699</v>
          </cell>
        </row>
        <row r="951">
          <cell r="A951" t="str">
            <v>63594-BF_5.1.6</v>
          </cell>
          <cell r="B951" t="str">
            <v>QUINDIO</v>
          </cell>
          <cell r="C951">
            <v>63594</v>
          </cell>
          <cell r="D951" t="str">
            <v>QUIMBAYA</v>
          </cell>
          <cell r="E951">
            <v>90</v>
          </cell>
          <cell r="F951" t="str">
            <v>BF_5.1.6</v>
          </cell>
          <cell r="G951" t="str">
            <v xml:space="preserve">        Otros Sectores</v>
          </cell>
          <cell r="H951">
            <v>4931.0429999999997</v>
          </cell>
          <cell r="I951">
            <v>5334.98981</v>
          </cell>
        </row>
        <row r="952">
          <cell r="A952" t="str">
            <v>63594-BF_6</v>
          </cell>
          <cell r="B952" t="str">
            <v>QUINDIO</v>
          </cell>
          <cell r="C952">
            <v>63594</v>
          </cell>
          <cell r="D952" t="str">
            <v>QUIMBAYA</v>
          </cell>
          <cell r="E952">
            <v>92</v>
          </cell>
          <cell r="F952" t="str">
            <v>BF_6</v>
          </cell>
          <cell r="G952" t="str">
            <v>DÉFICIT O SUPERÁVIT DE CAPITAL</v>
          </cell>
          <cell r="H952">
            <v>-6838.1059999999998</v>
          </cell>
          <cell r="I952">
            <v>-2458.6048799999999</v>
          </cell>
        </row>
        <row r="953">
          <cell r="A953" t="str">
            <v>63594-BF_7</v>
          </cell>
          <cell r="B953" t="str">
            <v>QUINDIO</v>
          </cell>
          <cell r="C953">
            <v>63594</v>
          </cell>
          <cell r="D953" t="str">
            <v>QUIMBAYA</v>
          </cell>
          <cell r="E953">
            <v>93</v>
          </cell>
          <cell r="F953" t="str">
            <v>BF_7</v>
          </cell>
          <cell r="G953" t="str">
            <v>DÉFICIT O SUPERÁVIT TOTAL</v>
          </cell>
          <cell r="H953">
            <v>-913.41800000000001</v>
          </cell>
          <cell r="I953">
            <v>-4828.6642309999997</v>
          </cell>
        </row>
        <row r="954">
          <cell r="A954" t="str">
            <v>63594-BF_8</v>
          </cell>
          <cell r="B954" t="str">
            <v>QUINDIO</v>
          </cell>
          <cell r="C954">
            <v>63594</v>
          </cell>
          <cell r="D954" t="str">
            <v>QUIMBAYA</v>
          </cell>
          <cell r="E954">
            <v>94</v>
          </cell>
          <cell r="F954" t="str">
            <v>BF_8</v>
          </cell>
          <cell r="G954" t="str">
            <v>FINANCIACIÓN</v>
          </cell>
          <cell r="H954">
            <v>3054.4360000000001</v>
          </cell>
          <cell r="I954">
            <v>4969.537378</v>
          </cell>
        </row>
        <row r="955">
          <cell r="A955" t="str">
            <v>63594-BF_8.1</v>
          </cell>
          <cell r="B955" t="str">
            <v>QUINDIO</v>
          </cell>
          <cell r="C955">
            <v>63594</v>
          </cell>
          <cell r="D955" t="str">
            <v>QUIMBAYA</v>
          </cell>
          <cell r="E955">
            <v>95</v>
          </cell>
          <cell r="F955" t="str">
            <v>BF_8.1</v>
          </cell>
          <cell r="G955" t="str">
            <v xml:space="preserve">    RECURSOS DEL CRÉDITO</v>
          </cell>
          <cell r="H955">
            <v>-672.90499999999997</v>
          </cell>
          <cell r="I955">
            <v>2256.6666679999998</v>
          </cell>
        </row>
        <row r="956">
          <cell r="A956" t="str">
            <v>63594-BF_8.1.1</v>
          </cell>
          <cell r="B956" t="str">
            <v>QUINDIO</v>
          </cell>
          <cell r="C956">
            <v>63594</v>
          </cell>
          <cell r="D956" t="str">
            <v>QUIMBAYA</v>
          </cell>
          <cell r="E956">
            <v>96</v>
          </cell>
          <cell r="F956" t="str">
            <v>BF_8.1.1</v>
          </cell>
          <cell r="G956" t="str">
            <v xml:space="preserve">        Interno</v>
          </cell>
          <cell r="H956">
            <v>-672.90499999999997</v>
          </cell>
          <cell r="I956">
            <v>2256.6666679999998</v>
          </cell>
        </row>
        <row r="957">
          <cell r="A957" t="str">
            <v>63594-BF_8.1.1.1</v>
          </cell>
          <cell r="B957" t="str">
            <v>QUINDIO</v>
          </cell>
          <cell r="C957">
            <v>63594</v>
          </cell>
          <cell r="D957" t="str">
            <v>QUIMBAYA</v>
          </cell>
          <cell r="E957">
            <v>97</v>
          </cell>
          <cell r="F957" t="str">
            <v>BF_8.1.1.1</v>
          </cell>
          <cell r="G957" t="str">
            <v xml:space="preserve">             Desembolsos</v>
          </cell>
          <cell r="H957">
            <v>0</v>
          </cell>
          <cell r="I957">
            <v>3000</v>
          </cell>
        </row>
        <row r="958">
          <cell r="A958" t="str">
            <v>63594-BF_8.1.1.2</v>
          </cell>
          <cell r="B958" t="str">
            <v>QUINDIO</v>
          </cell>
          <cell r="C958">
            <v>63594</v>
          </cell>
          <cell r="D958" t="str">
            <v>QUIMBAYA</v>
          </cell>
          <cell r="E958">
            <v>98</v>
          </cell>
          <cell r="F958" t="str">
            <v>BF_8.1.1.2</v>
          </cell>
          <cell r="G958" t="str">
            <v xml:space="preserve">             Amortizaciones</v>
          </cell>
          <cell r="H958">
            <v>672.90499999999997</v>
          </cell>
          <cell r="I958">
            <v>743.33333200000004</v>
          </cell>
        </row>
        <row r="959">
          <cell r="A959" t="str">
            <v>63594-BF_8.2</v>
          </cell>
          <cell r="B959" t="str">
            <v>QUINDIO</v>
          </cell>
          <cell r="C959">
            <v>63594</v>
          </cell>
          <cell r="D959" t="str">
            <v>QUIMBAYA</v>
          </cell>
          <cell r="E959">
            <v>102</v>
          </cell>
          <cell r="F959" t="str">
            <v>BF_8.2</v>
          </cell>
          <cell r="G959" t="str">
            <v xml:space="preserve">    Recursos del Balance (Superávit Fiscal, Cancelación de Reservas)</v>
          </cell>
          <cell r="H959">
            <v>3727.3409999999999</v>
          </cell>
          <cell r="I959">
            <v>2712.8707100000001</v>
          </cell>
        </row>
        <row r="960">
          <cell r="A960" t="str">
            <v>63594-BF_9.1</v>
          </cell>
          <cell r="B960" t="str">
            <v>QUINDIO</v>
          </cell>
          <cell r="C960">
            <v>63594</v>
          </cell>
          <cell r="D960" t="str">
            <v>QUIMBAYA</v>
          </cell>
          <cell r="E960">
            <v>107</v>
          </cell>
          <cell r="F960" t="str">
            <v>BF_9.1</v>
          </cell>
          <cell r="G960" t="str">
            <v xml:space="preserve">    DÉFICIT O SUPERÁVIT PRIMARIO</v>
          </cell>
          <cell r="H960">
            <v>3033.0279999999998</v>
          </cell>
          <cell r="I960">
            <v>-1983.676774</v>
          </cell>
        </row>
        <row r="961">
          <cell r="A961" t="str">
            <v>63594-BF_9.2</v>
          </cell>
          <cell r="B961" t="str">
            <v>QUINDIO</v>
          </cell>
          <cell r="C961">
            <v>63594</v>
          </cell>
          <cell r="D961" t="str">
            <v>QUIMBAYA</v>
          </cell>
          <cell r="E961">
            <v>108</v>
          </cell>
          <cell r="F961" t="str">
            <v>BF_9.2</v>
          </cell>
          <cell r="G961" t="str">
            <v xml:space="preserve">    DÉFICIT O SUPERÁVIT PRIMARIO/INTERESES</v>
          </cell>
          <cell r="H961">
            <v>13.843</v>
          </cell>
          <cell r="I961">
            <v>-15.014574753</v>
          </cell>
        </row>
        <row r="962">
          <cell r="A962" t="str">
            <v>63594-BF_10.1</v>
          </cell>
          <cell r="B962" t="str">
            <v>QUINDIO</v>
          </cell>
          <cell r="C962">
            <v>63594</v>
          </cell>
          <cell r="D962" t="str">
            <v>QUIMBAYA</v>
          </cell>
          <cell r="E962">
            <v>110</v>
          </cell>
          <cell r="F962" t="str">
            <v>BF_10.1</v>
          </cell>
          <cell r="G962" t="str">
            <v xml:space="preserve">    INGRESOS TOTALES SIN INCLUIR RECURSOS PARA RESERVAS PRESUPUESTALES</v>
          </cell>
          <cell r="H962">
            <v>33174.983</v>
          </cell>
          <cell r="I962">
            <v>41236.192395999999</v>
          </cell>
        </row>
        <row r="963">
          <cell r="A963" t="str">
            <v>63594-BF_10.2</v>
          </cell>
          <cell r="B963" t="str">
            <v>QUINDIO</v>
          </cell>
          <cell r="C963">
            <v>63594</v>
          </cell>
          <cell r="D963" t="str">
            <v>QUIMBAYA</v>
          </cell>
          <cell r="E963">
            <v>111</v>
          </cell>
          <cell r="F963" t="str">
            <v>BF_10.2</v>
          </cell>
          <cell r="G963" t="str">
            <v xml:space="preserve">    GASTOS TOTALES SIN INCLUIR GASTOS POR RESERVAS PRESUPUESTALES</v>
          </cell>
          <cell r="H963">
            <v>31033.965</v>
          </cell>
          <cell r="I963">
            <v>41095.319249</v>
          </cell>
        </row>
        <row r="964">
          <cell r="A964" t="str">
            <v>63594-BF_10.3</v>
          </cell>
          <cell r="B964" t="str">
            <v>QUINDIO</v>
          </cell>
          <cell r="C964">
            <v>63594</v>
          </cell>
          <cell r="D964" t="str">
            <v>QUIMBAYA</v>
          </cell>
          <cell r="E964">
            <v>112</v>
          </cell>
          <cell r="F964" t="str">
            <v>BF_10.3</v>
          </cell>
          <cell r="G964" t="str">
            <v xml:space="preserve">    DÉFICIT O SUPERÁVIT PRESUPUESTAL SIN INCLUIR RESERVAS PRESUPUESTALES</v>
          </cell>
          <cell r="H964">
            <v>2141.018</v>
          </cell>
          <cell r="I964">
            <v>140.87314699999999</v>
          </cell>
        </row>
        <row r="965">
          <cell r="A965" t="str">
            <v>63594-BF_12.1</v>
          </cell>
          <cell r="B965" t="str">
            <v>QUINDIO</v>
          </cell>
          <cell r="C965">
            <v>63594</v>
          </cell>
          <cell r="D965" t="str">
            <v>QUIMBAYA</v>
          </cell>
          <cell r="E965">
            <v>114</v>
          </cell>
          <cell r="F965" t="str">
            <v>BF_12.1</v>
          </cell>
          <cell r="G965" t="str">
            <v xml:space="preserve">    INGRESOS TOTALES</v>
          </cell>
          <cell r="H965">
            <v>33568.898000000001</v>
          </cell>
          <cell r="I965">
            <v>41868.467286999999</v>
          </cell>
        </row>
        <row r="966">
          <cell r="A966" t="str">
            <v>63594-BF_12.2</v>
          </cell>
          <cell r="B966" t="str">
            <v>QUINDIO</v>
          </cell>
          <cell r="C966">
            <v>63594</v>
          </cell>
          <cell r="D966" t="str">
            <v>QUIMBAYA</v>
          </cell>
          <cell r="E966">
            <v>115</v>
          </cell>
          <cell r="F966" t="str">
            <v>BF_12.2</v>
          </cell>
          <cell r="G966" t="str">
            <v xml:space="preserve">    GASTOS TOTALES</v>
          </cell>
          <cell r="H966">
            <v>31427.88</v>
          </cell>
          <cell r="I966">
            <v>41727.594140000001</v>
          </cell>
        </row>
        <row r="967">
          <cell r="A967" t="str">
            <v>63594-BF_12.3</v>
          </cell>
          <cell r="B967" t="str">
            <v>QUINDIO</v>
          </cell>
          <cell r="C967">
            <v>63594</v>
          </cell>
          <cell r="D967" t="str">
            <v>QUIMBAYA</v>
          </cell>
          <cell r="E967">
            <v>116</v>
          </cell>
          <cell r="F967" t="str">
            <v>BF_12.3</v>
          </cell>
          <cell r="G967" t="str">
            <v xml:space="preserve">    DÉFICIT O SUPERÁVIT PRESUPUESTAL</v>
          </cell>
          <cell r="H967">
            <v>2141.018</v>
          </cell>
          <cell r="I967">
            <v>140.87314699999999</v>
          </cell>
        </row>
        <row r="968">
          <cell r="A968" t="str">
            <v>63594-BF_13.1</v>
          </cell>
          <cell r="B968" t="str">
            <v>QUINDIO</v>
          </cell>
          <cell r="C968">
            <v>63594</v>
          </cell>
          <cell r="D968" t="str">
            <v>QUIMBAYA</v>
          </cell>
          <cell r="E968">
            <v>118</v>
          </cell>
          <cell r="F968" t="str">
            <v>BF_13.1</v>
          </cell>
          <cell r="G968" t="str">
            <v xml:space="preserve">    Recursos que Financian Reservas Presupuestales Excepcionales (Ley 819/2003)</v>
          </cell>
          <cell r="H968">
            <v>393.91500000000002</v>
          </cell>
          <cell r="I968">
            <v>632.27489100000003</v>
          </cell>
        </row>
        <row r="969">
          <cell r="A969" t="str">
            <v>63594-BF_13.2</v>
          </cell>
          <cell r="B969" t="str">
            <v>QUINDIO</v>
          </cell>
          <cell r="C969">
            <v>63594</v>
          </cell>
          <cell r="D969" t="str">
            <v>QUIMBAYA</v>
          </cell>
          <cell r="E969">
            <v>119</v>
          </cell>
          <cell r="F969" t="str">
            <v>BF_13.2</v>
          </cell>
          <cell r="G969" t="str">
            <v xml:space="preserve">    Reservas Presupuestales de Funcionamiento Vigencia Anterior</v>
          </cell>
          <cell r="H969">
            <v>22.140999999999998</v>
          </cell>
          <cell r="I969">
            <v>30.913228</v>
          </cell>
        </row>
        <row r="970">
          <cell r="A970" t="str">
            <v>63594-BF_13.3</v>
          </cell>
          <cell r="B970" t="str">
            <v>QUINDIO</v>
          </cell>
          <cell r="C970">
            <v>63594</v>
          </cell>
          <cell r="D970" t="str">
            <v>QUIMBAYA</v>
          </cell>
          <cell r="E970">
            <v>120</v>
          </cell>
          <cell r="F970" t="str">
            <v>BF_13.3</v>
          </cell>
          <cell r="G970" t="str">
            <v xml:space="preserve">    Reservas Presupuestales de Inversión Vigencia Anterior</v>
          </cell>
          <cell r="H970">
            <v>371.774</v>
          </cell>
          <cell r="I970">
            <v>601.36166300000002</v>
          </cell>
        </row>
        <row r="971">
          <cell r="A971" t="str">
            <v>63690-BF_1</v>
          </cell>
          <cell r="B971" t="str">
            <v>QUINDIO</v>
          </cell>
          <cell r="C971">
            <v>63690</v>
          </cell>
          <cell r="D971" t="str">
            <v>SALENTO</v>
          </cell>
          <cell r="E971">
            <v>1</v>
          </cell>
          <cell r="F971" t="str">
            <v>BF_1</v>
          </cell>
          <cell r="G971" t="str">
            <v>INGRESOS TOTALES</v>
          </cell>
          <cell r="H971">
            <v>9383.6309999999994</v>
          </cell>
          <cell r="I971">
            <v>9522.8284490000005</v>
          </cell>
        </row>
        <row r="972">
          <cell r="A972" t="str">
            <v>63690-BF_1.1</v>
          </cell>
          <cell r="B972" t="str">
            <v>QUINDIO</v>
          </cell>
          <cell r="C972">
            <v>63690</v>
          </cell>
          <cell r="D972" t="str">
            <v>SALENTO</v>
          </cell>
          <cell r="E972">
            <v>2</v>
          </cell>
          <cell r="F972" t="str">
            <v>BF_1.1</v>
          </cell>
          <cell r="G972" t="str">
            <v xml:space="preserve">    INGRESOS CORRIENTES</v>
          </cell>
          <cell r="H972">
            <v>8347.348</v>
          </cell>
          <cell r="I972">
            <v>8471.0617299999994</v>
          </cell>
        </row>
        <row r="973">
          <cell r="A973" t="str">
            <v>63690-BF_1.1.1</v>
          </cell>
          <cell r="B973" t="str">
            <v>QUINDIO</v>
          </cell>
          <cell r="C973">
            <v>63690</v>
          </cell>
          <cell r="D973" t="str">
            <v>SALENTO</v>
          </cell>
          <cell r="E973">
            <v>3</v>
          </cell>
          <cell r="F973" t="str">
            <v>BF_1.1.1</v>
          </cell>
          <cell r="G973" t="str">
            <v xml:space="preserve">        TRIBUTARIOS</v>
          </cell>
          <cell r="H973">
            <v>2959.3679999999999</v>
          </cell>
          <cell r="I973">
            <v>3268.8802150000001</v>
          </cell>
        </row>
        <row r="974">
          <cell r="A974" t="str">
            <v>63690-BF_1.1.1.2</v>
          </cell>
          <cell r="B974" t="str">
            <v>QUINDIO</v>
          </cell>
          <cell r="C974">
            <v>63690</v>
          </cell>
          <cell r="D974" t="str">
            <v>SALENTO</v>
          </cell>
          <cell r="E974">
            <v>5</v>
          </cell>
          <cell r="F974" t="str">
            <v>BF_1.1.1.2</v>
          </cell>
          <cell r="G974" t="str">
            <v xml:space="preserve">             Impuesto Predial Unificado</v>
          </cell>
          <cell r="H974">
            <v>1022.333</v>
          </cell>
          <cell r="I974">
            <v>1083.926287</v>
          </cell>
        </row>
        <row r="975">
          <cell r="A975" t="str">
            <v>63690-BF_1.1.1.3</v>
          </cell>
          <cell r="B975" t="str">
            <v>QUINDIO</v>
          </cell>
          <cell r="C975">
            <v>63690</v>
          </cell>
          <cell r="D975" t="str">
            <v>SALENTO</v>
          </cell>
          <cell r="E975">
            <v>6</v>
          </cell>
          <cell r="F975" t="str">
            <v>BF_1.1.1.3</v>
          </cell>
          <cell r="G975" t="str">
            <v xml:space="preserve">             Impuesto de Industria y Comercio</v>
          </cell>
          <cell r="H975">
            <v>461.95499999999998</v>
          </cell>
          <cell r="I975">
            <v>531.98068999999998</v>
          </cell>
        </row>
        <row r="976">
          <cell r="A976" t="str">
            <v>63690-BF_1.1.1.8</v>
          </cell>
          <cell r="B976" t="str">
            <v>QUINDIO</v>
          </cell>
          <cell r="C976">
            <v>63690</v>
          </cell>
          <cell r="D976" t="str">
            <v>SALENTO</v>
          </cell>
          <cell r="E976">
            <v>11</v>
          </cell>
          <cell r="F976" t="str">
            <v>BF_1.1.1.8</v>
          </cell>
          <cell r="G976" t="str">
            <v xml:space="preserve">             Sobretasa Consumo Gasolina Motor</v>
          </cell>
          <cell r="H976">
            <v>640.13199999999995</v>
          </cell>
          <cell r="I976">
            <v>677.16200000000003</v>
          </cell>
        </row>
        <row r="977">
          <cell r="A977" t="str">
            <v>63690-BF_1.1.1.9</v>
          </cell>
          <cell r="B977" t="str">
            <v>QUINDIO</v>
          </cell>
          <cell r="C977">
            <v>63690</v>
          </cell>
          <cell r="D977" t="str">
            <v>SALENTO</v>
          </cell>
          <cell r="E977">
            <v>12</v>
          </cell>
          <cell r="F977" t="str">
            <v>BF_1.1.1.9</v>
          </cell>
          <cell r="G977" t="str">
            <v xml:space="preserve">             Estampillas</v>
          </cell>
          <cell r="H977">
            <v>187.72</v>
          </cell>
          <cell r="I977">
            <v>152.938005</v>
          </cell>
        </row>
        <row r="978">
          <cell r="A978" t="str">
            <v>63690-BF_1.1.1.10</v>
          </cell>
          <cell r="B978" t="str">
            <v>QUINDIO</v>
          </cell>
          <cell r="C978">
            <v>63690</v>
          </cell>
          <cell r="D978" t="str">
            <v>SALENTO</v>
          </cell>
          <cell r="E978">
            <v>13</v>
          </cell>
          <cell r="F978" t="str">
            <v>BF_1.1.1.10</v>
          </cell>
          <cell r="G978" t="str">
            <v xml:space="preserve">             Impuesto de Transporte por Oleoductos y Gasoductos</v>
          </cell>
          <cell r="H978">
            <v>1.7110000000000001</v>
          </cell>
          <cell r="I978">
            <v>3.9983999999999999E-2</v>
          </cell>
        </row>
        <row r="979">
          <cell r="A979" t="str">
            <v>63690-BF_1.1.1.12</v>
          </cell>
          <cell r="B979" t="str">
            <v>QUINDIO</v>
          </cell>
          <cell r="C979">
            <v>63690</v>
          </cell>
          <cell r="D979" t="str">
            <v>SALENTO</v>
          </cell>
          <cell r="E979">
            <v>15</v>
          </cell>
          <cell r="F979" t="str">
            <v>BF_1.1.1.12</v>
          </cell>
          <cell r="G979" t="str">
            <v xml:space="preserve">             Otros Ingresos Tributarios</v>
          </cell>
          <cell r="H979">
            <v>645.51700000000005</v>
          </cell>
          <cell r="I979">
            <v>822.83324900000002</v>
          </cell>
        </row>
        <row r="980">
          <cell r="A980" t="str">
            <v>63690-BF_1.1.2</v>
          </cell>
          <cell r="B980" t="str">
            <v>QUINDIO</v>
          </cell>
          <cell r="C980">
            <v>63690</v>
          </cell>
          <cell r="D980" t="str">
            <v>SALENTO</v>
          </cell>
          <cell r="E980">
            <v>16</v>
          </cell>
          <cell r="F980" t="str">
            <v>BF_1.1.2</v>
          </cell>
          <cell r="G980" t="str">
            <v xml:space="preserve">        NO TRIBUTARIOS</v>
          </cell>
          <cell r="H980">
            <v>184.58</v>
          </cell>
          <cell r="I980">
            <v>245.30144100000001</v>
          </cell>
        </row>
        <row r="981">
          <cell r="A981" t="str">
            <v>63690-BF_1.1.2.1</v>
          </cell>
          <cell r="B981" t="str">
            <v>QUINDIO</v>
          </cell>
          <cell r="C981">
            <v>63690</v>
          </cell>
          <cell r="D981" t="str">
            <v>SALENTO</v>
          </cell>
          <cell r="E981">
            <v>17</v>
          </cell>
          <cell r="F981" t="str">
            <v>BF_1.1.2.1</v>
          </cell>
          <cell r="G981" t="str">
            <v xml:space="preserve">             Ingresos de la Propiedad: Tasas, Derechos, Multas y Sanciones</v>
          </cell>
          <cell r="H981">
            <v>184.58</v>
          </cell>
          <cell r="I981">
            <v>242.98144099999999</v>
          </cell>
        </row>
        <row r="982">
          <cell r="A982" t="str">
            <v>63690-BF_1.1.2.2</v>
          </cell>
          <cell r="B982" t="str">
            <v>QUINDIO</v>
          </cell>
          <cell r="C982">
            <v>63690</v>
          </cell>
          <cell r="D982" t="str">
            <v>SALENTO</v>
          </cell>
          <cell r="E982">
            <v>18</v>
          </cell>
          <cell r="F982" t="str">
            <v>BF_1.1.2.2</v>
          </cell>
          <cell r="G982" t="str">
            <v xml:space="preserve">             Otros No Tributarios</v>
          </cell>
          <cell r="H982">
            <v>0</v>
          </cell>
          <cell r="I982">
            <v>2.3199999999999998</v>
          </cell>
        </row>
        <row r="983">
          <cell r="A983" t="str">
            <v>63690-BF_1.1.3</v>
          </cell>
          <cell r="B983" t="str">
            <v>QUINDIO</v>
          </cell>
          <cell r="C983">
            <v>63690</v>
          </cell>
          <cell r="D983" t="str">
            <v>SALENTO</v>
          </cell>
          <cell r="E983">
            <v>19</v>
          </cell>
          <cell r="F983" t="str">
            <v>BF_1.1.3</v>
          </cell>
          <cell r="G983" t="str">
            <v xml:space="preserve">        TRANSFERENCIAS</v>
          </cell>
          <cell r="H983">
            <v>5203.3999999999996</v>
          </cell>
          <cell r="I983">
            <v>4956.8800739999997</v>
          </cell>
        </row>
        <row r="984">
          <cell r="A984" t="str">
            <v>63690-BF_1.1.3.1</v>
          </cell>
          <cell r="B984" t="str">
            <v>QUINDIO</v>
          </cell>
          <cell r="C984">
            <v>63690</v>
          </cell>
          <cell r="D984" t="str">
            <v>SALENTO</v>
          </cell>
          <cell r="E984">
            <v>20</v>
          </cell>
          <cell r="F984" t="str">
            <v>BF_1.1.3.1</v>
          </cell>
          <cell r="G984" t="str">
            <v xml:space="preserve">             Transferencias Para Funcionamiento</v>
          </cell>
          <cell r="H984">
            <v>859.99599999999998</v>
          </cell>
          <cell r="I984">
            <v>822.44993699999998</v>
          </cell>
        </row>
        <row r="985">
          <cell r="A985" t="str">
            <v>63690-BF_1.1.3.1.1</v>
          </cell>
          <cell r="B985" t="str">
            <v>QUINDIO</v>
          </cell>
          <cell r="C985">
            <v>63690</v>
          </cell>
          <cell r="D985" t="str">
            <v>SALENTO</v>
          </cell>
          <cell r="E985">
            <v>21</v>
          </cell>
          <cell r="F985" t="str">
            <v>BF_1.1.3.1.1</v>
          </cell>
          <cell r="G985" t="str">
            <v xml:space="preserve">                 Del Nivel Nacional</v>
          </cell>
          <cell r="H985">
            <v>835.92200000000003</v>
          </cell>
          <cell r="I985">
            <v>788.13239999999996</v>
          </cell>
        </row>
        <row r="986">
          <cell r="A986" t="str">
            <v>63690-BF_1.1.3.1.1.1</v>
          </cell>
          <cell r="B986" t="str">
            <v>QUINDIO</v>
          </cell>
          <cell r="C986">
            <v>63690</v>
          </cell>
          <cell r="D986" t="str">
            <v>SALENTO</v>
          </cell>
          <cell r="E986">
            <v>22</v>
          </cell>
          <cell r="F986" t="str">
            <v>BF_1.1.3.1.1.1</v>
          </cell>
          <cell r="G986" t="str">
            <v xml:space="preserve">                     Sistema General de Participaciones - Propósito General - Libre destinación - Municipios categorías 4, 5 y 6</v>
          </cell>
          <cell r="H986">
            <v>835.92200000000003</v>
          </cell>
          <cell r="I986">
            <v>788.13239999999996</v>
          </cell>
        </row>
        <row r="987">
          <cell r="A987" t="str">
            <v>63690-BF_1.1.3.1.2</v>
          </cell>
          <cell r="B987" t="str">
            <v>QUINDIO</v>
          </cell>
          <cell r="C987">
            <v>63690</v>
          </cell>
          <cell r="D987" t="str">
            <v>SALENTO</v>
          </cell>
          <cell r="E987">
            <v>24</v>
          </cell>
          <cell r="F987" t="str">
            <v>BF_1.1.3.1.2</v>
          </cell>
          <cell r="G987" t="str">
            <v xml:space="preserve">                 Del Nivel Departamental</v>
          </cell>
          <cell r="H987">
            <v>24.074000000000002</v>
          </cell>
          <cell r="I987">
            <v>34.317537000000002</v>
          </cell>
        </row>
        <row r="988">
          <cell r="A988" t="str">
            <v>63690-BF_1.1.3.1.2.1</v>
          </cell>
          <cell r="B988" t="str">
            <v>QUINDIO</v>
          </cell>
          <cell r="C988">
            <v>63690</v>
          </cell>
          <cell r="D988" t="str">
            <v>SALENTO</v>
          </cell>
          <cell r="E988">
            <v>25</v>
          </cell>
          <cell r="F988" t="str">
            <v>BF_1.1.3.1.2.1</v>
          </cell>
          <cell r="G988" t="str">
            <v xml:space="preserve">                     De Vehículos Automotores</v>
          </cell>
          <cell r="H988">
            <v>24.074000000000002</v>
          </cell>
          <cell r="I988">
            <v>34.317537000000002</v>
          </cell>
        </row>
        <row r="989">
          <cell r="A989" t="str">
            <v>63690-BF_1.1.3.2</v>
          </cell>
          <cell r="B989" t="str">
            <v>QUINDIO</v>
          </cell>
          <cell r="C989">
            <v>63690</v>
          </cell>
          <cell r="D989" t="str">
            <v>SALENTO</v>
          </cell>
          <cell r="E989">
            <v>28</v>
          </cell>
          <cell r="F989" t="str">
            <v>BF_1.1.3.2</v>
          </cell>
          <cell r="G989" t="str">
            <v xml:space="preserve">             Transferencias Para Inversión</v>
          </cell>
          <cell r="H989">
            <v>4343.4040000000005</v>
          </cell>
          <cell r="I989">
            <v>4134.4301370000003</v>
          </cell>
        </row>
        <row r="990">
          <cell r="A990" t="str">
            <v>63690-BF_1.1.3.2.1</v>
          </cell>
          <cell r="B990" t="str">
            <v>QUINDIO</v>
          </cell>
          <cell r="C990">
            <v>63690</v>
          </cell>
          <cell r="D990" t="str">
            <v>SALENTO</v>
          </cell>
          <cell r="E990">
            <v>29</v>
          </cell>
          <cell r="F990" t="str">
            <v>BF_1.1.3.2.1</v>
          </cell>
          <cell r="G990" t="str">
            <v xml:space="preserve">                 Del Nivel Nacional</v>
          </cell>
          <cell r="H990">
            <v>4012.127</v>
          </cell>
          <cell r="I990">
            <v>3603.2885700000002</v>
          </cell>
        </row>
        <row r="991">
          <cell r="A991" t="str">
            <v>63690-BF_1.1.3.2.1.1</v>
          </cell>
          <cell r="B991" t="str">
            <v>QUINDIO</v>
          </cell>
          <cell r="C991">
            <v>63690</v>
          </cell>
          <cell r="D991" t="str">
            <v>SALENTO</v>
          </cell>
          <cell r="E991">
            <v>30</v>
          </cell>
          <cell r="F991" t="str">
            <v>BF_1.1.3.2.1.1</v>
          </cell>
          <cell r="G991" t="str">
            <v xml:space="preserve">                     Sistema General de Participaciones</v>
          </cell>
          <cell r="H991">
            <v>2742.5030000000002</v>
          </cell>
          <cell r="I991">
            <v>2619.1385799999998</v>
          </cell>
        </row>
        <row r="992">
          <cell r="A992" t="str">
            <v>63690-BF_1.1.3.2.1.1.1</v>
          </cell>
          <cell r="B992" t="str">
            <v>QUINDIO</v>
          </cell>
          <cell r="C992">
            <v>63690</v>
          </cell>
          <cell r="D992" t="str">
            <v>SALENTO</v>
          </cell>
          <cell r="E992">
            <v>31</v>
          </cell>
          <cell r="F992" t="str">
            <v>BF_1.1.3.2.1.1.1</v>
          </cell>
          <cell r="G992" t="str">
            <v xml:space="preserve">                         Sistema General de Participaciones - Educación</v>
          </cell>
          <cell r="H992">
            <v>218.523</v>
          </cell>
          <cell r="I992">
            <v>209.36172300000001</v>
          </cell>
        </row>
        <row r="993">
          <cell r="A993" t="str">
            <v>63690-BF_1.1.3.2.1.1.2</v>
          </cell>
          <cell r="B993" t="str">
            <v>QUINDIO</v>
          </cell>
          <cell r="C993">
            <v>63690</v>
          </cell>
          <cell r="D993" t="str">
            <v>SALENTO</v>
          </cell>
          <cell r="E993">
            <v>32</v>
          </cell>
          <cell r="F993" t="str">
            <v>BF_1.1.3.2.1.1.2</v>
          </cell>
          <cell r="G993" t="str">
            <v xml:space="preserve">                         Sistema General de Participaciones - Salud</v>
          </cell>
          <cell r="H993">
            <v>1107.452</v>
          </cell>
          <cell r="I993">
            <v>1061.9037169999999</v>
          </cell>
        </row>
        <row r="994">
          <cell r="A994" t="str">
            <v>63690-BF_1.1.3.2.1.1.3</v>
          </cell>
          <cell r="B994" t="str">
            <v>QUINDIO</v>
          </cell>
          <cell r="C994">
            <v>63690</v>
          </cell>
          <cell r="D994" t="str">
            <v>SALENTO</v>
          </cell>
          <cell r="E994">
            <v>33</v>
          </cell>
          <cell r="F994" t="str">
            <v>BF_1.1.3.2.1.1.3</v>
          </cell>
          <cell r="G994" t="str">
            <v xml:space="preserve">                         Sistema General de Participaciones - Agua Potable y Saneamiento Básico</v>
          </cell>
          <cell r="H994">
            <v>300.97399999999999</v>
          </cell>
          <cell r="I994">
            <v>302.68918300000001</v>
          </cell>
        </row>
        <row r="995">
          <cell r="A995" t="str">
            <v>63690-BF_1.1.3.2.1.1.4</v>
          </cell>
          <cell r="B995" t="str">
            <v>QUINDIO</v>
          </cell>
          <cell r="C995">
            <v>63690</v>
          </cell>
          <cell r="D995" t="str">
            <v>SALENTO</v>
          </cell>
          <cell r="E995">
            <v>34</v>
          </cell>
          <cell r="F995" t="str">
            <v>BF_1.1.3.2.1.1.4</v>
          </cell>
          <cell r="G995" t="str">
            <v xml:space="preserve">                         Sistema General de Participaciones - Propósito General - Forzosa Inversión</v>
          </cell>
          <cell r="H995">
            <v>1083.8879999999999</v>
          </cell>
          <cell r="I995">
            <v>1026.887095</v>
          </cell>
        </row>
        <row r="996">
          <cell r="A996" t="str">
            <v>63690-BF_1.1.3.2.1.1.5</v>
          </cell>
          <cell r="B996" t="str">
            <v>QUINDIO</v>
          </cell>
          <cell r="C996">
            <v>63690</v>
          </cell>
          <cell r="D996" t="str">
            <v>SALENTO</v>
          </cell>
          <cell r="E996">
            <v>35</v>
          </cell>
          <cell r="F996" t="str">
            <v>BF_1.1.3.2.1.1.5</v>
          </cell>
          <cell r="G996" t="str">
            <v xml:space="preserve">                         Otras del Sistema General de Participaciones</v>
          </cell>
          <cell r="H996">
            <v>31.666</v>
          </cell>
          <cell r="I996">
            <v>18.296862000000001</v>
          </cell>
        </row>
        <row r="997">
          <cell r="A997" t="str">
            <v>63690-BF_1.1.3.2.1.2</v>
          </cell>
          <cell r="B997" t="str">
            <v>QUINDIO</v>
          </cell>
          <cell r="C997">
            <v>63690</v>
          </cell>
          <cell r="D997" t="str">
            <v>SALENTO</v>
          </cell>
          <cell r="E997">
            <v>36</v>
          </cell>
          <cell r="F997" t="str">
            <v>BF_1.1.3.2.1.2</v>
          </cell>
          <cell r="G997" t="str">
            <v xml:space="preserve">                     FOSYGA y COLJUEGOS</v>
          </cell>
          <cell r="H997">
            <v>1211.654</v>
          </cell>
          <cell r="I997">
            <v>984.14999</v>
          </cell>
        </row>
        <row r="998">
          <cell r="A998" t="str">
            <v>63690-BF_1.1.3.2.1.3</v>
          </cell>
          <cell r="B998" t="str">
            <v>QUINDIO</v>
          </cell>
          <cell r="C998">
            <v>63690</v>
          </cell>
          <cell r="D998" t="str">
            <v>SALENTO</v>
          </cell>
          <cell r="E998">
            <v>37</v>
          </cell>
          <cell r="F998" t="str">
            <v>BF_1.1.3.2.1.3</v>
          </cell>
          <cell r="G998" t="str">
            <v xml:space="preserve">                     Otras Transferencias de la Nación</v>
          </cell>
          <cell r="H998">
            <v>57.97</v>
          </cell>
          <cell r="I998">
            <v>0</v>
          </cell>
        </row>
        <row r="999">
          <cell r="A999" t="str">
            <v>63690-BF_1.1.3.2.2</v>
          </cell>
          <cell r="B999" t="str">
            <v>QUINDIO</v>
          </cell>
          <cell r="C999">
            <v>63690</v>
          </cell>
          <cell r="D999" t="str">
            <v>SALENTO</v>
          </cell>
          <cell r="E999">
            <v>38</v>
          </cell>
          <cell r="F999" t="str">
            <v>BF_1.1.3.2.2</v>
          </cell>
          <cell r="G999" t="str">
            <v xml:space="preserve">                 Del Nivel Departamental</v>
          </cell>
          <cell r="H999">
            <v>331.27699999999999</v>
          </cell>
          <cell r="I999">
            <v>386.52956699999999</v>
          </cell>
        </row>
        <row r="1000">
          <cell r="A1000" t="str">
            <v>63690-BF_1.1.3.2.4</v>
          </cell>
          <cell r="B1000" t="str">
            <v>QUINDIO</v>
          </cell>
          <cell r="C1000">
            <v>63690</v>
          </cell>
          <cell r="D1000" t="str">
            <v>SALENTO</v>
          </cell>
          <cell r="E1000">
            <v>40</v>
          </cell>
          <cell r="F1000" t="str">
            <v>BF_1.1.3.2.4</v>
          </cell>
          <cell r="G1000" t="str">
            <v xml:space="preserve">                 Sector Descentralizado</v>
          </cell>
          <cell r="H1000">
            <v>0</v>
          </cell>
          <cell r="I1000">
            <v>144.61199999999999</v>
          </cell>
        </row>
        <row r="1001">
          <cell r="A1001" t="str">
            <v>63690-BF_2</v>
          </cell>
          <cell r="B1001" t="str">
            <v>QUINDIO</v>
          </cell>
          <cell r="C1001">
            <v>63690</v>
          </cell>
          <cell r="D1001" t="str">
            <v>SALENTO</v>
          </cell>
          <cell r="E1001">
            <v>43</v>
          </cell>
          <cell r="F1001" t="str">
            <v>BF_2</v>
          </cell>
          <cell r="G1001" t="str">
            <v>GASTOS  TOTALES</v>
          </cell>
          <cell r="H1001">
            <v>11440.928</v>
          </cell>
          <cell r="I1001">
            <v>8512.1702129999994</v>
          </cell>
        </row>
        <row r="1002">
          <cell r="A1002" t="str">
            <v>63690-BF_2.1</v>
          </cell>
          <cell r="B1002" t="str">
            <v>QUINDIO</v>
          </cell>
          <cell r="C1002">
            <v>63690</v>
          </cell>
          <cell r="D1002" t="str">
            <v>SALENTO</v>
          </cell>
          <cell r="E1002">
            <v>44</v>
          </cell>
          <cell r="F1002" t="str">
            <v>BF_2.1</v>
          </cell>
          <cell r="G1002" t="str">
            <v xml:space="preserve">    GASTOS CORRIENTES</v>
          </cell>
          <cell r="H1002">
            <v>5276.9740000000002</v>
          </cell>
          <cell r="I1002">
            <v>7123.8175190000002</v>
          </cell>
        </row>
        <row r="1003">
          <cell r="A1003" t="str">
            <v>63690-BF_2.1.1</v>
          </cell>
          <cell r="B1003" t="str">
            <v>QUINDIO</v>
          </cell>
          <cell r="C1003">
            <v>63690</v>
          </cell>
          <cell r="D1003" t="str">
            <v>SALENTO</v>
          </cell>
          <cell r="E1003">
            <v>45</v>
          </cell>
          <cell r="F1003" t="str">
            <v>BF_2.1.1</v>
          </cell>
          <cell r="G1003" t="str">
            <v xml:space="preserve">        FUNCIONAMIENTO</v>
          </cell>
          <cell r="H1003">
            <v>1762.771</v>
          </cell>
          <cell r="I1003">
            <v>1965.6439049999999</v>
          </cell>
        </row>
        <row r="1004">
          <cell r="A1004" t="str">
            <v>63690-BF_2.1.1.1</v>
          </cell>
          <cell r="B1004" t="str">
            <v>QUINDIO</v>
          </cell>
          <cell r="C1004">
            <v>63690</v>
          </cell>
          <cell r="D1004" t="str">
            <v>SALENTO</v>
          </cell>
          <cell r="E1004">
            <v>46</v>
          </cell>
          <cell r="F1004" t="str">
            <v>BF_2.1.1.1</v>
          </cell>
          <cell r="G1004" t="str">
            <v xml:space="preserve">             Gastos de Personal  </v>
          </cell>
          <cell r="H1004">
            <v>1051.7570000000001</v>
          </cell>
          <cell r="I1004">
            <v>1192.255009</v>
          </cell>
        </row>
        <row r="1005">
          <cell r="A1005" t="str">
            <v>63690-BF_2.1.1.2</v>
          </cell>
          <cell r="B1005" t="str">
            <v>QUINDIO</v>
          </cell>
          <cell r="C1005">
            <v>63690</v>
          </cell>
          <cell r="D1005" t="str">
            <v>SALENTO</v>
          </cell>
          <cell r="E1005">
            <v>47</v>
          </cell>
          <cell r="F1005" t="str">
            <v>BF_2.1.1.2</v>
          </cell>
          <cell r="G1005" t="str">
            <v xml:space="preserve">             Gastos Generales</v>
          </cell>
          <cell r="H1005">
            <v>392.03100000000001</v>
          </cell>
          <cell r="I1005">
            <v>435.53652499999998</v>
          </cell>
        </row>
        <row r="1006">
          <cell r="A1006" t="str">
            <v>63690-BF_2.1.1.3</v>
          </cell>
          <cell r="B1006" t="str">
            <v>QUINDIO</v>
          </cell>
          <cell r="C1006">
            <v>63690</v>
          </cell>
          <cell r="D1006" t="str">
            <v>SALENTO</v>
          </cell>
          <cell r="E1006">
            <v>48</v>
          </cell>
          <cell r="F1006" t="str">
            <v>BF_2.1.1.3</v>
          </cell>
          <cell r="G1006" t="str">
            <v xml:space="preserve">             Transferencias</v>
          </cell>
          <cell r="H1006">
            <v>318.983</v>
          </cell>
          <cell r="I1006">
            <v>337.85237100000001</v>
          </cell>
        </row>
        <row r="1007">
          <cell r="A1007" t="str">
            <v>63690-BF_2.1.1.3.1</v>
          </cell>
          <cell r="B1007" t="str">
            <v>QUINDIO</v>
          </cell>
          <cell r="C1007">
            <v>63690</v>
          </cell>
          <cell r="D1007" t="str">
            <v>SALENTO</v>
          </cell>
          <cell r="E1007">
            <v>49</v>
          </cell>
          <cell r="F1007" t="str">
            <v>BF_2.1.1.3.1</v>
          </cell>
          <cell r="G1007" t="str">
            <v xml:space="preserve">                 Pensiones</v>
          </cell>
          <cell r="H1007">
            <v>83.682000000000002</v>
          </cell>
          <cell r="I1007">
            <v>82.078537999999995</v>
          </cell>
        </row>
        <row r="1008">
          <cell r="A1008" t="str">
            <v>63690-BF_2.1.1.3.4</v>
          </cell>
          <cell r="B1008" t="str">
            <v>QUINDIO</v>
          </cell>
          <cell r="C1008">
            <v>63690</v>
          </cell>
          <cell r="D1008" t="str">
            <v>SALENTO</v>
          </cell>
          <cell r="E1008">
            <v>52</v>
          </cell>
          <cell r="F1008" t="str">
            <v>BF_2.1.1.3.4</v>
          </cell>
          <cell r="G1008" t="str">
            <v xml:space="preserve">                 A Organismos de Control</v>
          </cell>
          <cell r="H1008">
            <v>231.41499999999999</v>
          </cell>
          <cell r="I1008">
            <v>251.71638899999999</v>
          </cell>
        </row>
        <row r="1009">
          <cell r="A1009" t="str">
            <v>63690-BF_2.1.1.3.5</v>
          </cell>
          <cell r="B1009" t="str">
            <v>QUINDIO</v>
          </cell>
          <cell r="C1009">
            <v>63690</v>
          </cell>
          <cell r="D1009" t="str">
            <v>SALENTO</v>
          </cell>
          <cell r="E1009">
            <v>53</v>
          </cell>
          <cell r="F1009" t="str">
            <v>BF_2.1.1.3.5</v>
          </cell>
          <cell r="G1009" t="str">
            <v xml:space="preserve">                 A Establecimientos Públicos y Entidades Descentralizadas - Nivel Territorial</v>
          </cell>
          <cell r="H1009">
            <v>3.7919999999999998</v>
          </cell>
          <cell r="I1009">
            <v>0</v>
          </cell>
        </row>
        <row r="1010">
          <cell r="A1010" t="str">
            <v>63690-BF_2.1.1.3.6</v>
          </cell>
          <cell r="B1010" t="str">
            <v>QUINDIO</v>
          </cell>
          <cell r="C1010">
            <v>63690</v>
          </cell>
          <cell r="D1010" t="str">
            <v>SALENTO</v>
          </cell>
          <cell r="E1010">
            <v>54</v>
          </cell>
          <cell r="F1010" t="str">
            <v>BF_2.1.1.3.6</v>
          </cell>
          <cell r="G1010" t="str">
            <v xml:space="preserve">                 Sentencias y Conciliaciones</v>
          </cell>
          <cell r="H1010">
            <v>9.4E-2</v>
          </cell>
          <cell r="I1010">
            <v>0</v>
          </cell>
        </row>
        <row r="1011">
          <cell r="A1011" t="str">
            <v>63690-BF_2.1.1.3.7</v>
          </cell>
          <cell r="B1011" t="str">
            <v>QUINDIO</v>
          </cell>
          <cell r="C1011">
            <v>63690</v>
          </cell>
          <cell r="D1011" t="str">
            <v>SALENTO</v>
          </cell>
          <cell r="E1011">
            <v>55</v>
          </cell>
          <cell r="F1011" t="str">
            <v>BF_2.1.1.3.7</v>
          </cell>
          <cell r="G1011" t="str">
            <v xml:space="preserve">                 Otras Transferencias</v>
          </cell>
          <cell r="H1011">
            <v>0</v>
          </cell>
          <cell r="I1011">
            <v>4.0574440000000003</v>
          </cell>
        </row>
        <row r="1012">
          <cell r="A1012" t="str">
            <v>63690-BF_2.1.4</v>
          </cell>
          <cell r="B1012" t="str">
            <v>QUINDIO</v>
          </cell>
          <cell r="C1012">
            <v>63690</v>
          </cell>
          <cell r="D1012" t="str">
            <v>SALENTO</v>
          </cell>
          <cell r="E1012">
            <v>61</v>
          </cell>
          <cell r="F1012" t="str">
            <v>BF_2.1.4</v>
          </cell>
          <cell r="G1012" t="str">
            <v xml:space="preserve">        GASTOS OPERATIVOS EN SECTORES SOCIALES (Remuneración al Trabajo, Prestaciones, y Subsidios en Sectores de Inversión)</v>
          </cell>
          <cell r="H1012">
            <v>3466.0880000000002</v>
          </cell>
          <cell r="I1012">
            <v>4948.4414740000002</v>
          </cell>
        </row>
        <row r="1013">
          <cell r="A1013" t="str">
            <v>63690-BF_2.1.4.1</v>
          </cell>
          <cell r="B1013" t="str">
            <v>QUINDIO</v>
          </cell>
          <cell r="C1013">
            <v>63690</v>
          </cell>
          <cell r="D1013" t="str">
            <v>SALENTO</v>
          </cell>
          <cell r="E1013">
            <v>62</v>
          </cell>
          <cell r="F1013" t="str">
            <v>BF_2.1.4.1</v>
          </cell>
          <cell r="G1013" t="str">
            <v xml:space="preserve">             Educación</v>
          </cell>
          <cell r="H1013">
            <v>488.97899999999998</v>
          </cell>
          <cell r="I1013">
            <v>432.15450900000002</v>
          </cell>
        </row>
        <row r="1014">
          <cell r="A1014" t="str">
            <v>63690-BF_2.1.4.2</v>
          </cell>
          <cell r="B1014" t="str">
            <v>QUINDIO</v>
          </cell>
          <cell r="C1014">
            <v>63690</v>
          </cell>
          <cell r="D1014" t="str">
            <v>SALENTO</v>
          </cell>
          <cell r="E1014">
            <v>63</v>
          </cell>
          <cell r="F1014" t="str">
            <v>BF_2.1.4.2</v>
          </cell>
          <cell r="G1014" t="str">
            <v xml:space="preserve">             Salud</v>
          </cell>
          <cell r="H1014">
            <v>2606.5729999999999</v>
          </cell>
          <cell r="I1014">
            <v>2659.3649639999999</v>
          </cell>
        </row>
        <row r="1015">
          <cell r="A1015" t="str">
            <v>63690-BF_2.1.4.3</v>
          </cell>
          <cell r="B1015" t="str">
            <v>QUINDIO</v>
          </cell>
          <cell r="C1015">
            <v>63690</v>
          </cell>
          <cell r="D1015" t="str">
            <v>SALENTO</v>
          </cell>
          <cell r="E1015">
            <v>64</v>
          </cell>
          <cell r="F1015" t="str">
            <v>BF_2.1.4.3</v>
          </cell>
          <cell r="G1015" t="str">
            <v xml:space="preserve">             Agua Potable y Saneamiento Básico</v>
          </cell>
          <cell r="H1015">
            <v>51.838000000000001</v>
          </cell>
          <cell r="I1015">
            <v>23.140868000000001</v>
          </cell>
        </row>
        <row r="1016">
          <cell r="A1016" t="str">
            <v>63690-BF_2.1.4.5</v>
          </cell>
          <cell r="B1016" t="str">
            <v>QUINDIO</v>
          </cell>
          <cell r="C1016">
            <v>63690</v>
          </cell>
          <cell r="D1016" t="str">
            <v>SALENTO</v>
          </cell>
          <cell r="E1016">
            <v>66</v>
          </cell>
          <cell r="F1016" t="str">
            <v>BF_2.1.4.5</v>
          </cell>
          <cell r="G1016" t="str">
            <v xml:space="preserve">             Otros Sectores</v>
          </cell>
          <cell r="H1016">
            <v>318.69799999999998</v>
          </cell>
          <cell r="I1016">
            <v>1833.781133</v>
          </cell>
        </row>
        <row r="1017">
          <cell r="A1017" t="str">
            <v>63690-BF_2.1.5</v>
          </cell>
          <cell r="B1017" t="str">
            <v>QUINDIO</v>
          </cell>
          <cell r="C1017">
            <v>63690</v>
          </cell>
          <cell r="D1017" t="str">
            <v>SALENTO</v>
          </cell>
          <cell r="E1017">
            <v>67</v>
          </cell>
          <cell r="F1017" t="str">
            <v>BF_2.1.5</v>
          </cell>
          <cell r="G1017" t="str">
            <v xml:space="preserve">        INTERESES Y COMISIONES DE LA DEUDA</v>
          </cell>
          <cell r="H1017">
            <v>48.115000000000002</v>
          </cell>
          <cell r="I1017">
            <v>209.73213999999999</v>
          </cell>
        </row>
        <row r="1018">
          <cell r="A1018" t="str">
            <v>63690-BF_2.1.5.1</v>
          </cell>
          <cell r="B1018" t="str">
            <v>QUINDIO</v>
          </cell>
          <cell r="C1018">
            <v>63690</v>
          </cell>
          <cell r="D1018" t="str">
            <v>SALENTO</v>
          </cell>
          <cell r="E1018">
            <v>68</v>
          </cell>
          <cell r="F1018" t="str">
            <v>BF_2.1.5.1</v>
          </cell>
          <cell r="G1018" t="str">
            <v xml:space="preserve">             Interna</v>
          </cell>
          <cell r="H1018">
            <v>48.115000000000002</v>
          </cell>
          <cell r="I1018">
            <v>209.73213999999999</v>
          </cell>
        </row>
        <row r="1019">
          <cell r="A1019" t="str">
            <v>63690-BF_3</v>
          </cell>
          <cell r="B1019" t="str">
            <v>QUINDIO</v>
          </cell>
          <cell r="C1019">
            <v>63690</v>
          </cell>
          <cell r="D1019" t="str">
            <v>SALENTO</v>
          </cell>
          <cell r="E1019">
            <v>70</v>
          </cell>
          <cell r="F1019" t="str">
            <v>BF_3</v>
          </cell>
          <cell r="G1019" t="str">
            <v>DÉFICIT O AHORRO CORRIENTE</v>
          </cell>
          <cell r="H1019">
            <v>3070.3739999999998</v>
          </cell>
          <cell r="I1019">
            <v>1347.244211</v>
          </cell>
        </row>
        <row r="1020">
          <cell r="A1020" t="str">
            <v>63690-BF_4</v>
          </cell>
          <cell r="B1020" t="str">
            <v>QUINDIO</v>
          </cell>
          <cell r="C1020">
            <v>63690</v>
          </cell>
          <cell r="D1020" t="str">
            <v>SALENTO</v>
          </cell>
          <cell r="E1020">
            <v>71</v>
          </cell>
          <cell r="F1020" t="str">
            <v>BF_4</v>
          </cell>
          <cell r="G1020" t="str">
            <v>INGRESOS DE CAPITAL</v>
          </cell>
          <cell r="H1020">
            <v>1036.2829999999999</v>
          </cell>
          <cell r="I1020">
            <v>1051.766719</v>
          </cell>
        </row>
        <row r="1021">
          <cell r="A1021" t="str">
            <v>63690-BF_4.1</v>
          </cell>
          <cell r="B1021" t="str">
            <v>QUINDIO</v>
          </cell>
          <cell r="C1021">
            <v>63690</v>
          </cell>
          <cell r="D1021" t="str">
            <v>SALENTO</v>
          </cell>
          <cell r="E1021">
            <v>72</v>
          </cell>
          <cell r="F1021" t="str">
            <v>BF_4.1</v>
          </cell>
          <cell r="G1021" t="str">
            <v xml:space="preserve">    Cofinanciación</v>
          </cell>
          <cell r="H1021">
            <v>8.6150000000000002</v>
          </cell>
          <cell r="I1021">
            <v>166.52450999999999</v>
          </cell>
        </row>
        <row r="1022">
          <cell r="A1022" t="str">
            <v>63690-BF_4.4</v>
          </cell>
          <cell r="B1022" t="str">
            <v>QUINDIO</v>
          </cell>
          <cell r="C1022">
            <v>63690</v>
          </cell>
          <cell r="D1022" t="str">
            <v>SALENTO</v>
          </cell>
          <cell r="E1022">
            <v>75</v>
          </cell>
          <cell r="F1022" t="str">
            <v>BF_4.4</v>
          </cell>
          <cell r="G1022" t="str">
            <v xml:space="preserve">    Rendimientos Financieros</v>
          </cell>
          <cell r="H1022">
            <v>881.19500000000005</v>
          </cell>
          <cell r="I1022">
            <v>365.40861799999999</v>
          </cell>
        </row>
        <row r="1023">
          <cell r="A1023" t="str">
            <v>63690-BF_4.6</v>
          </cell>
          <cell r="B1023" t="str">
            <v>QUINDIO</v>
          </cell>
          <cell r="C1023">
            <v>63690</v>
          </cell>
          <cell r="D1023" t="str">
            <v>SALENTO</v>
          </cell>
          <cell r="E1023">
            <v>77</v>
          </cell>
          <cell r="F1023" t="str">
            <v>BF_4.6</v>
          </cell>
          <cell r="G1023" t="str">
            <v xml:space="preserve">    Desahorro FONPET</v>
          </cell>
          <cell r="H1023">
            <v>108.384</v>
          </cell>
          <cell r="I1023">
            <v>411.09699699999999</v>
          </cell>
        </row>
        <row r="1024">
          <cell r="A1024" t="str">
            <v>63690-BF_4.6.1</v>
          </cell>
          <cell r="B1024" t="str">
            <v>QUINDIO</v>
          </cell>
          <cell r="C1024">
            <v>63690</v>
          </cell>
          <cell r="D1024" t="str">
            <v>SALENTO</v>
          </cell>
          <cell r="E1024">
            <v>78</v>
          </cell>
          <cell r="F1024" t="str">
            <v>BF_4.6.1</v>
          </cell>
          <cell r="G1024" t="str">
            <v xml:space="preserve">    Salud</v>
          </cell>
          <cell r="H1024">
            <v>108.384</v>
          </cell>
          <cell r="I1024">
            <v>334.09778599999999</v>
          </cell>
        </row>
        <row r="1025">
          <cell r="A1025" t="str">
            <v>63690-BF_4.6.4</v>
          </cell>
          <cell r="B1025" t="str">
            <v>QUINDIO</v>
          </cell>
          <cell r="C1025">
            <v>63690</v>
          </cell>
          <cell r="D1025" t="str">
            <v>SALENTO</v>
          </cell>
          <cell r="E1025">
            <v>81</v>
          </cell>
          <cell r="F1025" t="str">
            <v>BF_4.6.4</v>
          </cell>
          <cell r="G1025" t="str">
            <v xml:space="preserve">    Otros Desahorros y Retiros (Cuotas partes, Bonos y Devoluciones)</v>
          </cell>
          <cell r="H1025">
            <v>0</v>
          </cell>
          <cell r="I1025">
            <v>76.999211000000003</v>
          </cell>
        </row>
        <row r="1026">
          <cell r="A1026" t="str">
            <v>63690-BF_4.7</v>
          </cell>
          <cell r="B1026" t="str">
            <v>QUINDIO</v>
          </cell>
          <cell r="C1026">
            <v>63690</v>
          </cell>
          <cell r="D1026" t="str">
            <v>SALENTO</v>
          </cell>
          <cell r="E1026">
            <v>82</v>
          </cell>
          <cell r="F1026" t="str">
            <v>BF_4.7</v>
          </cell>
          <cell r="G1026" t="str">
            <v xml:space="preserve">    Otros Recursos de Capital (Donaciones, Aprovechamientos y Otros)</v>
          </cell>
          <cell r="H1026">
            <v>38.088999999999999</v>
          </cell>
          <cell r="I1026">
            <v>108.736594</v>
          </cell>
        </row>
        <row r="1027">
          <cell r="A1027" t="str">
            <v>63690-BF_5</v>
          </cell>
          <cell r="B1027" t="str">
            <v>QUINDIO</v>
          </cell>
          <cell r="C1027">
            <v>63690</v>
          </cell>
          <cell r="D1027" t="str">
            <v>SALENTO</v>
          </cell>
          <cell r="E1027">
            <v>83</v>
          </cell>
          <cell r="F1027" t="str">
            <v>BF_5</v>
          </cell>
          <cell r="G1027" t="str">
            <v>GASTOS DE CAPITAL</v>
          </cell>
          <cell r="H1027">
            <v>6163.9539999999997</v>
          </cell>
          <cell r="I1027">
            <v>1388.3526939999999</v>
          </cell>
        </row>
        <row r="1028">
          <cell r="A1028" t="str">
            <v>63690-BF_5.1</v>
          </cell>
          <cell r="B1028" t="str">
            <v>QUINDIO</v>
          </cell>
          <cell r="C1028">
            <v>63690</v>
          </cell>
          <cell r="D1028" t="str">
            <v>SALENTO</v>
          </cell>
          <cell r="E1028">
            <v>84</v>
          </cell>
          <cell r="F1028" t="str">
            <v>BF_5.1</v>
          </cell>
          <cell r="G1028" t="str">
            <v xml:space="preserve">    Formación Bruta de Capital (Construcción, Reparación, Mantenimiento, Preinversión, Otros)</v>
          </cell>
          <cell r="H1028">
            <v>6163.9539999999997</v>
          </cell>
          <cell r="I1028">
            <v>1388.3526939999999</v>
          </cell>
        </row>
        <row r="1029">
          <cell r="A1029" t="str">
            <v>63690-BF_5.1.1</v>
          </cell>
          <cell r="B1029" t="str">
            <v>QUINDIO</v>
          </cell>
          <cell r="C1029">
            <v>63690</v>
          </cell>
          <cell r="D1029" t="str">
            <v>SALENTO</v>
          </cell>
          <cell r="E1029">
            <v>85</v>
          </cell>
          <cell r="F1029" t="str">
            <v>BF_5.1.1</v>
          </cell>
          <cell r="G1029" t="str">
            <v xml:space="preserve">        Educación</v>
          </cell>
          <cell r="H1029">
            <v>53.314999999999998</v>
          </cell>
          <cell r="I1029">
            <v>34.258944</v>
          </cell>
        </row>
        <row r="1030">
          <cell r="A1030" t="str">
            <v>63690-BF_5.1.3</v>
          </cell>
          <cell r="B1030" t="str">
            <v>QUINDIO</v>
          </cell>
          <cell r="C1030">
            <v>63690</v>
          </cell>
          <cell r="D1030" t="str">
            <v>SALENTO</v>
          </cell>
          <cell r="E1030">
            <v>87</v>
          </cell>
          <cell r="F1030" t="str">
            <v>BF_5.1.3</v>
          </cell>
          <cell r="G1030" t="str">
            <v xml:space="preserve">        Agua Potable</v>
          </cell>
          <cell r="H1030">
            <v>294.61200000000002</v>
          </cell>
          <cell r="I1030">
            <v>220.555643</v>
          </cell>
        </row>
        <row r="1031">
          <cell r="A1031" t="str">
            <v>63690-BF_5.1.4</v>
          </cell>
          <cell r="B1031" t="str">
            <v>QUINDIO</v>
          </cell>
          <cell r="C1031">
            <v>63690</v>
          </cell>
          <cell r="D1031" t="str">
            <v>SALENTO</v>
          </cell>
          <cell r="E1031">
            <v>88</v>
          </cell>
          <cell r="F1031" t="str">
            <v>BF_5.1.4</v>
          </cell>
          <cell r="G1031" t="str">
            <v xml:space="preserve">        Vivienda</v>
          </cell>
          <cell r="H1031">
            <v>711.23299999999995</v>
          </cell>
          <cell r="I1031">
            <v>69.393942999999993</v>
          </cell>
        </row>
        <row r="1032">
          <cell r="A1032" t="str">
            <v>63690-BF_5.1.5</v>
          </cell>
          <cell r="B1032" t="str">
            <v>QUINDIO</v>
          </cell>
          <cell r="C1032">
            <v>63690</v>
          </cell>
          <cell r="D1032" t="str">
            <v>SALENTO</v>
          </cell>
          <cell r="E1032">
            <v>89</v>
          </cell>
          <cell r="F1032" t="str">
            <v>BF_5.1.5</v>
          </cell>
          <cell r="G1032" t="str">
            <v xml:space="preserve">        Vías</v>
          </cell>
          <cell r="H1032">
            <v>1168.607</v>
          </cell>
          <cell r="I1032">
            <v>193.50191699999999</v>
          </cell>
        </row>
        <row r="1033">
          <cell r="A1033" t="str">
            <v>63690-BF_5.1.6</v>
          </cell>
          <cell r="B1033" t="str">
            <v>QUINDIO</v>
          </cell>
          <cell r="C1033">
            <v>63690</v>
          </cell>
          <cell r="D1033" t="str">
            <v>SALENTO</v>
          </cell>
          <cell r="E1033">
            <v>90</v>
          </cell>
          <cell r="F1033" t="str">
            <v>BF_5.1.6</v>
          </cell>
          <cell r="G1033" t="str">
            <v xml:space="preserve">        Otros Sectores</v>
          </cell>
          <cell r="H1033">
            <v>3936.1869999999999</v>
          </cell>
          <cell r="I1033">
            <v>870.642247</v>
          </cell>
        </row>
        <row r="1034">
          <cell r="A1034" t="str">
            <v>63690-BF_6</v>
          </cell>
          <cell r="B1034" t="str">
            <v>QUINDIO</v>
          </cell>
          <cell r="C1034">
            <v>63690</v>
          </cell>
          <cell r="D1034" t="str">
            <v>SALENTO</v>
          </cell>
          <cell r="E1034">
            <v>92</v>
          </cell>
          <cell r="F1034" t="str">
            <v>BF_6</v>
          </cell>
          <cell r="G1034" t="str">
            <v>DÉFICIT O SUPERÁVIT DE CAPITAL</v>
          </cell>
          <cell r="H1034">
            <v>-5127.6710000000003</v>
          </cell>
          <cell r="I1034">
            <v>-336.58597500000002</v>
          </cell>
        </row>
        <row r="1035">
          <cell r="A1035" t="str">
            <v>63690-BF_7</v>
          </cell>
          <cell r="B1035" t="str">
            <v>QUINDIO</v>
          </cell>
          <cell r="C1035">
            <v>63690</v>
          </cell>
          <cell r="D1035" t="str">
            <v>SALENTO</v>
          </cell>
          <cell r="E1035">
            <v>93</v>
          </cell>
          <cell r="F1035" t="str">
            <v>BF_7</v>
          </cell>
          <cell r="G1035" t="str">
            <v>DÉFICIT O SUPERÁVIT TOTAL</v>
          </cell>
          <cell r="H1035">
            <v>-2057.297</v>
          </cell>
          <cell r="I1035">
            <v>1010.658236</v>
          </cell>
        </row>
        <row r="1036">
          <cell r="A1036" t="str">
            <v>63690-BF_8</v>
          </cell>
          <cell r="B1036" t="str">
            <v>QUINDIO</v>
          </cell>
          <cell r="C1036">
            <v>63690</v>
          </cell>
          <cell r="D1036" t="str">
            <v>SALENTO</v>
          </cell>
          <cell r="E1036">
            <v>94</v>
          </cell>
          <cell r="F1036" t="str">
            <v>BF_8</v>
          </cell>
          <cell r="G1036" t="str">
            <v>FINANCIACIÓN</v>
          </cell>
          <cell r="H1036">
            <v>3706.3130000000001</v>
          </cell>
          <cell r="I1036">
            <v>1204.104255</v>
          </cell>
        </row>
        <row r="1037">
          <cell r="A1037" t="str">
            <v>63690-BF_8.1</v>
          </cell>
          <cell r="B1037" t="str">
            <v>QUINDIO</v>
          </cell>
          <cell r="C1037">
            <v>63690</v>
          </cell>
          <cell r="D1037" t="str">
            <v>SALENTO</v>
          </cell>
          <cell r="E1037">
            <v>95</v>
          </cell>
          <cell r="F1037" t="str">
            <v>BF_8.1</v>
          </cell>
          <cell r="G1037" t="str">
            <v xml:space="preserve">    RECURSOS DEL CRÉDITO</v>
          </cell>
          <cell r="H1037">
            <v>2172.7779999999998</v>
          </cell>
          <cell r="I1037">
            <v>-105.55555200000001</v>
          </cell>
        </row>
        <row r="1038">
          <cell r="A1038" t="str">
            <v>63690-BF_8.1.1</v>
          </cell>
          <cell r="B1038" t="str">
            <v>QUINDIO</v>
          </cell>
          <cell r="C1038">
            <v>63690</v>
          </cell>
          <cell r="D1038" t="str">
            <v>SALENTO</v>
          </cell>
          <cell r="E1038">
            <v>96</v>
          </cell>
          <cell r="F1038" t="str">
            <v>BF_8.1.1</v>
          </cell>
          <cell r="G1038" t="str">
            <v xml:space="preserve">        Interno</v>
          </cell>
          <cell r="H1038">
            <v>2172.7779999999998</v>
          </cell>
          <cell r="I1038">
            <v>-105.55555200000001</v>
          </cell>
        </row>
        <row r="1039">
          <cell r="A1039" t="str">
            <v>63690-BF_8.1.1.1</v>
          </cell>
          <cell r="B1039" t="str">
            <v>QUINDIO</v>
          </cell>
          <cell r="C1039">
            <v>63690</v>
          </cell>
          <cell r="D1039" t="str">
            <v>SALENTO</v>
          </cell>
          <cell r="E1039">
            <v>97</v>
          </cell>
          <cell r="F1039" t="str">
            <v>BF_8.1.1.1</v>
          </cell>
          <cell r="G1039" t="str">
            <v xml:space="preserve">             Desembolsos</v>
          </cell>
          <cell r="H1039">
            <v>2300</v>
          </cell>
          <cell r="I1039">
            <v>0</v>
          </cell>
        </row>
        <row r="1040">
          <cell r="A1040" t="str">
            <v>63690-BF_8.1.1.2</v>
          </cell>
          <cell r="B1040" t="str">
            <v>QUINDIO</v>
          </cell>
          <cell r="C1040">
            <v>63690</v>
          </cell>
          <cell r="D1040" t="str">
            <v>SALENTO</v>
          </cell>
          <cell r="E1040">
            <v>98</v>
          </cell>
          <cell r="F1040" t="str">
            <v>BF_8.1.1.2</v>
          </cell>
          <cell r="G1040" t="str">
            <v xml:space="preserve">             Amortizaciones</v>
          </cell>
          <cell r="H1040">
            <v>127.22199999999999</v>
          </cell>
          <cell r="I1040">
            <v>105.55555200000001</v>
          </cell>
        </row>
        <row r="1041">
          <cell r="A1041" t="str">
            <v>63690-BF_8.2</v>
          </cell>
          <cell r="B1041" t="str">
            <v>QUINDIO</v>
          </cell>
          <cell r="C1041">
            <v>63690</v>
          </cell>
          <cell r="D1041" t="str">
            <v>SALENTO</v>
          </cell>
          <cell r="E1041">
            <v>102</v>
          </cell>
          <cell r="F1041" t="str">
            <v>BF_8.2</v>
          </cell>
          <cell r="G1041" t="str">
            <v xml:space="preserve">    Recursos del Balance (Superávit Fiscal, Cancelación de Reservas)</v>
          </cell>
          <cell r="H1041">
            <v>1533.5350000000001</v>
          </cell>
          <cell r="I1041">
            <v>1309.659807</v>
          </cell>
        </row>
        <row r="1042">
          <cell r="A1042" t="str">
            <v>63690-BF_9.1</v>
          </cell>
          <cell r="B1042" t="str">
            <v>QUINDIO</v>
          </cell>
          <cell r="C1042">
            <v>63690</v>
          </cell>
          <cell r="D1042" t="str">
            <v>SALENTO</v>
          </cell>
          <cell r="E1042">
            <v>107</v>
          </cell>
          <cell r="F1042" t="str">
            <v>BF_9.1</v>
          </cell>
          <cell r="G1042" t="str">
            <v xml:space="preserve">    DÉFICIT O SUPERÁVIT PRIMARIO</v>
          </cell>
          <cell r="H1042">
            <v>-475.64699999999999</v>
          </cell>
          <cell r="I1042">
            <v>2530.0501829999998</v>
          </cell>
        </row>
        <row r="1043">
          <cell r="A1043" t="str">
            <v>63690-BF_9.2</v>
          </cell>
          <cell r="B1043" t="str">
            <v>QUINDIO</v>
          </cell>
          <cell r="C1043">
            <v>63690</v>
          </cell>
          <cell r="D1043" t="str">
            <v>SALENTO</v>
          </cell>
          <cell r="E1043">
            <v>108</v>
          </cell>
          <cell r="F1043" t="str">
            <v>BF_9.2</v>
          </cell>
          <cell r="G1043" t="str">
            <v xml:space="preserve">    DÉFICIT O SUPERÁVIT PRIMARIO/INTERESES</v>
          </cell>
          <cell r="H1043">
            <v>-9.8859999999999992</v>
          </cell>
          <cell r="I1043">
            <v>12.06324497</v>
          </cell>
        </row>
        <row r="1044">
          <cell r="A1044" t="str">
            <v>63690-BF_10.1</v>
          </cell>
          <cell r="B1044" t="str">
            <v>QUINDIO</v>
          </cell>
          <cell r="C1044">
            <v>63690</v>
          </cell>
          <cell r="D1044" t="str">
            <v>SALENTO</v>
          </cell>
          <cell r="E1044">
            <v>110</v>
          </cell>
          <cell r="F1044" t="str">
            <v>BF_10.1</v>
          </cell>
          <cell r="G1044" t="str">
            <v xml:space="preserve">    INGRESOS TOTALES SIN INCLUIR RECURSOS PARA RESERVAS PRESUPUESTALES</v>
          </cell>
          <cell r="H1044">
            <v>13217.165999999999</v>
          </cell>
          <cell r="I1044">
            <v>10832.488256000001</v>
          </cell>
        </row>
        <row r="1045">
          <cell r="A1045" t="str">
            <v>63690-BF_10.2</v>
          </cell>
          <cell r="B1045" t="str">
            <v>QUINDIO</v>
          </cell>
          <cell r="C1045">
            <v>63690</v>
          </cell>
          <cell r="D1045" t="str">
            <v>SALENTO</v>
          </cell>
          <cell r="E1045">
            <v>111</v>
          </cell>
          <cell r="F1045" t="str">
            <v>BF_10.2</v>
          </cell>
          <cell r="G1045" t="str">
            <v xml:space="preserve">    GASTOS TOTALES SIN INCLUIR GASTOS POR RESERVAS PRESUPUESTALES</v>
          </cell>
          <cell r="H1045">
            <v>11568.15</v>
          </cell>
          <cell r="I1045">
            <v>8617.7257649999992</v>
          </cell>
        </row>
        <row r="1046">
          <cell r="A1046" t="str">
            <v>63690-BF_10.3</v>
          </cell>
          <cell r="B1046" t="str">
            <v>QUINDIO</v>
          </cell>
          <cell r="C1046">
            <v>63690</v>
          </cell>
          <cell r="D1046" t="str">
            <v>SALENTO</v>
          </cell>
          <cell r="E1046">
            <v>112</v>
          </cell>
          <cell r="F1046" t="str">
            <v>BF_10.3</v>
          </cell>
          <cell r="G1046" t="str">
            <v xml:space="preserve">    DÉFICIT O SUPERÁVIT PRESUPUESTAL SIN INCLUIR RESERVAS PRESUPUESTALES</v>
          </cell>
          <cell r="H1046">
            <v>1649.0160000000001</v>
          </cell>
          <cell r="I1046">
            <v>2214.762491</v>
          </cell>
        </row>
        <row r="1047">
          <cell r="A1047" t="str">
            <v>63690-BF_12.1</v>
          </cell>
          <cell r="B1047" t="str">
            <v>QUINDIO</v>
          </cell>
          <cell r="C1047">
            <v>63690</v>
          </cell>
          <cell r="D1047" t="str">
            <v>SALENTO</v>
          </cell>
          <cell r="E1047">
            <v>114</v>
          </cell>
          <cell r="F1047" t="str">
            <v>BF_12.1</v>
          </cell>
          <cell r="G1047" t="str">
            <v xml:space="preserve">    INGRESOS TOTALES</v>
          </cell>
          <cell r="H1047">
            <v>13247.459000000001</v>
          </cell>
          <cell r="I1047">
            <v>10843.203939999999</v>
          </cell>
        </row>
        <row r="1048">
          <cell r="A1048" t="str">
            <v>63690-BF_12.2</v>
          </cell>
          <cell r="B1048" t="str">
            <v>QUINDIO</v>
          </cell>
          <cell r="C1048">
            <v>63690</v>
          </cell>
          <cell r="D1048" t="str">
            <v>SALENTO</v>
          </cell>
          <cell r="E1048">
            <v>115</v>
          </cell>
          <cell r="F1048" t="str">
            <v>BF_12.2</v>
          </cell>
          <cell r="G1048" t="str">
            <v xml:space="preserve">    GASTOS TOTALES</v>
          </cell>
          <cell r="H1048">
            <v>11593.942999999999</v>
          </cell>
          <cell r="I1048">
            <v>8628.4414489999999</v>
          </cell>
        </row>
        <row r="1049">
          <cell r="A1049" t="str">
            <v>63690-BF_12.3</v>
          </cell>
          <cell r="B1049" t="str">
            <v>QUINDIO</v>
          </cell>
          <cell r="C1049">
            <v>63690</v>
          </cell>
          <cell r="D1049" t="str">
            <v>SALENTO</v>
          </cell>
          <cell r="E1049">
            <v>116</v>
          </cell>
          <cell r="F1049" t="str">
            <v>BF_12.3</v>
          </cell>
          <cell r="G1049" t="str">
            <v xml:space="preserve">    DÉFICIT O SUPERÁVIT PRESUPUESTAL</v>
          </cell>
          <cell r="H1049">
            <v>1653.5160000000001</v>
          </cell>
          <cell r="I1049">
            <v>2214.762491</v>
          </cell>
        </row>
        <row r="1050">
          <cell r="A1050" t="str">
            <v>63690-BF_13.1</v>
          </cell>
          <cell r="B1050" t="str">
            <v>QUINDIO</v>
          </cell>
          <cell r="C1050">
            <v>63690</v>
          </cell>
          <cell r="D1050" t="str">
            <v>SALENTO</v>
          </cell>
          <cell r="E1050">
            <v>118</v>
          </cell>
          <cell r="F1050" t="str">
            <v>BF_13.1</v>
          </cell>
          <cell r="G1050" t="str">
            <v xml:space="preserve">    Recursos que Financian Reservas Presupuestales Excepcionales (Ley 819/2003)</v>
          </cell>
          <cell r="H1050">
            <v>30.292999999999999</v>
          </cell>
          <cell r="I1050">
            <v>10.715684</v>
          </cell>
        </row>
        <row r="1051">
          <cell r="A1051" t="str">
            <v>63690-BF_13.2</v>
          </cell>
          <cell r="B1051" t="str">
            <v>QUINDIO</v>
          </cell>
          <cell r="C1051">
            <v>63690</v>
          </cell>
          <cell r="D1051" t="str">
            <v>SALENTO</v>
          </cell>
          <cell r="E1051">
            <v>119</v>
          </cell>
          <cell r="F1051" t="str">
            <v>BF_13.2</v>
          </cell>
          <cell r="G1051" t="str">
            <v xml:space="preserve">    Reservas Presupuestales de Funcionamiento Vigencia Anterior</v>
          </cell>
          <cell r="H1051">
            <v>0</v>
          </cell>
          <cell r="I1051">
            <v>1.9566680000000001</v>
          </cell>
        </row>
        <row r="1052">
          <cell r="A1052" t="str">
            <v>63690-BF_13.3</v>
          </cell>
          <cell r="B1052" t="str">
            <v>QUINDIO</v>
          </cell>
          <cell r="C1052">
            <v>63690</v>
          </cell>
          <cell r="D1052" t="str">
            <v>SALENTO</v>
          </cell>
          <cell r="E1052">
            <v>120</v>
          </cell>
          <cell r="F1052" t="str">
            <v>BF_13.3</v>
          </cell>
          <cell r="G1052" t="str">
            <v xml:space="preserve">    Reservas Presupuestales de Inversión Vigencia Anterior</v>
          </cell>
          <cell r="H1052">
            <v>25.792999999999999</v>
          </cell>
          <cell r="I1052">
            <v>8.7590160000000008</v>
          </cell>
        </row>
        <row r="1053">
          <cell r="A1053" t="str">
            <v>63690-BF_13.4</v>
          </cell>
          <cell r="B1053" t="str">
            <v>QUINDIO</v>
          </cell>
          <cell r="C1053">
            <v>63690</v>
          </cell>
          <cell r="D1053" t="str">
            <v>SALENTO</v>
          </cell>
          <cell r="E1053">
            <v>121</v>
          </cell>
          <cell r="F1053" t="str">
            <v>BF_13.4</v>
          </cell>
          <cell r="G1053" t="str">
            <v xml:space="preserve">    DEFICIT O SUPERAVIT RESERVAS PRESUPUESTALES</v>
          </cell>
          <cell r="H1053">
            <v>4.5</v>
          </cell>
          <cell r="I1053">
            <v>0</v>
          </cell>
        </row>
      </sheetData>
      <sheetData sheetId="4"/>
      <sheetData sheetId="5"/>
      <sheetData sheetId="6">
        <row r="12">
          <cell r="B12">
            <v>63000</v>
          </cell>
        </row>
      </sheetData>
      <sheetData sheetId="7"/>
      <sheetData sheetId="8"/>
      <sheetData sheetId="9">
        <row r="29">
          <cell r="C29" t="str">
            <v>BF_1.1.3.1.2.1</v>
          </cell>
        </row>
        <row r="30">
          <cell r="C30" t="str">
            <v>BF_1.1.3.1.2.2</v>
          </cell>
        </row>
      </sheetData>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sheetName val="Vig 15-19 "/>
      <sheetName val="Proyecciones"/>
      <sheetName val="Plan Financiero 2021"/>
      <sheetName val="F y U 2021"/>
      <sheetName val="Hoja2"/>
      <sheetName val="Cumplimiento Art 350 CP"/>
      <sheetName val="Resumen Inversion 2021"/>
      <sheetName val="Deuda"/>
      <sheetName val="Ejecucion Ingresos 2020"/>
      <sheetName val="Ejecucion Gastos 2020"/>
      <sheetName val="Funcionamiento icld"/>
      <sheetName val="Hoja1"/>
      <sheetName val="SENTENCIAS"/>
    </sheetNames>
    <sheetDataSet>
      <sheetData sheetId="0">
        <row r="15">
          <cell r="S15">
            <v>104.97</v>
          </cell>
        </row>
        <row r="21">
          <cell r="N21">
            <v>88.05</v>
          </cell>
          <cell r="O21">
            <v>93.11</v>
          </cell>
          <cell r="P21">
            <v>96.92</v>
          </cell>
          <cell r="Q21">
            <v>100</v>
          </cell>
          <cell r="R21">
            <v>103.8</v>
          </cell>
        </row>
      </sheetData>
      <sheetData sheetId="1"/>
      <sheetData sheetId="2"/>
      <sheetData sheetId="3"/>
      <sheetData sheetId="4"/>
      <sheetData sheetId="5"/>
      <sheetData sheetId="6"/>
      <sheetData sheetId="7"/>
      <sheetData sheetId="8"/>
      <sheetData sheetId="9">
        <row r="7">
          <cell r="D7">
            <v>12217057711</v>
          </cell>
        </row>
        <row r="10">
          <cell r="D10">
            <v>8138933600</v>
          </cell>
        </row>
        <row r="11">
          <cell r="D11">
            <v>494768000</v>
          </cell>
        </row>
        <row r="12">
          <cell r="D12">
            <v>742152000</v>
          </cell>
        </row>
        <row r="13">
          <cell r="D13">
            <v>1236920000</v>
          </cell>
        </row>
        <row r="14">
          <cell r="D14">
            <v>1756426400</v>
          </cell>
        </row>
        <row r="17">
          <cell r="D17">
            <v>738447516</v>
          </cell>
        </row>
        <row r="18">
          <cell r="D18">
            <v>2953790064</v>
          </cell>
        </row>
        <row r="20">
          <cell r="D20">
            <v>15146422687.83</v>
          </cell>
        </row>
        <row r="21">
          <cell r="D21">
            <v>468446062.5</v>
          </cell>
        </row>
        <row r="23">
          <cell r="D23">
            <v>0</v>
          </cell>
        </row>
        <row r="24">
          <cell r="D24">
            <v>1853566183</v>
          </cell>
        </row>
        <row r="26">
          <cell r="D26">
            <v>573295500</v>
          </cell>
        </row>
        <row r="28">
          <cell r="D28">
            <v>6143552800</v>
          </cell>
        </row>
        <row r="30">
          <cell r="D30">
            <v>4197621848.5</v>
          </cell>
        </row>
        <row r="31">
          <cell r="D31">
            <v>1291576120</v>
          </cell>
        </row>
        <row r="32">
          <cell r="D32">
            <v>968682089.5</v>
          </cell>
        </row>
        <row r="34">
          <cell r="D34">
            <v>332062020</v>
          </cell>
        </row>
        <row r="35">
          <cell r="D35">
            <v>166031010</v>
          </cell>
        </row>
        <row r="36">
          <cell r="D36">
            <v>166031010</v>
          </cell>
        </row>
        <row r="37">
          <cell r="D37">
            <v>830155050</v>
          </cell>
        </row>
        <row r="38">
          <cell r="D38">
            <v>166031010</v>
          </cell>
        </row>
        <row r="40">
          <cell r="D40">
            <v>3421368000</v>
          </cell>
        </row>
        <row r="41">
          <cell r="D41">
            <v>855342000</v>
          </cell>
        </row>
        <row r="43">
          <cell r="D43">
            <v>9000000000</v>
          </cell>
        </row>
        <row r="47">
          <cell r="D47">
            <v>200000000</v>
          </cell>
        </row>
        <row r="50">
          <cell r="D50">
            <v>680000000</v>
          </cell>
        </row>
        <row r="53">
          <cell r="D53">
            <v>1801710000</v>
          </cell>
        </row>
        <row r="56">
          <cell r="D56">
            <v>2339589042</v>
          </cell>
        </row>
        <row r="57">
          <cell r="D57">
            <v>184611879</v>
          </cell>
        </row>
        <row r="58">
          <cell r="D58">
            <v>501340509</v>
          </cell>
        </row>
        <row r="59">
          <cell r="D59">
            <v>7687221138</v>
          </cell>
        </row>
        <row r="65">
          <cell r="D65">
            <v>2479841100</v>
          </cell>
        </row>
        <row r="71">
          <cell r="D71">
            <v>14580826</v>
          </cell>
        </row>
        <row r="72">
          <cell r="D72">
            <v>6649781</v>
          </cell>
        </row>
        <row r="73">
          <cell r="D73">
            <v>98000000</v>
          </cell>
        </row>
      </sheetData>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2020"/>
      <sheetName val="Promedio 2015"/>
      <sheetName val="Promedio 2016"/>
      <sheetName val="Promedio 2017"/>
      <sheetName val="Promedio 2018"/>
      <sheetName val="Promedio 2019"/>
      <sheetName val="Recaudo 2020"/>
      <sheetName val="Preupuesto 2020"/>
      <sheetName val="PROMEDIO MES A MES"/>
      <sheetName val="RESUMEN PROMEDIO MES A MES"/>
      <sheetName val="PROYECCIONES RECAUDO 2020"/>
      <sheetName val="% VARIACION "/>
      <sheetName val="Ingresos 20-05-20"/>
      <sheetName val="PROYEC VS RECA 1 TRIM 2020"/>
      <sheetName val="DISTRI POR RECURSO"/>
    </sheetNames>
    <sheetDataSet>
      <sheetData sheetId="0"/>
      <sheetData sheetId="1">
        <row r="2">
          <cell r="A2">
            <v>2015</v>
          </cell>
          <cell r="B2" t="str">
            <v>0307 - 0101010101</v>
          </cell>
          <cell r="C2" t="str">
            <v>IMPUESTO SOBRE VEHÍCULOS AUTOMOTORES</v>
          </cell>
        </row>
        <row r="3">
          <cell r="A3">
            <v>2015</v>
          </cell>
          <cell r="B3" t="str">
            <v>0307 - 0101010102</v>
          </cell>
          <cell r="C3" t="str">
            <v>IMPUESTO AL REGISTRO</v>
          </cell>
        </row>
        <row r="4">
          <cell r="A4">
            <v>2015</v>
          </cell>
          <cell r="B4" t="str">
            <v>0307 - 0101010201</v>
          </cell>
          <cell r="C4" t="str">
            <v>IMPUESTO AL CONSUMO DE LICORES</v>
          </cell>
        </row>
        <row r="5">
          <cell r="A5">
            <v>2015</v>
          </cell>
          <cell r="B5" t="str">
            <v>0307 - 0101010202</v>
          </cell>
          <cell r="C5" t="str">
            <v>IMPUESTO AL CONSUMO DE CERVEZA</v>
          </cell>
        </row>
        <row r="6">
          <cell r="A6">
            <v>2015</v>
          </cell>
          <cell r="B6" t="str">
            <v>0307 - 0101010203</v>
          </cell>
          <cell r="C6" t="str">
            <v>CIGARRILLO Y TABACO</v>
          </cell>
        </row>
        <row r="7">
          <cell r="A7">
            <v>2015</v>
          </cell>
          <cell r="B7" t="str">
            <v>0307 - 0101010204</v>
          </cell>
          <cell r="C7" t="str">
            <v>DEGUELLO DE GANADO MAYOR</v>
          </cell>
        </row>
        <row r="8">
          <cell r="A8">
            <v>2015</v>
          </cell>
          <cell r="B8" t="str">
            <v>0307 - 0101010205</v>
          </cell>
          <cell r="C8" t="str">
            <v xml:space="preserve">SOBRETASA A LA GASOLINA  </v>
          </cell>
        </row>
        <row r="9">
          <cell r="A9">
            <v>2015</v>
          </cell>
          <cell r="B9" t="str">
            <v>0307 - 0101010206</v>
          </cell>
          <cell r="C9" t="str">
            <v>ESTAMPILLA PRO-DESARROLLO</v>
          </cell>
        </row>
        <row r="10">
          <cell r="A10">
            <v>2015</v>
          </cell>
          <cell r="B10" t="str">
            <v>0307 - 0101010207</v>
          </cell>
          <cell r="C10" t="str">
            <v>ESTAMPILLA PRO-CULTURA</v>
          </cell>
        </row>
        <row r="11">
          <cell r="A11">
            <v>2015</v>
          </cell>
          <cell r="B11" t="str">
            <v>0307 - 0101010208</v>
          </cell>
          <cell r="C11" t="str">
            <v>ESTAMPILLA PRO-ADULTO MAYOR</v>
          </cell>
        </row>
        <row r="12">
          <cell r="A12">
            <v>2015</v>
          </cell>
          <cell r="B12" t="str">
            <v>0307 - 01010202</v>
          </cell>
          <cell r="C12" t="str">
            <v>MONOPOLIO</v>
          </cell>
        </row>
        <row r="13">
          <cell r="A13">
            <v>2015</v>
          </cell>
          <cell r="B13" t="str">
            <v>0307 - 010102040101</v>
          </cell>
          <cell r="C13" t="str">
            <v>SOBRETASA AL ACPM</v>
          </cell>
        </row>
        <row r="14">
          <cell r="A14">
            <v>2015</v>
          </cell>
          <cell r="B14" t="str">
            <v>0307 - 010102040102</v>
          </cell>
          <cell r="C14" t="str">
            <v>IVA TELEFONIA MOVIL CELULAR</v>
          </cell>
        </row>
        <row r="15">
          <cell r="A15">
            <v>2015</v>
          </cell>
          <cell r="B15" t="str">
            <v>0307 - 010102040103</v>
          </cell>
          <cell r="C15" t="str">
            <v xml:space="preserve">IVA LICORES </v>
          </cell>
        </row>
        <row r="16">
          <cell r="A16">
            <v>2015</v>
          </cell>
          <cell r="B16" t="str">
            <v>0307 - 010201</v>
          </cell>
          <cell r="C16" t="str">
            <v>FONDO DE SEGURIDAD</v>
          </cell>
        </row>
        <row r="19">
          <cell r="A19">
            <v>2015</v>
          </cell>
          <cell r="B19" t="str">
            <v>0318 - 0102040101</v>
          </cell>
          <cell r="C19" t="str">
            <v>RENTAS CEDIDAS PRESTACION DE SERVICIOS</v>
          </cell>
        </row>
        <row r="21">
          <cell r="A21">
            <v>2015</v>
          </cell>
          <cell r="B21" t="str">
            <v>0318 - 0102040301</v>
          </cell>
          <cell r="C21" t="str">
            <v>RENTAS CEDIDAS REGIMEN SUBSIDIADO</v>
          </cell>
        </row>
        <row r="22">
          <cell r="B22" t="str">
            <v>0318 - 0102040302</v>
          </cell>
          <cell r="C22" t="str">
            <v>JUEGOS DE SUERTE Y AZAR REGIMEN SUBSIDIADO</v>
          </cell>
        </row>
        <row r="23">
          <cell r="A23">
            <v>2015</v>
          </cell>
          <cell r="B23" t="str">
            <v>0318 - 0102040303</v>
          </cell>
          <cell r="C23" t="str">
            <v>LEY 1393 DE 2.010 REGIMEN SUBSIDIADO</v>
          </cell>
        </row>
        <row r="25">
          <cell r="A25">
            <v>2015</v>
          </cell>
          <cell r="B25" t="str">
            <v>0318 - 0102040401</v>
          </cell>
          <cell r="C25" t="str">
            <v>RENTAS CEDIDAS OTROS GASTOS EN SALUD</v>
          </cell>
        </row>
        <row r="26">
          <cell r="A26">
            <v>2015</v>
          </cell>
          <cell r="B26" t="str">
            <v>0318 - 0102040402</v>
          </cell>
          <cell r="C26" t="str">
            <v>JUEGOS DE SUERTE Y AZAR OTROS GASTOS EN SALUD</v>
          </cell>
        </row>
      </sheetData>
      <sheetData sheetId="2">
        <row r="2">
          <cell r="A2">
            <v>2016</v>
          </cell>
          <cell r="B2" t="str">
            <v>0307 - 0101010101</v>
          </cell>
          <cell r="C2" t="str">
            <v>IMPUESTO SOBRE VEHÍCULOS AUTOMOTORES</v>
          </cell>
        </row>
        <row r="3">
          <cell r="A3">
            <v>2016</v>
          </cell>
          <cell r="B3" t="str">
            <v>0307 - 0101010102</v>
          </cell>
          <cell r="C3" t="str">
            <v>IMPUESTO AL REGISTRO</v>
          </cell>
        </row>
        <row r="4">
          <cell r="A4">
            <v>2016</v>
          </cell>
          <cell r="B4" t="str">
            <v>0307 - 0101010201</v>
          </cell>
          <cell r="C4" t="str">
            <v>IMPUESTO AL CONSUMO DE LICORES</v>
          </cell>
        </row>
        <row r="5">
          <cell r="A5">
            <v>2016</v>
          </cell>
          <cell r="B5" t="str">
            <v>0307 - 0101010202</v>
          </cell>
          <cell r="C5" t="str">
            <v>IMPUESTO AL CONSUMO DE CERVEZA</v>
          </cell>
        </row>
        <row r="6">
          <cell r="A6">
            <v>2016</v>
          </cell>
          <cell r="B6" t="str">
            <v>0307 - 0101010203</v>
          </cell>
          <cell r="C6" t="str">
            <v>CIGARRILLO Y TABACO</v>
          </cell>
        </row>
        <row r="7">
          <cell r="A7">
            <v>2016</v>
          </cell>
          <cell r="B7" t="str">
            <v>0307 - 0101010204</v>
          </cell>
          <cell r="C7" t="str">
            <v>DEGUELLO DE GANADO MAYOR</v>
          </cell>
        </row>
        <row r="8">
          <cell r="A8">
            <v>2016</v>
          </cell>
          <cell r="B8" t="str">
            <v>0307 - 0101010205</v>
          </cell>
          <cell r="C8" t="str">
            <v xml:space="preserve">SOBRETASA A LA GASOLINA  </v>
          </cell>
        </row>
        <row r="9">
          <cell r="A9">
            <v>2016</v>
          </cell>
          <cell r="B9" t="str">
            <v>0307 - 0101010206</v>
          </cell>
          <cell r="C9" t="str">
            <v>ESTAMPILLA PRO-DESARROLLO</v>
          </cell>
        </row>
        <row r="10">
          <cell r="A10">
            <v>2016</v>
          </cell>
          <cell r="B10" t="str">
            <v>0307 - 0101010207</v>
          </cell>
          <cell r="C10" t="str">
            <v>ESTAMPILLA PRO-CULTURA</v>
          </cell>
        </row>
        <row r="11">
          <cell r="A11">
            <v>2016</v>
          </cell>
          <cell r="B11" t="str">
            <v>0307 - 0101010208</v>
          </cell>
          <cell r="C11" t="str">
            <v>ESTAMPILLA PRO-ADULTO MAYOR</v>
          </cell>
        </row>
        <row r="12">
          <cell r="A12">
            <v>2016</v>
          </cell>
          <cell r="B12" t="str">
            <v>0307 - 01010202</v>
          </cell>
          <cell r="C12" t="str">
            <v>MONOPOLIO</v>
          </cell>
        </row>
        <row r="13">
          <cell r="A13">
            <v>2016</v>
          </cell>
          <cell r="B13" t="str">
            <v>0307 - 010102040101</v>
          </cell>
          <cell r="C13" t="str">
            <v>SOBRETASA AL ACPM</v>
          </cell>
        </row>
        <row r="14">
          <cell r="A14">
            <v>2016</v>
          </cell>
          <cell r="B14" t="str">
            <v>0307 - 010102040102</v>
          </cell>
          <cell r="C14" t="str">
            <v>IVA TELEFONIA MOVIL CELULAR</v>
          </cell>
        </row>
        <row r="15">
          <cell r="A15">
            <v>2016</v>
          </cell>
          <cell r="B15" t="str">
            <v>0307 - 010102040103</v>
          </cell>
          <cell r="C15" t="str">
            <v xml:space="preserve">IVA LICORES </v>
          </cell>
        </row>
        <row r="16">
          <cell r="A16">
            <v>2016</v>
          </cell>
          <cell r="B16" t="str">
            <v>0307 - 010201</v>
          </cell>
          <cell r="C16" t="str">
            <v>FONDO DE SEGURIDAD</v>
          </cell>
        </row>
        <row r="19">
          <cell r="A19">
            <v>2016</v>
          </cell>
          <cell r="B19" t="str">
            <v>0318 - 0102040101</v>
          </cell>
          <cell r="C19" t="str">
            <v>RENTAS CEDIDAS PRESTACION DE SERVICIOS</v>
          </cell>
        </row>
        <row r="21">
          <cell r="A21">
            <v>2016</v>
          </cell>
          <cell r="B21" t="str">
            <v>0318 - 0102040301</v>
          </cell>
          <cell r="C21" t="str">
            <v>RENTAS CEDIDAS REGIMEN SUBSIDIADO</v>
          </cell>
        </row>
        <row r="22">
          <cell r="A22">
            <v>2016</v>
          </cell>
          <cell r="B22" t="str">
            <v>0318 - 0102040302</v>
          </cell>
          <cell r="C22" t="str">
            <v>JUEGOS DE SUERTE Y AZAR REGIMEN SUBSIDIADO</v>
          </cell>
        </row>
        <row r="23">
          <cell r="A23">
            <v>2016</v>
          </cell>
          <cell r="B23" t="str">
            <v>0318 - 0102040303</v>
          </cell>
          <cell r="C23" t="str">
            <v>LEY 1393 DE 2.010 REGIMEN SUBSIDIADO</v>
          </cell>
        </row>
        <row r="25">
          <cell r="A25">
            <v>2016</v>
          </cell>
          <cell r="B25" t="str">
            <v>0318 - 0102040401</v>
          </cell>
          <cell r="C25" t="str">
            <v>RENTAS CEDIDAS OTROS GASTOS EN SALUD</v>
          </cell>
        </row>
        <row r="26">
          <cell r="A26">
            <v>2016</v>
          </cell>
          <cell r="B26" t="str">
            <v>0318 - 0102040402</v>
          </cell>
          <cell r="C26" t="str">
            <v>JUEGOS DE SUERTE Y AZAR OTROS GASTOS EN SALUD</v>
          </cell>
        </row>
      </sheetData>
      <sheetData sheetId="3">
        <row r="2">
          <cell r="A2">
            <v>2017</v>
          </cell>
          <cell r="B2" t="str">
            <v>0307 - 0101010101</v>
          </cell>
          <cell r="C2" t="str">
            <v>IMPUESTO SOBRE VEHÍCULOS AUTOMOTORES</v>
          </cell>
        </row>
        <row r="3">
          <cell r="A3">
            <v>2017</v>
          </cell>
          <cell r="B3" t="str">
            <v>0307 - 0101010102</v>
          </cell>
          <cell r="C3" t="str">
            <v>IMPUESTO AL REGISTRO</v>
          </cell>
        </row>
        <row r="4">
          <cell r="A4">
            <v>2017</v>
          </cell>
          <cell r="B4" t="str">
            <v>0307 - 0101010201</v>
          </cell>
          <cell r="C4" t="str">
            <v>IMPUESTO AL CONSUMO DE LICORES</v>
          </cell>
        </row>
        <row r="5">
          <cell r="A5">
            <v>2017</v>
          </cell>
          <cell r="B5" t="str">
            <v>0307 - 0101010202</v>
          </cell>
          <cell r="C5" t="str">
            <v>IMPUESTO AL CONSUMO DE CERVEZA</v>
          </cell>
        </row>
        <row r="6">
          <cell r="A6">
            <v>2017</v>
          </cell>
          <cell r="B6" t="str">
            <v>0307 - 0101010203</v>
          </cell>
          <cell r="C6" t="str">
            <v>CIGARRILLO Y TABACO</v>
          </cell>
        </row>
        <row r="7">
          <cell r="A7">
            <v>2017</v>
          </cell>
          <cell r="B7" t="str">
            <v>0307 - 0101010204</v>
          </cell>
          <cell r="C7" t="str">
            <v>DEGUELLO DE GANADO MAYOR</v>
          </cell>
        </row>
        <row r="8">
          <cell r="A8">
            <v>2017</v>
          </cell>
          <cell r="B8" t="str">
            <v>0307 - 0101010205</v>
          </cell>
          <cell r="C8" t="str">
            <v xml:space="preserve">SOBRETASA A LA GASOLINA  </v>
          </cell>
        </row>
        <row r="9">
          <cell r="A9">
            <v>2017</v>
          </cell>
          <cell r="B9" t="str">
            <v>0307 - 0101010206</v>
          </cell>
          <cell r="C9" t="str">
            <v>ESTAMPILLA PRO-DESARROLLO</v>
          </cell>
        </row>
        <row r="10">
          <cell r="A10">
            <v>2017</v>
          </cell>
          <cell r="B10" t="str">
            <v>0307 - 0101010207</v>
          </cell>
          <cell r="C10" t="str">
            <v>ESTAMPILLA PRO-CULTURA</v>
          </cell>
        </row>
        <row r="11">
          <cell r="A11">
            <v>2017</v>
          </cell>
          <cell r="B11" t="str">
            <v>0307 - 0101010208</v>
          </cell>
          <cell r="C11" t="str">
            <v>ESTAMPILLA PRO-ADULTO MAYOR</v>
          </cell>
        </row>
        <row r="12">
          <cell r="A12">
            <v>2017</v>
          </cell>
          <cell r="B12" t="str">
            <v>0307 - 01010202</v>
          </cell>
          <cell r="C12" t="str">
            <v>MONOPOLIO</v>
          </cell>
        </row>
        <row r="13">
          <cell r="A13">
            <v>2017</v>
          </cell>
          <cell r="B13" t="str">
            <v>0307 - 010102040101</v>
          </cell>
          <cell r="C13" t="str">
            <v>SOBRETASA AL ACPM</v>
          </cell>
        </row>
        <row r="14">
          <cell r="A14">
            <v>2017</v>
          </cell>
          <cell r="B14" t="str">
            <v>0307 - 010102040102</v>
          </cell>
          <cell r="C14" t="str">
            <v>IVA TELEFONIA MOVIL CELULAR</v>
          </cell>
        </row>
        <row r="15">
          <cell r="A15">
            <v>2017</v>
          </cell>
          <cell r="B15" t="str">
            <v>0307 - 010102040103</v>
          </cell>
          <cell r="C15" t="str">
            <v xml:space="preserve">IVA LICORES </v>
          </cell>
        </row>
        <row r="16">
          <cell r="A16">
            <v>2017</v>
          </cell>
          <cell r="B16" t="str">
            <v>0307 - 010201</v>
          </cell>
          <cell r="C16" t="str">
            <v>FONDO DE SEGURIDAD</v>
          </cell>
        </row>
        <row r="19">
          <cell r="A19">
            <v>2017</v>
          </cell>
          <cell r="B19" t="str">
            <v>0318 - 0102040101</v>
          </cell>
          <cell r="C19" t="str">
            <v>RENTAS CEDIDAS PRESTACION DE SERVICIOS</v>
          </cell>
        </row>
        <row r="21">
          <cell r="A21">
            <v>2017</v>
          </cell>
          <cell r="B21" t="str">
            <v>0318 - 0102040301</v>
          </cell>
          <cell r="C21" t="str">
            <v>RENTAS CEDIDAS REGIMEN SUBSIDIADO</v>
          </cell>
        </row>
        <row r="22">
          <cell r="A22">
            <v>2017</v>
          </cell>
          <cell r="B22" t="str">
            <v>0318 - 0102040302</v>
          </cell>
          <cell r="C22" t="str">
            <v>JUEGOS DE SUERTE Y AZAR REGIMEN SUBSIDIADO</v>
          </cell>
        </row>
        <row r="23">
          <cell r="A23">
            <v>2017</v>
          </cell>
          <cell r="B23" t="str">
            <v>0318 - 0102040303</v>
          </cell>
          <cell r="C23" t="str">
            <v>LEY 1393 DE 2.010 REGIMEN SUBSIDIADO</v>
          </cell>
        </row>
        <row r="25">
          <cell r="A25">
            <v>2017</v>
          </cell>
          <cell r="B25" t="str">
            <v>0318 - 0102040401</v>
          </cell>
          <cell r="C25" t="str">
            <v>RENTAS CEDIDAS OTROS GASTOS EN SALUD</v>
          </cell>
        </row>
        <row r="26">
          <cell r="A26">
            <v>2017</v>
          </cell>
          <cell r="B26" t="str">
            <v>0318 - 0102040402</v>
          </cell>
          <cell r="C26" t="str">
            <v>JUEGOS DE SUERTE Y AZAR OTROS GASTOS EN SALUD</v>
          </cell>
        </row>
      </sheetData>
      <sheetData sheetId="4">
        <row r="2">
          <cell r="A2">
            <v>2018</v>
          </cell>
          <cell r="B2" t="str">
            <v>0307 - 0101010101</v>
          </cell>
          <cell r="C2" t="str">
            <v>IMPUESTO SOBRE VEHÍCULOS AUTOMOTORES</v>
          </cell>
        </row>
        <row r="3">
          <cell r="A3">
            <v>2018</v>
          </cell>
          <cell r="B3" t="str">
            <v>0307 - 0101010102</v>
          </cell>
          <cell r="C3" t="str">
            <v>IMPUESTO AL REGISTRO</v>
          </cell>
        </row>
        <row r="4">
          <cell r="A4">
            <v>2018</v>
          </cell>
          <cell r="B4" t="str">
            <v>0307 - 0101010201</v>
          </cell>
          <cell r="C4" t="str">
            <v>IMPUESTO AL CONSUMO DE LICORES</v>
          </cell>
        </row>
        <row r="5">
          <cell r="A5">
            <v>2018</v>
          </cell>
          <cell r="B5" t="str">
            <v>0307 - 0101010202</v>
          </cell>
          <cell r="C5" t="str">
            <v>IMPUESTO AL CONSUMO DE CERVEZA</v>
          </cell>
        </row>
        <row r="6">
          <cell r="A6">
            <v>2018</v>
          </cell>
          <cell r="B6" t="str">
            <v>0307 - 0101010203</v>
          </cell>
          <cell r="C6" t="str">
            <v>CIGARRILLO Y TABACO</v>
          </cell>
        </row>
        <row r="7">
          <cell r="A7">
            <v>2018</v>
          </cell>
          <cell r="B7" t="str">
            <v>0307 - 0101010204</v>
          </cell>
          <cell r="C7" t="str">
            <v>DEGUELLO DE GANADO MAYOR</v>
          </cell>
        </row>
        <row r="8">
          <cell r="A8">
            <v>2018</v>
          </cell>
          <cell r="B8" t="str">
            <v>0307 - 0101010205</v>
          </cell>
          <cell r="C8" t="str">
            <v xml:space="preserve">SOBRETASA A LA GASOLINA  </v>
          </cell>
        </row>
        <row r="9">
          <cell r="A9">
            <v>2018</v>
          </cell>
          <cell r="B9" t="str">
            <v>0307 - 0101010206</v>
          </cell>
          <cell r="C9" t="str">
            <v>ESTAMPILLA PRO-DESARROLLO</v>
          </cell>
        </row>
        <row r="10">
          <cell r="A10">
            <v>2018</v>
          </cell>
          <cell r="B10" t="str">
            <v>0307 - 0101010207</v>
          </cell>
          <cell r="C10" t="str">
            <v>ESTAMPILLA PRO-CULTURA</v>
          </cell>
        </row>
        <row r="11">
          <cell r="A11">
            <v>2018</v>
          </cell>
          <cell r="B11" t="str">
            <v>0307 - 0101010208</v>
          </cell>
          <cell r="C11" t="str">
            <v>ESTAMPILLA PRO-ADULTO MAYOR</v>
          </cell>
        </row>
        <row r="12">
          <cell r="A12">
            <v>2018</v>
          </cell>
          <cell r="B12" t="str">
            <v>0307 - 01010202</v>
          </cell>
          <cell r="C12" t="str">
            <v>MONOPOLIO</v>
          </cell>
        </row>
        <row r="13">
          <cell r="A13">
            <v>2018</v>
          </cell>
          <cell r="B13" t="str">
            <v>0307 - 010102040101</v>
          </cell>
          <cell r="C13" t="str">
            <v>SOBRETASA AL ACPM</v>
          </cell>
        </row>
        <row r="14">
          <cell r="A14">
            <v>2018</v>
          </cell>
          <cell r="B14" t="str">
            <v>0307 - 010102040102</v>
          </cell>
          <cell r="C14" t="str">
            <v>IVA TELEFONIA MOVIL CELULAR</v>
          </cell>
        </row>
        <row r="15">
          <cell r="A15">
            <v>2018</v>
          </cell>
          <cell r="B15" t="str">
            <v>0307 - 010102040106</v>
          </cell>
          <cell r="C15" t="str">
            <v>Impuesto al Consumo de Licores</v>
          </cell>
        </row>
        <row r="16">
          <cell r="A16">
            <v>2018</v>
          </cell>
          <cell r="B16" t="str">
            <v>0307 - 010201</v>
          </cell>
          <cell r="C16" t="str">
            <v>FONDO DE SEGURIDAD</v>
          </cell>
        </row>
        <row r="19">
          <cell r="A19">
            <v>2018</v>
          </cell>
          <cell r="B19" t="str">
            <v>0318 - 0102040101</v>
          </cell>
          <cell r="C19" t="str">
            <v>RENTAS CEDIDAS PRESTACION DE SERVICIOS</v>
          </cell>
        </row>
        <row r="21">
          <cell r="A21">
            <v>2018</v>
          </cell>
          <cell r="B21" t="str">
            <v>0318 - 0102040301</v>
          </cell>
          <cell r="C21" t="str">
            <v>RENTAS CEDIDAS REGIMEN SUBSIDIADO</v>
          </cell>
        </row>
        <row r="22">
          <cell r="A22">
            <v>2018</v>
          </cell>
          <cell r="B22" t="str">
            <v>0318 - 0102040302</v>
          </cell>
          <cell r="C22" t="str">
            <v>JUEGOS DE SUERTE Y AZAR REGIMEN SUBSIDIADO</v>
          </cell>
        </row>
        <row r="23">
          <cell r="A23">
            <v>2018</v>
          </cell>
          <cell r="B23" t="str">
            <v>0318 - 0102040303</v>
          </cell>
          <cell r="C23" t="str">
            <v>LEY 1393 DE 2.010 REGIMEN SUBSIDIADO</v>
          </cell>
        </row>
        <row r="25">
          <cell r="A25">
            <v>2018</v>
          </cell>
          <cell r="B25" t="str">
            <v>0318 - 0102040401</v>
          </cell>
          <cell r="C25" t="str">
            <v>RENTAS CEDIDAS OTROS GASTOS EN SALUD</v>
          </cell>
        </row>
        <row r="26">
          <cell r="A26">
            <v>2018</v>
          </cell>
          <cell r="B26" t="str">
            <v>0318 - 0102040402</v>
          </cell>
          <cell r="C26" t="str">
            <v>JUEGOS DE SUERTE Y AZAR OTROS GASTOS EN SALUD</v>
          </cell>
        </row>
      </sheetData>
      <sheetData sheetId="5">
        <row r="2">
          <cell r="A2">
            <v>2019</v>
          </cell>
          <cell r="B2" t="str">
            <v>0307 - 0101010101</v>
          </cell>
          <cell r="C2" t="str">
            <v>IMPUESTO SOBRE VEHÍCULOS AUTOMOTORES</v>
          </cell>
        </row>
        <row r="3">
          <cell r="A3">
            <v>2019</v>
          </cell>
          <cell r="B3" t="str">
            <v>0307 - 0101010102</v>
          </cell>
          <cell r="C3" t="str">
            <v>IMPUESTO AL REGISTRO</v>
          </cell>
        </row>
        <row r="4">
          <cell r="A4">
            <v>2019</v>
          </cell>
          <cell r="B4" t="str">
            <v>0307 - 0101010201</v>
          </cell>
          <cell r="C4" t="str">
            <v>IMPUESTO AL CONSUMO DE LICORES</v>
          </cell>
        </row>
        <row r="5">
          <cell r="A5">
            <v>2019</v>
          </cell>
          <cell r="B5" t="str">
            <v>0307 - 0101010202</v>
          </cell>
          <cell r="C5" t="str">
            <v>IMPUESTO AL CONSUMO DE CERVEZA</v>
          </cell>
        </row>
        <row r="6">
          <cell r="A6">
            <v>2019</v>
          </cell>
          <cell r="B6" t="str">
            <v>0307 - 0101010203</v>
          </cell>
          <cell r="C6" t="str">
            <v>CIGARRILLO Y TABACO</v>
          </cell>
        </row>
        <row r="7">
          <cell r="A7">
            <v>2019</v>
          </cell>
          <cell r="B7" t="str">
            <v>0307 - 0101010204</v>
          </cell>
          <cell r="C7" t="str">
            <v>DEGUELLO DE GANADO MAYOR</v>
          </cell>
        </row>
        <row r="8">
          <cell r="A8">
            <v>2019</v>
          </cell>
          <cell r="B8" t="str">
            <v>0307 - 0101010205</v>
          </cell>
          <cell r="C8" t="str">
            <v xml:space="preserve">SOBRETASA A LA GASOLINA  </v>
          </cell>
        </row>
        <row r="9">
          <cell r="A9">
            <v>2019</v>
          </cell>
          <cell r="B9" t="str">
            <v>0307 - 0101010206</v>
          </cell>
          <cell r="C9" t="str">
            <v>ESTAMPILLA PRO-DESARROLLO</v>
          </cell>
        </row>
        <row r="10">
          <cell r="A10">
            <v>2019</v>
          </cell>
          <cell r="B10" t="str">
            <v>0307 - 0101010207</v>
          </cell>
          <cell r="C10" t="str">
            <v>ESTAMPILLA PRO-CULTURA</v>
          </cell>
        </row>
        <row r="11">
          <cell r="A11">
            <v>2019</v>
          </cell>
          <cell r="B11" t="str">
            <v>0307 - 0101010208</v>
          </cell>
          <cell r="C11" t="str">
            <v>ESTAMPILLA PRO-ADULTO MAYOR</v>
          </cell>
        </row>
        <row r="12">
          <cell r="A12">
            <v>2019</v>
          </cell>
          <cell r="B12" t="str">
            <v>0307 - 01010202</v>
          </cell>
          <cell r="C12" t="str">
            <v>MONOPOLIO</v>
          </cell>
        </row>
        <row r="13">
          <cell r="A13">
            <v>2019</v>
          </cell>
          <cell r="B13" t="str">
            <v>0307 - 010102040101</v>
          </cell>
          <cell r="C13" t="str">
            <v>SOBRETASA AL ACPM</v>
          </cell>
        </row>
        <row r="14">
          <cell r="A14">
            <v>2019</v>
          </cell>
          <cell r="B14" t="str">
            <v>0307 - 010102040102</v>
          </cell>
          <cell r="C14" t="str">
            <v>IVA TELEFONIA MOVIL CELULAR</v>
          </cell>
        </row>
        <row r="15">
          <cell r="A15">
            <v>2019</v>
          </cell>
          <cell r="B15" t="str">
            <v>0307 - 010102040106</v>
          </cell>
          <cell r="C15" t="str">
            <v>Impuesto al Consumo de Licores</v>
          </cell>
        </row>
        <row r="16">
          <cell r="A16">
            <v>2019</v>
          </cell>
          <cell r="B16" t="str">
            <v>0307 - 010201</v>
          </cell>
          <cell r="C16" t="str">
            <v>FONDO DE SEGURIDAD</v>
          </cell>
        </row>
        <row r="19">
          <cell r="A19">
            <v>2019</v>
          </cell>
          <cell r="B19" t="str">
            <v>0318 - 0102040101</v>
          </cell>
          <cell r="C19" t="str">
            <v>RENTAS CEDIDAS PRESTACION DE SERVICIOS</v>
          </cell>
        </row>
        <row r="21">
          <cell r="A21">
            <v>2019</v>
          </cell>
          <cell r="B21" t="str">
            <v>0318 - 0102040301</v>
          </cell>
          <cell r="C21" t="str">
            <v>RENTAS CEDIDAS REGIMEN SUBSIDIADO</v>
          </cell>
        </row>
        <row r="22">
          <cell r="A22">
            <v>2019</v>
          </cell>
          <cell r="B22" t="str">
            <v>0318 - 0102040302</v>
          </cell>
          <cell r="C22" t="str">
            <v>JUEGOS DE SUERTE Y AZAR REGIMEN SUBSIDIADO</v>
          </cell>
        </row>
        <row r="23">
          <cell r="A23">
            <v>2019</v>
          </cell>
          <cell r="B23" t="str">
            <v>0318 - 0102040303</v>
          </cell>
          <cell r="C23" t="str">
            <v>LEY 1393 DE 2.010 REGIMEN SUBSIDIADO</v>
          </cell>
        </row>
        <row r="25">
          <cell r="A25">
            <v>2019</v>
          </cell>
          <cell r="B25" t="str">
            <v>0318 - 0102040401</v>
          </cell>
          <cell r="C25" t="str">
            <v>RENTAS CEDIDAS OTROS GASTOS EN SALUD</v>
          </cell>
        </row>
        <row r="26">
          <cell r="A26">
            <v>2019</v>
          </cell>
          <cell r="B26" t="str">
            <v>0318 - 0102040402</v>
          </cell>
          <cell r="C26" t="str">
            <v>JUEGOS DE SUERTE Y AZAR OTROS GASTOS EN SALUD</v>
          </cell>
        </row>
      </sheetData>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8"/>
  <sheetViews>
    <sheetView workbookViewId="0">
      <pane xSplit="2" ySplit="1" topLeftCell="W2" activePane="bottomRight" state="frozen"/>
      <selection pane="topRight" activeCell="C1" sqref="C1"/>
      <selection pane="bottomLeft" activeCell="A3" sqref="A3"/>
      <selection pane="bottomRight" activeCell="AB2" sqref="AB2"/>
    </sheetView>
  </sheetViews>
  <sheetFormatPr baseColWidth="10" defaultColWidth="11.42578125" defaultRowHeight="12.75" x14ac:dyDescent="0.25"/>
  <cols>
    <col min="1" max="1" width="11.42578125" style="114"/>
    <col min="2" max="3" width="31.85546875" style="122" customWidth="1"/>
    <col min="4" max="14" width="17.5703125" style="114" customWidth="1"/>
    <col min="15" max="15" width="21.7109375" style="114" customWidth="1"/>
    <col min="16" max="21" width="18.5703125" style="114" customWidth="1"/>
    <col min="22" max="22" width="11.5703125" style="114" customWidth="1"/>
    <col min="23" max="23" width="23.85546875" style="114" customWidth="1"/>
    <col min="24" max="24" width="18.140625" style="114" bestFit="1" customWidth="1"/>
    <col min="25" max="25" width="13" style="114" customWidth="1"/>
    <col min="26" max="26" width="20.7109375" style="123" bestFit="1" customWidth="1"/>
    <col min="27" max="27" width="18.28515625" style="114" customWidth="1"/>
    <col min="28" max="28" width="17.5703125" style="123" bestFit="1" customWidth="1"/>
    <col min="29" max="29" width="18.5703125" style="123" hidden="1" customWidth="1"/>
    <col min="30" max="30" width="17.5703125" style="114" hidden="1" customWidth="1"/>
    <col min="31" max="31" width="0" style="114" hidden="1" customWidth="1"/>
    <col min="32" max="33" width="16.5703125" style="114" bestFit="1" customWidth="1"/>
    <col min="34" max="259" width="11.42578125" style="114"/>
    <col min="260" max="260" width="31.85546875" style="114" customWidth="1"/>
    <col min="261" max="270" width="17.5703125" style="114" customWidth="1"/>
    <col min="271" max="271" width="21.7109375" style="114" customWidth="1"/>
    <col min="272" max="277" width="18.5703125" style="114" customWidth="1"/>
    <col min="278" max="278" width="11.5703125" style="114" customWidth="1"/>
    <col min="279" max="279" width="23.85546875" style="114" customWidth="1"/>
    <col min="280" max="280" width="18.140625" style="114" bestFit="1" customWidth="1"/>
    <col min="281" max="281" width="13" style="114" customWidth="1"/>
    <col min="282" max="282" width="20.7109375" style="114" bestFit="1" customWidth="1"/>
    <col min="283" max="283" width="18.28515625" style="114" customWidth="1"/>
    <col min="284" max="284" width="17.5703125" style="114" bestFit="1" customWidth="1"/>
    <col min="285" max="287" width="0" style="114" hidden="1" customWidth="1"/>
    <col min="288" max="289" width="16.5703125" style="114" bestFit="1" customWidth="1"/>
    <col min="290" max="515" width="11.42578125" style="114"/>
    <col min="516" max="516" width="31.85546875" style="114" customWidth="1"/>
    <col min="517" max="526" width="17.5703125" style="114" customWidth="1"/>
    <col min="527" max="527" width="21.7109375" style="114" customWidth="1"/>
    <col min="528" max="533" width="18.5703125" style="114" customWidth="1"/>
    <col min="534" max="534" width="11.5703125" style="114" customWidth="1"/>
    <col min="535" max="535" width="23.85546875" style="114" customWidth="1"/>
    <col min="536" max="536" width="18.140625" style="114" bestFit="1" customWidth="1"/>
    <col min="537" max="537" width="13" style="114" customWidth="1"/>
    <col min="538" max="538" width="20.7109375" style="114" bestFit="1" customWidth="1"/>
    <col min="539" max="539" width="18.28515625" style="114" customWidth="1"/>
    <col min="540" max="540" width="17.5703125" style="114" bestFit="1" customWidth="1"/>
    <col min="541" max="543" width="0" style="114" hidden="1" customWidth="1"/>
    <col min="544" max="545" width="16.5703125" style="114" bestFit="1" customWidth="1"/>
    <col min="546" max="771" width="11.42578125" style="114"/>
    <col min="772" max="772" width="31.85546875" style="114" customWidth="1"/>
    <col min="773" max="782" width="17.5703125" style="114" customWidth="1"/>
    <col min="783" max="783" width="21.7109375" style="114" customWidth="1"/>
    <col min="784" max="789" width="18.5703125" style="114" customWidth="1"/>
    <col min="790" max="790" width="11.5703125" style="114" customWidth="1"/>
    <col min="791" max="791" width="23.85546875" style="114" customWidth="1"/>
    <col min="792" max="792" width="18.140625" style="114" bestFit="1" customWidth="1"/>
    <col min="793" max="793" width="13" style="114" customWidth="1"/>
    <col min="794" max="794" width="20.7109375" style="114" bestFit="1" customWidth="1"/>
    <col min="795" max="795" width="18.28515625" style="114" customWidth="1"/>
    <col min="796" max="796" width="17.5703125" style="114" bestFit="1" customWidth="1"/>
    <col min="797" max="799" width="0" style="114" hidden="1" customWidth="1"/>
    <col min="800" max="801" width="16.5703125" style="114" bestFit="1" customWidth="1"/>
    <col min="802" max="1027" width="11.42578125" style="114"/>
    <col min="1028" max="1028" width="31.85546875" style="114" customWidth="1"/>
    <col min="1029" max="1038" width="17.5703125" style="114" customWidth="1"/>
    <col min="1039" max="1039" width="21.7109375" style="114" customWidth="1"/>
    <col min="1040" max="1045" width="18.5703125" style="114" customWidth="1"/>
    <col min="1046" max="1046" width="11.5703125" style="114" customWidth="1"/>
    <col min="1047" max="1047" width="23.85546875" style="114" customWidth="1"/>
    <col min="1048" max="1048" width="18.140625" style="114" bestFit="1" customWidth="1"/>
    <col min="1049" max="1049" width="13" style="114" customWidth="1"/>
    <col min="1050" max="1050" width="20.7109375" style="114" bestFit="1" customWidth="1"/>
    <col min="1051" max="1051" width="18.28515625" style="114" customWidth="1"/>
    <col min="1052" max="1052" width="17.5703125" style="114" bestFit="1" customWidth="1"/>
    <col min="1053" max="1055" width="0" style="114" hidden="1" customWidth="1"/>
    <col min="1056" max="1057" width="16.5703125" style="114" bestFit="1" customWidth="1"/>
    <col min="1058" max="1283" width="11.42578125" style="114"/>
    <col min="1284" max="1284" width="31.85546875" style="114" customWidth="1"/>
    <col min="1285" max="1294" width="17.5703125" style="114" customWidth="1"/>
    <col min="1295" max="1295" width="21.7109375" style="114" customWidth="1"/>
    <col min="1296" max="1301" width="18.5703125" style="114" customWidth="1"/>
    <col min="1302" max="1302" width="11.5703125" style="114" customWidth="1"/>
    <col min="1303" max="1303" width="23.85546875" style="114" customWidth="1"/>
    <col min="1304" max="1304" width="18.140625" style="114" bestFit="1" customWidth="1"/>
    <col min="1305" max="1305" width="13" style="114" customWidth="1"/>
    <col min="1306" max="1306" width="20.7109375" style="114" bestFit="1" customWidth="1"/>
    <col min="1307" max="1307" width="18.28515625" style="114" customWidth="1"/>
    <col min="1308" max="1308" width="17.5703125" style="114" bestFit="1" customWidth="1"/>
    <col min="1309" max="1311" width="0" style="114" hidden="1" customWidth="1"/>
    <col min="1312" max="1313" width="16.5703125" style="114" bestFit="1" customWidth="1"/>
    <col min="1314" max="1539" width="11.42578125" style="114"/>
    <col min="1540" max="1540" width="31.85546875" style="114" customWidth="1"/>
    <col min="1541" max="1550" width="17.5703125" style="114" customWidth="1"/>
    <col min="1551" max="1551" width="21.7109375" style="114" customWidth="1"/>
    <col min="1552" max="1557" width="18.5703125" style="114" customWidth="1"/>
    <col min="1558" max="1558" width="11.5703125" style="114" customWidth="1"/>
    <col min="1559" max="1559" width="23.85546875" style="114" customWidth="1"/>
    <col min="1560" max="1560" width="18.140625" style="114" bestFit="1" customWidth="1"/>
    <col min="1561" max="1561" width="13" style="114" customWidth="1"/>
    <col min="1562" max="1562" width="20.7109375" style="114" bestFit="1" customWidth="1"/>
    <col min="1563" max="1563" width="18.28515625" style="114" customWidth="1"/>
    <col min="1564" max="1564" width="17.5703125" style="114" bestFit="1" customWidth="1"/>
    <col min="1565" max="1567" width="0" style="114" hidden="1" customWidth="1"/>
    <col min="1568" max="1569" width="16.5703125" style="114" bestFit="1" customWidth="1"/>
    <col min="1570" max="1795" width="11.42578125" style="114"/>
    <col min="1796" max="1796" width="31.85546875" style="114" customWidth="1"/>
    <col min="1797" max="1806" width="17.5703125" style="114" customWidth="1"/>
    <col min="1807" max="1807" width="21.7109375" style="114" customWidth="1"/>
    <col min="1808" max="1813" width="18.5703125" style="114" customWidth="1"/>
    <col min="1814" max="1814" width="11.5703125" style="114" customWidth="1"/>
    <col min="1815" max="1815" width="23.85546875" style="114" customWidth="1"/>
    <col min="1816" max="1816" width="18.140625" style="114" bestFit="1" customWidth="1"/>
    <col min="1817" max="1817" width="13" style="114" customWidth="1"/>
    <col min="1818" max="1818" width="20.7109375" style="114" bestFit="1" customWidth="1"/>
    <col min="1819" max="1819" width="18.28515625" style="114" customWidth="1"/>
    <col min="1820" max="1820" width="17.5703125" style="114" bestFit="1" customWidth="1"/>
    <col min="1821" max="1823" width="0" style="114" hidden="1" customWidth="1"/>
    <col min="1824" max="1825" width="16.5703125" style="114" bestFit="1" customWidth="1"/>
    <col min="1826" max="2051" width="11.42578125" style="114"/>
    <col min="2052" max="2052" width="31.85546875" style="114" customWidth="1"/>
    <col min="2053" max="2062" width="17.5703125" style="114" customWidth="1"/>
    <col min="2063" max="2063" width="21.7109375" style="114" customWidth="1"/>
    <col min="2064" max="2069" width="18.5703125" style="114" customWidth="1"/>
    <col min="2070" max="2070" width="11.5703125" style="114" customWidth="1"/>
    <col min="2071" max="2071" width="23.85546875" style="114" customWidth="1"/>
    <col min="2072" max="2072" width="18.140625" style="114" bestFit="1" customWidth="1"/>
    <col min="2073" max="2073" width="13" style="114" customWidth="1"/>
    <col min="2074" max="2074" width="20.7109375" style="114" bestFit="1" customWidth="1"/>
    <col min="2075" max="2075" width="18.28515625" style="114" customWidth="1"/>
    <col min="2076" max="2076" width="17.5703125" style="114" bestFit="1" customWidth="1"/>
    <col min="2077" max="2079" width="0" style="114" hidden="1" customWidth="1"/>
    <col min="2080" max="2081" width="16.5703125" style="114" bestFit="1" customWidth="1"/>
    <col min="2082" max="2307" width="11.42578125" style="114"/>
    <col min="2308" max="2308" width="31.85546875" style="114" customWidth="1"/>
    <col min="2309" max="2318" width="17.5703125" style="114" customWidth="1"/>
    <col min="2319" max="2319" width="21.7109375" style="114" customWidth="1"/>
    <col min="2320" max="2325" width="18.5703125" style="114" customWidth="1"/>
    <col min="2326" max="2326" width="11.5703125" style="114" customWidth="1"/>
    <col min="2327" max="2327" width="23.85546875" style="114" customWidth="1"/>
    <col min="2328" max="2328" width="18.140625" style="114" bestFit="1" customWidth="1"/>
    <col min="2329" max="2329" width="13" style="114" customWidth="1"/>
    <col min="2330" max="2330" width="20.7109375" style="114" bestFit="1" customWidth="1"/>
    <col min="2331" max="2331" width="18.28515625" style="114" customWidth="1"/>
    <col min="2332" max="2332" width="17.5703125" style="114" bestFit="1" customWidth="1"/>
    <col min="2333" max="2335" width="0" style="114" hidden="1" customWidth="1"/>
    <col min="2336" max="2337" width="16.5703125" style="114" bestFit="1" customWidth="1"/>
    <col min="2338" max="2563" width="11.42578125" style="114"/>
    <col min="2564" max="2564" width="31.85546875" style="114" customWidth="1"/>
    <col min="2565" max="2574" width="17.5703125" style="114" customWidth="1"/>
    <col min="2575" max="2575" width="21.7109375" style="114" customWidth="1"/>
    <col min="2576" max="2581" width="18.5703125" style="114" customWidth="1"/>
    <col min="2582" max="2582" width="11.5703125" style="114" customWidth="1"/>
    <col min="2583" max="2583" width="23.85546875" style="114" customWidth="1"/>
    <col min="2584" max="2584" width="18.140625" style="114" bestFit="1" customWidth="1"/>
    <col min="2585" max="2585" width="13" style="114" customWidth="1"/>
    <col min="2586" max="2586" width="20.7109375" style="114" bestFit="1" customWidth="1"/>
    <col min="2587" max="2587" width="18.28515625" style="114" customWidth="1"/>
    <col min="2588" max="2588" width="17.5703125" style="114" bestFit="1" customWidth="1"/>
    <col min="2589" max="2591" width="0" style="114" hidden="1" customWidth="1"/>
    <col min="2592" max="2593" width="16.5703125" style="114" bestFit="1" customWidth="1"/>
    <col min="2594" max="2819" width="11.42578125" style="114"/>
    <col min="2820" max="2820" width="31.85546875" style="114" customWidth="1"/>
    <col min="2821" max="2830" width="17.5703125" style="114" customWidth="1"/>
    <col min="2831" max="2831" width="21.7109375" style="114" customWidth="1"/>
    <col min="2832" max="2837" width="18.5703125" style="114" customWidth="1"/>
    <col min="2838" max="2838" width="11.5703125" style="114" customWidth="1"/>
    <col min="2839" max="2839" width="23.85546875" style="114" customWidth="1"/>
    <col min="2840" max="2840" width="18.140625" style="114" bestFit="1" customWidth="1"/>
    <col min="2841" max="2841" width="13" style="114" customWidth="1"/>
    <col min="2842" max="2842" width="20.7109375" style="114" bestFit="1" customWidth="1"/>
    <col min="2843" max="2843" width="18.28515625" style="114" customWidth="1"/>
    <col min="2844" max="2844" width="17.5703125" style="114" bestFit="1" customWidth="1"/>
    <col min="2845" max="2847" width="0" style="114" hidden="1" customWidth="1"/>
    <col min="2848" max="2849" width="16.5703125" style="114" bestFit="1" customWidth="1"/>
    <col min="2850" max="3075" width="11.42578125" style="114"/>
    <col min="3076" max="3076" width="31.85546875" style="114" customWidth="1"/>
    <col min="3077" max="3086" width="17.5703125" style="114" customWidth="1"/>
    <col min="3087" max="3087" width="21.7109375" style="114" customWidth="1"/>
    <col min="3088" max="3093" width="18.5703125" style="114" customWidth="1"/>
    <col min="3094" max="3094" width="11.5703125" style="114" customWidth="1"/>
    <col min="3095" max="3095" width="23.85546875" style="114" customWidth="1"/>
    <col min="3096" max="3096" width="18.140625" style="114" bestFit="1" customWidth="1"/>
    <col min="3097" max="3097" width="13" style="114" customWidth="1"/>
    <col min="3098" max="3098" width="20.7109375" style="114" bestFit="1" customWidth="1"/>
    <col min="3099" max="3099" width="18.28515625" style="114" customWidth="1"/>
    <col min="3100" max="3100" width="17.5703125" style="114" bestFit="1" customWidth="1"/>
    <col min="3101" max="3103" width="0" style="114" hidden="1" customWidth="1"/>
    <col min="3104" max="3105" width="16.5703125" style="114" bestFit="1" customWidth="1"/>
    <col min="3106" max="3331" width="11.42578125" style="114"/>
    <col min="3332" max="3332" width="31.85546875" style="114" customWidth="1"/>
    <col min="3333" max="3342" width="17.5703125" style="114" customWidth="1"/>
    <col min="3343" max="3343" width="21.7109375" style="114" customWidth="1"/>
    <col min="3344" max="3349" width="18.5703125" style="114" customWidth="1"/>
    <col min="3350" max="3350" width="11.5703125" style="114" customWidth="1"/>
    <col min="3351" max="3351" width="23.85546875" style="114" customWidth="1"/>
    <col min="3352" max="3352" width="18.140625" style="114" bestFit="1" customWidth="1"/>
    <col min="3353" max="3353" width="13" style="114" customWidth="1"/>
    <col min="3354" max="3354" width="20.7109375" style="114" bestFit="1" customWidth="1"/>
    <col min="3355" max="3355" width="18.28515625" style="114" customWidth="1"/>
    <col min="3356" max="3356" width="17.5703125" style="114" bestFit="1" customWidth="1"/>
    <col min="3357" max="3359" width="0" style="114" hidden="1" customWidth="1"/>
    <col min="3360" max="3361" width="16.5703125" style="114" bestFit="1" customWidth="1"/>
    <col min="3362" max="3587" width="11.42578125" style="114"/>
    <col min="3588" max="3588" width="31.85546875" style="114" customWidth="1"/>
    <col min="3589" max="3598" width="17.5703125" style="114" customWidth="1"/>
    <col min="3599" max="3599" width="21.7109375" style="114" customWidth="1"/>
    <col min="3600" max="3605" width="18.5703125" style="114" customWidth="1"/>
    <col min="3606" max="3606" width="11.5703125" style="114" customWidth="1"/>
    <col min="3607" max="3607" width="23.85546875" style="114" customWidth="1"/>
    <col min="3608" max="3608" width="18.140625" style="114" bestFit="1" customWidth="1"/>
    <col min="3609" max="3609" width="13" style="114" customWidth="1"/>
    <col min="3610" max="3610" width="20.7109375" style="114" bestFit="1" customWidth="1"/>
    <col min="3611" max="3611" width="18.28515625" style="114" customWidth="1"/>
    <col min="3612" max="3612" width="17.5703125" style="114" bestFit="1" customWidth="1"/>
    <col min="3613" max="3615" width="0" style="114" hidden="1" customWidth="1"/>
    <col min="3616" max="3617" width="16.5703125" style="114" bestFit="1" customWidth="1"/>
    <col min="3618" max="3843" width="11.42578125" style="114"/>
    <col min="3844" max="3844" width="31.85546875" style="114" customWidth="1"/>
    <col min="3845" max="3854" width="17.5703125" style="114" customWidth="1"/>
    <col min="3855" max="3855" width="21.7109375" style="114" customWidth="1"/>
    <col min="3856" max="3861" width="18.5703125" style="114" customWidth="1"/>
    <col min="3862" max="3862" width="11.5703125" style="114" customWidth="1"/>
    <col min="3863" max="3863" width="23.85546875" style="114" customWidth="1"/>
    <col min="3864" max="3864" width="18.140625" style="114" bestFit="1" customWidth="1"/>
    <col min="3865" max="3865" width="13" style="114" customWidth="1"/>
    <col min="3866" max="3866" width="20.7109375" style="114" bestFit="1" customWidth="1"/>
    <col min="3867" max="3867" width="18.28515625" style="114" customWidth="1"/>
    <col min="3868" max="3868" width="17.5703125" style="114" bestFit="1" customWidth="1"/>
    <col min="3869" max="3871" width="0" style="114" hidden="1" customWidth="1"/>
    <col min="3872" max="3873" width="16.5703125" style="114" bestFit="1" customWidth="1"/>
    <col min="3874" max="4099" width="11.42578125" style="114"/>
    <col min="4100" max="4100" width="31.85546875" style="114" customWidth="1"/>
    <col min="4101" max="4110" width="17.5703125" style="114" customWidth="1"/>
    <col min="4111" max="4111" width="21.7109375" style="114" customWidth="1"/>
    <col min="4112" max="4117" width="18.5703125" style="114" customWidth="1"/>
    <col min="4118" max="4118" width="11.5703125" style="114" customWidth="1"/>
    <col min="4119" max="4119" width="23.85546875" style="114" customWidth="1"/>
    <col min="4120" max="4120" width="18.140625" style="114" bestFit="1" customWidth="1"/>
    <col min="4121" max="4121" width="13" style="114" customWidth="1"/>
    <col min="4122" max="4122" width="20.7109375" style="114" bestFit="1" customWidth="1"/>
    <col min="4123" max="4123" width="18.28515625" style="114" customWidth="1"/>
    <col min="4124" max="4124" width="17.5703125" style="114" bestFit="1" customWidth="1"/>
    <col min="4125" max="4127" width="0" style="114" hidden="1" customWidth="1"/>
    <col min="4128" max="4129" width="16.5703125" style="114" bestFit="1" customWidth="1"/>
    <col min="4130" max="4355" width="11.42578125" style="114"/>
    <col min="4356" max="4356" width="31.85546875" style="114" customWidth="1"/>
    <col min="4357" max="4366" width="17.5703125" style="114" customWidth="1"/>
    <col min="4367" max="4367" width="21.7109375" style="114" customWidth="1"/>
    <col min="4368" max="4373" width="18.5703125" style="114" customWidth="1"/>
    <col min="4374" max="4374" width="11.5703125" style="114" customWidth="1"/>
    <col min="4375" max="4375" width="23.85546875" style="114" customWidth="1"/>
    <col min="4376" max="4376" width="18.140625" style="114" bestFit="1" customWidth="1"/>
    <col min="4377" max="4377" width="13" style="114" customWidth="1"/>
    <col min="4378" max="4378" width="20.7109375" style="114" bestFit="1" customWidth="1"/>
    <col min="4379" max="4379" width="18.28515625" style="114" customWidth="1"/>
    <col min="4380" max="4380" width="17.5703125" style="114" bestFit="1" customWidth="1"/>
    <col min="4381" max="4383" width="0" style="114" hidden="1" customWidth="1"/>
    <col min="4384" max="4385" width="16.5703125" style="114" bestFit="1" customWidth="1"/>
    <col min="4386" max="4611" width="11.42578125" style="114"/>
    <col min="4612" max="4612" width="31.85546875" style="114" customWidth="1"/>
    <col min="4613" max="4622" width="17.5703125" style="114" customWidth="1"/>
    <col min="4623" max="4623" width="21.7109375" style="114" customWidth="1"/>
    <col min="4624" max="4629" width="18.5703125" style="114" customWidth="1"/>
    <col min="4630" max="4630" width="11.5703125" style="114" customWidth="1"/>
    <col min="4631" max="4631" width="23.85546875" style="114" customWidth="1"/>
    <col min="4632" max="4632" width="18.140625" style="114" bestFit="1" customWidth="1"/>
    <col min="4633" max="4633" width="13" style="114" customWidth="1"/>
    <col min="4634" max="4634" width="20.7109375" style="114" bestFit="1" customWidth="1"/>
    <col min="4635" max="4635" width="18.28515625" style="114" customWidth="1"/>
    <col min="4636" max="4636" width="17.5703125" style="114" bestFit="1" customWidth="1"/>
    <col min="4637" max="4639" width="0" style="114" hidden="1" customWidth="1"/>
    <col min="4640" max="4641" width="16.5703125" style="114" bestFit="1" customWidth="1"/>
    <col min="4642" max="4867" width="11.42578125" style="114"/>
    <col min="4868" max="4868" width="31.85546875" style="114" customWidth="1"/>
    <col min="4869" max="4878" width="17.5703125" style="114" customWidth="1"/>
    <col min="4879" max="4879" width="21.7109375" style="114" customWidth="1"/>
    <col min="4880" max="4885" width="18.5703125" style="114" customWidth="1"/>
    <col min="4886" max="4886" width="11.5703125" style="114" customWidth="1"/>
    <col min="4887" max="4887" width="23.85546875" style="114" customWidth="1"/>
    <col min="4888" max="4888" width="18.140625" style="114" bestFit="1" customWidth="1"/>
    <col min="4889" max="4889" width="13" style="114" customWidth="1"/>
    <col min="4890" max="4890" width="20.7109375" style="114" bestFit="1" customWidth="1"/>
    <col min="4891" max="4891" width="18.28515625" style="114" customWidth="1"/>
    <col min="4892" max="4892" width="17.5703125" style="114" bestFit="1" customWidth="1"/>
    <col min="4893" max="4895" width="0" style="114" hidden="1" customWidth="1"/>
    <col min="4896" max="4897" width="16.5703125" style="114" bestFit="1" customWidth="1"/>
    <col min="4898" max="5123" width="11.42578125" style="114"/>
    <col min="5124" max="5124" width="31.85546875" style="114" customWidth="1"/>
    <col min="5125" max="5134" width="17.5703125" style="114" customWidth="1"/>
    <col min="5135" max="5135" width="21.7109375" style="114" customWidth="1"/>
    <col min="5136" max="5141" width="18.5703125" style="114" customWidth="1"/>
    <col min="5142" max="5142" width="11.5703125" style="114" customWidth="1"/>
    <col min="5143" max="5143" width="23.85546875" style="114" customWidth="1"/>
    <col min="5144" max="5144" width="18.140625" style="114" bestFit="1" customWidth="1"/>
    <col min="5145" max="5145" width="13" style="114" customWidth="1"/>
    <col min="5146" max="5146" width="20.7109375" style="114" bestFit="1" customWidth="1"/>
    <col min="5147" max="5147" width="18.28515625" style="114" customWidth="1"/>
    <col min="5148" max="5148" width="17.5703125" style="114" bestFit="1" customWidth="1"/>
    <col min="5149" max="5151" width="0" style="114" hidden="1" customWidth="1"/>
    <col min="5152" max="5153" width="16.5703125" style="114" bestFit="1" customWidth="1"/>
    <col min="5154" max="5379" width="11.42578125" style="114"/>
    <col min="5380" max="5380" width="31.85546875" style="114" customWidth="1"/>
    <col min="5381" max="5390" width="17.5703125" style="114" customWidth="1"/>
    <col min="5391" max="5391" width="21.7109375" style="114" customWidth="1"/>
    <col min="5392" max="5397" width="18.5703125" style="114" customWidth="1"/>
    <col min="5398" max="5398" width="11.5703125" style="114" customWidth="1"/>
    <col min="5399" max="5399" width="23.85546875" style="114" customWidth="1"/>
    <col min="5400" max="5400" width="18.140625" style="114" bestFit="1" customWidth="1"/>
    <col min="5401" max="5401" width="13" style="114" customWidth="1"/>
    <col min="5402" max="5402" width="20.7109375" style="114" bestFit="1" customWidth="1"/>
    <col min="5403" max="5403" width="18.28515625" style="114" customWidth="1"/>
    <col min="5404" max="5404" width="17.5703125" style="114" bestFit="1" customWidth="1"/>
    <col min="5405" max="5407" width="0" style="114" hidden="1" customWidth="1"/>
    <col min="5408" max="5409" width="16.5703125" style="114" bestFit="1" customWidth="1"/>
    <col min="5410" max="5635" width="11.42578125" style="114"/>
    <col min="5636" max="5636" width="31.85546875" style="114" customWidth="1"/>
    <col min="5637" max="5646" width="17.5703125" style="114" customWidth="1"/>
    <col min="5647" max="5647" width="21.7109375" style="114" customWidth="1"/>
    <col min="5648" max="5653" width="18.5703125" style="114" customWidth="1"/>
    <col min="5654" max="5654" width="11.5703125" style="114" customWidth="1"/>
    <col min="5655" max="5655" width="23.85546875" style="114" customWidth="1"/>
    <col min="5656" max="5656" width="18.140625" style="114" bestFit="1" customWidth="1"/>
    <col min="5657" max="5657" width="13" style="114" customWidth="1"/>
    <col min="5658" max="5658" width="20.7109375" style="114" bestFit="1" customWidth="1"/>
    <col min="5659" max="5659" width="18.28515625" style="114" customWidth="1"/>
    <col min="5660" max="5660" width="17.5703125" style="114" bestFit="1" customWidth="1"/>
    <col min="5661" max="5663" width="0" style="114" hidden="1" customWidth="1"/>
    <col min="5664" max="5665" width="16.5703125" style="114" bestFit="1" customWidth="1"/>
    <col min="5666" max="5891" width="11.42578125" style="114"/>
    <col min="5892" max="5892" width="31.85546875" style="114" customWidth="1"/>
    <col min="5893" max="5902" width="17.5703125" style="114" customWidth="1"/>
    <col min="5903" max="5903" width="21.7109375" style="114" customWidth="1"/>
    <col min="5904" max="5909" width="18.5703125" style="114" customWidth="1"/>
    <col min="5910" max="5910" width="11.5703125" style="114" customWidth="1"/>
    <col min="5911" max="5911" width="23.85546875" style="114" customWidth="1"/>
    <col min="5912" max="5912" width="18.140625" style="114" bestFit="1" customWidth="1"/>
    <col min="5913" max="5913" width="13" style="114" customWidth="1"/>
    <col min="5914" max="5914" width="20.7109375" style="114" bestFit="1" customWidth="1"/>
    <col min="5915" max="5915" width="18.28515625" style="114" customWidth="1"/>
    <col min="5916" max="5916" width="17.5703125" style="114" bestFit="1" customWidth="1"/>
    <col min="5917" max="5919" width="0" style="114" hidden="1" customWidth="1"/>
    <col min="5920" max="5921" width="16.5703125" style="114" bestFit="1" customWidth="1"/>
    <col min="5922" max="6147" width="11.42578125" style="114"/>
    <col min="6148" max="6148" width="31.85546875" style="114" customWidth="1"/>
    <col min="6149" max="6158" width="17.5703125" style="114" customWidth="1"/>
    <col min="6159" max="6159" width="21.7109375" style="114" customWidth="1"/>
    <col min="6160" max="6165" width="18.5703125" style="114" customWidth="1"/>
    <col min="6166" max="6166" width="11.5703125" style="114" customWidth="1"/>
    <col min="6167" max="6167" width="23.85546875" style="114" customWidth="1"/>
    <col min="6168" max="6168" width="18.140625" style="114" bestFit="1" customWidth="1"/>
    <col min="6169" max="6169" width="13" style="114" customWidth="1"/>
    <col min="6170" max="6170" width="20.7109375" style="114" bestFit="1" customWidth="1"/>
    <col min="6171" max="6171" width="18.28515625" style="114" customWidth="1"/>
    <col min="6172" max="6172" width="17.5703125" style="114" bestFit="1" customWidth="1"/>
    <col min="6173" max="6175" width="0" style="114" hidden="1" customWidth="1"/>
    <col min="6176" max="6177" width="16.5703125" style="114" bestFit="1" customWidth="1"/>
    <col min="6178" max="6403" width="11.42578125" style="114"/>
    <col min="6404" max="6404" width="31.85546875" style="114" customWidth="1"/>
    <col min="6405" max="6414" width="17.5703125" style="114" customWidth="1"/>
    <col min="6415" max="6415" width="21.7109375" style="114" customWidth="1"/>
    <col min="6416" max="6421" width="18.5703125" style="114" customWidth="1"/>
    <col min="6422" max="6422" width="11.5703125" style="114" customWidth="1"/>
    <col min="6423" max="6423" width="23.85546875" style="114" customWidth="1"/>
    <col min="6424" max="6424" width="18.140625" style="114" bestFit="1" customWidth="1"/>
    <col min="6425" max="6425" width="13" style="114" customWidth="1"/>
    <col min="6426" max="6426" width="20.7109375" style="114" bestFit="1" customWidth="1"/>
    <col min="6427" max="6427" width="18.28515625" style="114" customWidth="1"/>
    <col min="6428" max="6428" width="17.5703125" style="114" bestFit="1" customWidth="1"/>
    <col min="6429" max="6431" width="0" style="114" hidden="1" customWidth="1"/>
    <col min="6432" max="6433" width="16.5703125" style="114" bestFit="1" customWidth="1"/>
    <col min="6434" max="6659" width="11.42578125" style="114"/>
    <col min="6660" max="6660" width="31.85546875" style="114" customWidth="1"/>
    <col min="6661" max="6670" width="17.5703125" style="114" customWidth="1"/>
    <col min="6671" max="6671" width="21.7109375" style="114" customWidth="1"/>
    <col min="6672" max="6677" width="18.5703125" style="114" customWidth="1"/>
    <col min="6678" max="6678" width="11.5703125" style="114" customWidth="1"/>
    <col min="6679" max="6679" width="23.85546875" style="114" customWidth="1"/>
    <col min="6680" max="6680" width="18.140625" style="114" bestFit="1" customWidth="1"/>
    <col min="6681" max="6681" width="13" style="114" customWidth="1"/>
    <col min="6682" max="6682" width="20.7109375" style="114" bestFit="1" customWidth="1"/>
    <col min="6683" max="6683" width="18.28515625" style="114" customWidth="1"/>
    <col min="6684" max="6684" width="17.5703125" style="114" bestFit="1" customWidth="1"/>
    <col min="6685" max="6687" width="0" style="114" hidden="1" customWidth="1"/>
    <col min="6688" max="6689" width="16.5703125" style="114" bestFit="1" customWidth="1"/>
    <col min="6690" max="6915" width="11.42578125" style="114"/>
    <col min="6916" max="6916" width="31.85546875" style="114" customWidth="1"/>
    <col min="6917" max="6926" width="17.5703125" style="114" customWidth="1"/>
    <col min="6927" max="6927" width="21.7109375" style="114" customWidth="1"/>
    <col min="6928" max="6933" width="18.5703125" style="114" customWidth="1"/>
    <col min="6934" max="6934" width="11.5703125" style="114" customWidth="1"/>
    <col min="6935" max="6935" width="23.85546875" style="114" customWidth="1"/>
    <col min="6936" max="6936" width="18.140625" style="114" bestFit="1" customWidth="1"/>
    <col min="6937" max="6937" width="13" style="114" customWidth="1"/>
    <col min="6938" max="6938" width="20.7109375" style="114" bestFit="1" customWidth="1"/>
    <col min="6939" max="6939" width="18.28515625" style="114" customWidth="1"/>
    <col min="6940" max="6940" width="17.5703125" style="114" bestFit="1" customWidth="1"/>
    <col min="6941" max="6943" width="0" style="114" hidden="1" customWidth="1"/>
    <col min="6944" max="6945" width="16.5703125" style="114" bestFit="1" customWidth="1"/>
    <col min="6946" max="7171" width="11.42578125" style="114"/>
    <col min="7172" max="7172" width="31.85546875" style="114" customWidth="1"/>
    <col min="7173" max="7182" width="17.5703125" style="114" customWidth="1"/>
    <col min="7183" max="7183" width="21.7109375" style="114" customWidth="1"/>
    <col min="7184" max="7189" width="18.5703125" style="114" customWidth="1"/>
    <col min="7190" max="7190" width="11.5703125" style="114" customWidth="1"/>
    <col min="7191" max="7191" width="23.85546875" style="114" customWidth="1"/>
    <col min="7192" max="7192" width="18.140625" style="114" bestFit="1" customWidth="1"/>
    <col min="7193" max="7193" width="13" style="114" customWidth="1"/>
    <col min="7194" max="7194" width="20.7109375" style="114" bestFit="1" customWidth="1"/>
    <col min="7195" max="7195" width="18.28515625" style="114" customWidth="1"/>
    <col min="7196" max="7196" width="17.5703125" style="114" bestFit="1" customWidth="1"/>
    <col min="7197" max="7199" width="0" style="114" hidden="1" customWidth="1"/>
    <col min="7200" max="7201" width="16.5703125" style="114" bestFit="1" customWidth="1"/>
    <col min="7202" max="7427" width="11.42578125" style="114"/>
    <col min="7428" max="7428" width="31.85546875" style="114" customWidth="1"/>
    <col min="7429" max="7438" width="17.5703125" style="114" customWidth="1"/>
    <col min="7439" max="7439" width="21.7109375" style="114" customWidth="1"/>
    <col min="7440" max="7445" width="18.5703125" style="114" customWidth="1"/>
    <col min="7446" max="7446" width="11.5703125" style="114" customWidth="1"/>
    <col min="7447" max="7447" width="23.85546875" style="114" customWidth="1"/>
    <col min="7448" max="7448" width="18.140625" style="114" bestFit="1" customWidth="1"/>
    <col min="7449" max="7449" width="13" style="114" customWidth="1"/>
    <col min="7450" max="7450" width="20.7109375" style="114" bestFit="1" customWidth="1"/>
    <col min="7451" max="7451" width="18.28515625" style="114" customWidth="1"/>
    <col min="7452" max="7452" width="17.5703125" style="114" bestFit="1" customWidth="1"/>
    <col min="7453" max="7455" width="0" style="114" hidden="1" customWidth="1"/>
    <col min="7456" max="7457" width="16.5703125" style="114" bestFit="1" customWidth="1"/>
    <col min="7458" max="7683" width="11.42578125" style="114"/>
    <col min="7684" max="7684" width="31.85546875" style="114" customWidth="1"/>
    <col min="7685" max="7694" width="17.5703125" style="114" customWidth="1"/>
    <col min="7695" max="7695" width="21.7109375" style="114" customWidth="1"/>
    <col min="7696" max="7701" width="18.5703125" style="114" customWidth="1"/>
    <col min="7702" max="7702" width="11.5703125" style="114" customWidth="1"/>
    <col min="7703" max="7703" width="23.85546875" style="114" customWidth="1"/>
    <col min="7704" max="7704" width="18.140625" style="114" bestFit="1" customWidth="1"/>
    <col min="7705" max="7705" width="13" style="114" customWidth="1"/>
    <col min="7706" max="7706" width="20.7109375" style="114" bestFit="1" customWidth="1"/>
    <col min="7707" max="7707" width="18.28515625" style="114" customWidth="1"/>
    <col min="7708" max="7708" width="17.5703125" style="114" bestFit="1" customWidth="1"/>
    <col min="7709" max="7711" width="0" style="114" hidden="1" customWidth="1"/>
    <col min="7712" max="7713" width="16.5703125" style="114" bestFit="1" customWidth="1"/>
    <col min="7714" max="7939" width="11.42578125" style="114"/>
    <col min="7940" max="7940" width="31.85546875" style="114" customWidth="1"/>
    <col min="7941" max="7950" width="17.5703125" style="114" customWidth="1"/>
    <col min="7951" max="7951" width="21.7109375" style="114" customWidth="1"/>
    <col min="7952" max="7957" width="18.5703125" style="114" customWidth="1"/>
    <col min="7958" max="7958" width="11.5703125" style="114" customWidth="1"/>
    <col min="7959" max="7959" width="23.85546875" style="114" customWidth="1"/>
    <col min="7960" max="7960" width="18.140625" style="114" bestFit="1" customWidth="1"/>
    <col min="7961" max="7961" width="13" style="114" customWidth="1"/>
    <col min="7962" max="7962" width="20.7109375" style="114" bestFit="1" customWidth="1"/>
    <col min="7963" max="7963" width="18.28515625" style="114" customWidth="1"/>
    <col min="7964" max="7964" width="17.5703125" style="114" bestFit="1" customWidth="1"/>
    <col min="7965" max="7967" width="0" style="114" hidden="1" customWidth="1"/>
    <col min="7968" max="7969" width="16.5703125" style="114" bestFit="1" customWidth="1"/>
    <col min="7970" max="8195" width="11.42578125" style="114"/>
    <col min="8196" max="8196" width="31.85546875" style="114" customWidth="1"/>
    <col min="8197" max="8206" width="17.5703125" style="114" customWidth="1"/>
    <col min="8207" max="8207" width="21.7109375" style="114" customWidth="1"/>
    <col min="8208" max="8213" width="18.5703125" style="114" customWidth="1"/>
    <col min="8214" max="8214" width="11.5703125" style="114" customWidth="1"/>
    <col min="8215" max="8215" width="23.85546875" style="114" customWidth="1"/>
    <col min="8216" max="8216" width="18.140625" style="114" bestFit="1" customWidth="1"/>
    <col min="8217" max="8217" width="13" style="114" customWidth="1"/>
    <col min="8218" max="8218" width="20.7109375" style="114" bestFit="1" customWidth="1"/>
    <col min="8219" max="8219" width="18.28515625" style="114" customWidth="1"/>
    <col min="8220" max="8220" width="17.5703125" style="114" bestFit="1" customWidth="1"/>
    <col min="8221" max="8223" width="0" style="114" hidden="1" customWidth="1"/>
    <col min="8224" max="8225" width="16.5703125" style="114" bestFit="1" customWidth="1"/>
    <col min="8226" max="8451" width="11.42578125" style="114"/>
    <col min="8452" max="8452" width="31.85546875" style="114" customWidth="1"/>
    <col min="8453" max="8462" width="17.5703125" style="114" customWidth="1"/>
    <col min="8463" max="8463" width="21.7109375" style="114" customWidth="1"/>
    <col min="8464" max="8469" width="18.5703125" style="114" customWidth="1"/>
    <col min="8470" max="8470" width="11.5703125" style="114" customWidth="1"/>
    <col min="8471" max="8471" width="23.85546875" style="114" customWidth="1"/>
    <col min="8472" max="8472" width="18.140625" style="114" bestFit="1" customWidth="1"/>
    <col min="8473" max="8473" width="13" style="114" customWidth="1"/>
    <col min="8474" max="8474" width="20.7109375" style="114" bestFit="1" customWidth="1"/>
    <col min="8475" max="8475" width="18.28515625" style="114" customWidth="1"/>
    <col min="8476" max="8476" width="17.5703125" style="114" bestFit="1" customWidth="1"/>
    <col min="8477" max="8479" width="0" style="114" hidden="1" customWidth="1"/>
    <col min="8480" max="8481" width="16.5703125" style="114" bestFit="1" customWidth="1"/>
    <col min="8482" max="8707" width="11.42578125" style="114"/>
    <col min="8708" max="8708" width="31.85546875" style="114" customWidth="1"/>
    <col min="8709" max="8718" width="17.5703125" style="114" customWidth="1"/>
    <col min="8719" max="8719" width="21.7109375" style="114" customWidth="1"/>
    <col min="8720" max="8725" width="18.5703125" style="114" customWidth="1"/>
    <col min="8726" max="8726" width="11.5703125" style="114" customWidth="1"/>
    <col min="8727" max="8727" width="23.85546875" style="114" customWidth="1"/>
    <col min="8728" max="8728" width="18.140625" style="114" bestFit="1" customWidth="1"/>
    <col min="8729" max="8729" width="13" style="114" customWidth="1"/>
    <col min="8730" max="8730" width="20.7109375" style="114" bestFit="1" customWidth="1"/>
    <col min="8731" max="8731" width="18.28515625" style="114" customWidth="1"/>
    <col min="8732" max="8732" width="17.5703125" style="114" bestFit="1" customWidth="1"/>
    <col min="8733" max="8735" width="0" style="114" hidden="1" customWidth="1"/>
    <col min="8736" max="8737" width="16.5703125" style="114" bestFit="1" customWidth="1"/>
    <col min="8738" max="8963" width="11.42578125" style="114"/>
    <col min="8964" max="8964" width="31.85546875" style="114" customWidth="1"/>
    <col min="8965" max="8974" width="17.5703125" style="114" customWidth="1"/>
    <col min="8975" max="8975" width="21.7109375" style="114" customWidth="1"/>
    <col min="8976" max="8981" width="18.5703125" style="114" customWidth="1"/>
    <col min="8982" max="8982" width="11.5703125" style="114" customWidth="1"/>
    <col min="8983" max="8983" width="23.85546875" style="114" customWidth="1"/>
    <col min="8984" max="8984" width="18.140625" style="114" bestFit="1" customWidth="1"/>
    <col min="8985" max="8985" width="13" style="114" customWidth="1"/>
    <col min="8986" max="8986" width="20.7109375" style="114" bestFit="1" customWidth="1"/>
    <col min="8987" max="8987" width="18.28515625" style="114" customWidth="1"/>
    <col min="8988" max="8988" width="17.5703125" style="114" bestFit="1" customWidth="1"/>
    <col min="8989" max="8991" width="0" style="114" hidden="1" customWidth="1"/>
    <col min="8992" max="8993" width="16.5703125" style="114" bestFit="1" customWidth="1"/>
    <col min="8994" max="9219" width="11.42578125" style="114"/>
    <col min="9220" max="9220" width="31.85546875" style="114" customWidth="1"/>
    <col min="9221" max="9230" width="17.5703125" style="114" customWidth="1"/>
    <col min="9231" max="9231" width="21.7109375" style="114" customWidth="1"/>
    <col min="9232" max="9237" width="18.5703125" style="114" customWidth="1"/>
    <col min="9238" max="9238" width="11.5703125" style="114" customWidth="1"/>
    <col min="9239" max="9239" width="23.85546875" style="114" customWidth="1"/>
    <col min="9240" max="9240" width="18.140625" style="114" bestFit="1" customWidth="1"/>
    <col min="9241" max="9241" width="13" style="114" customWidth="1"/>
    <col min="9242" max="9242" width="20.7109375" style="114" bestFit="1" customWidth="1"/>
    <col min="9243" max="9243" width="18.28515625" style="114" customWidth="1"/>
    <col min="9244" max="9244" width="17.5703125" style="114" bestFit="1" customWidth="1"/>
    <col min="9245" max="9247" width="0" style="114" hidden="1" customWidth="1"/>
    <col min="9248" max="9249" width="16.5703125" style="114" bestFit="1" customWidth="1"/>
    <col min="9250" max="9475" width="11.42578125" style="114"/>
    <col min="9476" max="9476" width="31.85546875" style="114" customWidth="1"/>
    <col min="9477" max="9486" width="17.5703125" style="114" customWidth="1"/>
    <col min="9487" max="9487" width="21.7109375" style="114" customWidth="1"/>
    <col min="9488" max="9493" width="18.5703125" style="114" customWidth="1"/>
    <col min="9494" max="9494" width="11.5703125" style="114" customWidth="1"/>
    <col min="9495" max="9495" width="23.85546875" style="114" customWidth="1"/>
    <col min="9496" max="9496" width="18.140625" style="114" bestFit="1" customWidth="1"/>
    <col min="9497" max="9497" width="13" style="114" customWidth="1"/>
    <col min="9498" max="9498" width="20.7109375" style="114" bestFit="1" customWidth="1"/>
    <col min="9499" max="9499" width="18.28515625" style="114" customWidth="1"/>
    <col min="9500" max="9500" width="17.5703125" style="114" bestFit="1" customWidth="1"/>
    <col min="9501" max="9503" width="0" style="114" hidden="1" customWidth="1"/>
    <col min="9504" max="9505" width="16.5703125" style="114" bestFit="1" customWidth="1"/>
    <col min="9506" max="9731" width="11.42578125" style="114"/>
    <col min="9732" max="9732" width="31.85546875" style="114" customWidth="1"/>
    <col min="9733" max="9742" width="17.5703125" style="114" customWidth="1"/>
    <col min="9743" max="9743" width="21.7109375" style="114" customWidth="1"/>
    <col min="9744" max="9749" width="18.5703125" style="114" customWidth="1"/>
    <col min="9750" max="9750" width="11.5703125" style="114" customWidth="1"/>
    <col min="9751" max="9751" width="23.85546875" style="114" customWidth="1"/>
    <col min="9752" max="9752" width="18.140625" style="114" bestFit="1" customWidth="1"/>
    <col min="9753" max="9753" width="13" style="114" customWidth="1"/>
    <col min="9754" max="9754" width="20.7109375" style="114" bestFit="1" customWidth="1"/>
    <col min="9755" max="9755" width="18.28515625" style="114" customWidth="1"/>
    <col min="9756" max="9756" width="17.5703125" style="114" bestFit="1" customWidth="1"/>
    <col min="9757" max="9759" width="0" style="114" hidden="1" customWidth="1"/>
    <col min="9760" max="9761" width="16.5703125" style="114" bestFit="1" customWidth="1"/>
    <col min="9762" max="9987" width="11.42578125" style="114"/>
    <col min="9988" max="9988" width="31.85546875" style="114" customWidth="1"/>
    <col min="9989" max="9998" width="17.5703125" style="114" customWidth="1"/>
    <col min="9999" max="9999" width="21.7109375" style="114" customWidth="1"/>
    <col min="10000" max="10005" width="18.5703125" style="114" customWidth="1"/>
    <col min="10006" max="10006" width="11.5703125" style="114" customWidth="1"/>
    <col min="10007" max="10007" width="23.85546875" style="114" customWidth="1"/>
    <col min="10008" max="10008" width="18.140625" style="114" bestFit="1" customWidth="1"/>
    <col min="10009" max="10009" width="13" style="114" customWidth="1"/>
    <col min="10010" max="10010" width="20.7109375" style="114" bestFit="1" customWidth="1"/>
    <col min="10011" max="10011" width="18.28515625" style="114" customWidth="1"/>
    <col min="10012" max="10012" width="17.5703125" style="114" bestFit="1" customWidth="1"/>
    <col min="10013" max="10015" width="0" style="114" hidden="1" customWidth="1"/>
    <col min="10016" max="10017" width="16.5703125" style="114" bestFit="1" customWidth="1"/>
    <col min="10018" max="10243" width="11.42578125" style="114"/>
    <col min="10244" max="10244" width="31.85546875" style="114" customWidth="1"/>
    <col min="10245" max="10254" width="17.5703125" style="114" customWidth="1"/>
    <col min="10255" max="10255" width="21.7109375" style="114" customWidth="1"/>
    <col min="10256" max="10261" width="18.5703125" style="114" customWidth="1"/>
    <col min="10262" max="10262" width="11.5703125" style="114" customWidth="1"/>
    <col min="10263" max="10263" width="23.85546875" style="114" customWidth="1"/>
    <col min="10264" max="10264" width="18.140625" style="114" bestFit="1" customWidth="1"/>
    <col min="10265" max="10265" width="13" style="114" customWidth="1"/>
    <col min="10266" max="10266" width="20.7109375" style="114" bestFit="1" customWidth="1"/>
    <col min="10267" max="10267" width="18.28515625" style="114" customWidth="1"/>
    <col min="10268" max="10268" width="17.5703125" style="114" bestFit="1" customWidth="1"/>
    <col min="10269" max="10271" width="0" style="114" hidden="1" customWidth="1"/>
    <col min="10272" max="10273" width="16.5703125" style="114" bestFit="1" customWidth="1"/>
    <col min="10274" max="10499" width="11.42578125" style="114"/>
    <col min="10500" max="10500" width="31.85546875" style="114" customWidth="1"/>
    <col min="10501" max="10510" width="17.5703125" style="114" customWidth="1"/>
    <col min="10511" max="10511" width="21.7109375" style="114" customWidth="1"/>
    <col min="10512" max="10517" width="18.5703125" style="114" customWidth="1"/>
    <col min="10518" max="10518" width="11.5703125" style="114" customWidth="1"/>
    <col min="10519" max="10519" width="23.85546875" style="114" customWidth="1"/>
    <col min="10520" max="10520" width="18.140625" style="114" bestFit="1" customWidth="1"/>
    <col min="10521" max="10521" width="13" style="114" customWidth="1"/>
    <col min="10522" max="10522" width="20.7109375" style="114" bestFit="1" customWidth="1"/>
    <col min="10523" max="10523" width="18.28515625" style="114" customWidth="1"/>
    <col min="10524" max="10524" width="17.5703125" style="114" bestFit="1" customWidth="1"/>
    <col min="10525" max="10527" width="0" style="114" hidden="1" customWidth="1"/>
    <col min="10528" max="10529" width="16.5703125" style="114" bestFit="1" customWidth="1"/>
    <col min="10530" max="10755" width="11.42578125" style="114"/>
    <col min="10756" max="10756" width="31.85546875" style="114" customWidth="1"/>
    <col min="10757" max="10766" width="17.5703125" style="114" customWidth="1"/>
    <col min="10767" max="10767" width="21.7109375" style="114" customWidth="1"/>
    <col min="10768" max="10773" width="18.5703125" style="114" customWidth="1"/>
    <col min="10774" max="10774" width="11.5703125" style="114" customWidth="1"/>
    <col min="10775" max="10775" width="23.85546875" style="114" customWidth="1"/>
    <col min="10776" max="10776" width="18.140625" style="114" bestFit="1" customWidth="1"/>
    <col min="10777" max="10777" width="13" style="114" customWidth="1"/>
    <col min="10778" max="10778" width="20.7109375" style="114" bestFit="1" customWidth="1"/>
    <col min="10779" max="10779" width="18.28515625" style="114" customWidth="1"/>
    <col min="10780" max="10780" width="17.5703125" style="114" bestFit="1" customWidth="1"/>
    <col min="10781" max="10783" width="0" style="114" hidden="1" customWidth="1"/>
    <col min="10784" max="10785" width="16.5703125" style="114" bestFit="1" customWidth="1"/>
    <col min="10786" max="11011" width="11.42578125" style="114"/>
    <col min="11012" max="11012" width="31.85546875" style="114" customWidth="1"/>
    <col min="11013" max="11022" width="17.5703125" style="114" customWidth="1"/>
    <col min="11023" max="11023" width="21.7109375" style="114" customWidth="1"/>
    <col min="11024" max="11029" width="18.5703125" style="114" customWidth="1"/>
    <col min="11030" max="11030" width="11.5703125" style="114" customWidth="1"/>
    <col min="11031" max="11031" width="23.85546875" style="114" customWidth="1"/>
    <col min="11032" max="11032" width="18.140625" style="114" bestFit="1" customWidth="1"/>
    <col min="11033" max="11033" width="13" style="114" customWidth="1"/>
    <col min="11034" max="11034" width="20.7109375" style="114" bestFit="1" customWidth="1"/>
    <col min="11035" max="11035" width="18.28515625" style="114" customWidth="1"/>
    <col min="11036" max="11036" width="17.5703125" style="114" bestFit="1" customWidth="1"/>
    <col min="11037" max="11039" width="0" style="114" hidden="1" customWidth="1"/>
    <col min="11040" max="11041" width="16.5703125" style="114" bestFit="1" customWidth="1"/>
    <col min="11042" max="11267" width="11.42578125" style="114"/>
    <col min="11268" max="11268" width="31.85546875" style="114" customWidth="1"/>
    <col min="11269" max="11278" width="17.5703125" style="114" customWidth="1"/>
    <col min="11279" max="11279" width="21.7109375" style="114" customWidth="1"/>
    <col min="11280" max="11285" width="18.5703125" style="114" customWidth="1"/>
    <col min="11286" max="11286" width="11.5703125" style="114" customWidth="1"/>
    <col min="11287" max="11287" width="23.85546875" style="114" customWidth="1"/>
    <col min="11288" max="11288" width="18.140625" style="114" bestFit="1" customWidth="1"/>
    <col min="11289" max="11289" width="13" style="114" customWidth="1"/>
    <col min="11290" max="11290" width="20.7109375" style="114" bestFit="1" customWidth="1"/>
    <col min="11291" max="11291" width="18.28515625" style="114" customWidth="1"/>
    <col min="11292" max="11292" width="17.5703125" style="114" bestFit="1" customWidth="1"/>
    <col min="11293" max="11295" width="0" style="114" hidden="1" customWidth="1"/>
    <col min="11296" max="11297" width="16.5703125" style="114" bestFit="1" customWidth="1"/>
    <col min="11298" max="11523" width="11.42578125" style="114"/>
    <col min="11524" max="11524" width="31.85546875" style="114" customWidth="1"/>
    <col min="11525" max="11534" width="17.5703125" style="114" customWidth="1"/>
    <col min="11535" max="11535" width="21.7109375" style="114" customWidth="1"/>
    <col min="11536" max="11541" width="18.5703125" style="114" customWidth="1"/>
    <col min="11542" max="11542" width="11.5703125" style="114" customWidth="1"/>
    <col min="11543" max="11543" width="23.85546875" style="114" customWidth="1"/>
    <col min="11544" max="11544" width="18.140625" style="114" bestFit="1" customWidth="1"/>
    <col min="11545" max="11545" width="13" style="114" customWidth="1"/>
    <col min="11546" max="11546" width="20.7109375" style="114" bestFit="1" customWidth="1"/>
    <col min="11547" max="11547" width="18.28515625" style="114" customWidth="1"/>
    <col min="11548" max="11548" width="17.5703125" style="114" bestFit="1" customWidth="1"/>
    <col min="11549" max="11551" width="0" style="114" hidden="1" customWidth="1"/>
    <col min="11552" max="11553" width="16.5703125" style="114" bestFit="1" customWidth="1"/>
    <col min="11554" max="11779" width="11.42578125" style="114"/>
    <col min="11780" max="11780" width="31.85546875" style="114" customWidth="1"/>
    <col min="11781" max="11790" width="17.5703125" style="114" customWidth="1"/>
    <col min="11791" max="11791" width="21.7109375" style="114" customWidth="1"/>
    <col min="11792" max="11797" width="18.5703125" style="114" customWidth="1"/>
    <col min="11798" max="11798" width="11.5703125" style="114" customWidth="1"/>
    <col min="11799" max="11799" width="23.85546875" style="114" customWidth="1"/>
    <col min="11800" max="11800" width="18.140625" style="114" bestFit="1" customWidth="1"/>
    <col min="11801" max="11801" width="13" style="114" customWidth="1"/>
    <col min="11802" max="11802" width="20.7109375" style="114" bestFit="1" customWidth="1"/>
    <col min="11803" max="11803" width="18.28515625" style="114" customWidth="1"/>
    <col min="11804" max="11804" width="17.5703125" style="114" bestFit="1" customWidth="1"/>
    <col min="11805" max="11807" width="0" style="114" hidden="1" customWidth="1"/>
    <col min="11808" max="11809" width="16.5703125" style="114" bestFit="1" customWidth="1"/>
    <col min="11810" max="12035" width="11.42578125" style="114"/>
    <col min="12036" max="12036" width="31.85546875" style="114" customWidth="1"/>
    <col min="12037" max="12046" width="17.5703125" style="114" customWidth="1"/>
    <col min="12047" max="12047" width="21.7109375" style="114" customWidth="1"/>
    <col min="12048" max="12053" width="18.5703125" style="114" customWidth="1"/>
    <col min="12054" max="12054" width="11.5703125" style="114" customWidth="1"/>
    <col min="12055" max="12055" width="23.85546875" style="114" customWidth="1"/>
    <col min="12056" max="12056" width="18.140625" style="114" bestFit="1" customWidth="1"/>
    <col min="12057" max="12057" width="13" style="114" customWidth="1"/>
    <col min="12058" max="12058" width="20.7109375" style="114" bestFit="1" customWidth="1"/>
    <col min="12059" max="12059" width="18.28515625" style="114" customWidth="1"/>
    <col min="12060" max="12060" width="17.5703125" style="114" bestFit="1" customWidth="1"/>
    <col min="12061" max="12063" width="0" style="114" hidden="1" customWidth="1"/>
    <col min="12064" max="12065" width="16.5703125" style="114" bestFit="1" customWidth="1"/>
    <col min="12066" max="12291" width="11.42578125" style="114"/>
    <col min="12292" max="12292" width="31.85546875" style="114" customWidth="1"/>
    <col min="12293" max="12302" width="17.5703125" style="114" customWidth="1"/>
    <col min="12303" max="12303" width="21.7109375" style="114" customWidth="1"/>
    <col min="12304" max="12309" width="18.5703125" style="114" customWidth="1"/>
    <col min="12310" max="12310" width="11.5703125" style="114" customWidth="1"/>
    <col min="12311" max="12311" width="23.85546875" style="114" customWidth="1"/>
    <col min="12312" max="12312" width="18.140625" style="114" bestFit="1" customWidth="1"/>
    <col min="12313" max="12313" width="13" style="114" customWidth="1"/>
    <col min="12314" max="12314" width="20.7109375" style="114" bestFit="1" customWidth="1"/>
    <col min="12315" max="12315" width="18.28515625" style="114" customWidth="1"/>
    <col min="12316" max="12316" width="17.5703125" style="114" bestFit="1" customWidth="1"/>
    <col min="12317" max="12319" width="0" style="114" hidden="1" customWidth="1"/>
    <col min="12320" max="12321" width="16.5703125" style="114" bestFit="1" customWidth="1"/>
    <col min="12322" max="12547" width="11.42578125" style="114"/>
    <col min="12548" max="12548" width="31.85546875" style="114" customWidth="1"/>
    <col min="12549" max="12558" width="17.5703125" style="114" customWidth="1"/>
    <col min="12559" max="12559" width="21.7109375" style="114" customWidth="1"/>
    <col min="12560" max="12565" width="18.5703125" style="114" customWidth="1"/>
    <col min="12566" max="12566" width="11.5703125" style="114" customWidth="1"/>
    <col min="12567" max="12567" width="23.85546875" style="114" customWidth="1"/>
    <col min="12568" max="12568" width="18.140625" style="114" bestFit="1" customWidth="1"/>
    <col min="12569" max="12569" width="13" style="114" customWidth="1"/>
    <col min="12570" max="12570" width="20.7109375" style="114" bestFit="1" customWidth="1"/>
    <col min="12571" max="12571" width="18.28515625" style="114" customWidth="1"/>
    <col min="12572" max="12572" width="17.5703125" style="114" bestFit="1" customWidth="1"/>
    <col min="12573" max="12575" width="0" style="114" hidden="1" customWidth="1"/>
    <col min="12576" max="12577" width="16.5703125" style="114" bestFit="1" customWidth="1"/>
    <col min="12578" max="12803" width="11.42578125" style="114"/>
    <col min="12804" max="12804" width="31.85546875" style="114" customWidth="1"/>
    <col min="12805" max="12814" width="17.5703125" style="114" customWidth="1"/>
    <col min="12815" max="12815" width="21.7109375" style="114" customWidth="1"/>
    <col min="12816" max="12821" width="18.5703125" style="114" customWidth="1"/>
    <col min="12822" max="12822" width="11.5703125" style="114" customWidth="1"/>
    <col min="12823" max="12823" width="23.85546875" style="114" customWidth="1"/>
    <col min="12824" max="12824" width="18.140625" style="114" bestFit="1" customWidth="1"/>
    <col min="12825" max="12825" width="13" style="114" customWidth="1"/>
    <col min="12826" max="12826" width="20.7109375" style="114" bestFit="1" customWidth="1"/>
    <col min="12827" max="12827" width="18.28515625" style="114" customWidth="1"/>
    <col min="12828" max="12828" width="17.5703125" style="114" bestFit="1" customWidth="1"/>
    <col min="12829" max="12831" width="0" style="114" hidden="1" customWidth="1"/>
    <col min="12832" max="12833" width="16.5703125" style="114" bestFit="1" customWidth="1"/>
    <col min="12834" max="13059" width="11.42578125" style="114"/>
    <col min="13060" max="13060" width="31.85546875" style="114" customWidth="1"/>
    <col min="13061" max="13070" width="17.5703125" style="114" customWidth="1"/>
    <col min="13071" max="13071" width="21.7109375" style="114" customWidth="1"/>
    <col min="13072" max="13077" width="18.5703125" style="114" customWidth="1"/>
    <col min="13078" max="13078" width="11.5703125" style="114" customWidth="1"/>
    <col min="13079" max="13079" width="23.85546875" style="114" customWidth="1"/>
    <col min="13080" max="13080" width="18.140625" style="114" bestFit="1" customWidth="1"/>
    <col min="13081" max="13081" width="13" style="114" customWidth="1"/>
    <col min="13082" max="13082" width="20.7109375" style="114" bestFit="1" customWidth="1"/>
    <col min="13083" max="13083" width="18.28515625" style="114" customWidth="1"/>
    <col min="13084" max="13084" width="17.5703125" style="114" bestFit="1" customWidth="1"/>
    <col min="13085" max="13087" width="0" style="114" hidden="1" customWidth="1"/>
    <col min="13088" max="13089" width="16.5703125" style="114" bestFit="1" customWidth="1"/>
    <col min="13090" max="13315" width="11.42578125" style="114"/>
    <col min="13316" max="13316" width="31.85546875" style="114" customWidth="1"/>
    <col min="13317" max="13326" width="17.5703125" style="114" customWidth="1"/>
    <col min="13327" max="13327" width="21.7109375" style="114" customWidth="1"/>
    <col min="13328" max="13333" width="18.5703125" style="114" customWidth="1"/>
    <col min="13334" max="13334" width="11.5703125" style="114" customWidth="1"/>
    <col min="13335" max="13335" width="23.85546875" style="114" customWidth="1"/>
    <col min="13336" max="13336" width="18.140625" style="114" bestFit="1" customWidth="1"/>
    <col min="13337" max="13337" width="13" style="114" customWidth="1"/>
    <col min="13338" max="13338" width="20.7109375" style="114" bestFit="1" customWidth="1"/>
    <col min="13339" max="13339" width="18.28515625" style="114" customWidth="1"/>
    <col min="13340" max="13340" width="17.5703125" style="114" bestFit="1" customWidth="1"/>
    <col min="13341" max="13343" width="0" style="114" hidden="1" customWidth="1"/>
    <col min="13344" max="13345" width="16.5703125" style="114" bestFit="1" customWidth="1"/>
    <col min="13346" max="13571" width="11.42578125" style="114"/>
    <col min="13572" max="13572" width="31.85546875" style="114" customWidth="1"/>
    <col min="13573" max="13582" width="17.5703125" style="114" customWidth="1"/>
    <col min="13583" max="13583" width="21.7109375" style="114" customWidth="1"/>
    <col min="13584" max="13589" width="18.5703125" style="114" customWidth="1"/>
    <col min="13590" max="13590" width="11.5703125" style="114" customWidth="1"/>
    <col min="13591" max="13591" width="23.85546875" style="114" customWidth="1"/>
    <col min="13592" max="13592" width="18.140625" style="114" bestFit="1" customWidth="1"/>
    <col min="13593" max="13593" width="13" style="114" customWidth="1"/>
    <col min="13594" max="13594" width="20.7109375" style="114" bestFit="1" customWidth="1"/>
    <col min="13595" max="13595" width="18.28515625" style="114" customWidth="1"/>
    <col min="13596" max="13596" width="17.5703125" style="114" bestFit="1" customWidth="1"/>
    <col min="13597" max="13599" width="0" style="114" hidden="1" customWidth="1"/>
    <col min="13600" max="13601" width="16.5703125" style="114" bestFit="1" customWidth="1"/>
    <col min="13602" max="13827" width="11.42578125" style="114"/>
    <col min="13828" max="13828" width="31.85546875" style="114" customWidth="1"/>
    <col min="13829" max="13838" width="17.5703125" style="114" customWidth="1"/>
    <col min="13839" max="13839" width="21.7109375" style="114" customWidth="1"/>
    <col min="13840" max="13845" width="18.5703125" style="114" customWidth="1"/>
    <col min="13846" max="13846" width="11.5703125" style="114" customWidth="1"/>
    <col min="13847" max="13847" width="23.85546875" style="114" customWidth="1"/>
    <col min="13848" max="13848" width="18.140625" style="114" bestFit="1" customWidth="1"/>
    <col min="13849" max="13849" width="13" style="114" customWidth="1"/>
    <col min="13850" max="13850" width="20.7109375" style="114" bestFit="1" customWidth="1"/>
    <col min="13851" max="13851" width="18.28515625" style="114" customWidth="1"/>
    <col min="13852" max="13852" width="17.5703125" style="114" bestFit="1" customWidth="1"/>
    <col min="13853" max="13855" width="0" style="114" hidden="1" customWidth="1"/>
    <col min="13856" max="13857" width="16.5703125" style="114" bestFit="1" customWidth="1"/>
    <col min="13858" max="14083" width="11.42578125" style="114"/>
    <col min="14084" max="14084" width="31.85546875" style="114" customWidth="1"/>
    <col min="14085" max="14094" width="17.5703125" style="114" customWidth="1"/>
    <col min="14095" max="14095" width="21.7109375" style="114" customWidth="1"/>
    <col min="14096" max="14101" width="18.5703125" style="114" customWidth="1"/>
    <col min="14102" max="14102" width="11.5703125" style="114" customWidth="1"/>
    <col min="14103" max="14103" width="23.85546875" style="114" customWidth="1"/>
    <col min="14104" max="14104" width="18.140625" style="114" bestFit="1" customWidth="1"/>
    <col min="14105" max="14105" width="13" style="114" customWidth="1"/>
    <col min="14106" max="14106" width="20.7109375" style="114" bestFit="1" customWidth="1"/>
    <col min="14107" max="14107" width="18.28515625" style="114" customWidth="1"/>
    <col min="14108" max="14108" width="17.5703125" style="114" bestFit="1" customWidth="1"/>
    <col min="14109" max="14111" width="0" style="114" hidden="1" customWidth="1"/>
    <col min="14112" max="14113" width="16.5703125" style="114" bestFit="1" customWidth="1"/>
    <col min="14114" max="14339" width="11.42578125" style="114"/>
    <col min="14340" max="14340" width="31.85546875" style="114" customWidth="1"/>
    <col min="14341" max="14350" width="17.5703125" style="114" customWidth="1"/>
    <col min="14351" max="14351" width="21.7109375" style="114" customWidth="1"/>
    <col min="14352" max="14357" width="18.5703125" style="114" customWidth="1"/>
    <col min="14358" max="14358" width="11.5703125" style="114" customWidth="1"/>
    <col min="14359" max="14359" width="23.85546875" style="114" customWidth="1"/>
    <col min="14360" max="14360" width="18.140625" style="114" bestFit="1" customWidth="1"/>
    <col min="14361" max="14361" width="13" style="114" customWidth="1"/>
    <col min="14362" max="14362" width="20.7109375" style="114" bestFit="1" customWidth="1"/>
    <col min="14363" max="14363" width="18.28515625" style="114" customWidth="1"/>
    <col min="14364" max="14364" width="17.5703125" style="114" bestFit="1" customWidth="1"/>
    <col min="14365" max="14367" width="0" style="114" hidden="1" customWidth="1"/>
    <col min="14368" max="14369" width="16.5703125" style="114" bestFit="1" customWidth="1"/>
    <col min="14370" max="14595" width="11.42578125" style="114"/>
    <col min="14596" max="14596" width="31.85546875" style="114" customWidth="1"/>
    <col min="14597" max="14606" width="17.5703125" style="114" customWidth="1"/>
    <col min="14607" max="14607" width="21.7109375" style="114" customWidth="1"/>
    <col min="14608" max="14613" width="18.5703125" style="114" customWidth="1"/>
    <col min="14614" max="14614" width="11.5703125" style="114" customWidth="1"/>
    <col min="14615" max="14615" width="23.85546875" style="114" customWidth="1"/>
    <col min="14616" max="14616" width="18.140625" style="114" bestFit="1" customWidth="1"/>
    <col min="14617" max="14617" width="13" style="114" customWidth="1"/>
    <col min="14618" max="14618" width="20.7109375" style="114" bestFit="1" customWidth="1"/>
    <col min="14619" max="14619" width="18.28515625" style="114" customWidth="1"/>
    <col min="14620" max="14620" width="17.5703125" style="114" bestFit="1" customWidth="1"/>
    <col min="14621" max="14623" width="0" style="114" hidden="1" customWidth="1"/>
    <col min="14624" max="14625" width="16.5703125" style="114" bestFit="1" customWidth="1"/>
    <col min="14626" max="14851" width="11.42578125" style="114"/>
    <col min="14852" max="14852" width="31.85546875" style="114" customWidth="1"/>
    <col min="14853" max="14862" width="17.5703125" style="114" customWidth="1"/>
    <col min="14863" max="14863" width="21.7109375" style="114" customWidth="1"/>
    <col min="14864" max="14869" width="18.5703125" style="114" customWidth="1"/>
    <col min="14870" max="14870" width="11.5703125" style="114" customWidth="1"/>
    <col min="14871" max="14871" width="23.85546875" style="114" customWidth="1"/>
    <col min="14872" max="14872" width="18.140625" style="114" bestFit="1" customWidth="1"/>
    <col min="14873" max="14873" width="13" style="114" customWidth="1"/>
    <col min="14874" max="14874" width="20.7109375" style="114" bestFit="1" customWidth="1"/>
    <col min="14875" max="14875" width="18.28515625" style="114" customWidth="1"/>
    <col min="14876" max="14876" width="17.5703125" style="114" bestFit="1" customWidth="1"/>
    <col min="14877" max="14879" width="0" style="114" hidden="1" customWidth="1"/>
    <col min="14880" max="14881" width="16.5703125" style="114" bestFit="1" customWidth="1"/>
    <col min="14882" max="15107" width="11.42578125" style="114"/>
    <col min="15108" max="15108" width="31.85546875" style="114" customWidth="1"/>
    <col min="15109" max="15118" width="17.5703125" style="114" customWidth="1"/>
    <col min="15119" max="15119" width="21.7109375" style="114" customWidth="1"/>
    <col min="15120" max="15125" width="18.5703125" style="114" customWidth="1"/>
    <col min="15126" max="15126" width="11.5703125" style="114" customWidth="1"/>
    <col min="15127" max="15127" width="23.85546875" style="114" customWidth="1"/>
    <col min="15128" max="15128" width="18.140625" style="114" bestFit="1" customWidth="1"/>
    <col min="15129" max="15129" width="13" style="114" customWidth="1"/>
    <col min="15130" max="15130" width="20.7109375" style="114" bestFit="1" customWidth="1"/>
    <col min="15131" max="15131" width="18.28515625" style="114" customWidth="1"/>
    <col min="15132" max="15132" width="17.5703125" style="114" bestFit="1" customWidth="1"/>
    <col min="15133" max="15135" width="0" style="114" hidden="1" customWidth="1"/>
    <col min="15136" max="15137" width="16.5703125" style="114" bestFit="1" customWidth="1"/>
    <col min="15138" max="15363" width="11.42578125" style="114"/>
    <col min="15364" max="15364" width="31.85546875" style="114" customWidth="1"/>
    <col min="15365" max="15374" width="17.5703125" style="114" customWidth="1"/>
    <col min="15375" max="15375" width="21.7109375" style="114" customWidth="1"/>
    <col min="15376" max="15381" width="18.5703125" style="114" customWidth="1"/>
    <col min="15382" max="15382" width="11.5703125" style="114" customWidth="1"/>
    <col min="15383" max="15383" width="23.85546875" style="114" customWidth="1"/>
    <col min="15384" max="15384" width="18.140625" style="114" bestFit="1" customWidth="1"/>
    <col min="15385" max="15385" width="13" style="114" customWidth="1"/>
    <col min="15386" max="15386" width="20.7109375" style="114" bestFit="1" customWidth="1"/>
    <col min="15387" max="15387" width="18.28515625" style="114" customWidth="1"/>
    <col min="15388" max="15388" width="17.5703125" style="114" bestFit="1" customWidth="1"/>
    <col min="15389" max="15391" width="0" style="114" hidden="1" customWidth="1"/>
    <col min="15392" max="15393" width="16.5703125" style="114" bestFit="1" customWidth="1"/>
    <col min="15394" max="15619" width="11.42578125" style="114"/>
    <col min="15620" max="15620" width="31.85546875" style="114" customWidth="1"/>
    <col min="15621" max="15630" width="17.5703125" style="114" customWidth="1"/>
    <col min="15631" max="15631" width="21.7109375" style="114" customWidth="1"/>
    <col min="15632" max="15637" width="18.5703125" style="114" customWidth="1"/>
    <col min="15638" max="15638" width="11.5703125" style="114" customWidth="1"/>
    <col min="15639" max="15639" width="23.85546875" style="114" customWidth="1"/>
    <col min="15640" max="15640" width="18.140625" style="114" bestFit="1" customWidth="1"/>
    <col min="15641" max="15641" width="13" style="114" customWidth="1"/>
    <col min="15642" max="15642" width="20.7109375" style="114" bestFit="1" customWidth="1"/>
    <col min="15643" max="15643" width="18.28515625" style="114" customWidth="1"/>
    <col min="15644" max="15644" width="17.5703125" style="114" bestFit="1" customWidth="1"/>
    <col min="15645" max="15647" width="0" style="114" hidden="1" customWidth="1"/>
    <col min="15648" max="15649" width="16.5703125" style="114" bestFit="1" customWidth="1"/>
    <col min="15650" max="15875" width="11.42578125" style="114"/>
    <col min="15876" max="15876" width="31.85546875" style="114" customWidth="1"/>
    <col min="15877" max="15886" width="17.5703125" style="114" customWidth="1"/>
    <col min="15887" max="15887" width="21.7109375" style="114" customWidth="1"/>
    <col min="15888" max="15893" width="18.5703125" style="114" customWidth="1"/>
    <col min="15894" max="15894" width="11.5703125" style="114" customWidth="1"/>
    <col min="15895" max="15895" width="23.85546875" style="114" customWidth="1"/>
    <col min="15896" max="15896" width="18.140625" style="114" bestFit="1" customWidth="1"/>
    <col min="15897" max="15897" width="13" style="114" customWidth="1"/>
    <col min="15898" max="15898" width="20.7109375" style="114" bestFit="1" customWidth="1"/>
    <col min="15899" max="15899" width="18.28515625" style="114" customWidth="1"/>
    <col min="15900" max="15900" width="17.5703125" style="114" bestFit="1" customWidth="1"/>
    <col min="15901" max="15903" width="0" style="114" hidden="1" customWidth="1"/>
    <col min="15904" max="15905" width="16.5703125" style="114" bestFit="1" customWidth="1"/>
    <col min="15906" max="16131" width="11.42578125" style="114"/>
    <col min="16132" max="16132" width="31.85546875" style="114" customWidth="1"/>
    <col min="16133" max="16142" width="17.5703125" style="114" customWidth="1"/>
    <col min="16143" max="16143" width="21.7109375" style="114" customWidth="1"/>
    <col min="16144" max="16149" width="18.5703125" style="114" customWidth="1"/>
    <col min="16150" max="16150" width="11.5703125" style="114" customWidth="1"/>
    <col min="16151" max="16151" width="23.85546875" style="114" customWidth="1"/>
    <col min="16152" max="16152" width="18.140625" style="114" bestFit="1" customWidth="1"/>
    <col min="16153" max="16153" width="13" style="114" customWidth="1"/>
    <col min="16154" max="16154" width="20.7109375" style="114" bestFit="1" customWidth="1"/>
    <col min="16155" max="16155" width="18.28515625" style="114" customWidth="1"/>
    <col min="16156" max="16156" width="17.5703125" style="114" bestFit="1" customWidth="1"/>
    <col min="16157" max="16159" width="0" style="114" hidden="1" customWidth="1"/>
    <col min="16160" max="16161" width="16.5703125" style="114" bestFit="1" customWidth="1"/>
    <col min="16162" max="16384" width="11.42578125" style="114"/>
  </cols>
  <sheetData>
    <row r="1" spans="1:33" s="106" customFormat="1" ht="105" x14ac:dyDescent="0.25">
      <c r="A1" s="99" t="s">
        <v>0</v>
      </c>
      <c r="B1" s="100" t="s">
        <v>1</v>
      </c>
      <c r="C1" s="100" t="s">
        <v>2</v>
      </c>
      <c r="D1" s="100" t="s">
        <v>3</v>
      </c>
      <c r="E1" s="100" t="s">
        <v>4</v>
      </c>
      <c r="F1" s="100" t="s">
        <v>5</v>
      </c>
      <c r="G1" s="100" t="s">
        <v>6</v>
      </c>
      <c r="H1" s="100" t="s">
        <v>7</v>
      </c>
      <c r="I1" s="101" t="s">
        <v>8</v>
      </c>
      <c r="J1" s="101" t="s">
        <v>9</v>
      </c>
      <c r="K1" s="100" t="s">
        <v>10</v>
      </c>
      <c r="L1" s="100" t="s">
        <v>11</v>
      </c>
      <c r="M1" s="100" t="s">
        <v>12</v>
      </c>
      <c r="N1" s="100" t="s">
        <v>13</v>
      </c>
      <c r="O1" s="100" t="s">
        <v>14</v>
      </c>
      <c r="P1" s="100" t="s">
        <v>15</v>
      </c>
      <c r="Q1" s="100" t="s">
        <v>16</v>
      </c>
      <c r="R1" s="100" t="s">
        <v>17</v>
      </c>
      <c r="S1" s="100" t="s">
        <v>18</v>
      </c>
      <c r="T1" s="101" t="s">
        <v>19</v>
      </c>
      <c r="U1" s="102" t="s">
        <v>20</v>
      </c>
      <c r="V1" s="100" t="s">
        <v>21</v>
      </c>
      <c r="W1" s="100" t="s">
        <v>22</v>
      </c>
      <c r="X1" s="101" t="s">
        <v>23</v>
      </c>
      <c r="Y1" s="101" t="s">
        <v>24</v>
      </c>
      <c r="Z1" s="103" t="s">
        <v>25</v>
      </c>
      <c r="AA1" s="104" t="s">
        <v>26</v>
      </c>
      <c r="AB1" s="102" t="s">
        <v>27</v>
      </c>
      <c r="AC1" s="105" t="s">
        <v>28</v>
      </c>
    </row>
    <row r="2" spans="1:33" ht="25.5" x14ac:dyDescent="0.25">
      <c r="A2" s="107" t="s">
        <v>29</v>
      </c>
      <c r="B2" s="108" t="s">
        <v>30</v>
      </c>
      <c r="C2" s="901">
        <v>1711185283.02</v>
      </c>
      <c r="D2" s="109">
        <v>1116018593</v>
      </c>
      <c r="E2" s="109">
        <v>630997409</v>
      </c>
      <c r="F2" s="109">
        <v>742080882</v>
      </c>
      <c r="G2" s="109">
        <v>831413442.05999994</v>
      </c>
      <c r="H2" s="109">
        <v>304250910.06</v>
      </c>
      <c r="I2" s="109">
        <v>627185660.77999997</v>
      </c>
      <c r="J2" s="109">
        <v>1119394657.9624999</v>
      </c>
      <c r="K2" s="109">
        <v>1653316293.6800001</v>
      </c>
      <c r="L2" s="109">
        <v>1505761856.45</v>
      </c>
      <c r="M2" s="109">
        <v>1396512288</v>
      </c>
      <c r="N2" s="109">
        <v>1095659129.9400001</v>
      </c>
      <c r="O2" s="109">
        <v>479645357.45999998</v>
      </c>
      <c r="P2" s="109">
        <v>2136759265.45</v>
      </c>
      <c r="Q2" s="109">
        <v>2138593170</v>
      </c>
      <c r="R2" s="109">
        <v>1927072572</v>
      </c>
      <c r="S2" s="109">
        <v>783896267.51999998</v>
      </c>
      <c r="T2" s="109">
        <v>1746580318.7424998</v>
      </c>
      <c r="U2" s="109">
        <v>2227322218</v>
      </c>
      <c r="V2" s="110">
        <v>0.35909351207596346</v>
      </c>
      <c r="W2" s="111">
        <v>799816957.78644466</v>
      </c>
      <c r="X2" s="111">
        <v>316201635.21355534</v>
      </c>
      <c r="Y2" s="110">
        <v>0.64090648792403659</v>
      </c>
      <c r="Z2" s="111">
        <v>1119394657.9624999</v>
      </c>
      <c r="AA2" s="111">
        <v>2235413250.9624996</v>
      </c>
      <c r="AB2" s="111">
        <v>8091032.9624996185</v>
      </c>
      <c r="AC2" s="112">
        <v>2302475648.4913745</v>
      </c>
      <c r="AD2" s="113">
        <v>75153430.491374493</v>
      </c>
    </row>
    <row r="3" spans="1:33" x14ac:dyDescent="0.25">
      <c r="A3" s="107" t="s">
        <v>31</v>
      </c>
      <c r="B3" s="108" t="s">
        <v>32</v>
      </c>
      <c r="C3" s="901">
        <v>2080881300.6099999</v>
      </c>
      <c r="D3" s="109">
        <v>2077446046.4300001</v>
      </c>
      <c r="E3" s="109">
        <v>2593408519.3800001</v>
      </c>
      <c r="F3" s="109">
        <v>4120476902.02</v>
      </c>
      <c r="G3" s="109">
        <v>4035775162.9099998</v>
      </c>
      <c r="H3" s="109">
        <v>4417642176.0699997</v>
      </c>
      <c r="I3" s="109">
        <v>3791825690.0949998</v>
      </c>
      <c r="J3" s="109">
        <v>5640307128.8099995</v>
      </c>
      <c r="K3" s="109">
        <v>3416304160.9200001</v>
      </c>
      <c r="L3" s="109">
        <v>4058143454.8599997</v>
      </c>
      <c r="M3" s="109">
        <v>5900118704.9699993</v>
      </c>
      <c r="N3" s="109">
        <v>6606442552.9799995</v>
      </c>
      <c r="O3" s="109">
        <v>5996523802.4300003</v>
      </c>
      <c r="P3" s="109">
        <v>6651551974.2399998</v>
      </c>
      <c r="Q3" s="109">
        <v>10020595606.99</v>
      </c>
      <c r="R3" s="109">
        <v>10642217715.889999</v>
      </c>
      <c r="S3" s="109">
        <v>10414165978.5</v>
      </c>
      <c r="T3" s="109">
        <v>9432132818.9049988</v>
      </c>
      <c r="U3" s="109">
        <v>4469330595.1000004</v>
      </c>
      <c r="V3" s="110">
        <v>0.40201148169743467</v>
      </c>
      <c r="W3" s="111">
        <v>1796722214.7318287</v>
      </c>
      <c r="X3" s="111">
        <v>280723831.69817138</v>
      </c>
      <c r="Y3" s="110">
        <v>0.59798851830256539</v>
      </c>
      <c r="Z3" s="111">
        <v>5640307128.8099995</v>
      </c>
      <c r="AA3" s="111">
        <v>7717753175.2399998</v>
      </c>
      <c r="AB3" s="111">
        <v>3248422580.1399994</v>
      </c>
      <c r="AC3" s="112">
        <v>7949285770.4972</v>
      </c>
      <c r="AD3" s="113">
        <v>3479955175.3971996</v>
      </c>
    </row>
    <row r="4" spans="1:33" x14ac:dyDescent="0.25">
      <c r="A4" s="107" t="s">
        <v>33</v>
      </c>
      <c r="B4" s="108" t="s">
        <v>34</v>
      </c>
      <c r="C4" s="901">
        <v>178163588.96000001</v>
      </c>
      <c r="D4" s="109">
        <v>133769796.98</v>
      </c>
      <c r="E4" s="109">
        <v>141575400.02000001</v>
      </c>
      <c r="F4" s="109">
        <v>138422346.11000001</v>
      </c>
      <c r="G4" s="109">
        <v>125248643.12</v>
      </c>
      <c r="H4" s="109">
        <v>134924312.58000001</v>
      </c>
      <c r="I4" s="109">
        <v>135042675.45750001</v>
      </c>
      <c r="J4" s="109">
        <v>204356268.22499999</v>
      </c>
      <c r="K4" s="109">
        <v>225858776.63999999</v>
      </c>
      <c r="L4" s="109">
        <v>181936205.58000001</v>
      </c>
      <c r="M4" s="109">
        <v>214769677.53999996</v>
      </c>
      <c r="N4" s="109">
        <v>244409832.86000001</v>
      </c>
      <c r="O4" s="109">
        <v>176309356.91999999</v>
      </c>
      <c r="P4" s="109">
        <v>323511605.60000002</v>
      </c>
      <c r="Q4" s="109">
        <v>353192023.64999998</v>
      </c>
      <c r="R4" s="109">
        <v>369658475.98000002</v>
      </c>
      <c r="S4" s="109">
        <v>311233669.5</v>
      </c>
      <c r="T4" s="109">
        <v>339398943.6825</v>
      </c>
      <c r="U4" s="109">
        <v>367964990.19999999</v>
      </c>
      <c r="V4" s="110">
        <v>0.39788773056356169</v>
      </c>
      <c r="W4" s="111">
        <v>146408754.87752122</v>
      </c>
      <c r="X4" s="115">
        <v>-12638957.897521213</v>
      </c>
      <c r="Y4" s="110">
        <v>0.60211226943643825</v>
      </c>
      <c r="Z4" s="111">
        <v>204356268.22499999</v>
      </c>
      <c r="AA4" s="111">
        <v>338126065.20499998</v>
      </c>
      <c r="AB4" s="116">
        <v>-29838924.995000005</v>
      </c>
      <c r="AC4" s="112">
        <v>348269847.16114998</v>
      </c>
      <c r="AD4" s="113">
        <v>-19695143.038850009</v>
      </c>
      <c r="AF4" s="117"/>
      <c r="AG4" s="113"/>
    </row>
    <row r="5" spans="1:33" ht="25.5" x14ac:dyDescent="0.25">
      <c r="A5" s="107" t="s">
        <v>35</v>
      </c>
      <c r="B5" s="108" t="s">
        <v>36</v>
      </c>
      <c r="C5" s="901">
        <v>1645927480.3099999</v>
      </c>
      <c r="D5" s="109">
        <v>1791800762.73</v>
      </c>
      <c r="E5" s="109">
        <v>1805207616.3199999</v>
      </c>
      <c r="F5" s="109">
        <v>1580741593.45</v>
      </c>
      <c r="G5" s="109">
        <v>1492156533.0799999</v>
      </c>
      <c r="H5" s="109">
        <v>1499466514.1700001</v>
      </c>
      <c r="I5" s="109">
        <v>1594393064.2550001</v>
      </c>
      <c r="J5" s="109">
        <v>2523469754.165</v>
      </c>
      <c r="K5" s="109">
        <v>1644538150.49</v>
      </c>
      <c r="L5" s="109">
        <v>2377336653.2300005</v>
      </c>
      <c r="M5" s="109">
        <v>2564167194.8400002</v>
      </c>
      <c r="N5" s="109">
        <v>3054049255.3900003</v>
      </c>
      <c r="O5" s="109">
        <v>2098325913.1999998</v>
      </c>
      <c r="P5" s="109">
        <v>4182544269.5500002</v>
      </c>
      <c r="Q5" s="109">
        <v>4144908788.29</v>
      </c>
      <c r="R5" s="109">
        <v>4546205788.4700003</v>
      </c>
      <c r="S5" s="109">
        <v>3597792427.3699999</v>
      </c>
      <c r="T5" s="109">
        <v>4117862818.4200001</v>
      </c>
      <c r="U5" s="109">
        <v>3526539574</v>
      </c>
      <c r="V5" s="110">
        <v>0.38718945592917042</v>
      </c>
      <c r="W5" s="111">
        <v>1365438938.9697485</v>
      </c>
      <c r="X5" s="111">
        <v>426361823.76025152</v>
      </c>
      <c r="Y5" s="110">
        <v>0.61281054407082958</v>
      </c>
      <c r="Z5" s="111">
        <v>2523469754.165</v>
      </c>
      <c r="AA5" s="111">
        <v>4315270516.8950005</v>
      </c>
      <c r="AB5" s="111">
        <v>788730942.89500046</v>
      </c>
      <c r="AC5" s="112">
        <v>4444728632.4018507</v>
      </c>
      <c r="AD5" s="113">
        <v>918189058.4018507</v>
      </c>
      <c r="AF5" s="113"/>
      <c r="AG5" s="113"/>
    </row>
    <row r="6" spans="1:33" ht="25.5" x14ac:dyDescent="0.25">
      <c r="A6" s="107" t="s">
        <v>37</v>
      </c>
      <c r="B6" s="108" t="s">
        <v>38</v>
      </c>
      <c r="C6" s="903">
        <v>0</v>
      </c>
      <c r="D6" s="109">
        <v>3650552500</v>
      </c>
      <c r="E6" s="109">
        <v>3719078171.1700001</v>
      </c>
      <c r="F6" s="109">
        <v>3560312450</v>
      </c>
      <c r="G6" s="109">
        <v>3454417780</v>
      </c>
      <c r="H6" s="109">
        <v>4734937021</v>
      </c>
      <c r="I6" s="109">
        <v>3867186355.5425</v>
      </c>
      <c r="J6" s="109">
        <v>5723498911.7049999</v>
      </c>
      <c r="K6" s="109">
        <v>7015925700</v>
      </c>
      <c r="L6" s="109">
        <v>4956498966.8199997</v>
      </c>
      <c r="M6" s="109">
        <v>6221580640</v>
      </c>
      <c r="N6" s="109">
        <v>6230897724</v>
      </c>
      <c r="O6" s="109">
        <v>5485018316</v>
      </c>
      <c r="P6" s="109">
        <v>8675577137.9899998</v>
      </c>
      <c r="Q6" s="109">
        <v>9781893090</v>
      </c>
      <c r="R6" s="109">
        <v>9685315504</v>
      </c>
      <c r="S6" s="109">
        <v>10219955337</v>
      </c>
      <c r="T6" s="109">
        <v>9590685267.2474995</v>
      </c>
      <c r="U6" s="109">
        <v>10000000000</v>
      </c>
      <c r="V6" s="110">
        <v>0.40322315327655123</v>
      </c>
      <c r="W6" s="111">
        <v>4032231532.7655125</v>
      </c>
      <c r="X6" s="115">
        <v>-381679032.76551247</v>
      </c>
      <c r="Y6" s="110">
        <v>0.59677684672344888</v>
      </c>
      <c r="Z6" s="111">
        <v>5723498911.7049999</v>
      </c>
      <c r="AA6" s="111">
        <v>9374051411.7049999</v>
      </c>
      <c r="AB6" s="118">
        <v>-625948588.29500008</v>
      </c>
      <c r="AC6" s="112">
        <v>9655272954.0561504</v>
      </c>
      <c r="AD6" s="113"/>
      <c r="AF6" s="117"/>
    </row>
    <row r="7" spans="1:33" x14ac:dyDescent="0.25">
      <c r="A7" s="107" t="s">
        <v>39</v>
      </c>
      <c r="B7" s="108" t="s">
        <v>40</v>
      </c>
      <c r="C7" s="901">
        <v>1447985935.52</v>
      </c>
      <c r="D7" s="109">
        <v>211073923.94</v>
      </c>
      <c r="E7" s="109">
        <v>118760474.94</v>
      </c>
      <c r="F7" s="109">
        <v>673528421.28999996</v>
      </c>
      <c r="G7" s="109">
        <v>3044984340</v>
      </c>
      <c r="H7" s="109">
        <v>2555717844</v>
      </c>
      <c r="I7" s="109">
        <v>1598247770.0574999</v>
      </c>
      <c r="J7" s="109"/>
      <c r="K7" s="109">
        <v>75943435</v>
      </c>
      <c r="L7" s="109">
        <v>5009014</v>
      </c>
      <c r="M7" s="109">
        <v>10447492</v>
      </c>
      <c r="N7" s="109">
        <v>60632325</v>
      </c>
      <c r="O7" s="109">
        <v>0</v>
      </c>
      <c r="P7" s="109">
        <v>123769488.94</v>
      </c>
      <c r="Q7" s="109">
        <v>683975913.28999996</v>
      </c>
      <c r="R7" s="109">
        <v>3105616665</v>
      </c>
      <c r="S7" s="109">
        <v>2555717844</v>
      </c>
      <c r="T7" s="109">
        <v>1617269977.8074999</v>
      </c>
      <c r="U7" s="109">
        <v>287017358.94</v>
      </c>
      <c r="V7" s="110">
        <v>0.98823807526818253</v>
      </c>
      <c r="W7" s="111">
        <v>283641482.3674227</v>
      </c>
      <c r="X7" s="115">
        <v>-72567558.427422702</v>
      </c>
      <c r="Y7" s="110">
        <v>0</v>
      </c>
      <c r="Z7" s="111">
        <v>0</v>
      </c>
      <c r="AA7" s="111">
        <v>287017358.94</v>
      </c>
      <c r="AB7" s="111">
        <v>0</v>
      </c>
      <c r="AC7" s="112">
        <v>295627879.70819998</v>
      </c>
      <c r="AD7" s="113">
        <v>8610520.7681999803</v>
      </c>
    </row>
    <row r="8" spans="1:33" ht="25.5" x14ac:dyDescent="0.25">
      <c r="A8" s="107" t="s">
        <v>41</v>
      </c>
      <c r="B8" s="108" t="s">
        <v>42</v>
      </c>
      <c r="C8" s="901">
        <v>1902238000</v>
      </c>
      <c r="D8" s="109">
        <v>308966733</v>
      </c>
      <c r="E8" s="109">
        <v>1321944000</v>
      </c>
      <c r="F8" s="109">
        <v>1543484109</v>
      </c>
      <c r="G8" s="109">
        <v>1031199360</v>
      </c>
      <c r="H8" s="109">
        <v>6742626</v>
      </c>
      <c r="I8" s="109">
        <v>975842523.75</v>
      </c>
      <c r="J8" s="109">
        <v>262414250</v>
      </c>
      <c r="K8" s="109">
        <v>1761723199</v>
      </c>
      <c r="L8" s="109">
        <v>0</v>
      </c>
      <c r="M8" s="109">
        <v>15107000</v>
      </c>
      <c r="N8" s="109">
        <v>0</v>
      </c>
      <c r="O8" s="109">
        <v>1034550000</v>
      </c>
      <c r="P8" s="109">
        <v>1321944000</v>
      </c>
      <c r="Q8" s="109">
        <v>1558591109</v>
      </c>
      <c r="R8" s="109">
        <v>1031199360</v>
      </c>
      <c r="S8" s="109">
        <v>1041292626</v>
      </c>
      <c r="T8" s="109">
        <v>1238256773.75</v>
      </c>
      <c r="U8" s="109">
        <v>1361612640</v>
      </c>
      <c r="V8" s="110">
        <v>0.78807767858576594</v>
      </c>
      <c r="W8" s="111">
        <v>1073056528.4642363</v>
      </c>
      <c r="X8" s="115">
        <v>-764089795.46423626</v>
      </c>
      <c r="Y8" s="110">
        <v>0.21192232141423406</v>
      </c>
      <c r="Z8" s="111">
        <v>262414250</v>
      </c>
      <c r="AA8" s="111">
        <v>571380983</v>
      </c>
      <c r="AB8" s="111"/>
      <c r="AC8" s="112">
        <v>588522412.49000001</v>
      </c>
      <c r="AD8" s="113"/>
    </row>
    <row r="9" spans="1:33" ht="25.5" x14ac:dyDescent="0.25">
      <c r="A9" s="107" t="s">
        <v>43</v>
      </c>
      <c r="B9" s="108" t="s">
        <v>44</v>
      </c>
      <c r="C9" s="901">
        <v>96707025</v>
      </c>
      <c r="D9" s="109">
        <v>55727116</v>
      </c>
      <c r="E9" s="109">
        <v>63180995</v>
      </c>
      <c r="F9" s="109">
        <v>0</v>
      </c>
      <c r="G9" s="109">
        <v>0</v>
      </c>
      <c r="H9" s="109">
        <v>0</v>
      </c>
      <c r="I9" s="109">
        <v>15795248.75</v>
      </c>
      <c r="J9" s="109">
        <v>204007327</v>
      </c>
      <c r="K9" s="109">
        <v>167200033</v>
      </c>
      <c r="L9" s="109">
        <v>141409328</v>
      </c>
      <c r="M9" s="109">
        <v>252534218</v>
      </c>
      <c r="N9" s="109">
        <v>244408802</v>
      </c>
      <c r="O9" s="109">
        <v>177676960</v>
      </c>
      <c r="P9" s="109">
        <v>204590323</v>
      </c>
      <c r="Q9" s="109">
        <v>252534218</v>
      </c>
      <c r="R9" s="109">
        <v>244408802</v>
      </c>
      <c r="S9" s="109">
        <v>177676960</v>
      </c>
      <c r="T9" s="109">
        <v>219802575.75</v>
      </c>
      <c r="U9" s="109">
        <v>210707393</v>
      </c>
      <c r="V9" s="110">
        <v>7.1861072128496198E-2</v>
      </c>
      <c r="W9" s="111">
        <v>15141659.166380394</v>
      </c>
      <c r="X9" s="111">
        <v>40585456.833619609</v>
      </c>
      <c r="Y9" s="110">
        <v>0.92813892787150376</v>
      </c>
      <c r="Z9" s="111">
        <v>204007327</v>
      </c>
      <c r="AA9" s="111">
        <v>259734443</v>
      </c>
      <c r="AB9" s="111">
        <v>49027050</v>
      </c>
      <c r="AC9" s="112">
        <v>267526476.29000002</v>
      </c>
      <c r="AD9" s="113">
        <v>56819083.290000021</v>
      </c>
    </row>
    <row r="10" spans="1:33" ht="25.5" x14ac:dyDescent="0.25">
      <c r="A10" s="107" t="s">
        <v>45</v>
      </c>
      <c r="B10" s="108" t="s">
        <v>46</v>
      </c>
      <c r="C10" s="901">
        <v>152370440</v>
      </c>
      <c r="D10" s="109">
        <v>152370440</v>
      </c>
      <c r="E10" s="109">
        <v>151370440</v>
      </c>
      <c r="F10" s="109">
        <v>0</v>
      </c>
      <c r="G10" s="109">
        <v>151370440</v>
      </c>
      <c r="H10" s="109">
        <v>205333228</v>
      </c>
      <c r="I10" s="109">
        <v>127018527</v>
      </c>
      <c r="J10" s="109">
        <v>23249698.75</v>
      </c>
      <c r="K10" s="109">
        <v>0</v>
      </c>
      <c r="L10" s="109">
        <v>0</v>
      </c>
      <c r="M10" s="109">
        <v>151370440</v>
      </c>
      <c r="N10" s="109">
        <v>0</v>
      </c>
      <c r="O10" s="109">
        <v>-58371645</v>
      </c>
      <c r="P10" s="109">
        <v>151370440</v>
      </c>
      <c r="Q10" s="109">
        <v>151370440</v>
      </c>
      <c r="R10" s="109">
        <v>151370440</v>
      </c>
      <c r="S10" s="109">
        <v>146961583</v>
      </c>
      <c r="T10" s="109">
        <v>150268225.75</v>
      </c>
      <c r="U10" s="109">
        <v>155911553</v>
      </c>
      <c r="V10" s="110">
        <v>0.84527867662003053</v>
      </c>
      <c r="W10" s="111">
        <v>131788711.18961374</v>
      </c>
      <c r="X10" s="111">
        <v>20581728.810386255</v>
      </c>
      <c r="Y10" s="110">
        <v>0.15472132337996944</v>
      </c>
      <c r="Z10" s="111">
        <v>23249698.75</v>
      </c>
      <c r="AA10" s="111">
        <v>175620138.75</v>
      </c>
      <c r="AB10" s="111">
        <v>19708585.75</v>
      </c>
      <c r="AC10" s="112">
        <v>180888742.91249999</v>
      </c>
      <c r="AD10" s="113">
        <v>24977189.912499994</v>
      </c>
    </row>
    <row r="11" spans="1:33" ht="25.5" x14ac:dyDescent="0.25">
      <c r="A11" s="107" t="s">
        <v>47</v>
      </c>
      <c r="B11" s="108" t="s">
        <v>48</v>
      </c>
      <c r="C11" s="901">
        <v>25160033</v>
      </c>
      <c r="D11" s="109">
        <v>27053799</v>
      </c>
      <c r="E11" s="109">
        <v>25471273</v>
      </c>
      <c r="F11" s="109">
        <v>0</v>
      </c>
      <c r="G11" s="109">
        <v>23003718</v>
      </c>
      <c r="H11" s="109">
        <v>25351743</v>
      </c>
      <c r="I11" s="109">
        <v>18456683.5</v>
      </c>
      <c r="J11" s="109">
        <v>4660109.75</v>
      </c>
      <c r="K11" s="109">
        <v>0</v>
      </c>
      <c r="L11" s="109">
        <v>0</v>
      </c>
      <c r="M11" s="109">
        <v>21658485</v>
      </c>
      <c r="N11" s="109">
        <v>0</v>
      </c>
      <c r="O11" s="109">
        <v>-3018046</v>
      </c>
      <c r="P11" s="109">
        <v>25471273</v>
      </c>
      <c r="Q11" s="109">
        <v>21658485</v>
      </c>
      <c r="R11" s="109">
        <v>23003718</v>
      </c>
      <c r="S11" s="109">
        <v>22333697</v>
      </c>
      <c r="T11" s="109">
        <v>23116793.25</v>
      </c>
      <c r="U11" s="109">
        <v>26235411</v>
      </c>
      <c r="V11" s="110">
        <v>0.79841019904436794</v>
      </c>
      <c r="W11" s="111">
        <v>20946619.718520802</v>
      </c>
      <c r="X11" s="111">
        <v>6107179.2814791985</v>
      </c>
      <c r="Y11" s="110">
        <v>0.20158980095563211</v>
      </c>
      <c r="Z11" s="111">
        <v>4660109.75</v>
      </c>
      <c r="AA11" s="111">
        <v>31713908.75</v>
      </c>
      <c r="AB11" s="111">
        <v>5478497.75</v>
      </c>
      <c r="AC11" s="112">
        <v>32665326.012499999</v>
      </c>
      <c r="AD11" s="113">
        <v>6429915.0124999993</v>
      </c>
    </row>
    <row r="12" spans="1:33" ht="25.5" x14ac:dyDescent="0.25">
      <c r="A12" s="107" t="s">
        <v>49</v>
      </c>
      <c r="B12" s="108" t="s">
        <v>50</v>
      </c>
      <c r="C12" s="901">
        <v>7537378380.5</v>
      </c>
      <c r="D12" s="109">
        <v>0</v>
      </c>
      <c r="E12" s="109">
        <v>8890194931.3700008</v>
      </c>
      <c r="F12" s="109">
        <v>271846257</v>
      </c>
      <c r="G12" s="109">
        <v>0</v>
      </c>
      <c r="H12" s="109">
        <v>90113195</v>
      </c>
      <c r="I12" s="109">
        <v>2313038595.8425002</v>
      </c>
      <c r="J12" s="109"/>
      <c r="K12" s="109">
        <v>8660204049.2199993</v>
      </c>
      <c r="L12" s="109">
        <v>0</v>
      </c>
      <c r="M12" s="109">
        <v>0</v>
      </c>
      <c r="N12" s="109">
        <v>0</v>
      </c>
      <c r="O12" s="109">
        <v>0</v>
      </c>
      <c r="P12" s="109">
        <v>8890194931.3700008</v>
      </c>
      <c r="Q12" s="109">
        <v>271846257</v>
      </c>
      <c r="R12" s="109">
        <v>0</v>
      </c>
      <c r="S12" s="109">
        <v>90113195</v>
      </c>
      <c r="T12" s="109">
        <v>2313038595.8425002</v>
      </c>
      <c r="U12" s="109">
        <v>8660202457.2199993</v>
      </c>
      <c r="V12" s="110">
        <v>1</v>
      </c>
      <c r="W12" s="111">
        <v>8660202457.2199993</v>
      </c>
      <c r="X12" s="111">
        <v>-8660202457.2199993</v>
      </c>
      <c r="Y12" s="110">
        <v>0</v>
      </c>
      <c r="Z12" s="111">
        <v>0</v>
      </c>
      <c r="AA12" s="111">
        <v>8660202457.2199993</v>
      </c>
      <c r="AB12" s="111">
        <v>0</v>
      </c>
      <c r="AC12" s="112">
        <v>8920008530.9365997</v>
      </c>
      <c r="AD12" s="113">
        <v>259806073.71660042</v>
      </c>
    </row>
    <row r="13" spans="1:33" ht="25.5" x14ac:dyDescent="0.25">
      <c r="A13" s="107" t="s">
        <v>51</v>
      </c>
      <c r="B13" s="108" t="s">
        <v>52</v>
      </c>
      <c r="C13" s="901">
        <v>666478200</v>
      </c>
      <c r="D13" s="109">
        <v>0</v>
      </c>
      <c r="E13" s="109">
        <v>45261800</v>
      </c>
      <c r="F13" s="109">
        <v>140918093</v>
      </c>
      <c r="G13" s="109">
        <v>0</v>
      </c>
      <c r="H13" s="109">
        <v>1148929209</v>
      </c>
      <c r="I13" s="109">
        <v>333777275.5</v>
      </c>
      <c r="J13" s="109"/>
      <c r="K13" s="109">
        <v>86524214.989999995</v>
      </c>
      <c r="L13" s="109">
        <v>0</v>
      </c>
      <c r="M13" s="109">
        <v>0</v>
      </c>
      <c r="N13" s="109">
        <v>0</v>
      </c>
      <c r="O13" s="109">
        <v>0</v>
      </c>
      <c r="P13" s="109">
        <v>45261800</v>
      </c>
      <c r="Q13" s="109">
        <v>140918093</v>
      </c>
      <c r="R13" s="109">
        <v>0</v>
      </c>
      <c r="S13" s="109">
        <v>1148929209</v>
      </c>
      <c r="T13" s="109">
        <v>333777275.5</v>
      </c>
      <c r="U13" s="109">
        <v>86524214.989999995</v>
      </c>
      <c r="V13" s="110">
        <v>1</v>
      </c>
      <c r="W13" s="111">
        <v>86524214.989999995</v>
      </c>
      <c r="X13" s="111">
        <v>-86524214.989999995</v>
      </c>
      <c r="Y13" s="110">
        <v>0</v>
      </c>
      <c r="Z13" s="111">
        <v>0</v>
      </c>
      <c r="AA13" s="111">
        <v>86524214.989999995</v>
      </c>
      <c r="AB13" s="111">
        <v>0</v>
      </c>
      <c r="AC13" s="112">
        <v>89119941.439699993</v>
      </c>
      <c r="AD13" s="113">
        <v>2595726.4496999979</v>
      </c>
    </row>
    <row r="14" spans="1:33" ht="25.5" x14ac:dyDescent="0.25">
      <c r="A14" s="107" t="s">
        <v>53</v>
      </c>
      <c r="B14" s="108" t="s">
        <v>54</v>
      </c>
      <c r="C14" s="901">
        <v>241128725.83000001</v>
      </c>
      <c r="D14" s="109">
        <v>0</v>
      </c>
      <c r="E14" s="109">
        <v>68093829.010000005</v>
      </c>
      <c r="F14" s="109">
        <v>46256016</v>
      </c>
      <c r="G14" s="109">
        <v>49642368</v>
      </c>
      <c r="H14" s="109">
        <v>114917107</v>
      </c>
      <c r="I14" s="109">
        <v>69727330.002499998</v>
      </c>
      <c r="J14" s="109"/>
      <c r="K14" s="109">
        <v>160704125</v>
      </c>
      <c r="L14" s="109">
        <v>0</v>
      </c>
      <c r="M14" s="109">
        <v>0</v>
      </c>
      <c r="N14" s="109">
        <v>0</v>
      </c>
      <c r="O14" s="109">
        <v>0</v>
      </c>
      <c r="P14" s="109">
        <v>68093829.010000005</v>
      </c>
      <c r="Q14" s="109">
        <v>46256016</v>
      </c>
      <c r="R14" s="109">
        <v>49642368</v>
      </c>
      <c r="S14" s="109">
        <v>114917107</v>
      </c>
      <c r="T14" s="109">
        <v>69727330.002499998</v>
      </c>
      <c r="U14" s="109">
        <v>160704125</v>
      </c>
      <c r="V14" s="110">
        <v>1</v>
      </c>
      <c r="W14" s="111">
        <v>160704125</v>
      </c>
      <c r="X14" s="111">
        <v>-160704125</v>
      </c>
      <c r="Y14" s="110">
        <v>0</v>
      </c>
      <c r="Z14" s="111">
        <v>0</v>
      </c>
      <c r="AA14" s="111">
        <v>160704125</v>
      </c>
      <c r="AB14" s="111">
        <v>0</v>
      </c>
      <c r="AC14" s="112">
        <v>165525248.75</v>
      </c>
      <c r="AD14" s="113">
        <v>4821123.75</v>
      </c>
    </row>
    <row r="15" spans="1:33" ht="38.25" x14ac:dyDescent="0.25">
      <c r="A15" s="107" t="s">
        <v>55</v>
      </c>
      <c r="B15" s="108" t="s">
        <v>56</v>
      </c>
      <c r="C15" s="901">
        <v>855592641.50999999</v>
      </c>
      <c r="D15" s="109">
        <v>832447462</v>
      </c>
      <c r="E15" s="109">
        <v>444364373</v>
      </c>
      <c r="F15" s="109">
        <v>522592171</v>
      </c>
      <c r="G15" s="109">
        <v>585502425.20000005</v>
      </c>
      <c r="H15" s="109">
        <v>507084850.12</v>
      </c>
      <c r="I15" s="109">
        <v>514885954.83000004</v>
      </c>
      <c r="J15" s="109">
        <v>903713723.22500002</v>
      </c>
      <c r="K15" s="109">
        <v>1233283014.1600001</v>
      </c>
      <c r="L15" s="109">
        <v>1060395670</v>
      </c>
      <c r="M15" s="109">
        <v>983459358</v>
      </c>
      <c r="N15" s="109">
        <v>771590935.79999995</v>
      </c>
      <c r="O15" s="109">
        <v>799408929.10000002</v>
      </c>
      <c r="P15" s="109">
        <v>1504760043</v>
      </c>
      <c r="Q15" s="109">
        <v>1506051529</v>
      </c>
      <c r="R15" s="109">
        <v>1357093361</v>
      </c>
      <c r="S15" s="109">
        <v>1306493779.22</v>
      </c>
      <c r="T15" s="109">
        <v>1418599678.0550001</v>
      </c>
      <c r="U15" s="109">
        <v>1662180759.4000001</v>
      </c>
      <c r="V15" s="110">
        <v>0.36295366677084329</v>
      </c>
      <c r="W15" s="111">
        <v>603294601.46017492</v>
      </c>
      <c r="X15" s="111">
        <v>229152860.53982508</v>
      </c>
      <c r="Y15" s="110">
        <v>0.63704633322915671</v>
      </c>
      <c r="Z15" s="111">
        <v>903713723.22500002</v>
      </c>
      <c r="AA15" s="111">
        <v>1736161185.2249999</v>
      </c>
      <c r="AB15" s="111">
        <v>73980425.824999809</v>
      </c>
      <c r="AC15" s="112">
        <v>1788246020.78175</v>
      </c>
      <c r="AD15" s="113">
        <v>126065261.38174987</v>
      </c>
    </row>
    <row r="16" spans="1:33" ht="25.5" x14ac:dyDescent="0.25">
      <c r="A16" s="107" t="s">
        <v>57</v>
      </c>
      <c r="B16" s="108" t="s">
        <v>58</v>
      </c>
      <c r="C16" s="903">
        <v>0</v>
      </c>
      <c r="D16" s="109">
        <v>0</v>
      </c>
      <c r="E16" s="109">
        <v>2844594470.1500001</v>
      </c>
      <c r="F16" s="109">
        <v>4191777091</v>
      </c>
      <c r="G16" s="109">
        <v>114917106</v>
      </c>
      <c r="H16" s="109">
        <v>114917105</v>
      </c>
      <c r="I16" s="109">
        <v>1816551443.0374999</v>
      </c>
      <c r="J16" s="109"/>
      <c r="K16" s="109">
        <v>590362245.54999995</v>
      </c>
      <c r="L16" s="109">
        <v>0</v>
      </c>
      <c r="M16" s="109">
        <v>0</v>
      </c>
      <c r="N16" s="109">
        <v>0</v>
      </c>
      <c r="O16" s="109">
        <v>0</v>
      </c>
      <c r="P16" s="109">
        <v>2844594470.1500001</v>
      </c>
      <c r="Q16" s="109">
        <v>4191777091</v>
      </c>
      <c r="R16" s="109">
        <v>114917106</v>
      </c>
      <c r="S16" s="109">
        <v>114917105</v>
      </c>
      <c r="T16" s="109">
        <v>1816551443.0374999</v>
      </c>
      <c r="U16" s="109">
        <v>590362245.54999995</v>
      </c>
      <c r="V16" s="110">
        <v>1</v>
      </c>
      <c r="W16" s="111">
        <v>590362245.54999995</v>
      </c>
      <c r="X16" s="111">
        <v>-590362245.54999995</v>
      </c>
      <c r="Y16" s="110">
        <v>0</v>
      </c>
      <c r="Z16" s="111">
        <v>0</v>
      </c>
      <c r="AA16" s="111">
        <v>590362245.54999995</v>
      </c>
      <c r="AB16" s="111">
        <v>0</v>
      </c>
      <c r="AC16" s="112">
        <v>608073112.91649997</v>
      </c>
      <c r="AD16" s="113">
        <v>17710867.36650002</v>
      </c>
    </row>
    <row r="17" spans="1:30" ht="25.5" x14ac:dyDescent="0.25">
      <c r="A17" s="107" t="s">
        <v>59</v>
      </c>
      <c r="B17" s="108" t="s">
        <v>60</v>
      </c>
      <c r="C17" s="901">
        <v>43</v>
      </c>
      <c r="D17" s="109">
        <v>32.64</v>
      </c>
      <c r="E17" s="109">
        <v>83177.790000000008</v>
      </c>
      <c r="F17" s="109">
        <v>833.47</v>
      </c>
      <c r="G17" s="109">
        <v>80713.77</v>
      </c>
      <c r="H17" s="109">
        <v>6205098.0700000003</v>
      </c>
      <c r="I17" s="109">
        <v>1592455.7750000001</v>
      </c>
      <c r="J17" s="109">
        <v>53259.622500000012</v>
      </c>
      <c r="K17" s="109">
        <v>149984.33000000002</v>
      </c>
      <c r="L17" s="109">
        <v>34.269999999989523</v>
      </c>
      <c r="M17" s="109">
        <v>49.220000000000027</v>
      </c>
      <c r="N17" s="109">
        <v>1552.6699999999983</v>
      </c>
      <c r="O17" s="109">
        <v>211402.33000000007</v>
      </c>
      <c r="P17" s="109">
        <v>83212.06</v>
      </c>
      <c r="Q17" s="109">
        <v>882.69</v>
      </c>
      <c r="R17" s="109">
        <v>82266.44</v>
      </c>
      <c r="S17" s="109">
        <v>6416500.4000000004</v>
      </c>
      <c r="T17" s="109">
        <v>1645715.3975000002</v>
      </c>
      <c r="U17" s="109">
        <v>0</v>
      </c>
      <c r="V17" s="110">
        <v>0.96763740402447074</v>
      </c>
      <c r="W17" s="111">
        <v>0</v>
      </c>
      <c r="X17" s="111">
        <v>32.64</v>
      </c>
      <c r="Y17" s="110">
        <v>3.2362595975529242E-2</v>
      </c>
      <c r="Z17" s="111">
        <v>53259.622500000012</v>
      </c>
      <c r="AA17" s="111">
        <v>53292.262500000012</v>
      </c>
      <c r="AB17" s="111">
        <v>53292.262500000012</v>
      </c>
      <c r="AC17" s="112">
        <v>54891.030375000017</v>
      </c>
      <c r="AD17" s="113">
        <v>54891.030375000017</v>
      </c>
    </row>
    <row r="18" spans="1:30" ht="25.5" x14ac:dyDescent="0.25">
      <c r="A18" s="107" t="s">
        <v>61</v>
      </c>
      <c r="B18" s="108" t="s">
        <v>62</v>
      </c>
      <c r="C18" s="903">
        <v>0</v>
      </c>
      <c r="D18" s="109">
        <v>16551853.970000001</v>
      </c>
      <c r="E18" s="109">
        <v>38321278.310000002</v>
      </c>
      <c r="F18" s="109">
        <v>7029891445.6000004</v>
      </c>
      <c r="G18" s="109">
        <v>1560940060</v>
      </c>
      <c r="H18" s="109">
        <v>6785549591</v>
      </c>
      <c r="I18" s="109">
        <v>3853675593.7275</v>
      </c>
      <c r="J18" s="109">
        <v>4873723372.1700001</v>
      </c>
      <c r="K18" s="109">
        <v>7946614871.3100004</v>
      </c>
      <c r="L18" s="109">
        <v>8621881178.9099998</v>
      </c>
      <c r="M18" s="109">
        <v>8778697166.0699997</v>
      </c>
      <c r="N18" s="109">
        <v>2179864734.6999998</v>
      </c>
      <c r="O18" s="109">
        <v>-85549591</v>
      </c>
      <c r="P18" s="109">
        <v>8660202457.2199993</v>
      </c>
      <c r="Q18" s="109">
        <v>15808588611.67</v>
      </c>
      <c r="R18" s="109">
        <v>3740804794.6999998</v>
      </c>
      <c r="S18" s="109">
        <v>6700000000</v>
      </c>
      <c r="T18" s="109">
        <v>8727398965.8974991</v>
      </c>
      <c r="U18" s="109">
        <v>7051715201</v>
      </c>
      <c r="V18" s="110">
        <v>0.44156060800999486</v>
      </c>
      <c r="W18" s="111">
        <v>3113759651.666883</v>
      </c>
      <c r="X18" s="115">
        <v>-3097207797.6968832</v>
      </c>
      <c r="Y18" s="110">
        <v>0.55843939199000525</v>
      </c>
      <c r="Z18" s="111">
        <v>4873723372.1700001</v>
      </c>
      <c r="AA18" s="111">
        <v>4890275226.1400003</v>
      </c>
      <c r="AB18" s="111"/>
      <c r="AC18" s="112">
        <v>5036983482.9242001</v>
      </c>
      <c r="AD18" s="113"/>
    </row>
    <row r="19" spans="1:30" ht="25.5" x14ac:dyDescent="0.25">
      <c r="A19" s="107" t="s">
        <v>63</v>
      </c>
      <c r="B19" s="108" t="s">
        <v>64</v>
      </c>
      <c r="C19" s="901">
        <v>1454512150.53</v>
      </c>
      <c r="D19" s="109">
        <v>1506571158.05</v>
      </c>
      <c r="E19" s="109">
        <v>73030541.870000005</v>
      </c>
      <c r="F19" s="109">
        <v>1577857420.24</v>
      </c>
      <c r="G19" s="109">
        <v>1265839438</v>
      </c>
      <c r="H19" s="109">
        <v>372763406</v>
      </c>
      <c r="I19" s="109">
        <v>822372701.52750003</v>
      </c>
      <c r="J19" s="109"/>
      <c r="K19" s="109">
        <v>0</v>
      </c>
      <c r="L19" s="109">
        <v>1059742150.9999999</v>
      </c>
      <c r="M19" s="109">
        <v>0</v>
      </c>
      <c r="N19" s="109">
        <v>35181428</v>
      </c>
      <c r="O19" s="109">
        <v>0</v>
      </c>
      <c r="P19" s="109">
        <v>1132772692.8699999</v>
      </c>
      <c r="Q19" s="109">
        <v>1577857420.24</v>
      </c>
      <c r="R19" s="109">
        <v>1301020866</v>
      </c>
      <c r="S19" s="109">
        <v>372763406</v>
      </c>
      <c r="T19" s="109">
        <v>1096103596.2774999</v>
      </c>
      <c r="U19" s="109">
        <v>1506571158.05</v>
      </c>
      <c r="V19" s="110">
        <v>0.75026913908537196</v>
      </c>
      <c r="W19" s="111">
        <v>1130333845.7210252</v>
      </c>
      <c r="X19" s="111">
        <v>376237312.32897472</v>
      </c>
      <c r="Y19" s="110">
        <v>0</v>
      </c>
      <c r="Z19" s="111">
        <v>0</v>
      </c>
      <c r="AA19" s="111">
        <v>1506571158.05</v>
      </c>
      <c r="AB19" s="111">
        <v>0</v>
      </c>
      <c r="AC19" s="112">
        <v>1551768292.7915001</v>
      </c>
      <c r="AD19" s="113">
        <v>45197134.741500139</v>
      </c>
    </row>
    <row r="20" spans="1:30" x14ac:dyDescent="0.25">
      <c r="A20" s="107" t="s">
        <v>65</v>
      </c>
      <c r="B20" s="108" t="s">
        <v>66</v>
      </c>
      <c r="C20" s="901">
        <v>69220608.090000004</v>
      </c>
      <c r="D20" s="109">
        <v>140036043.90000001</v>
      </c>
      <c r="E20" s="109">
        <v>69290926.489999995</v>
      </c>
      <c r="F20" s="109">
        <v>77176309.129999995</v>
      </c>
      <c r="G20" s="109">
        <v>351748062.02999997</v>
      </c>
      <c r="H20" s="109">
        <v>0</v>
      </c>
      <c r="I20" s="109">
        <v>124553824.41249999</v>
      </c>
      <c r="J20" s="109">
        <v>183579083.30000001</v>
      </c>
      <c r="K20" s="109">
        <v>214954251.38</v>
      </c>
      <c r="L20" s="109">
        <v>183659232.42000002</v>
      </c>
      <c r="M20" s="109">
        <v>159834132.98000002</v>
      </c>
      <c r="N20" s="109">
        <v>100422967.80000001</v>
      </c>
      <c r="O20" s="109">
        <v>290400000</v>
      </c>
      <c r="P20" s="109">
        <v>252950158.91</v>
      </c>
      <c r="Q20" s="109">
        <v>237010442.11000001</v>
      </c>
      <c r="R20" s="109">
        <v>452171029.82999998</v>
      </c>
      <c r="S20" s="109">
        <v>290400000</v>
      </c>
      <c r="T20" s="109">
        <v>308132907.71249998</v>
      </c>
      <c r="U20" s="109">
        <v>251730003</v>
      </c>
      <c r="V20" s="110">
        <v>0.40422110490293223</v>
      </c>
      <c r="W20" s="111">
        <v>101754579.94987844</v>
      </c>
      <c r="X20" s="111">
        <v>38281463.950121567</v>
      </c>
      <c r="Y20" s="110">
        <v>0.59577889509706783</v>
      </c>
      <c r="Z20" s="111">
        <v>183579083.30000001</v>
      </c>
      <c r="AA20" s="111">
        <v>323615127.20000005</v>
      </c>
      <c r="AB20" s="111">
        <v>71885124.200000048</v>
      </c>
      <c r="AC20" s="112">
        <v>333323581.01600003</v>
      </c>
      <c r="AD20" s="113">
        <v>81593578.016000032</v>
      </c>
    </row>
    <row r="21" spans="1:30" x14ac:dyDescent="0.25">
      <c r="A21" s="107" t="s">
        <v>67</v>
      </c>
      <c r="B21" s="108" t="s">
        <v>68</v>
      </c>
      <c r="C21" s="901">
        <v>0</v>
      </c>
      <c r="D21" s="109">
        <v>0</v>
      </c>
      <c r="E21" s="109">
        <v>0</v>
      </c>
      <c r="F21" s="109">
        <v>9557695</v>
      </c>
      <c r="G21" s="109">
        <v>164966570</v>
      </c>
      <c r="H21" s="109">
        <v>0</v>
      </c>
      <c r="I21" s="109">
        <v>43631066.25</v>
      </c>
      <c r="J21" s="109"/>
      <c r="K21" s="109">
        <v>0</v>
      </c>
      <c r="L21" s="109">
        <v>662000</v>
      </c>
      <c r="M21" s="109">
        <v>0</v>
      </c>
      <c r="N21" s="109">
        <v>0</v>
      </c>
      <c r="O21" s="109">
        <v>0</v>
      </c>
      <c r="P21" s="109">
        <v>662000</v>
      </c>
      <c r="Q21" s="109">
        <v>9557695</v>
      </c>
      <c r="R21" s="109">
        <v>164966570</v>
      </c>
      <c r="S21" s="109">
        <v>0</v>
      </c>
      <c r="T21" s="109">
        <v>43796566.25</v>
      </c>
      <c r="U21" s="109">
        <v>0</v>
      </c>
      <c r="V21" s="110">
        <v>0.99622116494121271</v>
      </c>
      <c r="W21" s="111">
        <v>0</v>
      </c>
      <c r="X21" s="111">
        <v>0</v>
      </c>
      <c r="Y21" s="110">
        <v>0</v>
      </c>
      <c r="Z21" s="111">
        <v>0</v>
      </c>
      <c r="AA21" s="111">
        <v>0</v>
      </c>
      <c r="AB21" s="111">
        <v>0</v>
      </c>
      <c r="AC21" s="112">
        <v>0</v>
      </c>
      <c r="AD21" s="113">
        <v>0</v>
      </c>
    </row>
    <row r="22" spans="1:30" ht="38.25" x14ac:dyDescent="0.25">
      <c r="A22" s="107" t="s">
        <v>69</v>
      </c>
      <c r="B22" s="108" t="s">
        <v>70</v>
      </c>
      <c r="C22" s="901">
        <v>0</v>
      </c>
      <c r="D22" s="109">
        <v>1418796596</v>
      </c>
      <c r="E22" s="109">
        <v>1223780635</v>
      </c>
      <c r="F22" s="109">
        <v>0</v>
      </c>
      <c r="G22" s="109">
        <v>0</v>
      </c>
      <c r="H22" s="109">
        <v>0</v>
      </c>
      <c r="I22" s="109">
        <v>305945158.75</v>
      </c>
      <c r="J22" s="109"/>
      <c r="K22" s="109">
        <v>0</v>
      </c>
      <c r="L22" s="109">
        <v>0</v>
      </c>
      <c r="M22" s="109">
        <v>0</v>
      </c>
      <c r="N22" s="109">
        <v>1223780635</v>
      </c>
      <c r="O22" s="109">
        <v>0</v>
      </c>
      <c r="P22" s="109">
        <v>1223780635</v>
      </c>
      <c r="Q22" s="109">
        <v>0</v>
      </c>
      <c r="R22" s="109">
        <v>1223780635</v>
      </c>
      <c r="S22" s="109">
        <v>0</v>
      </c>
      <c r="T22" s="109">
        <v>611890317.5</v>
      </c>
      <c r="U22" s="109">
        <v>1418796596</v>
      </c>
      <c r="V22" s="110">
        <v>0.5</v>
      </c>
      <c r="W22" s="111">
        <v>709398298</v>
      </c>
      <c r="X22" s="111">
        <v>709398298</v>
      </c>
      <c r="Y22" s="110">
        <v>0</v>
      </c>
      <c r="Z22" s="111">
        <v>0</v>
      </c>
      <c r="AA22" s="111">
        <v>1418796596</v>
      </c>
      <c r="AB22" s="111">
        <v>0</v>
      </c>
      <c r="AC22" s="112">
        <v>1461360493.8800001</v>
      </c>
      <c r="AD22" s="113">
        <v>42563897.880000114</v>
      </c>
    </row>
    <row r="23" spans="1:30" ht="25.5" x14ac:dyDescent="0.25">
      <c r="A23" s="107" t="s">
        <v>71</v>
      </c>
      <c r="B23" s="108" t="s">
        <v>72</v>
      </c>
      <c r="C23" s="901">
        <v>52.01</v>
      </c>
      <c r="D23" s="109">
        <v>6459.06</v>
      </c>
      <c r="E23" s="109">
        <v>36537046.700000003</v>
      </c>
      <c r="F23" s="109">
        <v>140908257.27000001</v>
      </c>
      <c r="G23" s="109">
        <v>170964615.93000001</v>
      </c>
      <c r="H23" s="109">
        <v>0</v>
      </c>
      <c r="I23" s="109">
        <v>87102479.975000009</v>
      </c>
      <c r="J23" s="109">
        <v>5754522.9449999947</v>
      </c>
      <c r="K23" s="109">
        <v>5767.54</v>
      </c>
      <c r="L23" s="109">
        <v>20897583.449999996</v>
      </c>
      <c r="M23" s="109">
        <v>942570.88999998569</v>
      </c>
      <c r="N23" s="109">
        <v>1177937.4399999976</v>
      </c>
      <c r="O23" s="109">
        <v>0</v>
      </c>
      <c r="P23" s="109">
        <v>57434630.149999999</v>
      </c>
      <c r="Q23" s="109">
        <v>141850828.16</v>
      </c>
      <c r="R23" s="109">
        <v>172142553.37</v>
      </c>
      <c r="S23" s="109">
        <v>0</v>
      </c>
      <c r="T23" s="109">
        <v>92857002.920000002</v>
      </c>
      <c r="U23" s="109">
        <v>0</v>
      </c>
      <c r="V23" s="110">
        <v>0.93802812104588662</v>
      </c>
      <c r="W23" s="111">
        <v>0</v>
      </c>
      <c r="X23" s="111">
        <v>6459.06</v>
      </c>
      <c r="Y23" s="110">
        <v>6.19718789541134E-2</v>
      </c>
      <c r="Z23" s="111">
        <v>5754522.9449999947</v>
      </c>
      <c r="AA23" s="111">
        <v>5760982.0049999943</v>
      </c>
      <c r="AB23" s="111">
        <v>5760982.0049999943</v>
      </c>
      <c r="AC23" s="112">
        <v>5933811.465149994</v>
      </c>
      <c r="AD23" s="113">
        <v>5933811.465149994</v>
      </c>
    </row>
    <row r="24" spans="1:30" ht="25.5" x14ac:dyDescent="0.25">
      <c r="A24" s="107" t="s">
        <v>73</v>
      </c>
      <c r="B24" s="108" t="s">
        <v>74</v>
      </c>
      <c r="C24" s="901">
        <v>17487857895.240002</v>
      </c>
      <c r="D24" s="109">
        <v>12711716776.66</v>
      </c>
      <c r="E24" s="109">
        <v>3013836409.3000002</v>
      </c>
      <c r="F24" s="109">
        <v>5901570131.79</v>
      </c>
      <c r="G24" s="109">
        <v>0</v>
      </c>
      <c r="H24" s="109">
        <v>0</v>
      </c>
      <c r="I24" s="109">
        <v>2228851635.2725</v>
      </c>
      <c r="J24" s="109">
        <v>13526996313.254999</v>
      </c>
      <c r="K24" s="109">
        <v>26290818555.57</v>
      </c>
      <c r="L24" s="109">
        <v>20765736515.709999</v>
      </c>
      <c r="M24" s="109">
        <v>16388377208.27</v>
      </c>
      <c r="N24" s="109">
        <v>16953871529.040001</v>
      </c>
      <c r="O24" s="109">
        <v>0</v>
      </c>
      <c r="P24" s="109">
        <v>23779572925.009998</v>
      </c>
      <c r="Q24" s="109">
        <v>22289947340.060001</v>
      </c>
      <c r="R24" s="109">
        <v>16953871529.040001</v>
      </c>
      <c r="S24" s="109">
        <v>0</v>
      </c>
      <c r="T24" s="109">
        <v>15755847948.5275</v>
      </c>
      <c r="U24" s="109">
        <v>31351259122</v>
      </c>
      <c r="V24" s="110">
        <v>0.14146186498840913</v>
      </c>
      <c r="W24" s="111">
        <v>4435007585.1329937</v>
      </c>
      <c r="X24" s="111">
        <v>8276709191.5270061</v>
      </c>
      <c r="Y24" s="110">
        <v>0.85853813501159082</v>
      </c>
      <c r="Z24" s="111">
        <v>13526996313.254999</v>
      </c>
      <c r="AA24" s="111">
        <v>26238713089.915001</v>
      </c>
      <c r="AB24" s="111"/>
      <c r="AC24" s="112">
        <v>27025874482.612453</v>
      </c>
      <c r="AD24" s="113">
        <v>-4325384639.3875465</v>
      </c>
    </row>
    <row r="25" spans="1:30" ht="25.5" x14ac:dyDescent="0.25">
      <c r="A25" s="107" t="s">
        <v>75</v>
      </c>
      <c r="B25" s="108" t="s">
        <v>76</v>
      </c>
      <c r="C25" s="901">
        <v>304690654</v>
      </c>
      <c r="D25" s="109">
        <v>60788321</v>
      </c>
      <c r="E25" s="109">
        <v>58918993</v>
      </c>
      <c r="F25" s="109">
        <v>0</v>
      </c>
      <c r="G25" s="109">
        <v>0</v>
      </c>
      <c r="H25" s="109">
        <v>0</v>
      </c>
      <c r="I25" s="109">
        <v>14729748.25</v>
      </c>
      <c r="J25" s="109">
        <v>89759765.5</v>
      </c>
      <c r="K25" s="109">
        <v>0</v>
      </c>
      <c r="L25" s="109">
        <v>0</v>
      </c>
      <c r="M25" s="109">
        <v>51097303</v>
      </c>
      <c r="N25" s="109">
        <v>307941759</v>
      </c>
      <c r="O25" s="109">
        <v>0</v>
      </c>
      <c r="P25" s="109">
        <v>58918993</v>
      </c>
      <c r="Q25" s="109">
        <v>51097303</v>
      </c>
      <c r="R25" s="109">
        <v>307941759</v>
      </c>
      <c r="S25" s="109">
        <v>0</v>
      </c>
      <c r="T25" s="109">
        <v>104489513.75</v>
      </c>
      <c r="U25" s="109">
        <v>115688008</v>
      </c>
      <c r="V25" s="110">
        <v>0.14096867447619835</v>
      </c>
      <c r="W25" s="111">
        <v>16308385.14055183</v>
      </c>
      <c r="X25" s="111">
        <v>44479935.859448172</v>
      </c>
      <c r="Y25" s="110">
        <v>0.85903132552380168</v>
      </c>
      <c r="Z25" s="111">
        <v>89759765.5</v>
      </c>
      <c r="AA25" s="111">
        <v>150548086.5</v>
      </c>
      <c r="AB25" s="111">
        <v>34860078.5</v>
      </c>
      <c r="AC25" s="112">
        <v>155064529.095</v>
      </c>
      <c r="AD25" s="113">
        <v>39376521.094999999</v>
      </c>
    </row>
    <row r="26" spans="1:30" ht="25.5" x14ac:dyDescent="0.25">
      <c r="A26" s="107" t="s">
        <v>77</v>
      </c>
      <c r="B26" s="108" t="s">
        <v>78</v>
      </c>
      <c r="C26" s="901">
        <v>124913102.38</v>
      </c>
      <c r="D26" s="109">
        <v>81344585.480000004</v>
      </c>
      <c r="E26" s="109">
        <v>0</v>
      </c>
      <c r="F26" s="109">
        <v>0</v>
      </c>
      <c r="G26" s="109">
        <v>0</v>
      </c>
      <c r="H26" s="109">
        <v>0</v>
      </c>
      <c r="I26" s="109">
        <v>0</v>
      </c>
      <c r="J26" s="109"/>
      <c r="K26" s="109">
        <v>0</v>
      </c>
      <c r="L26" s="109">
        <v>0</v>
      </c>
      <c r="M26" s="109">
        <v>1565383782</v>
      </c>
      <c r="N26" s="109">
        <v>0</v>
      </c>
      <c r="O26" s="109">
        <v>0</v>
      </c>
      <c r="P26" s="109">
        <v>0</v>
      </c>
      <c r="Q26" s="109">
        <v>1565383782</v>
      </c>
      <c r="R26" s="109">
        <v>0</v>
      </c>
      <c r="S26" s="109">
        <v>0</v>
      </c>
      <c r="T26" s="109">
        <v>391345945.5</v>
      </c>
      <c r="U26" s="109">
        <v>81344585.480000004</v>
      </c>
      <c r="V26" s="110">
        <v>0</v>
      </c>
      <c r="W26" s="111">
        <v>0</v>
      </c>
      <c r="X26" s="111">
        <v>81344585.480000004</v>
      </c>
      <c r="Y26" s="110">
        <v>0</v>
      </c>
      <c r="Z26" s="111">
        <v>0</v>
      </c>
      <c r="AA26" s="111">
        <v>81344585.480000004</v>
      </c>
      <c r="AB26" s="111">
        <v>0</v>
      </c>
      <c r="AC26" s="112">
        <v>83784923.044400007</v>
      </c>
      <c r="AD26" s="113">
        <v>2440337.5644000024</v>
      </c>
    </row>
    <row r="27" spans="1:30" ht="25.5" x14ac:dyDescent="0.25">
      <c r="A27" s="107" t="s">
        <v>79</v>
      </c>
      <c r="B27" s="108" t="s">
        <v>80</v>
      </c>
      <c r="C27" s="901">
        <v>0</v>
      </c>
      <c r="D27" s="109">
        <v>0</v>
      </c>
      <c r="E27" s="109">
        <v>38438985.109999999</v>
      </c>
      <c r="F27" s="109">
        <v>32171030</v>
      </c>
      <c r="G27" s="109">
        <v>0</v>
      </c>
      <c r="H27" s="109">
        <v>0</v>
      </c>
      <c r="I27" s="109">
        <v>17652503.7775</v>
      </c>
      <c r="J27" s="109"/>
      <c r="K27" s="109">
        <v>68338279.909999996</v>
      </c>
      <c r="L27" s="109">
        <v>0</v>
      </c>
      <c r="M27" s="109">
        <v>0</v>
      </c>
      <c r="N27" s="109">
        <v>0</v>
      </c>
      <c r="O27" s="109">
        <v>0</v>
      </c>
      <c r="P27" s="109">
        <v>38438985.109999999</v>
      </c>
      <c r="Q27" s="109">
        <v>32171030</v>
      </c>
      <c r="R27" s="109">
        <v>0</v>
      </c>
      <c r="S27" s="109">
        <v>0</v>
      </c>
      <c r="T27" s="109">
        <v>17652503.7775</v>
      </c>
      <c r="U27" s="109">
        <v>68338279.909999996</v>
      </c>
      <c r="V27" s="110">
        <v>1</v>
      </c>
      <c r="W27" s="111">
        <v>68338279.909999996</v>
      </c>
      <c r="X27" s="111">
        <v>-68338279.909999996</v>
      </c>
      <c r="Y27" s="110">
        <v>0</v>
      </c>
      <c r="Z27" s="111">
        <v>0</v>
      </c>
      <c r="AA27" s="111">
        <v>68338279.909999996</v>
      </c>
      <c r="AB27" s="111">
        <v>0</v>
      </c>
      <c r="AC27" s="112">
        <v>70388428.307300001</v>
      </c>
      <c r="AD27" s="113">
        <v>2050148.397300005</v>
      </c>
    </row>
    <row r="28" spans="1:30" ht="25.5" x14ac:dyDescent="0.25">
      <c r="A28" s="107" t="s">
        <v>81</v>
      </c>
      <c r="B28" s="108" t="s">
        <v>82</v>
      </c>
      <c r="C28" s="901">
        <v>18962.84</v>
      </c>
      <c r="D28" s="109">
        <v>1294.04</v>
      </c>
      <c r="E28" s="109">
        <v>12781.27</v>
      </c>
      <c r="F28" s="109">
        <v>0</v>
      </c>
      <c r="G28" s="109">
        <v>0</v>
      </c>
      <c r="H28" s="109">
        <v>0</v>
      </c>
      <c r="I28" s="109">
        <v>3195.3175000000001</v>
      </c>
      <c r="J28" s="109"/>
      <c r="K28" s="109">
        <v>4777.8599999999997</v>
      </c>
      <c r="L28" s="109">
        <v>2033054899.3499999</v>
      </c>
      <c r="M28" s="109">
        <v>4427082.18</v>
      </c>
      <c r="N28" s="109">
        <v>0</v>
      </c>
      <c r="O28" s="109">
        <v>0</v>
      </c>
      <c r="P28" s="109">
        <v>2033067680.6199999</v>
      </c>
      <c r="Q28" s="109">
        <v>4427082.18</v>
      </c>
      <c r="R28" s="109">
        <v>0</v>
      </c>
      <c r="S28" s="109">
        <v>0</v>
      </c>
      <c r="T28" s="109">
        <v>509373690.69999999</v>
      </c>
      <c r="U28" s="109">
        <v>0</v>
      </c>
      <c r="V28" s="110">
        <v>6.2730320751526797E-6</v>
      </c>
      <c r="W28" s="111">
        <v>0</v>
      </c>
      <c r="X28" s="111">
        <v>1294.04</v>
      </c>
      <c r="Y28" s="110">
        <v>0</v>
      </c>
      <c r="Z28" s="111">
        <v>0</v>
      </c>
      <c r="AA28" s="111">
        <v>0</v>
      </c>
      <c r="AB28" s="111">
        <v>0</v>
      </c>
      <c r="AC28" s="112">
        <v>0</v>
      </c>
      <c r="AD28" s="113">
        <v>0</v>
      </c>
    </row>
    <row r="29" spans="1:30" ht="38.25" x14ac:dyDescent="0.25">
      <c r="A29" s="107" t="s">
        <v>83</v>
      </c>
      <c r="B29" s="108" t="s">
        <v>84</v>
      </c>
      <c r="C29" s="903">
        <v>0</v>
      </c>
      <c r="D29" s="109">
        <v>0</v>
      </c>
      <c r="E29" s="109">
        <v>490578.75</v>
      </c>
      <c r="F29" s="109">
        <v>0</v>
      </c>
      <c r="G29" s="109">
        <v>0</v>
      </c>
      <c r="H29" s="109">
        <v>0</v>
      </c>
      <c r="I29" s="109">
        <v>122644.6875</v>
      </c>
      <c r="J29" s="109">
        <v>233913643.8425</v>
      </c>
      <c r="K29" s="114">
        <v>0</v>
      </c>
      <c r="L29" s="109">
        <v>468108575.37</v>
      </c>
      <c r="M29" s="109">
        <v>467546000</v>
      </c>
      <c r="N29" s="109">
        <v>0</v>
      </c>
      <c r="O29" s="109">
        <v>0</v>
      </c>
      <c r="P29" s="109">
        <v>468599154.12</v>
      </c>
      <c r="Q29" s="109">
        <v>467546000</v>
      </c>
      <c r="R29" s="109">
        <v>0</v>
      </c>
      <c r="S29" s="109">
        <v>0</v>
      </c>
      <c r="T29" s="109">
        <v>234036288.53</v>
      </c>
      <c r="U29" s="109">
        <v>0</v>
      </c>
      <c r="V29" s="110">
        <v>5.2404132825016473E-4</v>
      </c>
      <c r="W29" s="111">
        <v>0</v>
      </c>
      <c r="X29" s="111">
        <v>0</v>
      </c>
      <c r="Y29" s="110">
        <v>0.99947595867174988</v>
      </c>
      <c r="Z29" s="111">
        <v>233913643.8425</v>
      </c>
      <c r="AA29" s="111">
        <v>233913643.8425</v>
      </c>
      <c r="AB29" s="111">
        <v>233913643.8425</v>
      </c>
      <c r="AC29" s="112">
        <v>240931053.15777501</v>
      </c>
      <c r="AD29" s="113">
        <v>240931053.15777501</v>
      </c>
    </row>
    <row r="30" spans="1:30" x14ac:dyDescent="0.25">
      <c r="A30" s="107" t="s">
        <v>85</v>
      </c>
      <c r="B30" s="108" t="s">
        <v>86</v>
      </c>
      <c r="C30" s="901">
        <v>728043001.33000004</v>
      </c>
      <c r="D30" s="109">
        <v>716667318.09000003</v>
      </c>
      <c r="E30" s="109">
        <v>0</v>
      </c>
      <c r="F30" s="109">
        <v>0</v>
      </c>
      <c r="G30" s="109">
        <v>0</v>
      </c>
      <c r="H30" s="109">
        <v>0</v>
      </c>
      <c r="I30" s="109">
        <v>0</v>
      </c>
      <c r="J30" s="109">
        <v>374846582.80250001</v>
      </c>
      <c r="K30" s="109">
        <v>1008410685.97</v>
      </c>
      <c r="L30" s="109">
        <v>1499386331.21</v>
      </c>
      <c r="M30" s="109">
        <v>0</v>
      </c>
      <c r="N30" s="109">
        <v>0</v>
      </c>
      <c r="O30" s="109">
        <v>0</v>
      </c>
      <c r="P30" s="109">
        <v>1499386331.21</v>
      </c>
      <c r="Q30" s="109">
        <v>0</v>
      </c>
      <c r="R30" s="109">
        <v>0</v>
      </c>
      <c r="S30" s="109">
        <v>0</v>
      </c>
      <c r="T30" s="109">
        <v>374846582.80250001</v>
      </c>
      <c r="U30" s="109">
        <v>2224028029</v>
      </c>
      <c r="V30" s="110">
        <v>0</v>
      </c>
      <c r="W30" s="111">
        <v>0</v>
      </c>
      <c r="X30" s="115">
        <v>716667318.09000003</v>
      </c>
      <c r="Y30" s="110">
        <v>1</v>
      </c>
      <c r="Z30" s="111">
        <v>374846582.80250001</v>
      </c>
      <c r="AA30" s="111">
        <v>1091513900.8924999</v>
      </c>
      <c r="AB30" s="111"/>
      <c r="AC30" s="112">
        <v>1124259317.919275</v>
      </c>
      <c r="AD30" s="113"/>
    </row>
    <row r="31" spans="1:30" ht="25.5" x14ac:dyDescent="0.25">
      <c r="A31" s="107" t="s">
        <v>87</v>
      </c>
      <c r="B31" s="108" t="s">
        <v>88</v>
      </c>
      <c r="C31" s="903">
        <v>0</v>
      </c>
      <c r="D31" s="109">
        <v>0</v>
      </c>
      <c r="E31" s="109">
        <v>0</v>
      </c>
      <c r="F31" s="109">
        <v>0</v>
      </c>
      <c r="G31" s="109">
        <v>0</v>
      </c>
      <c r="H31" s="109">
        <v>0</v>
      </c>
      <c r="I31" s="109">
        <v>0</v>
      </c>
      <c r="J31" s="109">
        <v>394306359.39249998</v>
      </c>
      <c r="K31" s="109">
        <v>562401771.39999998</v>
      </c>
      <c r="L31" s="109">
        <v>1577225437.5699999</v>
      </c>
      <c r="M31" s="109">
        <v>0</v>
      </c>
      <c r="N31" s="109">
        <v>0</v>
      </c>
      <c r="O31" s="109">
        <v>0</v>
      </c>
      <c r="P31" s="109">
        <v>1577225437.5699999</v>
      </c>
      <c r="Q31" s="109">
        <v>0</v>
      </c>
      <c r="R31" s="109">
        <v>0</v>
      </c>
      <c r="S31" s="109">
        <v>0</v>
      </c>
      <c r="T31" s="109">
        <v>394306359.39249998</v>
      </c>
      <c r="U31" s="109">
        <v>0</v>
      </c>
      <c r="V31" s="110">
        <v>0</v>
      </c>
      <c r="W31" s="111">
        <v>0</v>
      </c>
      <c r="X31" s="111">
        <v>0</v>
      </c>
      <c r="Y31" s="110">
        <v>1</v>
      </c>
      <c r="Z31" s="111">
        <v>394306359.39249998</v>
      </c>
      <c r="AA31" s="111">
        <v>394306359.39249998</v>
      </c>
      <c r="AB31" s="111">
        <v>394306359.39249998</v>
      </c>
      <c r="AC31" s="112">
        <v>406135550.17427498</v>
      </c>
      <c r="AD31" s="113">
        <v>406135550.17427498</v>
      </c>
    </row>
    <row r="32" spans="1:30" x14ac:dyDescent="0.25">
      <c r="A32" s="107" t="s">
        <v>89</v>
      </c>
      <c r="B32" s="108" t="s">
        <v>90</v>
      </c>
      <c r="C32" s="901">
        <v>179247.63</v>
      </c>
      <c r="D32" s="109">
        <v>1167558.6499999999</v>
      </c>
      <c r="E32" s="109">
        <v>0</v>
      </c>
      <c r="F32" s="109">
        <v>0</v>
      </c>
      <c r="G32" s="109">
        <v>0</v>
      </c>
      <c r="H32" s="109">
        <v>0</v>
      </c>
      <c r="I32" s="109">
        <v>0</v>
      </c>
      <c r="J32" s="109">
        <v>448003221.99000001</v>
      </c>
      <c r="K32" s="109">
        <v>1523625208.6400001</v>
      </c>
      <c r="L32" s="109">
        <v>1792012887.96</v>
      </c>
      <c r="M32" s="109">
        <v>0</v>
      </c>
      <c r="N32" s="109">
        <v>0</v>
      </c>
      <c r="O32" s="109">
        <v>0</v>
      </c>
      <c r="P32" s="109">
        <v>1792012887.96</v>
      </c>
      <c r="Q32" s="109">
        <v>0</v>
      </c>
      <c r="R32" s="109">
        <v>0</v>
      </c>
      <c r="S32" s="109">
        <v>0</v>
      </c>
      <c r="T32" s="109">
        <v>448003221.99000001</v>
      </c>
      <c r="U32" s="109">
        <v>0</v>
      </c>
      <c r="V32" s="110">
        <v>0</v>
      </c>
      <c r="W32" s="111">
        <v>0</v>
      </c>
      <c r="X32" s="111">
        <v>1167558.6499999999</v>
      </c>
      <c r="Y32" s="110">
        <v>1</v>
      </c>
      <c r="Z32" s="111">
        <v>448003221.99000001</v>
      </c>
      <c r="AA32" s="111">
        <v>449170780.63999999</v>
      </c>
      <c r="AB32" s="111">
        <v>449170780.63999999</v>
      </c>
      <c r="AC32" s="112">
        <v>462645904.05919999</v>
      </c>
      <c r="AD32" s="113">
        <v>462645904.05919999</v>
      </c>
    </row>
    <row r="33" spans="1:30" ht="25.5" x14ac:dyDescent="0.25">
      <c r="A33" s="107" t="s">
        <v>91</v>
      </c>
      <c r="B33" s="108" t="s">
        <v>92</v>
      </c>
      <c r="C33" s="901">
        <v>832352520.22000003</v>
      </c>
      <c r="D33" s="109">
        <v>638569236.74000001</v>
      </c>
      <c r="E33" s="109">
        <v>0</v>
      </c>
      <c r="F33" s="109">
        <v>0</v>
      </c>
      <c r="G33" s="109">
        <v>0</v>
      </c>
      <c r="H33" s="109">
        <v>0</v>
      </c>
      <c r="I33" s="109">
        <v>0</v>
      </c>
      <c r="J33" s="109">
        <v>0</v>
      </c>
      <c r="K33" s="109">
        <v>1121432589.8599999</v>
      </c>
      <c r="L33" s="109">
        <v>0</v>
      </c>
      <c r="M33" s="109">
        <v>0</v>
      </c>
      <c r="N33" s="109">
        <v>0</v>
      </c>
      <c r="O33" s="109">
        <v>0</v>
      </c>
      <c r="P33" s="109">
        <v>0</v>
      </c>
      <c r="Q33" s="109">
        <v>0</v>
      </c>
      <c r="R33" s="109">
        <v>0</v>
      </c>
      <c r="S33" s="109">
        <v>0</v>
      </c>
      <c r="T33" s="109">
        <v>0</v>
      </c>
      <c r="U33" s="109">
        <v>1375178644.8</v>
      </c>
      <c r="V33" s="110"/>
      <c r="W33" s="111"/>
      <c r="X33" s="111"/>
      <c r="Y33" s="110"/>
      <c r="Z33" s="111">
        <v>0</v>
      </c>
      <c r="AA33" s="111">
        <v>638569236.74000001</v>
      </c>
      <c r="AB33" s="111"/>
      <c r="AC33" s="112">
        <v>657726313.84220004</v>
      </c>
      <c r="AD33" s="113"/>
    </row>
    <row r="34" spans="1:30" ht="25.5" x14ac:dyDescent="0.25">
      <c r="A34" s="107" t="s">
        <v>93</v>
      </c>
      <c r="B34" s="108" t="s">
        <v>94</v>
      </c>
      <c r="C34" s="901">
        <v>1248528780.3299999</v>
      </c>
      <c r="D34" s="109">
        <v>478926927.55000001</v>
      </c>
      <c r="E34" s="109">
        <v>0</v>
      </c>
      <c r="F34" s="109">
        <v>0</v>
      </c>
      <c r="G34" s="109">
        <v>0</v>
      </c>
      <c r="H34" s="109">
        <v>0</v>
      </c>
      <c r="I34" s="109">
        <v>0</v>
      </c>
      <c r="J34" s="109">
        <v>0</v>
      </c>
      <c r="K34" s="109">
        <v>1069426198.49</v>
      </c>
      <c r="L34" s="109">
        <v>0</v>
      </c>
      <c r="M34" s="109">
        <v>0</v>
      </c>
      <c r="N34" s="109">
        <v>0</v>
      </c>
      <c r="O34" s="109">
        <v>0</v>
      </c>
      <c r="P34" s="109">
        <v>0</v>
      </c>
      <c r="Q34" s="109">
        <v>0</v>
      </c>
      <c r="R34" s="109">
        <v>0</v>
      </c>
      <c r="S34" s="109">
        <v>0</v>
      </c>
      <c r="T34" s="109">
        <v>0</v>
      </c>
      <c r="U34" s="109">
        <v>1031383983.1</v>
      </c>
      <c r="V34" s="110"/>
      <c r="W34" s="111"/>
      <c r="X34" s="111"/>
      <c r="Y34" s="110"/>
      <c r="Z34" s="111">
        <v>0</v>
      </c>
      <c r="AA34" s="111">
        <v>478926927.55000001</v>
      </c>
      <c r="AB34" s="111"/>
      <c r="AC34" s="112">
        <v>493294735.37650001</v>
      </c>
      <c r="AD34" s="113"/>
    </row>
    <row r="35" spans="1:30" ht="25.5" x14ac:dyDescent="0.25">
      <c r="A35" s="107" t="s">
        <v>95</v>
      </c>
      <c r="B35" s="108" t="s">
        <v>96</v>
      </c>
      <c r="C35" s="901">
        <v>411481869.19999999</v>
      </c>
      <c r="D35" s="109">
        <v>324958339.13</v>
      </c>
      <c r="E35" s="109">
        <v>0</v>
      </c>
      <c r="F35" s="109">
        <v>0</v>
      </c>
      <c r="G35" s="109">
        <v>0</v>
      </c>
      <c r="H35" s="109">
        <v>0</v>
      </c>
      <c r="I35" s="109">
        <v>0</v>
      </c>
      <c r="J35" s="109">
        <v>0</v>
      </c>
      <c r="K35" s="109">
        <v>534126390.06999999</v>
      </c>
      <c r="L35" s="109">
        <v>0</v>
      </c>
      <c r="M35" s="109">
        <v>0</v>
      </c>
      <c r="N35" s="109">
        <v>0</v>
      </c>
      <c r="O35" s="109">
        <v>0</v>
      </c>
      <c r="P35" s="109">
        <v>0</v>
      </c>
      <c r="Q35" s="109">
        <v>0</v>
      </c>
      <c r="R35" s="109">
        <v>0</v>
      </c>
      <c r="S35" s="109">
        <v>0</v>
      </c>
      <c r="T35" s="109">
        <v>0</v>
      </c>
      <c r="U35" s="109">
        <v>881634893</v>
      </c>
      <c r="V35" s="110"/>
      <c r="W35" s="111"/>
      <c r="X35" s="111"/>
      <c r="Y35" s="110"/>
      <c r="Z35" s="111">
        <v>0</v>
      </c>
      <c r="AA35" s="111">
        <v>324958339.13</v>
      </c>
      <c r="AB35" s="111"/>
      <c r="AC35" s="112">
        <v>334707089.3039</v>
      </c>
      <c r="AD35" s="113"/>
    </row>
    <row r="36" spans="1:30" ht="25.5" x14ac:dyDescent="0.25">
      <c r="A36" s="107" t="s">
        <v>97</v>
      </c>
      <c r="B36" s="108" t="s">
        <v>98</v>
      </c>
      <c r="C36" s="901">
        <v>351264291.01999998</v>
      </c>
      <c r="D36" s="109">
        <v>171434523.28999999</v>
      </c>
      <c r="E36" s="109">
        <v>0</v>
      </c>
      <c r="F36" s="109">
        <v>0</v>
      </c>
      <c r="G36" s="109">
        <v>0</v>
      </c>
      <c r="H36" s="109">
        <v>0</v>
      </c>
      <c r="I36" s="109">
        <v>0</v>
      </c>
      <c r="J36" s="109">
        <v>0</v>
      </c>
      <c r="K36" s="109">
        <v>498324727.56</v>
      </c>
      <c r="L36" s="109">
        <v>0</v>
      </c>
      <c r="M36" s="109">
        <v>0</v>
      </c>
      <c r="N36" s="109">
        <v>0</v>
      </c>
      <c r="O36" s="109">
        <v>0</v>
      </c>
      <c r="P36" s="109">
        <v>0</v>
      </c>
      <c r="Q36" s="109">
        <v>0</v>
      </c>
      <c r="R36" s="109">
        <v>0</v>
      </c>
      <c r="S36" s="109">
        <v>0</v>
      </c>
      <c r="T36" s="109">
        <v>0</v>
      </c>
      <c r="U36" s="109">
        <v>611631082</v>
      </c>
      <c r="V36" s="110"/>
      <c r="W36" s="111"/>
      <c r="X36" s="111"/>
      <c r="Y36" s="110"/>
      <c r="Z36" s="111">
        <v>0</v>
      </c>
      <c r="AA36" s="111">
        <v>171434523.28999999</v>
      </c>
      <c r="AB36" s="111"/>
      <c r="AC36" s="112">
        <v>176577558.9887</v>
      </c>
      <c r="AD36" s="113"/>
    </row>
    <row r="37" spans="1:30" x14ac:dyDescent="0.25">
      <c r="A37" s="107" t="s">
        <v>99</v>
      </c>
      <c r="B37" s="108" t="s">
        <v>100</v>
      </c>
      <c r="C37" s="901">
        <v>280808423.12</v>
      </c>
      <c r="D37" s="109">
        <v>268765421.10000002</v>
      </c>
      <c r="E37" s="109">
        <v>183562401.27000001</v>
      </c>
      <c r="F37" s="109">
        <v>258054470</v>
      </c>
      <c r="G37" s="109">
        <v>221604015</v>
      </c>
      <c r="H37" s="109">
        <v>217569435</v>
      </c>
      <c r="I37" s="109">
        <v>220197580.3175</v>
      </c>
      <c r="J37" s="109">
        <v>318110956.11000001</v>
      </c>
      <c r="K37" s="109">
        <v>292899354.37</v>
      </c>
      <c r="L37" s="109">
        <v>334732352.26999998</v>
      </c>
      <c r="M37" s="109">
        <v>308598845</v>
      </c>
      <c r="N37" s="109">
        <v>293034788.17000002</v>
      </c>
      <c r="O37" s="109">
        <v>336077839</v>
      </c>
      <c r="P37" s="109">
        <v>518294753.54000002</v>
      </c>
      <c r="Q37" s="109">
        <v>566653315</v>
      </c>
      <c r="R37" s="109">
        <v>514638803.17000002</v>
      </c>
      <c r="S37" s="109">
        <v>553647274</v>
      </c>
      <c r="T37" s="109">
        <v>538308536.42750001</v>
      </c>
      <c r="U37" s="109">
        <v>561606231</v>
      </c>
      <c r="V37" s="110">
        <v>0.40905459493332119</v>
      </c>
      <c r="W37" s="111">
        <v>229727609.33373421</v>
      </c>
      <c r="X37" s="111">
        <v>39037811.76626581</v>
      </c>
      <c r="Y37" s="110">
        <v>0.59094540506667881</v>
      </c>
      <c r="Z37" s="111">
        <v>318110956.11000001</v>
      </c>
      <c r="AA37" s="111">
        <v>586876377.21000004</v>
      </c>
      <c r="AB37" s="111">
        <v>25270146.210000038</v>
      </c>
      <c r="AC37" s="112">
        <v>604482668.52630007</v>
      </c>
      <c r="AD37" s="113">
        <v>42876437.526300073</v>
      </c>
    </row>
    <row r="38" spans="1:30" ht="25.5" x14ac:dyDescent="0.25">
      <c r="A38" s="107" t="s">
        <v>101</v>
      </c>
      <c r="B38" s="108" t="s">
        <v>102</v>
      </c>
      <c r="C38" s="901">
        <v>364913929.25</v>
      </c>
      <c r="D38" s="109">
        <v>261807612</v>
      </c>
      <c r="E38" s="109">
        <v>0</v>
      </c>
      <c r="F38" s="109">
        <v>0</v>
      </c>
      <c r="G38" s="109">
        <v>0</v>
      </c>
      <c r="H38" s="109">
        <v>0</v>
      </c>
      <c r="I38" s="109">
        <v>0</v>
      </c>
      <c r="J38" s="109">
        <v>0</v>
      </c>
      <c r="K38" s="114">
        <v>42771660.5</v>
      </c>
      <c r="L38" s="109">
        <v>0</v>
      </c>
      <c r="M38" s="109">
        <v>0</v>
      </c>
      <c r="N38" s="109">
        <v>0</v>
      </c>
      <c r="O38" s="109">
        <v>0</v>
      </c>
      <c r="P38" s="109">
        <v>0</v>
      </c>
      <c r="Q38" s="109">
        <v>0</v>
      </c>
      <c r="R38" s="109">
        <v>0</v>
      </c>
      <c r="S38" s="109">
        <v>0</v>
      </c>
      <c r="T38" s="109">
        <v>0</v>
      </c>
      <c r="U38" s="109">
        <v>609111067</v>
      </c>
      <c r="V38" s="110"/>
      <c r="W38" s="111"/>
      <c r="X38" s="111"/>
      <c r="Y38" s="110"/>
      <c r="Z38" s="111">
        <v>0</v>
      </c>
      <c r="AA38" s="111">
        <v>261807612</v>
      </c>
      <c r="AB38" s="111"/>
      <c r="AC38" s="112">
        <v>269661840.36000001</v>
      </c>
      <c r="AD38" s="113">
        <v>-339449226.63999999</v>
      </c>
    </row>
    <row r="39" spans="1:30" ht="25.5" x14ac:dyDescent="0.25">
      <c r="A39" s="107" t="s">
        <v>103</v>
      </c>
      <c r="B39" s="108" t="s">
        <v>104</v>
      </c>
      <c r="C39" s="901">
        <v>3559518.25</v>
      </c>
      <c r="D39" s="109">
        <v>8961210.75</v>
      </c>
      <c r="E39" s="109">
        <v>0</v>
      </c>
      <c r="F39" s="109">
        <v>0</v>
      </c>
      <c r="G39" s="109">
        <v>0</v>
      </c>
      <c r="H39" s="109">
        <v>0</v>
      </c>
      <c r="I39" s="109">
        <v>0</v>
      </c>
      <c r="J39" s="109">
        <v>0</v>
      </c>
      <c r="K39" s="114">
        <v>4902980.75</v>
      </c>
      <c r="L39" s="109">
        <v>0</v>
      </c>
      <c r="M39" s="109">
        <v>0</v>
      </c>
      <c r="N39" s="109">
        <v>0</v>
      </c>
      <c r="O39" s="109">
        <v>0</v>
      </c>
      <c r="P39" s="109">
        <v>0</v>
      </c>
      <c r="Q39" s="109">
        <v>0</v>
      </c>
      <c r="R39" s="109">
        <v>0</v>
      </c>
      <c r="S39" s="109">
        <v>0</v>
      </c>
      <c r="T39" s="109">
        <v>0</v>
      </c>
      <c r="U39" s="109">
        <v>21046812</v>
      </c>
      <c r="V39" s="110"/>
      <c r="W39" s="111"/>
      <c r="X39" s="111"/>
      <c r="Y39" s="110"/>
      <c r="Z39" s="111">
        <v>0</v>
      </c>
      <c r="AA39" s="111">
        <v>8961210.75</v>
      </c>
      <c r="AB39" s="111"/>
      <c r="AC39" s="112">
        <v>9230047.0724999998</v>
      </c>
      <c r="AD39" s="113">
        <v>-11816764.9275</v>
      </c>
    </row>
    <row r="40" spans="1:30" ht="25.5" x14ac:dyDescent="0.25">
      <c r="A40" s="107" t="s">
        <v>105</v>
      </c>
      <c r="B40" s="108" t="s">
        <v>106</v>
      </c>
      <c r="C40" s="901">
        <v>433811595.39999998</v>
      </c>
      <c r="D40" s="109">
        <v>3881886.6</v>
      </c>
      <c r="E40" s="109">
        <v>0</v>
      </c>
      <c r="F40" s="109">
        <v>0</v>
      </c>
      <c r="G40" s="109">
        <v>0</v>
      </c>
      <c r="H40" s="109">
        <v>0</v>
      </c>
      <c r="I40" s="109">
        <v>0</v>
      </c>
      <c r="J40" s="109"/>
      <c r="K40" s="114">
        <v>0</v>
      </c>
      <c r="L40" s="109">
        <v>0</v>
      </c>
      <c r="M40" s="109">
        <v>0</v>
      </c>
      <c r="N40" s="109">
        <v>0</v>
      </c>
      <c r="O40" s="109">
        <v>0</v>
      </c>
      <c r="P40" s="109">
        <v>0</v>
      </c>
      <c r="Q40" s="109">
        <v>0</v>
      </c>
      <c r="R40" s="109">
        <v>0</v>
      </c>
      <c r="S40" s="109">
        <v>0</v>
      </c>
      <c r="T40" s="109">
        <v>0</v>
      </c>
      <c r="U40" s="109">
        <v>3881886.6</v>
      </c>
      <c r="V40" s="110"/>
      <c r="W40" s="111"/>
      <c r="X40" s="111"/>
      <c r="Y40" s="110"/>
      <c r="Z40" s="111">
        <v>0</v>
      </c>
      <c r="AA40" s="111">
        <v>3881886.6</v>
      </c>
      <c r="AB40" s="111">
        <v>0</v>
      </c>
      <c r="AC40" s="112">
        <v>3998343.1980000003</v>
      </c>
      <c r="AD40" s="113">
        <v>116456.59800000023</v>
      </c>
    </row>
    <row r="41" spans="1:30" ht="25.5" x14ac:dyDescent="0.25">
      <c r="A41" s="107" t="s">
        <v>107</v>
      </c>
      <c r="B41" s="108" t="s">
        <v>108</v>
      </c>
      <c r="C41" s="901">
        <v>0</v>
      </c>
      <c r="D41" s="109">
        <v>33078292</v>
      </c>
      <c r="E41" s="109">
        <v>0</v>
      </c>
      <c r="F41" s="109">
        <v>0</v>
      </c>
      <c r="G41" s="109">
        <v>0</v>
      </c>
      <c r="H41" s="109">
        <v>0</v>
      </c>
      <c r="I41" s="109">
        <v>0</v>
      </c>
      <c r="J41" s="109"/>
      <c r="K41" s="114">
        <v>0</v>
      </c>
      <c r="L41" s="109">
        <v>0</v>
      </c>
      <c r="M41" s="109">
        <v>0</v>
      </c>
      <c r="N41" s="109">
        <v>0</v>
      </c>
      <c r="O41" s="109">
        <v>0</v>
      </c>
      <c r="P41" s="109">
        <v>0</v>
      </c>
      <c r="Q41" s="109">
        <v>0</v>
      </c>
      <c r="R41" s="109">
        <v>0</v>
      </c>
      <c r="S41" s="109">
        <v>0</v>
      </c>
      <c r="T41" s="109">
        <v>0</v>
      </c>
      <c r="U41" s="109">
        <v>33078292</v>
      </c>
      <c r="V41" s="110"/>
      <c r="W41" s="111"/>
      <c r="X41" s="111"/>
      <c r="Y41" s="110"/>
      <c r="Z41" s="111">
        <v>0</v>
      </c>
      <c r="AA41" s="111">
        <v>33078292</v>
      </c>
      <c r="AB41" s="111">
        <v>0</v>
      </c>
      <c r="AC41" s="112">
        <v>34070640.759999998</v>
      </c>
      <c r="AD41" s="113">
        <v>992348.75999999791</v>
      </c>
    </row>
    <row r="42" spans="1:30" ht="25.5" x14ac:dyDescent="0.25">
      <c r="A42" s="107" t="s">
        <v>109</v>
      </c>
      <c r="B42" s="108" t="s">
        <v>110</v>
      </c>
      <c r="C42" s="903">
        <v>0</v>
      </c>
      <c r="D42" s="109">
        <v>12523500</v>
      </c>
      <c r="E42" s="109">
        <v>0</v>
      </c>
      <c r="F42" s="109">
        <v>0</v>
      </c>
      <c r="G42" s="109">
        <v>0</v>
      </c>
      <c r="H42" s="109">
        <v>0</v>
      </c>
      <c r="I42" s="109">
        <v>0</v>
      </c>
      <c r="J42" s="109">
        <v>0</v>
      </c>
      <c r="K42" s="109">
        <v>0</v>
      </c>
      <c r="L42" s="109">
        <v>0</v>
      </c>
      <c r="M42" s="109">
        <v>0</v>
      </c>
      <c r="N42" s="109">
        <v>0</v>
      </c>
      <c r="O42" s="109">
        <v>0</v>
      </c>
      <c r="P42" s="109">
        <v>0</v>
      </c>
      <c r="Q42" s="109">
        <v>0</v>
      </c>
      <c r="R42" s="109">
        <v>0</v>
      </c>
      <c r="S42" s="109">
        <v>0</v>
      </c>
      <c r="T42" s="109">
        <v>0</v>
      </c>
      <c r="U42" s="109">
        <v>12523500</v>
      </c>
      <c r="V42" s="110"/>
      <c r="W42" s="111"/>
      <c r="X42" s="111"/>
      <c r="Y42" s="110"/>
      <c r="Z42" s="111">
        <v>0</v>
      </c>
      <c r="AA42" s="111">
        <v>12523500</v>
      </c>
      <c r="AB42" s="111">
        <v>0</v>
      </c>
      <c r="AC42" s="112">
        <v>12899205</v>
      </c>
      <c r="AD42" s="113">
        <v>375705</v>
      </c>
    </row>
    <row r="43" spans="1:30" ht="38.25" x14ac:dyDescent="0.25">
      <c r="A43" s="107" t="s">
        <v>111</v>
      </c>
      <c r="B43" s="108" t="s">
        <v>112</v>
      </c>
      <c r="C43" s="901">
        <v>0</v>
      </c>
      <c r="D43" s="109">
        <v>83149.960000000006</v>
      </c>
      <c r="E43" s="109">
        <v>0</v>
      </c>
      <c r="F43" s="109">
        <v>0</v>
      </c>
      <c r="G43" s="109">
        <v>0</v>
      </c>
      <c r="H43" s="109">
        <v>0</v>
      </c>
      <c r="I43" s="109">
        <v>0</v>
      </c>
      <c r="J43" s="109"/>
      <c r="K43" s="109">
        <v>62.1</v>
      </c>
      <c r="L43" s="109">
        <v>0</v>
      </c>
      <c r="M43" s="109">
        <v>0</v>
      </c>
      <c r="N43" s="109">
        <v>0</v>
      </c>
      <c r="O43" s="109">
        <v>0</v>
      </c>
      <c r="P43" s="109">
        <v>0</v>
      </c>
      <c r="Q43" s="109">
        <v>0</v>
      </c>
      <c r="R43" s="109">
        <v>0</v>
      </c>
      <c r="S43" s="109">
        <v>0</v>
      </c>
      <c r="T43" s="109">
        <v>0</v>
      </c>
      <c r="U43" s="109">
        <v>83212.060000000012</v>
      </c>
      <c r="V43" s="110"/>
      <c r="W43" s="111"/>
      <c r="X43" s="111"/>
      <c r="Y43" s="110"/>
      <c r="Z43" s="111">
        <v>0</v>
      </c>
      <c r="AA43" s="111">
        <v>83212.060000000012</v>
      </c>
      <c r="AB43" s="111">
        <v>0</v>
      </c>
      <c r="AC43" s="112">
        <v>85708.421800000011</v>
      </c>
      <c r="AD43" s="113">
        <v>2496.3617999999988</v>
      </c>
    </row>
    <row r="44" spans="1:30" ht="25.5" x14ac:dyDescent="0.25">
      <c r="A44" s="107" t="s">
        <v>113</v>
      </c>
      <c r="B44" s="108" t="s">
        <v>114</v>
      </c>
      <c r="C44" s="901">
        <v>318992344.52999997</v>
      </c>
      <c r="D44" s="109">
        <v>1792032472.8499999</v>
      </c>
      <c r="E44" s="109">
        <v>0</v>
      </c>
      <c r="F44" s="109">
        <v>0</v>
      </c>
      <c r="G44" s="109">
        <v>0</v>
      </c>
      <c r="H44" s="109">
        <v>0</v>
      </c>
      <c r="I44" s="109">
        <v>0</v>
      </c>
      <c r="J44" s="109"/>
      <c r="K44" s="109">
        <v>0</v>
      </c>
      <c r="L44" s="109">
        <v>0</v>
      </c>
      <c r="M44" s="109">
        <v>0</v>
      </c>
      <c r="N44" s="109">
        <v>0</v>
      </c>
      <c r="O44" s="109">
        <v>0</v>
      </c>
      <c r="P44" s="109">
        <v>0</v>
      </c>
      <c r="Q44" s="109">
        <v>0</v>
      </c>
      <c r="R44" s="109">
        <v>0</v>
      </c>
      <c r="S44" s="109">
        <v>0</v>
      </c>
      <c r="T44" s="109">
        <v>0</v>
      </c>
      <c r="U44" s="109">
        <v>1792032472.8499999</v>
      </c>
      <c r="V44" s="110"/>
      <c r="W44" s="111"/>
      <c r="X44" s="111"/>
      <c r="Y44" s="110"/>
      <c r="Z44" s="111">
        <v>0</v>
      </c>
      <c r="AA44" s="111">
        <v>1792032472.8499999</v>
      </c>
      <c r="AB44" s="111">
        <v>0</v>
      </c>
      <c r="AC44" s="112">
        <v>1845793447.0355</v>
      </c>
      <c r="AD44" s="113">
        <v>53760974.185500145</v>
      </c>
    </row>
    <row r="45" spans="1:30" x14ac:dyDescent="0.25">
      <c r="A45" s="107" t="s">
        <v>115</v>
      </c>
      <c r="B45" s="108" t="s">
        <v>116</v>
      </c>
      <c r="C45" s="901">
        <v>0</v>
      </c>
      <c r="D45" s="109">
        <v>3120000</v>
      </c>
      <c r="E45" s="109">
        <v>0</v>
      </c>
      <c r="F45" s="109">
        <v>0</v>
      </c>
      <c r="G45" s="109">
        <v>0</v>
      </c>
      <c r="H45" s="109">
        <v>0</v>
      </c>
      <c r="I45" s="109">
        <v>0</v>
      </c>
      <c r="J45" s="109">
        <v>0</v>
      </c>
      <c r="K45" s="109">
        <v>0</v>
      </c>
      <c r="L45" s="109">
        <v>0</v>
      </c>
      <c r="M45" s="109">
        <v>0</v>
      </c>
      <c r="N45" s="109">
        <v>0</v>
      </c>
      <c r="O45" s="109">
        <v>0</v>
      </c>
      <c r="P45" s="109">
        <v>0</v>
      </c>
      <c r="Q45" s="109">
        <v>0</v>
      </c>
      <c r="R45" s="109">
        <v>0</v>
      </c>
      <c r="S45" s="109">
        <v>0</v>
      </c>
      <c r="T45" s="109">
        <v>0</v>
      </c>
      <c r="U45" s="109">
        <v>3120000</v>
      </c>
      <c r="V45" s="110"/>
      <c r="W45" s="111"/>
      <c r="X45" s="111"/>
      <c r="Y45" s="110"/>
      <c r="Z45" s="111">
        <v>0</v>
      </c>
      <c r="AA45" s="111">
        <v>3120000</v>
      </c>
      <c r="AB45" s="111">
        <v>0</v>
      </c>
      <c r="AC45" s="112">
        <v>3213600</v>
      </c>
      <c r="AD45" s="113">
        <v>93600</v>
      </c>
    </row>
    <row r="46" spans="1:30" ht="25.5" x14ac:dyDescent="0.25">
      <c r="A46" s="107" t="s">
        <v>117</v>
      </c>
      <c r="B46" s="108" t="s">
        <v>118</v>
      </c>
      <c r="C46" s="901">
        <v>0</v>
      </c>
      <c r="D46" s="109">
        <v>13838656.48</v>
      </c>
      <c r="E46" s="109">
        <v>0</v>
      </c>
      <c r="F46" s="109">
        <v>0</v>
      </c>
      <c r="G46" s="109">
        <v>0</v>
      </c>
      <c r="H46" s="109">
        <v>0</v>
      </c>
      <c r="I46" s="109">
        <v>0</v>
      </c>
      <c r="J46" s="109"/>
      <c r="K46" s="109">
        <v>0</v>
      </c>
      <c r="L46" s="109">
        <v>0</v>
      </c>
      <c r="M46" s="109">
        <v>0</v>
      </c>
      <c r="N46" s="109">
        <v>0</v>
      </c>
      <c r="O46" s="109">
        <v>0</v>
      </c>
      <c r="P46" s="109">
        <v>0</v>
      </c>
      <c r="Q46" s="109">
        <v>0</v>
      </c>
      <c r="R46" s="109">
        <v>0</v>
      </c>
      <c r="S46" s="109">
        <v>0</v>
      </c>
      <c r="T46" s="109">
        <v>0</v>
      </c>
      <c r="U46" s="109">
        <v>13838656.48</v>
      </c>
      <c r="V46" s="110"/>
      <c r="W46" s="111"/>
      <c r="X46" s="111"/>
      <c r="Y46" s="110"/>
      <c r="Z46" s="111">
        <v>0</v>
      </c>
      <c r="AA46" s="111">
        <v>13838656.48</v>
      </c>
      <c r="AB46" s="111">
        <v>0</v>
      </c>
      <c r="AC46" s="112">
        <v>14253816.1744</v>
      </c>
      <c r="AD46" s="113">
        <v>415159.69439999945</v>
      </c>
    </row>
    <row r="47" spans="1:30" ht="38.25" x14ac:dyDescent="0.25">
      <c r="A47" s="107" t="s">
        <v>119</v>
      </c>
      <c r="B47" s="108" t="s">
        <v>120</v>
      </c>
      <c r="C47" s="901">
        <v>0</v>
      </c>
      <c r="D47" s="109">
        <v>121181407</v>
      </c>
      <c r="E47" s="109">
        <v>0</v>
      </c>
      <c r="F47" s="109">
        <v>0</v>
      </c>
      <c r="G47" s="109">
        <v>0</v>
      </c>
      <c r="H47" s="109">
        <v>0</v>
      </c>
      <c r="I47" s="109">
        <v>0</v>
      </c>
      <c r="J47" s="109">
        <v>0</v>
      </c>
      <c r="K47" s="109">
        <v>884106657</v>
      </c>
      <c r="L47" s="109">
        <v>0</v>
      </c>
      <c r="M47" s="109">
        <v>0</v>
      </c>
      <c r="N47" s="109">
        <v>0</v>
      </c>
      <c r="O47" s="109">
        <v>0</v>
      </c>
      <c r="P47" s="109">
        <v>0</v>
      </c>
      <c r="Q47" s="109">
        <v>0</v>
      </c>
      <c r="R47" s="109">
        <v>0</v>
      </c>
      <c r="S47" s="109">
        <v>0</v>
      </c>
      <c r="T47" s="109">
        <v>0</v>
      </c>
      <c r="U47" s="109">
        <v>6651616460</v>
      </c>
      <c r="V47" s="110"/>
      <c r="W47" s="111"/>
      <c r="X47" s="111"/>
      <c r="Y47" s="110"/>
      <c r="Z47" s="111">
        <v>0</v>
      </c>
      <c r="AA47" s="111">
        <v>121181407</v>
      </c>
      <c r="AB47" s="111"/>
      <c r="AC47" s="112">
        <v>124816849.21000001</v>
      </c>
      <c r="AD47" s="113"/>
    </row>
    <row r="48" spans="1:30" ht="25.5" x14ac:dyDescent="0.25">
      <c r="A48" s="107" t="s">
        <v>121</v>
      </c>
      <c r="B48" s="108" t="s">
        <v>122</v>
      </c>
      <c r="C48" s="901">
        <v>0</v>
      </c>
      <c r="D48" s="109">
        <v>0</v>
      </c>
      <c r="E48" s="109">
        <v>0</v>
      </c>
      <c r="F48" s="109">
        <v>0</v>
      </c>
      <c r="G48" s="109">
        <v>0</v>
      </c>
      <c r="H48" s="109">
        <v>0</v>
      </c>
      <c r="I48" s="109">
        <v>0</v>
      </c>
      <c r="J48" s="109"/>
      <c r="K48" s="109">
        <v>33937548.719999999</v>
      </c>
      <c r="L48" s="109">
        <v>0</v>
      </c>
      <c r="M48" s="109">
        <v>0</v>
      </c>
      <c r="N48" s="109">
        <v>0</v>
      </c>
      <c r="O48" s="109">
        <v>0</v>
      </c>
      <c r="P48" s="109">
        <v>0</v>
      </c>
      <c r="Q48" s="109">
        <v>0</v>
      </c>
      <c r="R48" s="109">
        <v>0</v>
      </c>
      <c r="S48" s="109">
        <v>0</v>
      </c>
      <c r="T48" s="109">
        <v>0</v>
      </c>
      <c r="U48" s="109">
        <v>33937548.719999999</v>
      </c>
      <c r="V48" s="110"/>
      <c r="W48" s="111"/>
      <c r="X48" s="111"/>
      <c r="Y48" s="110"/>
      <c r="Z48" s="111">
        <v>0</v>
      </c>
      <c r="AA48" s="111">
        <v>33937548.719999999</v>
      </c>
      <c r="AB48" s="111">
        <v>0</v>
      </c>
      <c r="AC48" s="112">
        <v>34955675.181599997</v>
      </c>
      <c r="AD48" s="113">
        <v>1018126.4615999982</v>
      </c>
    </row>
    <row r="49" spans="1:30" ht="25.5" x14ac:dyDescent="0.25">
      <c r="A49" s="107" t="s">
        <v>123</v>
      </c>
      <c r="B49" s="108" t="s">
        <v>124</v>
      </c>
      <c r="C49" s="901">
        <v>0</v>
      </c>
      <c r="D49" s="109">
        <v>0</v>
      </c>
      <c r="E49" s="109">
        <v>0</v>
      </c>
      <c r="F49" s="109">
        <v>0</v>
      </c>
      <c r="G49" s="109">
        <v>0</v>
      </c>
      <c r="H49" s="109">
        <v>0</v>
      </c>
      <c r="I49" s="109">
        <v>0</v>
      </c>
      <c r="J49" s="109"/>
      <c r="K49" s="109">
        <v>3039348.21</v>
      </c>
      <c r="L49" s="109">
        <v>0</v>
      </c>
      <c r="M49" s="109">
        <v>0</v>
      </c>
      <c r="N49" s="109">
        <v>0</v>
      </c>
      <c r="O49" s="109">
        <v>0</v>
      </c>
      <c r="P49" s="109">
        <v>0</v>
      </c>
      <c r="Q49" s="109">
        <v>0</v>
      </c>
      <c r="R49" s="109">
        <v>0</v>
      </c>
      <c r="S49" s="109">
        <v>0</v>
      </c>
      <c r="T49" s="109">
        <v>0</v>
      </c>
      <c r="U49" s="109">
        <v>3039348.21</v>
      </c>
      <c r="V49" s="110"/>
      <c r="W49" s="111"/>
      <c r="X49" s="111"/>
      <c r="Y49" s="110"/>
      <c r="Z49" s="111">
        <v>0</v>
      </c>
      <c r="AA49" s="111">
        <v>3039348.21</v>
      </c>
      <c r="AB49" s="111">
        <v>0</v>
      </c>
      <c r="AC49" s="112">
        <v>3130528.6562999999</v>
      </c>
      <c r="AD49" s="113">
        <v>91180.446299999952</v>
      </c>
    </row>
    <row r="50" spans="1:30" ht="25.5" x14ac:dyDescent="0.25">
      <c r="A50" s="107" t="s">
        <v>125</v>
      </c>
      <c r="B50" s="108" t="s">
        <v>126</v>
      </c>
      <c r="C50" s="901">
        <v>0</v>
      </c>
      <c r="D50" s="109">
        <v>0</v>
      </c>
      <c r="E50" s="109">
        <v>0</v>
      </c>
      <c r="F50" s="109">
        <v>0</v>
      </c>
      <c r="G50" s="109">
        <v>0</v>
      </c>
      <c r="H50" s="109">
        <v>0</v>
      </c>
      <c r="I50" s="109">
        <v>0</v>
      </c>
      <c r="J50" s="109"/>
      <c r="K50" s="109">
        <v>1216600524.0999999</v>
      </c>
      <c r="L50" s="109">
        <v>0</v>
      </c>
      <c r="M50" s="109">
        <v>0</v>
      </c>
      <c r="N50" s="109">
        <v>0</v>
      </c>
      <c r="O50" s="109">
        <v>0</v>
      </c>
      <c r="P50" s="109">
        <v>0</v>
      </c>
      <c r="Q50" s="109">
        <v>0</v>
      </c>
      <c r="R50" s="109">
        <v>0</v>
      </c>
      <c r="S50" s="109">
        <v>0</v>
      </c>
      <c r="T50" s="109">
        <v>0</v>
      </c>
      <c r="U50" s="109">
        <v>1216600524.0999999</v>
      </c>
      <c r="V50" s="110"/>
      <c r="W50" s="111"/>
      <c r="X50" s="111"/>
      <c r="Y50" s="110"/>
      <c r="Z50" s="111">
        <v>0</v>
      </c>
      <c r="AA50" s="111">
        <v>1216600524.0999999</v>
      </c>
      <c r="AB50" s="111">
        <v>0</v>
      </c>
      <c r="AC50" s="112">
        <v>1253098539.823</v>
      </c>
      <c r="AD50" s="113">
        <v>36498015.72300005</v>
      </c>
    </row>
    <row r="51" spans="1:30" ht="38.25" x14ac:dyDescent="0.25">
      <c r="A51" s="107" t="s">
        <v>127</v>
      </c>
      <c r="B51" s="108" t="s">
        <v>128</v>
      </c>
      <c r="C51" s="901">
        <v>0</v>
      </c>
      <c r="D51" s="109">
        <v>0</v>
      </c>
      <c r="E51" s="109">
        <v>0</v>
      </c>
      <c r="F51" s="109">
        <v>0</v>
      </c>
      <c r="G51" s="109">
        <v>0</v>
      </c>
      <c r="H51" s="109">
        <v>0</v>
      </c>
      <c r="I51" s="109">
        <v>0</v>
      </c>
      <c r="J51" s="109"/>
      <c r="K51" s="109">
        <v>22221326.620000001</v>
      </c>
      <c r="L51" s="109">
        <v>0</v>
      </c>
      <c r="M51" s="109">
        <v>0</v>
      </c>
      <c r="N51" s="109">
        <v>0</v>
      </c>
      <c r="O51" s="109">
        <v>0</v>
      </c>
      <c r="P51" s="109">
        <v>0</v>
      </c>
      <c r="Q51" s="109">
        <v>0</v>
      </c>
      <c r="R51" s="109">
        <v>0</v>
      </c>
      <c r="S51" s="109">
        <v>0</v>
      </c>
      <c r="T51" s="109">
        <v>0</v>
      </c>
      <c r="U51" s="109">
        <v>22221326.620000001</v>
      </c>
      <c r="V51" s="110"/>
      <c r="W51" s="111"/>
      <c r="X51" s="111"/>
      <c r="Y51" s="110"/>
      <c r="Z51" s="111">
        <v>0</v>
      </c>
      <c r="AA51" s="111">
        <v>22221326.620000001</v>
      </c>
      <c r="AB51" s="111">
        <v>0</v>
      </c>
      <c r="AC51" s="112">
        <v>22887966.4186</v>
      </c>
      <c r="AD51" s="113">
        <v>666639.7985999994</v>
      </c>
    </row>
    <row r="52" spans="1:30" ht="25.5" x14ac:dyDescent="0.25">
      <c r="A52" s="107" t="s">
        <v>129</v>
      </c>
      <c r="B52" s="108" t="s">
        <v>130</v>
      </c>
      <c r="C52" s="901">
        <v>105606585.66</v>
      </c>
      <c r="D52" s="109">
        <v>655606585.65999997</v>
      </c>
      <c r="E52" s="109">
        <v>0</v>
      </c>
      <c r="F52" s="109">
        <v>0</v>
      </c>
      <c r="G52" s="109">
        <v>0</v>
      </c>
      <c r="H52" s="109">
        <v>0</v>
      </c>
      <c r="I52" s="109">
        <v>0</v>
      </c>
      <c r="J52" s="109"/>
      <c r="K52" s="109">
        <v>0</v>
      </c>
      <c r="L52" s="109">
        <v>0</v>
      </c>
      <c r="M52" s="109">
        <v>0</v>
      </c>
      <c r="N52" s="109">
        <v>0</v>
      </c>
      <c r="O52" s="109">
        <v>0</v>
      </c>
      <c r="P52" s="109">
        <v>0</v>
      </c>
      <c r="Q52" s="109">
        <v>0</v>
      </c>
      <c r="R52" s="109">
        <v>0</v>
      </c>
      <c r="S52" s="109">
        <v>0</v>
      </c>
      <c r="T52" s="109">
        <v>0</v>
      </c>
      <c r="U52" s="109">
        <v>655606585.65999997</v>
      </c>
      <c r="V52" s="110"/>
      <c r="W52" s="111"/>
      <c r="X52" s="111"/>
      <c r="Y52" s="110"/>
      <c r="Z52" s="111">
        <v>0</v>
      </c>
      <c r="AA52" s="111">
        <v>655606585.65999997</v>
      </c>
      <c r="AB52" s="111">
        <v>0</v>
      </c>
      <c r="AC52" s="112">
        <v>675274783.22979999</v>
      </c>
      <c r="AD52" s="113">
        <v>19668197.569800019</v>
      </c>
    </row>
    <row r="53" spans="1:30" ht="25.5" x14ac:dyDescent="0.25">
      <c r="A53" s="107" t="s">
        <v>131</v>
      </c>
      <c r="B53" s="108" t="s">
        <v>132</v>
      </c>
      <c r="C53" s="901">
        <v>0</v>
      </c>
      <c r="D53" s="109">
        <v>0</v>
      </c>
      <c r="E53" s="109">
        <v>0</v>
      </c>
      <c r="F53" s="109">
        <v>0</v>
      </c>
      <c r="G53" s="109">
        <v>0</v>
      </c>
      <c r="H53" s="109">
        <v>0</v>
      </c>
      <c r="I53" s="109">
        <v>0</v>
      </c>
      <c r="J53" s="109">
        <v>0</v>
      </c>
      <c r="K53" s="109">
        <v>9672000</v>
      </c>
      <c r="L53" s="109">
        <v>0</v>
      </c>
      <c r="M53" s="109">
        <v>0</v>
      </c>
      <c r="N53" s="109">
        <v>0</v>
      </c>
      <c r="O53" s="109">
        <v>0</v>
      </c>
      <c r="P53" s="109">
        <v>0</v>
      </c>
      <c r="Q53" s="109">
        <v>0</v>
      </c>
      <c r="R53" s="109">
        <v>0</v>
      </c>
      <c r="S53" s="109">
        <v>0</v>
      </c>
      <c r="T53" s="109">
        <v>0</v>
      </c>
      <c r="U53" s="109">
        <v>0</v>
      </c>
      <c r="V53" s="110"/>
      <c r="W53" s="111"/>
      <c r="X53" s="111"/>
      <c r="Y53" s="110"/>
      <c r="Z53" s="111">
        <v>0</v>
      </c>
      <c r="AA53" s="111">
        <v>0</v>
      </c>
      <c r="AB53" s="111">
        <v>0</v>
      </c>
      <c r="AC53" s="112">
        <v>0</v>
      </c>
      <c r="AD53" s="113">
        <v>0</v>
      </c>
    </row>
    <row r="54" spans="1:30" x14ac:dyDescent="0.25">
      <c r="A54" s="107" t="s">
        <v>133</v>
      </c>
      <c r="B54" s="108" t="s">
        <v>134</v>
      </c>
      <c r="C54" s="901">
        <v>0</v>
      </c>
      <c r="D54" s="109">
        <v>1263182000</v>
      </c>
      <c r="E54" s="109">
        <v>0</v>
      </c>
      <c r="F54" s="109">
        <v>0</v>
      </c>
      <c r="G54" s="109">
        <v>0</v>
      </c>
      <c r="H54" s="109">
        <v>0</v>
      </c>
      <c r="I54" s="109">
        <v>0</v>
      </c>
      <c r="J54" s="109">
        <v>0</v>
      </c>
      <c r="K54" s="109">
        <v>-1263182000</v>
      </c>
      <c r="L54" s="109">
        <v>0</v>
      </c>
      <c r="M54" s="109">
        <v>0</v>
      </c>
      <c r="N54" s="109">
        <v>0</v>
      </c>
      <c r="O54" s="109">
        <v>0</v>
      </c>
      <c r="P54" s="109">
        <v>0</v>
      </c>
      <c r="Q54" s="109">
        <v>0</v>
      </c>
      <c r="R54" s="109">
        <v>0</v>
      </c>
      <c r="S54" s="109">
        <v>0</v>
      </c>
      <c r="T54" s="109">
        <v>0</v>
      </c>
      <c r="U54" s="109">
        <v>0</v>
      </c>
      <c r="V54" s="110"/>
      <c r="W54" s="111"/>
      <c r="X54" s="111"/>
      <c r="Y54" s="110"/>
      <c r="Z54" s="111">
        <v>0</v>
      </c>
      <c r="AA54" s="111">
        <v>1263182000</v>
      </c>
      <c r="AB54" s="111">
        <v>1263182000</v>
      </c>
      <c r="AC54" s="112">
        <v>1301077460</v>
      </c>
      <c r="AD54" s="113">
        <v>1301077460</v>
      </c>
    </row>
    <row r="55" spans="1:30" ht="38.25" x14ac:dyDescent="0.25">
      <c r="A55" s="107" t="s">
        <v>135</v>
      </c>
      <c r="B55" s="108" t="s">
        <v>136</v>
      </c>
      <c r="C55" s="901">
        <v>0</v>
      </c>
      <c r="D55" s="109">
        <v>0</v>
      </c>
      <c r="E55" s="109">
        <v>0</v>
      </c>
      <c r="F55" s="109">
        <v>0</v>
      </c>
      <c r="G55" s="109">
        <v>0</v>
      </c>
      <c r="H55" s="109">
        <v>0</v>
      </c>
      <c r="I55" s="109">
        <v>0</v>
      </c>
      <c r="J55" s="109"/>
      <c r="K55" s="109">
        <v>468599154.12</v>
      </c>
      <c r="L55" s="109">
        <v>0</v>
      </c>
      <c r="M55" s="109">
        <v>0</v>
      </c>
      <c r="N55" s="109">
        <v>0</v>
      </c>
      <c r="O55" s="109">
        <v>0</v>
      </c>
      <c r="P55" s="109">
        <v>0</v>
      </c>
      <c r="Q55" s="109">
        <v>0</v>
      </c>
      <c r="R55" s="109">
        <v>0</v>
      </c>
      <c r="S55" s="109">
        <v>0</v>
      </c>
      <c r="T55" s="109">
        <v>0</v>
      </c>
      <c r="U55" s="109">
        <v>468599154.12</v>
      </c>
      <c r="V55" s="110"/>
      <c r="W55" s="111"/>
      <c r="X55" s="111"/>
      <c r="Y55" s="110"/>
      <c r="Z55" s="111">
        <v>0</v>
      </c>
      <c r="AA55" s="111">
        <v>468599154.12</v>
      </c>
      <c r="AB55" s="111">
        <v>0</v>
      </c>
      <c r="AC55" s="112">
        <v>482657128.74360001</v>
      </c>
      <c r="AD55" s="113">
        <v>14057974.623600006</v>
      </c>
    </row>
    <row r="56" spans="1:30" ht="25.5" x14ac:dyDescent="0.25">
      <c r="A56" s="107" t="s">
        <v>137</v>
      </c>
      <c r="B56" s="108" t="s">
        <v>138</v>
      </c>
      <c r="C56" s="901">
        <v>0</v>
      </c>
      <c r="D56" s="109">
        <v>0</v>
      </c>
      <c r="E56" s="109">
        <v>0</v>
      </c>
      <c r="F56" s="109">
        <v>0</v>
      </c>
      <c r="G56" s="109">
        <v>0</v>
      </c>
      <c r="H56" s="109">
        <v>0</v>
      </c>
      <c r="I56" s="109">
        <v>0</v>
      </c>
      <c r="J56" s="109"/>
      <c r="K56" s="109">
        <v>0</v>
      </c>
      <c r="L56" s="109">
        <v>0</v>
      </c>
      <c r="M56" s="109">
        <v>0</v>
      </c>
      <c r="N56" s="109">
        <v>0</v>
      </c>
      <c r="O56" s="109">
        <v>0</v>
      </c>
      <c r="P56" s="109">
        <v>0</v>
      </c>
      <c r="Q56" s="109">
        <v>0</v>
      </c>
      <c r="R56" s="109">
        <v>0</v>
      </c>
      <c r="S56" s="109">
        <v>0</v>
      </c>
      <c r="T56" s="109">
        <v>0</v>
      </c>
      <c r="U56" s="109">
        <v>0</v>
      </c>
      <c r="V56" s="110"/>
      <c r="W56" s="111"/>
      <c r="X56" s="111"/>
      <c r="Y56" s="110"/>
      <c r="Z56" s="111">
        <v>0</v>
      </c>
      <c r="AA56" s="111">
        <v>0</v>
      </c>
      <c r="AB56" s="111">
        <v>0</v>
      </c>
      <c r="AC56" s="112">
        <v>0</v>
      </c>
      <c r="AD56" s="113">
        <v>0</v>
      </c>
    </row>
    <row r="57" spans="1:30" x14ac:dyDescent="0.25">
      <c r="A57" s="107" t="s">
        <v>139</v>
      </c>
      <c r="B57" s="108" t="s">
        <v>140</v>
      </c>
      <c r="C57" s="901">
        <v>38599696922.769997</v>
      </c>
      <c r="D57" s="109">
        <v>36857545314.07</v>
      </c>
      <c r="E57" s="109">
        <v>28561666612.990002</v>
      </c>
      <c r="F57" s="109">
        <v>38497171334.779999</v>
      </c>
      <c r="G57" s="109">
        <v>31726291334.119999</v>
      </c>
      <c r="H57" s="109">
        <v>30715484063.59</v>
      </c>
      <c r="I57" s="109">
        <v>32375153336.369999</v>
      </c>
      <c r="J57" s="109">
        <v>46317122513.172501</v>
      </c>
      <c r="K57" s="109">
        <v>59485363926.679977</v>
      </c>
      <c r="L57" s="109">
        <v>43304852417.639999</v>
      </c>
      <c r="M57" s="109">
        <v>46662444365.139999</v>
      </c>
      <c r="N57" s="109">
        <v>48420360406.520004</v>
      </c>
      <c r="O57" s="109">
        <v>46880832863.389999</v>
      </c>
      <c r="P57" s="109">
        <v>71866519030.630005</v>
      </c>
      <c r="Q57" s="109">
        <v>85159615699.919998</v>
      </c>
      <c r="R57" s="109">
        <v>80146651740.639999</v>
      </c>
      <c r="S57" s="109">
        <v>77596316926.979996</v>
      </c>
      <c r="T57" s="109">
        <v>78692275849.542496</v>
      </c>
      <c r="U57" s="109">
        <v>91687557971</v>
      </c>
      <c r="V57" s="110">
        <v>0.41141462725351108</v>
      </c>
      <c r="W57" s="111">
        <v>37721602486.423653</v>
      </c>
      <c r="X57" s="115">
        <v>-864057172.35365295</v>
      </c>
      <c r="Y57" s="110">
        <v>0.58858537274648892</v>
      </c>
      <c r="Z57" s="111">
        <v>46317122513.172501</v>
      </c>
      <c r="AA57" s="111">
        <v>83174667827.242493</v>
      </c>
      <c r="AB57" s="119">
        <v>-8512890143.7575073</v>
      </c>
      <c r="AC57" s="112">
        <v>85669907862.059769</v>
      </c>
      <c r="AD57" s="113">
        <v>-6017650108.9402313</v>
      </c>
    </row>
    <row r="58" spans="1:30" x14ac:dyDescent="0.25">
      <c r="A58" s="107" t="s">
        <v>141</v>
      </c>
      <c r="B58" s="108" t="s">
        <v>142</v>
      </c>
      <c r="C58" s="901">
        <v>0</v>
      </c>
      <c r="D58" s="109">
        <v>0</v>
      </c>
      <c r="E58" s="109">
        <v>0</v>
      </c>
      <c r="F58" s="109">
        <v>0</v>
      </c>
      <c r="G58" s="109">
        <v>0</v>
      </c>
      <c r="H58" s="109">
        <v>0</v>
      </c>
      <c r="I58" s="109">
        <v>0</v>
      </c>
      <c r="J58" s="109">
        <v>0</v>
      </c>
      <c r="K58" s="109">
        <v>772313.93</v>
      </c>
      <c r="L58" s="109">
        <v>0</v>
      </c>
      <c r="M58" s="109">
        <v>0</v>
      </c>
      <c r="N58" s="109">
        <v>0</v>
      </c>
      <c r="O58" s="109">
        <v>0</v>
      </c>
      <c r="P58" s="109">
        <v>0</v>
      </c>
      <c r="Q58" s="109">
        <v>0</v>
      </c>
      <c r="R58" s="109">
        <v>0</v>
      </c>
      <c r="S58" s="109">
        <v>0</v>
      </c>
      <c r="T58" s="109">
        <v>0</v>
      </c>
      <c r="U58" s="109">
        <v>772313.93</v>
      </c>
      <c r="V58" s="110"/>
      <c r="W58" s="111"/>
      <c r="X58" s="111"/>
      <c r="Y58" s="110"/>
      <c r="Z58" s="111">
        <v>0</v>
      </c>
      <c r="AA58" s="111">
        <v>0</v>
      </c>
      <c r="AB58" s="111"/>
      <c r="AC58" s="112">
        <v>0</v>
      </c>
      <c r="AD58" s="113"/>
    </row>
    <row r="59" spans="1:30" ht="25.5" x14ac:dyDescent="0.25">
      <c r="A59" s="107" t="s">
        <v>143</v>
      </c>
      <c r="B59" s="108" t="s">
        <v>144</v>
      </c>
      <c r="C59" s="901">
        <v>32308044.809999999</v>
      </c>
      <c r="D59" s="109">
        <v>474589.18</v>
      </c>
      <c r="E59" s="109">
        <v>26226478.649999999</v>
      </c>
      <c r="F59" s="109">
        <v>42989941.899999999</v>
      </c>
      <c r="G59" s="109">
        <v>209374976.88</v>
      </c>
      <c r="H59" s="109">
        <v>0</v>
      </c>
      <c r="I59" s="109">
        <v>69647849.357500002</v>
      </c>
      <c r="J59" s="109">
        <v>18913292.750000007</v>
      </c>
      <c r="K59" s="109">
        <v>2811878.62</v>
      </c>
      <c r="L59" s="109">
        <v>6245959.8300000019</v>
      </c>
      <c r="M59" s="109">
        <v>27631583.190000005</v>
      </c>
      <c r="N59" s="109">
        <v>41775627.980000019</v>
      </c>
      <c r="O59" s="109">
        <v>0</v>
      </c>
      <c r="P59" s="109">
        <v>32472438.48</v>
      </c>
      <c r="Q59" s="109">
        <v>70621525.090000004</v>
      </c>
      <c r="R59" s="109">
        <v>251150604.86000001</v>
      </c>
      <c r="S59" s="109">
        <v>0</v>
      </c>
      <c r="T59" s="109">
        <v>88561142.107500002</v>
      </c>
      <c r="U59" s="109">
        <v>50000000</v>
      </c>
      <c r="V59" s="110">
        <v>0.78643802123687512</v>
      </c>
      <c r="W59" s="111">
        <v>39321901.061843753</v>
      </c>
      <c r="X59" s="115">
        <v>-38847311.881843753</v>
      </c>
      <c r="Y59" s="110">
        <v>0.21356197876312497</v>
      </c>
      <c r="Z59" s="111">
        <v>18913292.750000007</v>
      </c>
      <c r="AA59" s="111">
        <v>19387881.930000007</v>
      </c>
      <c r="AB59" s="119"/>
      <c r="AC59" s="112">
        <v>19969518.387900006</v>
      </c>
      <c r="AD59" s="113"/>
    </row>
    <row r="60" spans="1:30" x14ac:dyDescent="0.25">
      <c r="A60" s="107">
        <v>23</v>
      </c>
      <c r="B60" s="108" t="s">
        <v>145</v>
      </c>
      <c r="C60" s="901">
        <v>1597461694.99</v>
      </c>
      <c r="D60" s="109"/>
      <c r="E60" s="109"/>
      <c r="F60" s="109"/>
      <c r="G60" s="109"/>
      <c r="H60" s="109"/>
      <c r="I60" s="109"/>
      <c r="J60" s="109"/>
      <c r="K60" s="109"/>
      <c r="L60" s="109"/>
      <c r="M60" s="109"/>
      <c r="N60" s="109"/>
      <c r="O60" s="109"/>
      <c r="P60" s="109"/>
      <c r="Q60" s="109"/>
      <c r="R60" s="109"/>
      <c r="S60" s="109"/>
      <c r="T60" s="109"/>
      <c r="U60" s="109"/>
      <c r="V60" s="110"/>
      <c r="W60" s="111"/>
      <c r="X60" s="115"/>
      <c r="Y60" s="110"/>
      <c r="Z60" s="111"/>
      <c r="AA60" s="111"/>
      <c r="AB60" s="119"/>
      <c r="AC60" s="112"/>
      <c r="AD60" s="113"/>
    </row>
    <row r="61" spans="1:30" ht="25.5" x14ac:dyDescent="0.25">
      <c r="A61" s="107" t="s">
        <v>146</v>
      </c>
      <c r="B61" s="108" t="s">
        <v>147</v>
      </c>
      <c r="C61" s="904">
        <v>54501485054</v>
      </c>
      <c r="D61" s="109">
        <v>47891248017</v>
      </c>
      <c r="E61" s="109">
        <v>49750441932</v>
      </c>
      <c r="F61" s="109">
        <v>42146908755</v>
      </c>
      <c r="G61" s="109">
        <v>43244255041</v>
      </c>
      <c r="H61" s="109">
        <v>41337188555.360001</v>
      </c>
      <c r="I61" s="109">
        <v>44119698570.839996</v>
      </c>
      <c r="J61" s="109">
        <v>76571041805.044998</v>
      </c>
      <c r="K61" s="109">
        <v>89573663041</v>
      </c>
      <c r="L61" s="109">
        <v>82275702591</v>
      </c>
      <c r="M61" s="109">
        <v>80703411731</v>
      </c>
      <c r="N61" s="109">
        <v>70976631322</v>
      </c>
      <c r="O61" s="109">
        <v>72328421576.179993</v>
      </c>
      <c r="P61" s="109">
        <v>132026144523</v>
      </c>
      <c r="Q61" s="109">
        <v>122850320486</v>
      </c>
      <c r="R61" s="109">
        <v>114220886363</v>
      </c>
      <c r="S61" s="109">
        <v>113665610131.53999</v>
      </c>
      <c r="T61" s="109">
        <v>120690740375.88499</v>
      </c>
      <c r="U61" s="109">
        <v>143225523562</v>
      </c>
      <c r="V61" s="110">
        <v>0.36555992972974982</v>
      </c>
      <c r="W61" s="111">
        <v>52357512328.831345</v>
      </c>
      <c r="X61" s="115">
        <v>-4466264311.8313446</v>
      </c>
      <c r="Y61" s="110">
        <v>0.63444007027025018</v>
      </c>
      <c r="Z61" s="111">
        <v>76571041805.044998</v>
      </c>
      <c r="AA61" s="111">
        <v>124462289822.045</v>
      </c>
      <c r="AB61" s="111"/>
      <c r="AC61" s="112">
        <v>128196158516.70634</v>
      </c>
      <c r="AD61" s="113"/>
    </row>
    <row r="62" spans="1:30" ht="25.5" x14ac:dyDescent="0.25">
      <c r="A62" s="107" t="s">
        <v>148</v>
      </c>
      <c r="B62" s="108" t="s">
        <v>149</v>
      </c>
      <c r="C62" s="901">
        <v>8239747495</v>
      </c>
      <c r="D62" s="109">
        <v>12376252728</v>
      </c>
      <c r="E62" s="109">
        <v>11952453940</v>
      </c>
      <c r="F62" s="109">
        <v>8271325366</v>
      </c>
      <c r="G62" s="109">
        <v>7595284539</v>
      </c>
      <c r="H62" s="109">
        <v>5327558098</v>
      </c>
      <c r="I62" s="109">
        <v>8286655485.75</v>
      </c>
      <c r="J62" s="109">
        <v>12319486090.75</v>
      </c>
      <c r="K62" s="109">
        <v>15938771826</v>
      </c>
      <c r="L62" s="109">
        <v>11084317477</v>
      </c>
      <c r="M62" s="109">
        <v>13553505248</v>
      </c>
      <c r="N62" s="109">
        <v>9961019563</v>
      </c>
      <c r="O62" s="109">
        <v>14679102075</v>
      </c>
      <c r="P62" s="109">
        <v>23036771417</v>
      </c>
      <c r="Q62" s="109">
        <v>21824830614</v>
      </c>
      <c r="R62" s="109">
        <v>17556304102</v>
      </c>
      <c r="S62" s="109">
        <v>20006660173</v>
      </c>
      <c r="T62" s="109">
        <v>20606141576.5</v>
      </c>
      <c r="U62" s="109">
        <v>25145000000</v>
      </c>
      <c r="V62" s="110">
        <v>0.40214493601268886</v>
      </c>
      <c r="W62" s="111">
        <v>10111934416.039061</v>
      </c>
      <c r="X62" s="111">
        <v>2264318311.9609394</v>
      </c>
      <c r="Y62" s="110">
        <v>0.59785506398731114</v>
      </c>
      <c r="Z62" s="111">
        <v>12319486090.75</v>
      </c>
      <c r="AA62" s="111">
        <v>24695738818.75</v>
      </c>
      <c r="AB62" s="111"/>
      <c r="AC62" s="112">
        <v>25436610983.3125</v>
      </c>
      <c r="AD62" s="113">
        <v>291610983.3125</v>
      </c>
    </row>
    <row r="63" spans="1:30" ht="38.25" x14ac:dyDescent="0.25">
      <c r="A63" s="107" t="s">
        <v>150</v>
      </c>
      <c r="B63" s="108" t="s">
        <v>151</v>
      </c>
      <c r="C63" s="901">
        <v>949864961.52999997</v>
      </c>
      <c r="D63" s="109">
        <v>1211376248.9200001</v>
      </c>
      <c r="E63" s="109">
        <v>664587102.16999996</v>
      </c>
      <c r="F63" s="109">
        <v>650352695.62</v>
      </c>
      <c r="G63" s="109">
        <v>2466120.6</v>
      </c>
      <c r="H63" s="109">
        <v>240208528.38999999</v>
      </c>
      <c r="I63" s="109">
        <v>389403611.69499993</v>
      </c>
      <c r="J63" s="109">
        <v>2162567050.6900001</v>
      </c>
      <c r="K63" s="109">
        <v>1665991847.2</v>
      </c>
      <c r="L63" s="109">
        <v>2107373206.3899999</v>
      </c>
      <c r="M63" s="109">
        <v>1943000260.6100001</v>
      </c>
      <c r="N63" s="109">
        <v>2517438388.3699999</v>
      </c>
      <c r="O63" s="109">
        <v>2082456347.3900003</v>
      </c>
      <c r="P63" s="109">
        <v>2771960308.5599999</v>
      </c>
      <c r="Q63" s="109">
        <v>2593352956.23</v>
      </c>
      <c r="R63" s="109">
        <v>2519904508.9699998</v>
      </c>
      <c r="S63" s="109">
        <v>2322664875.7800002</v>
      </c>
      <c r="T63" s="109">
        <v>2551970662.3850002</v>
      </c>
      <c r="U63" s="109">
        <v>2753011221</v>
      </c>
      <c r="V63" s="110">
        <v>0.15258937629442582</v>
      </c>
      <c r="W63" s="111">
        <v>420080265.14394569</v>
      </c>
      <c r="X63" s="111">
        <v>791295983.77605438</v>
      </c>
      <c r="Y63" s="110">
        <v>0.84741062370557407</v>
      </c>
      <c r="Z63" s="111">
        <v>2162567050.6900001</v>
      </c>
      <c r="AA63" s="111">
        <v>3373943299.6100001</v>
      </c>
      <c r="AB63" s="111">
        <v>620932078.61000013</v>
      </c>
      <c r="AC63" s="112">
        <v>3475161598.5983005</v>
      </c>
      <c r="AD63" s="113">
        <v>722150377.59830046</v>
      </c>
    </row>
    <row r="64" spans="1:30" ht="25.5" x14ac:dyDescent="0.25">
      <c r="A64" s="107" t="s">
        <v>152</v>
      </c>
      <c r="B64" s="108" t="s">
        <v>153</v>
      </c>
      <c r="C64" s="901">
        <v>89081794.450000003</v>
      </c>
      <c r="D64" s="109">
        <v>66884898.43</v>
      </c>
      <c r="E64" s="109">
        <v>70787700.340000004</v>
      </c>
      <c r="F64" s="109">
        <v>69211173.030000001</v>
      </c>
      <c r="G64" s="109">
        <v>62624321.590000004</v>
      </c>
      <c r="H64" s="109">
        <v>65206029.710000001</v>
      </c>
      <c r="I64" s="109">
        <v>66957306.167500004</v>
      </c>
      <c r="J64" s="109">
        <v>102167768.1375</v>
      </c>
      <c r="K64" s="109">
        <v>112929388.38</v>
      </c>
      <c r="L64" s="109">
        <v>90968102.75</v>
      </c>
      <c r="M64" s="109">
        <v>107384838.71000001</v>
      </c>
      <c r="N64" s="109">
        <v>122204916.38</v>
      </c>
      <c r="O64" s="109">
        <v>88113214.709999979</v>
      </c>
      <c r="P64" s="109">
        <v>161755803.09</v>
      </c>
      <c r="Q64" s="109">
        <v>176596011.74000001</v>
      </c>
      <c r="R64" s="109">
        <v>184829237.97</v>
      </c>
      <c r="S64" s="109">
        <v>153319244.41999999</v>
      </c>
      <c r="T64" s="109">
        <v>169125074.30500001</v>
      </c>
      <c r="U64" s="109">
        <v>183982494.59999999</v>
      </c>
      <c r="V64" s="110">
        <v>0.39590407538712596</v>
      </c>
      <c r="W64" s="111">
        <v>72839419.412029892</v>
      </c>
      <c r="X64" s="115">
        <v>-5954520.9820298925</v>
      </c>
      <c r="Y64" s="110">
        <v>0.60409592461287398</v>
      </c>
      <c r="Z64" s="111">
        <v>102167768.1375</v>
      </c>
      <c r="AA64" s="111">
        <v>169052666.5675</v>
      </c>
      <c r="AB64" s="116">
        <v>-14929828.032499999</v>
      </c>
      <c r="AC64" s="112">
        <v>174124246.56452501</v>
      </c>
      <c r="AD64" s="113">
        <v>-9858248.0354749858</v>
      </c>
    </row>
    <row r="65" spans="1:30" ht="25.5" x14ac:dyDescent="0.25">
      <c r="A65" s="107" t="s">
        <v>154</v>
      </c>
      <c r="B65" s="108" t="s">
        <v>155</v>
      </c>
      <c r="C65" s="901">
        <v>89081794.450000003</v>
      </c>
      <c r="D65" s="109">
        <v>66884898.43</v>
      </c>
      <c r="E65" s="109">
        <v>70787700.340000004</v>
      </c>
      <c r="F65" s="109">
        <v>69211173.030000001</v>
      </c>
      <c r="G65" s="109">
        <v>62624321.590000004</v>
      </c>
      <c r="H65" s="109">
        <v>65206029.710000001</v>
      </c>
      <c r="I65" s="109">
        <v>66957306.167500004</v>
      </c>
      <c r="J65" s="109">
        <v>102167768.1375</v>
      </c>
      <c r="K65" s="109">
        <v>112929388.38</v>
      </c>
      <c r="L65" s="109">
        <v>90968102.75</v>
      </c>
      <c r="M65" s="109">
        <v>107384838.71000001</v>
      </c>
      <c r="N65" s="109">
        <v>122204916.38</v>
      </c>
      <c r="O65" s="109">
        <v>88113214.709999979</v>
      </c>
      <c r="P65" s="109">
        <v>161755803.09</v>
      </c>
      <c r="Q65" s="109">
        <v>176596011.74000001</v>
      </c>
      <c r="R65" s="109">
        <v>184829237.97</v>
      </c>
      <c r="S65" s="109">
        <v>153319244.41999999</v>
      </c>
      <c r="T65" s="109">
        <v>169125074.30500001</v>
      </c>
      <c r="U65" s="109">
        <v>183982494.59999999</v>
      </c>
      <c r="V65" s="110">
        <v>0.39590407538712596</v>
      </c>
      <c r="W65" s="111">
        <v>72839419.412029892</v>
      </c>
      <c r="X65" s="115">
        <v>-5954520.9820298925</v>
      </c>
      <c r="Y65" s="110">
        <v>0.60409592461287398</v>
      </c>
      <c r="Z65" s="111">
        <v>102167768.1375</v>
      </c>
      <c r="AA65" s="111">
        <v>169052666.5675</v>
      </c>
      <c r="AB65" s="116">
        <v>-14929828.032499999</v>
      </c>
      <c r="AC65" s="112">
        <v>174124246.56452501</v>
      </c>
      <c r="AD65" s="113">
        <v>-9858248.0354749858</v>
      </c>
    </row>
    <row r="66" spans="1:30" ht="25.5" x14ac:dyDescent="0.25">
      <c r="A66" s="107" t="s">
        <v>156</v>
      </c>
      <c r="B66" s="108" t="s">
        <v>157</v>
      </c>
      <c r="C66" s="901">
        <v>1627317327.3399999</v>
      </c>
      <c r="D66" s="109">
        <v>515212792.27999997</v>
      </c>
      <c r="E66" s="109">
        <v>520311975.18000001</v>
      </c>
      <c r="F66" s="109">
        <v>988005228.82000005</v>
      </c>
      <c r="G66" s="109">
        <v>938396858.17999995</v>
      </c>
      <c r="H66" s="109">
        <v>2433848425.6199999</v>
      </c>
      <c r="I66" s="109">
        <v>1220140621.9499998</v>
      </c>
      <c r="J66" s="109">
        <v>2462248896.1424999</v>
      </c>
      <c r="K66" s="109">
        <v>1476100226.0200002</v>
      </c>
      <c r="L66" s="109">
        <v>1796376664.7499998</v>
      </c>
      <c r="M66" s="109">
        <v>2521227464.8199997</v>
      </c>
      <c r="N66" s="109">
        <v>1904259780.9300003</v>
      </c>
      <c r="O66" s="109">
        <v>3627131674.0699997</v>
      </c>
      <c r="P66" s="109">
        <v>2316688639.9299998</v>
      </c>
      <c r="Q66" s="109">
        <v>3509232693.6399999</v>
      </c>
      <c r="R66" s="109">
        <v>2842656639.1100001</v>
      </c>
      <c r="S66" s="109">
        <v>6060980099.6899996</v>
      </c>
      <c r="T66" s="109">
        <v>3682389518.0924997</v>
      </c>
      <c r="U66" s="109">
        <v>1704977490</v>
      </c>
      <c r="V66" s="110">
        <v>0.33134480096555352</v>
      </c>
      <c r="W66" s="111">
        <v>564935427.07479906</v>
      </c>
      <c r="X66" s="111">
        <v>-49722634.794799089</v>
      </c>
      <c r="Y66" s="110">
        <v>0.66865519903444648</v>
      </c>
      <c r="Z66" s="111">
        <v>2462248896.1424999</v>
      </c>
      <c r="AA66" s="111">
        <v>2977461688.4224997</v>
      </c>
      <c r="AB66" s="111">
        <v>1272484198.4224997</v>
      </c>
      <c r="AC66" s="112">
        <v>3066785539.0751748</v>
      </c>
      <c r="AD66" s="113">
        <v>1361808049.0751748</v>
      </c>
    </row>
    <row r="67" spans="1:30" ht="25.5" x14ac:dyDescent="0.25">
      <c r="A67" s="107" t="s">
        <v>158</v>
      </c>
      <c r="B67" s="108" t="s">
        <v>159</v>
      </c>
      <c r="C67" s="901">
        <v>445408972.33999997</v>
      </c>
      <c r="D67" s="109">
        <v>334424492.31</v>
      </c>
      <c r="E67" s="109">
        <v>353938501.14999998</v>
      </c>
      <c r="F67" s="109">
        <v>346055865.29000002</v>
      </c>
      <c r="G67" s="109">
        <v>313121607.91000003</v>
      </c>
      <c r="H67" s="109">
        <v>326030148.52999997</v>
      </c>
      <c r="I67" s="109">
        <v>334786530.72000003</v>
      </c>
      <c r="J67" s="109">
        <v>510843375.0625</v>
      </c>
      <c r="K67" s="109">
        <v>564646941.74000001</v>
      </c>
      <c r="L67" s="109">
        <v>454840513.88999999</v>
      </c>
      <c r="M67" s="109">
        <v>536924193.66000009</v>
      </c>
      <c r="N67" s="109">
        <v>611024582.0999999</v>
      </c>
      <c r="O67" s="109">
        <v>440584210.60000002</v>
      </c>
      <c r="P67" s="109">
        <v>808779015.03999996</v>
      </c>
      <c r="Q67" s="109">
        <v>882980058.95000005</v>
      </c>
      <c r="R67" s="109">
        <v>924146190.00999999</v>
      </c>
      <c r="S67" s="109">
        <v>766614359.13</v>
      </c>
      <c r="T67" s="109">
        <v>845629905.78250003</v>
      </c>
      <c r="U67" s="109">
        <v>919912475</v>
      </c>
      <c r="V67" s="110">
        <v>0.39590195241523152</v>
      </c>
      <c r="W67" s="111">
        <v>364195144.90362787</v>
      </c>
      <c r="X67" s="115">
        <v>-29770652.59362787</v>
      </c>
      <c r="Y67" s="110">
        <v>0.60409804758476848</v>
      </c>
      <c r="Z67" s="111">
        <v>510843375.0625</v>
      </c>
      <c r="AA67" s="111">
        <v>845267867.37249994</v>
      </c>
      <c r="AB67" s="116">
        <v>-74644607.627500057</v>
      </c>
      <c r="AC67" s="112">
        <v>870625903.39367497</v>
      </c>
      <c r="AD67" s="113">
        <v>-49286571.60632503</v>
      </c>
    </row>
    <row r="68" spans="1:30" ht="25.5" x14ac:dyDescent="0.25">
      <c r="A68" s="107" t="s">
        <v>160</v>
      </c>
      <c r="B68" s="108" t="s">
        <v>161</v>
      </c>
      <c r="C68" s="901">
        <v>89081794.450000003</v>
      </c>
      <c r="D68" s="109">
        <v>66884898.43</v>
      </c>
      <c r="E68" s="109">
        <v>70787700.340000004</v>
      </c>
      <c r="F68" s="109">
        <v>69211173.019999996</v>
      </c>
      <c r="G68" s="109">
        <v>62624321.590000004</v>
      </c>
      <c r="H68" s="109">
        <v>65206029.710000001</v>
      </c>
      <c r="I68" s="109">
        <v>66957306.165000007</v>
      </c>
      <c r="J68" s="109">
        <v>102167768.14</v>
      </c>
      <c r="K68" s="109">
        <v>112929388.36999999</v>
      </c>
      <c r="L68" s="109">
        <v>90968102.75</v>
      </c>
      <c r="M68" s="109">
        <v>107384838.72000001</v>
      </c>
      <c r="N68" s="109">
        <v>122204916.38999999</v>
      </c>
      <c r="O68" s="109">
        <v>88113214.699999988</v>
      </c>
      <c r="P68" s="109">
        <v>161755803.09</v>
      </c>
      <c r="Q68" s="109">
        <v>176596011.74000001</v>
      </c>
      <c r="R68" s="109">
        <v>184829237.97999999</v>
      </c>
      <c r="S68" s="109">
        <v>153319244.41</v>
      </c>
      <c r="T68" s="109">
        <v>169125074.30500001</v>
      </c>
      <c r="U68" s="109">
        <v>183982494.59999999</v>
      </c>
      <c r="V68" s="110">
        <v>0.39590407537234401</v>
      </c>
      <c r="W68" s="111">
        <v>72839419.409310266</v>
      </c>
      <c r="X68" s="115">
        <v>-5954520.9793102667</v>
      </c>
      <c r="Y68" s="110">
        <v>0.60409592462765593</v>
      </c>
      <c r="Z68" s="111">
        <v>102167768.14</v>
      </c>
      <c r="AA68" s="111">
        <v>169052666.56999999</v>
      </c>
      <c r="AB68" s="116">
        <v>-14929828.030000001</v>
      </c>
      <c r="AC68" s="112">
        <v>174124246.56709999</v>
      </c>
      <c r="AD68" s="113">
        <v>-9858248.0329000056</v>
      </c>
    </row>
    <row r="69" spans="1:30" x14ac:dyDescent="0.25">
      <c r="A69" s="107" t="s">
        <v>162</v>
      </c>
      <c r="B69" s="108" t="s">
        <v>163</v>
      </c>
      <c r="C69" s="901">
        <v>1259627301.4400001</v>
      </c>
      <c r="D69" s="109">
        <v>646603870.55999994</v>
      </c>
      <c r="E69" s="109">
        <v>732183059.57000005</v>
      </c>
      <c r="F69" s="109">
        <v>659662386.92999995</v>
      </c>
      <c r="G69" s="109">
        <v>1198602547.3099999</v>
      </c>
      <c r="H69" s="109">
        <v>812186606.69000006</v>
      </c>
      <c r="I69" s="109">
        <v>850658650.125</v>
      </c>
      <c r="J69" s="109">
        <v>927649310.97500002</v>
      </c>
      <c r="K69" s="109">
        <v>1024366227.42</v>
      </c>
      <c r="L69" s="109">
        <v>841274952.89999998</v>
      </c>
      <c r="M69" s="109">
        <v>910300482.40999997</v>
      </c>
      <c r="N69" s="109">
        <v>1096442838.9000001</v>
      </c>
      <c r="O69" s="109">
        <v>862578969.69000006</v>
      </c>
      <c r="P69" s="109">
        <v>1573458012.47</v>
      </c>
      <c r="Q69" s="109">
        <v>1569962869.3399999</v>
      </c>
      <c r="R69" s="109">
        <v>2295045386.21</v>
      </c>
      <c r="S69" s="109">
        <v>1674765576.3800001</v>
      </c>
      <c r="T69" s="109">
        <v>1778307961.1000001</v>
      </c>
      <c r="U69" s="109">
        <v>1724182726</v>
      </c>
      <c r="V69" s="110">
        <v>0.47835283242999815</v>
      </c>
      <c r="W69" s="111">
        <v>824767690.60897541</v>
      </c>
      <c r="X69" s="115">
        <v>-178163820.04897547</v>
      </c>
      <c r="Y69" s="110">
        <v>0.52164716757000185</v>
      </c>
      <c r="Z69" s="111">
        <v>927649310.97500002</v>
      </c>
      <c r="AA69" s="111">
        <v>1574253181.5349998</v>
      </c>
      <c r="AB69" s="120"/>
      <c r="AC69" s="112">
        <v>1621480776.9810498</v>
      </c>
      <c r="AD69" s="113">
        <v>-102701949.01895022</v>
      </c>
    </row>
    <row r="70" spans="1:30" x14ac:dyDescent="0.25">
      <c r="A70" s="107" t="s">
        <v>164</v>
      </c>
      <c r="B70" s="108" t="s">
        <v>165</v>
      </c>
      <c r="C70" s="901">
        <v>0</v>
      </c>
      <c r="D70" s="109">
        <v>22133180.120000001</v>
      </c>
      <c r="E70" s="109">
        <v>69676132.180000007</v>
      </c>
      <c r="F70" s="109">
        <v>0</v>
      </c>
      <c r="G70" s="109">
        <v>0</v>
      </c>
      <c r="H70" s="109">
        <v>0</v>
      </c>
      <c r="I70" s="109">
        <v>17419033.045000002</v>
      </c>
      <c r="J70" s="109">
        <v>3552316154.79</v>
      </c>
      <c r="K70" s="109">
        <v>3494477.81</v>
      </c>
      <c r="L70" s="109">
        <v>655606585.66000009</v>
      </c>
      <c r="M70" s="109">
        <v>9953658033.5</v>
      </c>
      <c r="N70" s="109">
        <v>3600000000</v>
      </c>
      <c r="O70" s="109">
        <v>0</v>
      </c>
      <c r="P70" s="109">
        <v>725282717.84000003</v>
      </c>
      <c r="Q70" s="109">
        <v>9953658033.5</v>
      </c>
      <c r="R70" s="109">
        <v>3600000000</v>
      </c>
      <c r="S70" s="109">
        <v>0</v>
      </c>
      <c r="T70" s="109">
        <v>3569735187.835</v>
      </c>
      <c r="U70" s="109">
        <v>0</v>
      </c>
      <c r="V70" s="110">
        <v>4.8796429226349502E-3</v>
      </c>
      <c r="W70" s="111">
        <v>0</v>
      </c>
      <c r="X70" s="111">
        <v>22133180.120000001</v>
      </c>
      <c r="Y70" s="110">
        <v>0.99512035707736501</v>
      </c>
      <c r="Z70" s="111">
        <v>3552316154.79</v>
      </c>
      <c r="AA70" s="111">
        <v>3574449334.9099998</v>
      </c>
      <c r="AB70" s="111">
        <v>3574449334.9099998</v>
      </c>
      <c r="AC70" s="112">
        <v>3681682814.9572997</v>
      </c>
      <c r="AD70" s="113">
        <v>3681682814.9572997</v>
      </c>
    </row>
    <row r="71" spans="1:30" x14ac:dyDescent="0.25">
      <c r="A71" s="107" t="s">
        <v>166</v>
      </c>
      <c r="B71" s="108" t="s">
        <v>167</v>
      </c>
      <c r="C71" s="901">
        <v>0</v>
      </c>
      <c r="D71" s="109">
        <v>0</v>
      </c>
      <c r="E71" s="109">
        <v>219198452</v>
      </c>
      <c r="F71" s="109">
        <v>193282666</v>
      </c>
      <c r="G71" s="109">
        <v>176268649</v>
      </c>
      <c r="H71" s="109">
        <v>0</v>
      </c>
      <c r="I71" s="109">
        <v>147187441.75</v>
      </c>
      <c r="J71" s="109">
        <v>61038762.25</v>
      </c>
      <c r="K71" s="109">
        <v>141163803</v>
      </c>
      <c r="L71" s="109">
        <v>0</v>
      </c>
      <c r="M71" s="109">
        <v>10900615</v>
      </c>
      <c r="N71" s="109">
        <v>26576791</v>
      </c>
      <c r="O71" s="109">
        <v>206677643</v>
      </c>
      <c r="P71" s="109">
        <v>219198452</v>
      </c>
      <c r="Q71" s="109">
        <v>204183281</v>
      </c>
      <c r="R71" s="109">
        <v>202845440</v>
      </c>
      <c r="S71" s="109">
        <v>206677643</v>
      </c>
      <c r="T71" s="109">
        <v>208226204</v>
      </c>
      <c r="U71" s="109">
        <v>263038142</v>
      </c>
      <c r="V71" s="110">
        <v>0.70686320416233495</v>
      </c>
      <c r="W71" s="111">
        <v>185931983.87102726</v>
      </c>
      <c r="X71" s="115">
        <v>-185931983.87102726</v>
      </c>
      <c r="Y71" s="110">
        <v>0.29313679583766505</v>
      </c>
      <c r="Z71" s="111">
        <v>61038762.25</v>
      </c>
      <c r="AA71" s="111">
        <v>61038762.25</v>
      </c>
      <c r="AB71" s="111"/>
      <c r="AC71" s="112">
        <v>62869925.1175</v>
      </c>
      <c r="AD71" s="113"/>
    </row>
    <row r="72" spans="1:30" x14ac:dyDescent="0.25">
      <c r="A72" s="107" t="s">
        <v>168</v>
      </c>
      <c r="B72" s="108" t="s">
        <v>169</v>
      </c>
      <c r="C72" s="901">
        <v>342237056.63999999</v>
      </c>
      <c r="D72" s="109">
        <v>332311583</v>
      </c>
      <c r="E72" s="109">
        <v>177745749</v>
      </c>
      <c r="F72" s="109">
        <v>209036868</v>
      </c>
      <c r="G72" s="109">
        <v>234200969.68000001</v>
      </c>
      <c r="H72" s="109">
        <v>202833940.06999999</v>
      </c>
      <c r="I72" s="109">
        <v>205954381.6875</v>
      </c>
      <c r="J72" s="109">
        <v>361485489.24000001</v>
      </c>
      <c r="K72" s="109">
        <v>493313204.67000002</v>
      </c>
      <c r="L72" s="109">
        <v>424158268</v>
      </c>
      <c r="M72" s="109">
        <v>393383743</v>
      </c>
      <c r="N72" s="109">
        <v>308636374.31999999</v>
      </c>
      <c r="O72" s="109">
        <v>319763571.63999999</v>
      </c>
      <c r="P72" s="109">
        <v>601904017</v>
      </c>
      <c r="Q72" s="109">
        <v>602420611</v>
      </c>
      <c r="R72" s="109">
        <v>542837344</v>
      </c>
      <c r="S72" s="109">
        <v>522597511.70999998</v>
      </c>
      <c r="T72" s="109">
        <v>567439870.92750001</v>
      </c>
      <c r="U72" s="109">
        <v>664872303.75999999</v>
      </c>
      <c r="V72" s="110">
        <v>0.36295366652833272</v>
      </c>
      <c r="W72" s="111">
        <v>241317840.42283139</v>
      </c>
      <c r="X72" s="111">
        <v>90993742.577168614</v>
      </c>
      <c r="Y72" s="110">
        <v>0.63704633347166728</v>
      </c>
      <c r="Z72" s="111">
        <v>361485489.24000001</v>
      </c>
      <c r="AA72" s="111">
        <v>693797072.24000001</v>
      </c>
      <c r="AB72" s="111">
        <v>28924768.480000019</v>
      </c>
      <c r="AC72" s="112">
        <v>714610984.40719998</v>
      </c>
      <c r="AD72" s="113">
        <v>49738680.647199988</v>
      </c>
    </row>
    <row r="73" spans="1:30" ht="25.5" x14ac:dyDescent="0.25">
      <c r="A73" s="107" t="s">
        <v>170</v>
      </c>
      <c r="B73" s="108" t="s">
        <v>171</v>
      </c>
      <c r="C73" s="901">
        <v>513355584.92000002</v>
      </c>
      <c r="D73" s="109">
        <v>498467371</v>
      </c>
      <c r="E73" s="109">
        <v>266618624</v>
      </c>
      <c r="F73" s="109">
        <v>313555303</v>
      </c>
      <c r="G73" s="109">
        <v>351301454.51999998</v>
      </c>
      <c r="H73" s="109">
        <v>304250910.06999999</v>
      </c>
      <c r="I73" s="109">
        <v>308931572.89749998</v>
      </c>
      <c r="J73" s="109">
        <v>542228233.48500001</v>
      </c>
      <c r="K73" s="109">
        <v>739969810.47000003</v>
      </c>
      <c r="L73" s="109">
        <v>636237401</v>
      </c>
      <c r="M73" s="109">
        <v>590075614</v>
      </c>
      <c r="N73" s="109">
        <v>462954561.48000002</v>
      </c>
      <c r="O73" s="109">
        <v>479645357.45999998</v>
      </c>
      <c r="P73" s="109">
        <v>902856025</v>
      </c>
      <c r="Q73" s="109">
        <v>903630917</v>
      </c>
      <c r="R73" s="109">
        <v>814256016</v>
      </c>
      <c r="S73" s="109">
        <v>783896267.52999997</v>
      </c>
      <c r="T73" s="109">
        <v>851159806.38249993</v>
      </c>
      <c r="U73" s="109">
        <v>997308455.63999999</v>
      </c>
      <c r="V73" s="110">
        <v>0.36295366696235914</v>
      </c>
      <c r="W73" s="111">
        <v>361976761.06710529</v>
      </c>
      <c r="X73" s="111">
        <v>136490609.93289471</v>
      </c>
      <c r="Y73" s="110">
        <v>0.63704633303764091</v>
      </c>
      <c r="Z73" s="111">
        <v>542228233.48500001</v>
      </c>
      <c r="AA73" s="111">
        <v>1040695604.485</v>
      </c>
      <c r="AB73" s="111">
        <v>43387148.845000029</v>
      </c>
      <c r="AC73" s="112">
        <v>1071916472.61955</v>
      </c>
      <c r="AD73" s="113">
        <v>74608016.979550004</v>
      </c>
    </row>
    <row r="74" spans="1:30" ht="25.5" x14ac:dyDescent="0.25">
      <c r="A74" s="107" t="s">
        <v>172</v>
      </c>
      <c r="B74" s="108" t="s">
        <v>173</v>
      </c>
      <c r="C74" s="901">
        <v>0</v>
      </c>
      <c r="D74" s="109">
        <v>4000000000</v>
      </c>
      <c r="E74" s="109">
        <v>0</v>
      </c>
      <c r="F74" s="109">
        <v>0</v>
      </c>
      <c r="G74" s="109">
        <v>43558736</v>
      </c>
      <c r="H74" s="109">
        <v>1489494513.8199999</v>
      </c>
      <c r="I74" s="109">
        <v>383263312.45499998</v>
      </c>
      <c r="J74" s="109">
        <v>871578266.9375</v>
      </c>
      <c r="K74" s="109">
        <v>410775187.83999997</v>
      </c>
      <c r="L74" s="109">
        <v>147570542.13999999</v>
      </c>
      <c r="M74" s="109">
        <v>1011812922.63</v>
      </c>
      <c r="N74" s="109">
        <v>553024785</v>
      </c>
      <c r="O74" s="109">
        <v>1773904817.9800003</v>
      </c>
      <c r="P74" s="109">
        <v>147570542.13999999</v>
      </c>
      <c r="Q74" s="109">
        <v>1011812922.63</v>
      </c>
      <c r="R74" s="109">
        <v>596583521</v>
      </c>
      <c r="S74" s="109">
        <v>3263399331.8000002</v>
      </c>
      <c r="T74" s="109">
        <v>1254841579.3924999</v>
      </c>
      <c r="U74" s="109">
        <v>250000000</v>
      </c>
      <c r="V74" s="110">
        <v>0.30542764819806761</v>
      </c>
      <c r="W74" s="111">
        <v>76356912.049516901</v>
      </c>
      <c r="X74" s="111">
        <v>3923643087.9504833</v>
      </c>
      <c r="Y74" s="110">
        <v>0.69457235180193244</v>
      </c>
      <c r="Z74" s="111">
        <v>871578266.9375</v>
      </c>
      <c r="AA74" s="111">
        <v>4871578266.9375</v>
      </c>
      <c r="AB74" s="111">
        <v>4621578266.9375</v>
      </c>
      <c r="AC74" s="112">
        <v>5017725614.9456253</v>
      </c>
      <c r="AD74" s="113">
        <v>4767725614.9456253</v>
      </c>
    </row>
    <row r="75" spans="1:30" ht="25.5" x14ac:dyDescent="0.25">
      <c r="A75" s="107" t="s">
        <v>174</v>
      </c>
      <c r="B75" s="108" t="s">
        <v>175</v>
      </c>
      <c r="C75" s="901">
        <v>1688799755.1400001</v>
      </c>
      <c r="D75" s="109">
        <v>1302795868.78</v>
      </c>
      <c r="E75" s="109">
        <v>775374708.00999999</v>
      </c>
      <c r="F75" s="109">
        <v>1095837414.4100001</v>
      </c>
      <c r="G75" s="109">
        <v>957473865.55999994</v>
      </c>
      <c r="H75" s="109">
        <v>853334484.17999995</v>
      </c>
      <c r="I75" s="109">
        <v>920505118.03999996</v>
      </c>
      <c r="J75" s="109">
        <v>2015029980.1399999</v>
      </c>
      <c r="K75" s="109">
        <v>3037216228.9300003</v>
      </c>
      <c r="L75" s="109">
        <v>1955293439.8199999</v>
      </c>
      <c r="M75" s="109">
        <v>2218696485.1800003</v>
      </c>
      <c r="N75" s="109">
        <v>1828738233.3899999</v>
      </c>
      <c r="O75" s="109">
        <v>2057391762.1700001</v>
      </c>
      <c r="P75" s="109">
        <v>2730668147.8299999</v>
      </c>
      <c r="Q75" s="109">
        <v>3314533899.5900002</v>
      </c>
      <c r="R75" s="109">
        <v>2786212098.9499998</v>
      </c>
      <c r="S75" s="109">
        <v>2910726246.3499999</v>
      </c>
      <c r="T75" s="109">
        <v>2935535098.1799998</v>
      </c>
      <c r="U75" s="109">
        <v>3684809425</v>
      </c>
      <c r="V75" s="110">
        <v>0.31357319441034898</v>
      </c>
      <c r="W75" s="111">
        <v>1155457462.1906111</v>
      </c>
      <c r="X75" s="111">
        <v>147338406.58938885</v>
      </c>
      <c r="Y75" s="110">
        <v>0.68642680558965097</v>
      </c>
      <c r="Z75" s="111">
        <v>2015029980.1399999</v>
      </c>
      <c r="AA75" s="111">
        <v>3317825848.9200001</v>
      </c>
      <c r="AB75" s="121">
        <v>-366983576.07999992</v>
      </c>
      <c r="AC75" s="112">
        <v>3417360624.3875999</v>
      </c>
      <c r="AD75" s="113">
        <v>-267448800.61240005</v>
      </c>
    </row>
    <row r="76" spans="1:30" ht="25.5" x14ac:dyDescent="0.25">
      <c r="A76" s="107" t="s">
        <v>176</v>
      </c>
      <c r="B76" s="108" t="s">
        <v>177</v>
      </c>
      <c r="C76" s="114"/>
      <c r="D76" s="109">
        <v>998.22</v>
      </c>
      <c r="E76" s="109">
        <v>1199618880.03</v>
      </c>
      <c r="F76" s="109">
        <v>2419848280.79</v>
      </c>
      <c r="G76" s="109">
        <v>1774488329.1199999</v>
      </c>
      <c r="H76" s="109">
        <v>792863417.72000003</v>
      </c>
      <c r="I76" s="109">
        <v>1546704726.915</v>
      </c>
      <c r="J76" s="109">
        <v>2035784203.0475001</v>
      </c>
      <c r="K76" s="109">
        <v>891.35</v>
      </c>
      <c r="L76" s="109">
        <v>-542989876.69999993</v>
      </c>
      <c r="M76" s="109">
        <v>3107476968.75</v>
      </c>
      <c r="N76" s="109">
        <v>2271432067.3299999</v>
      </c>
      <c r="O76" s="109">
        <v>3307217652.8100004</v>
      </c>
      <c r="P76" s="109">
        <v>656629003.33000004</v>
      </c>
      <c r="Q76" s="109">
        <v>5527325249.54</v>
      </c>
      <c r="R76" s="109">
        <v>4045920396.4499998</v>
      </c>
      <c r="S76" s="109">
        <v>4100081070.5300002</v>
      </c>
      <c r="T76" s="109">
        <v>3582488929.9625001</v>
      </c>
      <c r="U76" s="109">
        <v>0</v>
      </c>
      <c r="V76" s="110">
        <v>0.43174026693536499</v>
      </c>
      <c r="W76" s="111">
        <v>0</v>
      </c>
      <c r="X76" s="111">
        <v>998.22</v>
      </c>
      <c r="Y76" s="110">
        <v>0.56825973306463495</v>
      </c>
      <c r="Z76" s="111">
        <v>2035784203.0475001</v>
      </c>
      <c r="AA76" s="111">
        <v>2035785201.2675002</v>
      </c>
      <c r="AB76" s="111">
        <v>2035785201.2675002</v>
      </c>
      <c r="AC76" s="112">
        <v>2096858757.3055253</v>
      </c>
      <c r="AD76" s="113">
        <v>2096858757.3055253</v>
      </c>
    </row>
    <row r="77" spans="1:30" ht="25.5" x14ac:dyDescent="0.25">
      <c r="A77" s="107" t="s">
        <v>178</v>
      </c>
      <c r="B77" s="108" t="s">
        <v>179</v>
      </c>
      <c r="C77" s="901">
        <v>1910269174.48</v>
      </c>
      <c r="D77" s="109">
        <v>1767067300.3299999</v>
      </c>
      <c r="E77" s="109">
        <v>1679245507</v>
      </c>
      <c r="F77" s="109">
        <v>1698580215.99</v>
      </c>
      <c r="G77" s="109">
        <v>1483275391.96</v>
      </c>
      <c r="H77" s="109">
        <v>1617967673.25</v>
      </c>
      <c r="I77" s="109">
        <v>1619767197.05</v>
      </c>
      <c r="J77" s="109">
        <v>2319162303.9899998</v>
      </c>
      <c r="K77" s="109">
        <v>2510698109.6100001</v>
      </c>
      <c r="L77" s="109">
        <v>2418602264.1300001</v>
      </c>
      <c r="M77" s="109">
        <v>2484558465.96</v>
      </c>
      <c r="N77" s="109">
        <v>2180115154.9699998</v>
      </c>
      <c r="O77" s="109">
        <v>2193373330.9000001</v>
      </c>
      <c r="P77" s="109">
        <v>4097847771.1300001</v>
      </c>
      <c r="Q77" s="109">
        <v>4183138681.9499998</v>
      </c>
      <c r="R77" s="109">
        <v>3663390546.9299998</v>
      </c>
      <c r="S77" s="109">
        <v>3811341004.1500001</v>
      </c>
      <c r="T77" s="109">
        <v>3938929501.04</v>
      </c>
      <c r="U77" s="109">
        <v>4236165548</v>
      </c>
      <c r="V77" s="110">
        <v>0.41122015426331721</v>
      </c>
      <c r="W77" s="111">
        <v>1741996650.1335096</v>
      </c>
      <c r="X77" s="115">
        <v>25070650.196490288</v>
      </c>
      <c r="Y77" s="110">
        <v>0.58877984573668274</v>
      </c>
      <c r="Z77" s="111">
        <v>2319162303.9899998</v>
      </c>
      <c r="AA77" s="111">
        <v>4086229604.3199997</v>
      </c>
      <c r="AB77" s="111">
        <v>-149935943.68000031</v>
      </c>
      <c r="AC77" s="112">
        <v>4208816492.4495997</v>
      </c>
      <c r="AD77" s="113">
        <v>-27349055.550400257</v>
      </c>
    </row>
    <row r="78" spans="1:30" x14ac:dyDescent="0.25">
      <c r="A78" s="107" t="s">
        <v>180</v>
      </c>
      <c r="B78" s="108" t="s">
        <v>181</v>
      </c>
      <c r="C78" s="901">
        <v>154103812.34999999</v>
      </c>
      <c r="D78" s="109">
        <v>438077398.69999999</v>
      </c>
      <c r="E78" s="109">
        <v>380100182.77999997</v>
      </c>
      <c r="F78" s="109">
        <v>308905224.56</v>
      </c>
      <c r="G78" s="109">
        <v>323748054.56</v>
      </c>
      <c r="H78" s="109">
        <v>314231466.72000003</v>
      </c>
      <c r="I78" s="109">
        <v>331746232.15499997</v>
      </c>
      <c r="J78" s="109">
        <v>542653418.14250004</v>
      </c>
      <c r="K78" s="109">
        <v>434309472.37</v>
      </c>
      <c r="L78" s="109">
        <v>628389336.57000005</v>
      </c>
      <c r="M78" s="109">
        <v>602168566.78999996</v>
      </c>
      <c r="N78" s="109">
        <v>439224881.80000001</v>
      </c>
      <c r="O78" s="109">
        <v>500830887.40999997</v>
      </c>
      <c r="P78" s="109">
        <v>1008489519.35</v>
      </c>
      <c r="Q78" s="109">
        <v>911073791.35000002</v>
      </c>
      <c r="R78" s="109">
        <v>762972936.36000001</v>
      </c>
      <c r="S78" s="109">
        <v>815062354.13</v>
      </c>
      <c r="T78" s="109">
        <v>874399650.29750001</v>
      </c>
      <c r="U78" s="109">
        <v>844700000</v>
      </c>
      <c r="V78" s="110">
        <v>0.37939886188441269</v>
      </c>
      <c r="W78" s="111">
        <v>320478218.63376337</v>
      </c>
      <c r="X78" s="111">
        <v>117599180.06623662</v>
      </c>
      <c r="Y78" s="110">
        <v>0.62060113811558726</v>
      </c>
      <c r="Z78" s="111">
        <v>542653418.14250004</v>
      </c>
      <c r="AA78" s="111">
        <v>980730816.84249997</v>
      </c>
      <c r="AB78" s="111">
        <v>136030816.84249997</v>
      </c>
      <c r="AC78" s="112">
        <v>1010152741.347775</v>
      </c>
      <c r="AD78" s="113">
        <v>165452741.34777498</v>
      </c>
    </row>
    <row r="79" spans="1:30" ht="25.5" x14ac:dyDescent="0.25">
      <c r="A79" s="107" t="s">
        <v>182</v>
      </c>
      <c r="B79" s="108" t="s">
        <v>183</v>
      </c>
      <c r="C79" s="901">
        <v>295398.51</v>
      </c>
      <c r="D79" s="109">
        <v>22246.79</v>
      </c>
      <c r="E79" s="109">
        <v>219732.33</v>
      </c>
      <c r="F79" s="109">
        <v>7104277.04</v>
      </c>
      <c r="G79" s="109">
        <v>6217161.7999999998</v>
      </c>
      <c r="H79" s="109">
        <v>9248042.7300000004</v>
      </c>
      <c r="I79" s="109">
        <v>5697303.4749999996</v>
      </c>
      <c r="J79" s="109">
        <v>57394889.602499999</v>
      </c>
      <c r="K79" s="109">
        <v>82139.600000000006</v>
      </c>
      <c r="L79" s="109">
        <v>8060060.4399999995</v>
      </c>
      <c r="M79" s="109">
        <v>748343.40000000037</v>
      </c>
      <c r="N79" s="109">
        <v>226063771.28999999</v>
      </c>
      <c r="O79" s="109">
        <v>-5292616.7200000007</v>
      </c>
      <c r="P79" s="109">
        <v>8279792.7699999996</v>
      </c>
      <c r="Q79" s="109">
        <v>7852620.4400000004</v>
      </c>
      <c r="R79" s="109">
        <v>232280933.09</v>
      </c>
      <c r="S79" s="109">
        <v>3955426.01</v>
      </c>
      <c r="T79" s="109">
        <v>63092193.077500001</v>
      </c>
      <c r="U79" s="109">
        <v>0</v>
      </c>
      <c r="V79" s="110">
        <v>9.0301243261613262E-2</v>
      </c>
      <c r="W79" s="111">
        <v>0</v>
      </c>
      <c r="X79" s="111">
        <v>22246.79</v>
      </c>
      <c r="Y79" s="110">
        <v>0.90969875673838674</v>
      </c>
      <c r="Z79" s="111">
        <v>57394889.602499999</v>
      </c>
      <c r="AA79" s="111">
        <v>57417136.392499998</v>
      </c>
      <c r="AB79" s="111">
        <v>57417136.392499998</v>
      </c>
      <c r="AC79" s="112">
        <v>59139650.484274998</v>
      </c>
      <c r="AD79" s="113">
        <v>59139650.484274998</v>
      </c>
    </row>
    <row r="80" spans="1:30" ht="25.5" x14ac:dyDescent="0.25">
      <c r="A80" s="107" t="s">
        <v>184</v>
      </c>
      <c r="B80" s="108" t="s">
        <v>185</v>
      </c>
      <c r="C80" s="901">
        <v>23824020871</v>
      </c>
      <c r="D80" s="109">
        <v>878295123.02999997</v>
      </c>
      <c r="E80" s="109">
        <v>32896892437.779999</v>
      </c>
      <c r="F80" s="109">
        <v>5643224505.3199997</v>
      </c>
      <c r="G80" s="109">
        <v>5663457633.2600002</v>
      </c>
      <c r="H80" s="109">
        <v>4417406706.7200003</v>
      </c>
      <c r="I80" s="109">
        <v>12155245320.77</v>
      </c>
      <c r="J80" s="109">
        <v>7399496444.8975</v>
      </c>
      <c r="K80" s="109">
        <v>19260683024.520004</v>
      </c>
      <c r="L80" s="109">
        <v>3462616347.7099991</v>
      </c>
      <c r="M80" s="109">
        <v>10793016408.110001</v>
      </c>
      <c r="N80" s="109">
        <v>14160210466.289999</v>
      </c>
      <c r="O80" s="109">
        <v>1182142557.4799995</v>
      </c>
      <c r="P80" s="109">
        <v>36359508785.489998</v>
      </c>
      <c r="Q80" s="109">
        <v>16436240913.43</v>
      </c>
      <c r="R80" s="109">
        <v>19823668099.549999</v>
      </c>
      <c r="S80" s="109">
        <v>5599549264.1999998</v>
      </c>
      <c r="T80" s="109">
        <v>19554741765.6675</v>
      </c>
      <c r="U80" s="109">
        <v>107326081597.58</v>
      </c>
      <c r="V80" s="110">
        <v>0.62160091227137115</v>
      </c>
      <c r="W80" s="111">
        <v>66713990231.567352</v>
      </c>
      <c r="X80" s="115">
        <v>-65835695108.537354</v>
      </c>
      <c r="Y80" s="110">
        <v>0.3783990877286289</v>
      </c>
      <c r="Z80" s="111">
        <v>7399496444.8975</v>
      </c>
      <c r="AA80" s="111">
        <v>8277791567.9274998</v>
      </c>
      <c r="AB80" s="111"/>
      <c r="AC80" s="112">
        <v>8526125314.9653254</v>
      </c>
      <c r="AD80" s="113"/>
    </row>
    <row r="81" spans="1:30" ht="25.5" x14ac:dyDescent="0.25">
      <c r="A81" s="107" t="s">
        <v>186</v>
      </c>
      <c r="B81" s="108" t="s">
        <v>187</v>
      </c>
      <c r="C81" s="901">
        <v>2998105585.0900002</v>
      </c>
      <c r="D81" s="109">
        <v>2245620479.9200001</v>
      </c>
      <c r="E81" s="109">
        <v>1581406088.3499999</v>
      </c>
      <c r="F81" s="109">
        <v>2148395868.4499998</v>
      </c>
      <c r="G81" s="109">
        <v>2053968019.27</v>
      </c>
      <c r="H81" s="109">
        <v>1995355252.1099999</v>
      </c>
      <c r="I81" s="109">
        <v>1944781307.0449998</v>
      </c>
      <c r="J81" s="109">
        <v>3473023367.5625</v>
      </c>
      <c r="K81" s="109">
        <v>4556375637.1599998</v>
      </c>
      <c r="L81" s="109">
        <v>3141698100.5099998</v>
      </c>
      <c r="M81" s="109">
        <v>3572462566.3900003</v>
      </c>
      <c r="N81" s="109">
        <v>3328379468.3799996</v>
      </c>
      <c r="O81" s="109">
        <v>3849553334.9700003</v>
      </c>
      <c r="P81" s="109">
        <v>4723104188.8599997</v>
      </c>
      <c r="Q81" s="109">
        <v>5720858434.8400002</v>
      </c>
      <c r="R81" s="109">
        <v>5382347487.6499996</v>
      </c>
      <c r="S81" s="109">
        <v>5844908587.0799999</v>
      </c>
      <c r="T81" s="109">
        <v>5417804674.6075001</v>
      </c>
      <c r="U81" s="109">
        <v>5899067802</v>
      </c>
      <c r="V81" s="110">
        <v>0.35896113349377845</v>
      </c>
      <c r="W81" s="111">
        <v>2117536064.7625723</v>
      </c>
      <c r="X81" s="111">
        <v>128084415.15742779</v>
      </c>
      <c r="Y81" s="110">
        <v>0.64103886650622144</v>
      </c>
      <c r="Z81" s="111">
        <v>3473023367.5625</v>
      </c>
      <c r="AA81" s="111">
        <v>5718643847.4825001</v>
      </c>
      <c r="AB81" s="121">
        <v>-180423954.51749992</v>
      </c>
      <c r="AC81" s="112">
        <v>5890203162.9069748</v>
      </c>
      <c r="AD81" s="113">
        <v>-8864639.0930252075</v>
      </c>
    </row>
    <row r="82" spans="1:30" ht="25.5" x14ac:dyDescent="0.25">
      <c r="A82" s="107" t="s">
        <v>188</v>
      </c>
      <c r="B82" s="108" t="s">
        <v>189</v>
      </c>
      <c r="C82" s="901">
        <v>5382905540.6499996</v>
      </c>
      <c r="D82" s="109">
        <v>5016516622.2799997</v>
      </c>
      <c r="E82" s="109">
        <v>4834658094.8599997</v>
      </c>
      <c r="F82" s="109">
        <v>2536659304.29</v>
      </c>
      <c r="G82" s="109">
        <v>1879868562.1700001</v>
      </c>
      <c r="H82" s="109">
        <v>173021439</v>
      </c>
      <c r="I82" s="109">
        <v>2356051850.0799999</v>
      </c>
      <c r="J82" s="109">
        <v>5640491526.3675003</v>
      </c>
      <c r="K82" s="109">
        <v>5554282077.6599998</v>
      </c>
      <c r="L82" s="109">
        <v>7150961264.0199995</v>
      </c>
      <c r="M82" s="109">
        <v>9375944648.6599998</v>
      </c>
      <c r="N82" s="109">
        <v>5035610151.0699997</v>
      </c>
      <c r="O82" s="109">
        <v>999450041.72000003</v>
      </c>
      <c r="P82" s="109">
        <v>11985619358.879999</v>
      </c>
      <c r="Q82" s="109">
        <v>11912603952.950001</v>
      </c>
      <c r="R82" s="109">
        <v>6915478713.2399998</v>
      </c>
      <c r="S82" s="109">
        <v>1172471480.72</v>
      </c>
      <c r="T82" s="109">
        <v>7996543376.4475002</v>
      </c>
      <c r="U82" s="109">
        <v>10178847786</v>
      </c>
      <c r="V82" s="110">
        <v>0.2946337860205151</v>
      </c>
      <c r="W82" s="111">
        <v>2999032460.515718</v>
      </c>
      <c r="X82" s="111">
        <v>2017484161.7642817</v>
      </c>
      <c r="Y82" s="110">
        <v>0.70536621397948496</v>
      </c>
      <c r="Z82" s="111">
        <v>5640491526.3675003</v>
      </c>
      <c r="AA82" s="111">
        <v>10657008148.647499</v>
      </c>
      <c r="AB82" s="111">
        <v>478160362.64749908</v>
      </c>
      <c r="AC82" s="112">
        <v>10976718393.106924</v>
      </c>
      <c r="AD82" s="113">
        <v>797870607.10692406</v>
      </c>
    </row>
    <row r="83" spans="1:30" ht="25.5" x14ac:dyDescent="0.25">
      <c r="A83" s="107" t="s">
        <v>190</v>
      </c>
      <c r="B83" s="108" t="s">
        <v>191</v>
      </c>
      <c r="C83" s="901">
        <v>6166196642.6099997</v>
      </c>
      <c r="D83" s="109">
        <v>1645700378.77</v>
      </c>
      <c r="E83" s="109">
        <v>4117787321.6100001</v>
      </c>
      <c r="F83" s="109">
        <v>2377776381</v>
      </c>
      <c r="G83" s="109">
        <v>5342118122</v>
      </c>
      <c r="H83" s="109">
        <v>4036666887</v>
      </c>
      <c r="I83" s="109">
        <v>3968587177.9025002</v>
      </c>
      <c r="J83" s="109"/>
      <c r="K83" s="109">
        <v>22434951.109999999</v>
      </c>
      <c r="L83" s="109">
        <v>0</v>
      </c>
      <c r="M83" s="109">
        <v>0</v>
      </c>
      <c r="N83" s="109">
        <v>0</v>
      </c>
      <c r="O83" s="109">
        <v>0</v>
      </c>
      <c r="P83" s="109">
        <v>4117787321.6100001</v>
      </c>
      <c r="Q83" s="109">
        <v>2377776381</v>
      </c>
      <c r="R83" s="109">
        <v>5342118122</v>
      </c>
      <c r="S83" s="109">
        <v>4036666887</v>
      </c>
      <c r="T83" s="109">
        <v>3968587177.9025002</v>
      </c>
      <c r="U83" s="109">
        <v>1668135329.8800001</v>
      </c>
      <c r="V83" s="110">
        <v>1</v>
      </c>
      <c r="W83" s="111">
        <v>1668135329.8800001</v>
      </c>
      <c r="X83" s="111">
        <v>-22434951.110000134</v>
      </c>
      <c r="Y83" s="110">
        <v>0</v>
      </c>
      <c r="Z83" s="111">
        <v>0</v>
      </c>
      <c r="AA83" s="111">
        <v>1668135329.8800001</v>
      </c>
      <c r="AB83" s="111">
        <v>0</v>
      </c>
      <c r="AC83" s="112">
        <v>1718179389.7764001</v>
      </c>
      <c r="AD83" s="113">
        <v>50044059.896399975</v>
      </c>
    </row>
    <row r="84" spans="1:30" ht="25.5" x14ac:dyDescent="0.25">
      <c r="A84" s="107" t="s">
        <v>192</v>
      </c>
      <c r="B84" s="108" t="s">
        <v>193</v>
      </c>
      <c r="C84" s="901">
        <v>11355716.949999999</v>
      </c>
      <c r="D84" s="109">
        <v>1508459124.22</v>
      </c>
      <c r="E84" s="109">
        <v>1240071306.48</v>
      </c>
      <c r="F84" s="109">
        <v>1819622863</v>
      </c>
      <c r="G84" s="109">
        <v>1917397485</v>
      </c>
      <c r="H84" s="109">
        <v>1550877664</v>
      </c>
      <c r="I84" s="109">
        <v>1631992329.6199999</v>
      </c>
      <c r="J84" s="109"/>
      <c r="K84" s="109">
        <v>1194461.6000000001</v>
      </c>
      <c r="L84" s="109">
        <v>0</v>
      </c>
      <c r="M84" s="109">
        <v>0</v>
      </c>
      <c r="N84" s="109">
        <v>0</v>
      </c>
      <c r="O84" s="109">
        <v>0</v>
      </c>
      <c r="P84" s="109">
        <v>1240071306.48</v>
      </c>
      <c r="Q84" s="109">
        <v>1819622863</v>
      </c>
      <c r="R84" s="109">
        <v>1917397485</v>
      </c>
      <c r="S84" s="109">
        <v>1550877664</v>
      </c>
      <c r="T84" s="109">
        <v>1631992329.6199999</v>
      </c>
      <c r="U84" s="109">
        <v>1509653585.8199999</v>
      </c>
      <c r="V84" s="110">
        <v>1</v>
      </c>
      <c r="W84" s="111">
        <v>1509653585.8199999</v>
      </c>
      <c r="X84" s="111">
        <v>-1194461.5999999046</v>
      </c>
      <c r="Y84" s="110">
        <v>0</v>
      </c>
      <c r="Z84" s="111">
        <v>0</v>
      </c>
      <c r="AA84" s="111">
        <v>1509653585.8199999</v>
      </c>
      <c r="AB84" s="111">
        <v>0</v>
      </c>
      <c r="AC84" s="112">
        <v>1554943193.3945999</v>
      </c>
      <c r="AD84" s="113">
        <v>45289607.574599981</v>
      </c>
    </row>
    <row r="85" spans="1:30" ht="25.5" x14ac:dyDescent="0.25">
      <c r="A85" s="107" t="s">
        <v>194</v>
      </c>
      <c r="B85" s="108" t="s">
        <v>195</v>
      </c>
      <c r="C85" s="901">
        <v>1170202789.98</v>
      </c>
      <c r="D85" s="109">
        <v>543545433.00999999</v>
      </c>
      <c r="E85" s="109">
        <v>870238630.01999998</v>
      </c>
      <c r="F85" s="109">
        <v>198507056</v>
      </c>
      <c r="G85" s="109">
        <v>501153945</v>
      </c>
      <c r="H85" s="109">
        <v>1481527740</v>
      </c>
      <c r="I85" s="109">
        <v>762856842.755</v>
      </c>
      <c r="J85" s="109"/>
      <c r="K85" s="109">
        <v>13933745.98</v>
      </c>
      <c r="L85" s="109">
        <v>0</v>
      </c>
      <c r="M85" s="109">
        <v>0</v>
      </c>
      <c r="N85" s="109">
        <v>0</v>
      </c>
      <c r="O85" s="109">
        <v>31456076</v>
      </c>
      <c r="P85" s="109">
        <v>870238630.01999998</v>
      </c>
      <c r="Q85" s="109">
        <v>198507056</v>
      </c>
      <c r="R85" s="109">
        <v>501153945</v>
      </c>
      <c r="S85" s="109">
        <v>1512983816</v>
      </c>
      <c r="T85" s="109">
        <v>770720861.755</v>
      </c>
      <c r="U85" s="109">
        <v>557479178.99000001</v>
      </c>
      <c r="V85" s="110">
        <v>0.98979654062809075</v>
      </c>
      <c r="W85" s="111">
        <v>551790962.83649027</v>
      </c>
      <c r="X85" s="111">
        <v>-8245529.826490283</v>
      </c>
      <c r="Y85" s="110">
        <v>0</v>
      </c>
      <c r="Z85" s="111">
        <v>0</v>
      </c>
      <c r="AA85" s="111">
        <v>557479178.99000001</v>
      </c>
      <c r="AB85" s="111">
        <v>0</v>
      </c>
      <c r="AC85" s="112">
        <v>574203554.35970008</v>
      </c>
      <c r="AD85" s="113">
        <v>16724375.369700074</v>
      </c>
    </row>
    <row r="86" spans="1:30" ht="25.5" x14ac:dyDescent="0.25">
      <c r="A86" s="107" t="s">
        <v>196</v>
      </c>
      <c r="B86" s="108" t="s">
        <v>197</v>
      </c>
      <c r="C86" s="901">
        <v>915730476.15999997</v>
      </c>
      <c r="D86" s="109">
        <v>0</v>
      </c>
      <c r="E86" s="109">
        <v>4441769843.8000002</v>
      </c>
      <c r="F86" s="109">
        <v>0</v>
      </c>
      <c r="G86" s="109">
        <v>2378904235</v>
      </c>
      <c r="H86" s="109">
        <v>1296544158</v>
      </c>
      <c r="I86" s="109">
        <v>2029304559.2</v>
      </c>
      <c r="J86" s="109"/>
      <c r="K86" s="109">
        <v>470006152</v>
      </c>
      <c r="L86" s="109">
        <v>0</v>
      </c>
      <c r="M86" s="109">
        <v>0</v>
      </c>
      <c r="N86" s="109">
        <v>0</v>
      </c>
      <c r="O86" s="109">
        <v>0</v>
      </c>
      <c r="P86" s="109">
        <v>4441769843.8000002</v>
      </c>
      <c r="Q86" s="109">
        <v>0</v>
      </c>
      <c r="R86" s="109">
        <v>2378904235</v>
      </c>
      <c r="S86" s="109">
        <v>1296544158</v>
      </c>
      <c r="T86" s="109">
        <v>2029304559.2</v>
      </c>
      <c r="U86" s="109">
        <v>470006152</v>
      </c>
      <c r="V86" s="110">
        <v>1</v>
      </c>
      <c r="W86" s="111">
        <v>470006152</v>
      </c>
      <c r="X86" s="111">
        <v>-470006152</v>
      </c>
      <c r="Y86" s="110">
        <v>0</v>
      </c>
      <c r="Z86" s="111">
        <v>0</v>
      </c>
      <c r="AA86" s="111">
        <v>470006152</v>
      </c>
      <c r="AB86" s="111">
        <v>0</v>
      </c>
      <c r="AC86" s="112">
        <v>484106336.56</v>
      </c>
      <c r="AD86" s="113">
        <v>14100184.560000002</v>
      </c>
    </row>
    <row r="87" spans="1:30" ht="25.5" x14ac:dyDescent="0.25">
      <c r="A87" s="107" t="s">
        <v>198</v>
      </c>
      <c r="B87" s="108" t="s">
        <v>199</v>
      </c>
      <c r="C87" s="901">
        <v>11133433262.98</v>
      </c>
      <c r="D87" s="109">
        <v>6977592850.1899996</v>
      </c>
      <c r="E87" s="109">
        <v>1026455595</v>
      </c>
      <c r="F87" s="109">
        <v>15834822301</v>
      </c>
      <c r="G87" s="109">
        <v>8824366696.9099998</v>
      </c>
      <c r="H87" s="109">
        <v>9445784099</v>
      </c>
      <c r="I87" s="109">
        <v>8782857172.9775009</v>
      </c>
      <c r="J87" s="109"/>
      <c r="K87" s="109">
        <v>13881268326.129999</v>
      </c>
      <c r="L87" s="109">
        <v>10143708910.58</v>
      </c>
      <c r="M87" s="109">
        <v>878302300.89999962</v>
      </c>
      <c r="N87" s="109">
        <v>1055694791.9899998</v>
      </c>
      <c r="O87" s="109">
        <v>4674563</v>
      </c>
      <c r="P87" s="109">
        <v>11170164505.58</v>
      </c>
      <c r="Q87" s="109">
        <v>16713124601.9</v>
      </c>
      <c r="R87" s="109">
        <v>9880061488.8999996</v>
      </c>
      <c r="S87" s="109">
        <v>9450458662</v>
      </c>
      <c r="T87" s="109">
        <v>11803452314.594999</v>
      </c>
      <c r="U87" s="109">
        <v>10242867859.190001</v>
      </c>
      <c r="V87" s="110">
        <v>0.7440922315683417</v>
      </c>
      <c r="W87" s="111">
        <v>7621638403.0043306</v>
      </c>
      <c r="X87" s="111">
        <v>-644045552.81433105</v>
      </c>
      <c r="Y87" s="110">
        <v>0</v>
      </c>
      <c r="Z87" s="111">
        <v>0</v>
      </c>
      <c r="AA87" s="111">
        <v>10242867859.190001</v>
      </c>
      <c r="AB87" s="111">
        <v>0</v>
      </c>
      <c r="AC87" s="112">
        <v>10550153894.9657</v>
      </c>
      <c r="AD87" s="113">
        <v>307286035.77569962</v>
      </c>
    </row>
    <row r="88" spans="1:30" x14ac:dyDescent="0.25">
      <c r="A88" s="107" t="s">
        <v>200</v>
      </c>
      <c r="B88" s="108" t="s">
        <v>201</v>
      </c>
      <c r="C88" s="901">
        <v>0</v>
      </c>
      <c r="D88" s="109">
        <v>56108067</v>
      </c>
      <c r="E88" s="109">
        <v>76032029.109999999</v>
      </c>
      <c r="F88" s="109">
        <v>42594386</v>
      </c>
      <c r="G88" s="109">
        <v>94454001</v>
      </c>
      <c r="H88" s="109">
        <v>84415766</v>
      </c>
      <c r="I88" s="109">
        <v>74374045.527500004</v>
      </c>
      <c r="J88" s="109"/>
      <c r="K88" s="109">
        <v>0</v>
      </c>
      <c r="L88" s="109">
        <v>0</v>
      </c>
      <c r="M88" s="109">
        <v>0</v>
      </c>
      <c r="N88" s="109">
        <v>0</v>
      </c>
      <c r="O88" s="109">
        <v>0</v>
      </c>
      <c r="P88" s="109">
        <v>76032029.109999999</v>
      </c>
      <c r="Q88" s="109">
        <v>42594386</v>
      </c>
      <c r="R88" s="109">
        <v>94454001</v>
      </c>
      <c r="S88" s="109">
        <v>84415766</v>
      </c>
      <c r="T88" s="109">
        <v>74374045.527500004</v>
      </c>
      <c r="U88" s="109">
        <v>56108067</v>
      </c>
      <c r="V88" s="110">
        <v>1</v>
      </c>
      <c r="W88" s="111">
        <v>56108067</v>
      </c>
      <c r="X88" s="111">
        <v>0</v>
      </c>
      <c r="Y88" s="110">
        <v>0</v>
      </c>
      <c r="Z88" s="111">
        <v>0</v>
      </c>
      <c r="AA88" s="111">
        <v>56108067</v>
      </c>
      <c r="AB88" s="111">
        <v>0</v>
      </c>
      <c r="AC88" s="112">
        <v>57791309.009999998</v>
      </c>
      <c r="AD88" s="113">
        <v>1683242.0099999979</v>
      </c>
    </row>
    <row r="89" spans="1:30" x14ac:dyDescent="0.25">
      <c r="A89" s="107" t="s">
        <v>202</v>
      </c>
      <c r="B89" s="108" t="s">
        <v>203</v>
      </c>
      <c r="C89" s="901">
        <v>664789.80000000005</v>
      </c>
      <c r="D89" s="109">
        <v>18429555.68</v>
      </c>
      <c r="E89" s="109">
        <v>13452877.119999999</v>
      </c>
      <c r="F89" s="109">
        <v>11779994</v>
      </c>
      <c r="G89" s="109">
        <v>6592117</v>
      </c>
      <c r="H89" s="109">
        <v>110991608</v>
      </c>
      <c r="I89" s="109">
        <v>35704149.030000001</v>
      </c>
      <c r="J89" s="109"/>
      <c r="K89" s="109">
        <v>0</v>
      </c>
      <c r="L89" s="109">
        <v>0</v>
      </c>
      <c r="M89" s="109">
        <v>0</v>
      </c>
      <c r="N89" s="109">
        <v>0</v>
      </c>
      <c r="O89" s="109">
        <v>0</v>
      </c>
      <c r="P89" s="109">
        <v>13452877.119999999</v>
      </c>
      <c r="Q89" s="109">
        <v>11779994</v>
      </c>
      <c r="R89" s="109">
        <v>6592117</v>
      </c>
      <c r="S89" s="109">
        <v>110991608</v>
      </c>
      <c r="T89" s="109">
        <v>35704149.030000001</v>
      </c>
      <c r="U89" s="109">
        <v>18429555.68</v>
      </c>
      <c r="V89" s="110">
        <v>1</v>
      </c>
      <c r="W89" s="111">
        <v>18429555.68</v>
      </c>
      <c r="X89" s="111">
        <v>0</v>
      </c>
      <c r="Y89" s="110">
        <v>0</v>
      </c>
      <c r="Z89" s="111">
        <v>0</v>
      </c>
      <c r="AA89" s="111">
        <v>18429555.68</v>
      </c>
      <c r="AB89" s="111">
        <v>0</v>
      </c>
      <c r="AC89" s="112">
        <v>18982442.350400001</v>
      </c>
      <c r="AD89" s="113">
        <v>552886.67040000111</v>
      </c>
    </row>
    <row r="90" spans="1:30" ht="25.5" x14ac:dyDescent="0.25">
      <c r="A90" s="107" t="s">
        <v>204</v>
      </c>
      <c r="B90" s="108" t="s">
        <v>205</v>
      </c>
      <c r="C90" s="901">
        <v>200000000</v>
      </c>
      <c r="D90" s="109">
        <v>111101428.22</v>
      </c>
      <c r="E90" s="109">
        <v>561236033.13999999</v>
      </c>
      <c r="F90" s="109">
        <v>285313337</v>
      </c>
      <c r="G90" s="109">
        <v>740763200</v>
      </c>
      <c r="H90" s="109">
        <v>1198336700</v>
      </c>
      <c r="I90" s="109">
        <v>696412317.53499997</v>
      </c>
      <c r="J90" s="109"/>
      <c r="K90" s="109">
        <v>614032017.80999994</v>
      </c>
      <c r="L90" s="109">
        <v>-4871476</v>
      </c>
      <c r="M90" s="109">
        <v>0</v>
      </c>
      <c r="N90" s="109">
        <v>0</v>
      </c>
      <c r="O90" s="109">
        <v>0</v>
      </c>
      <c r="P90" s="109">
        <v>556364557.13999999</v>
      </c>
      <c r="Q90" s="109">
        <v>285313337</v>
      </c>
      <c r="R90" s="109">
        <v>740763200</v>
      </c>
      <c r="S90" s="109">
        <v>1198336700</v>
      </c>
      <c r="T90" s="109">
        <v>695194448.53499997</v>
      </c>
      <c r="U90" s="109">
        <v>725133446.02999997</v>
      </c>
      <c r="V90" s="110">
        <v>1.0017518393631688</v>
      </c>
      <c r="W90" s="111">
        <v>726403763.34430552</v>
      </c>
      <c r="X90" s="111">
        <v>-615302335.12430549</v>
      </c>
      <c r="Y90" s="110">
        <v>0</v>
      </c>
      <c r="Z90" s="111">
        <v>0</v>
      </c>
      <c r="AA90" s="111">
        <v>725133446.02999997</v>
      </c>
      <c r="AB90" s="111">
        <v>0</v>
      </c>
      <c r="AC90" s="112">
        <v>746887449.4109</v>
      </c>
      <c r="AD90" s="113">
        <v>21754003.380900025</v>
      </c>
    </row>
    <row r="91" spans="1:30" ht="25.5" x14ac:dyDescent="0.25">
      <c r="A91" s="107" t="s">
        <v>206</v>
      </c>
      <c r="B91" s="108" t="s">
        <v>207</v>
      </c>
      <c r="C91" s="901">
        <v>3201088686.1500001</v>
      </c>
      <c r="D91" s="109">
        <v>2663696802.3299999</v>
      </c>
      <c r="E91" s="109">
        <v>3844613946.8600001</v>
      </c>
      <c r="F91" s="109">
        <v>4333592174</v>
      </c>
      <c r="G91" s="109">
        <v>4254835512.3800001</v>
      </c>
      <c r="H91" s="109">
        <v>7458631612</v>
      </c>
      <c r="I91" s="109">
        <v>4972918311.3100004</v>
      </c>
      <c r="J91" s="109"/>
      <c r="K91" s="109">
        <v>0</v>
      </c>
      <c r="L91" s="109">
        <v>0</v>
      </c>
      <c r="M91" s="109">
        <v>0</v>
      </c>
      <c r="N91" s="109">
        <v>0</v>
      </c>
      <c r="O91" s="109">
        <v>0</v>
      </c>
      <c r="P91" s="109">
        <v>3844613946.8600001</v>
      </c>
      <c r="Q91" s="109">
        <v>4333592174</v>
      </c>
      <c r="R91" s="109">
        <v>4254835512.3800001</v>
      </c>
      <c r="S91" s="109">
        <v>7458631612</v>
      </c>
      <c r="T91" s="109">
        <v>4972918311.3100004</v>
      </c>
      <c r="U91" s="109">
        <v>2663696802.3299999</v>
      </c>
      <c r="V91" s="110">
        <v>1</v>
      </c>
      <c r="W91" s="111">
        <v>2663696802.3299999</v>
      </c>
      <c r="X91" s="111">
        <v>0</v>
      </c>
      <c r="Y91" s="110">
        <v>0</v>
      </c>
      <c r="Z91" s="111">
        <v>0</v>
      </c>
      <c r="AA91" s="111">
        <v>2663696802.3299999</v>
      </c>
      <c r="AB91" s="111">
        <v>0</v>
      </c>
      <c r="AC91" s="112">
        <v>2743607706.3999</v>
      </c>
      <c r="AD91" s="113">
        <v>79910904.069900036</v>
      </c>
    </row>
    <row r="92" spans="1:30" ht="25.5" x14ac:dyDescent="0.25">
      <c r="A92" s="107" t="s">
        <v>208</v>
      </c>
      <c r="B92" s="108" t="s">
        <v>209</v>
      </c>
      <c r="C92" s="901">
        <v>34433.300000000003</v>
      </c>
      <c r="D92" s="109">
        <v>0</v>
      </c>
      <c r="E92" s="109">
        <v>123555981.3</v>
      </c>
      <c r="F92" s="109">
        <v>219596501</v>
      </c>
      <c r="G92" s="109">
        <v>124501361</v>
      </c>
      <c r="H92" s="109">
        <v>135613084</v>
      </c>
      <c r="I92" s="109">
        <v>150816731.82499999</v>
      </c>
      <c r="J92" s="109"/>
      <c r="K92" s="109">
        <v>34433.300000000003</v>
      </c>
      <c r="L92" s="109">
        <v>-28640331</v>
      </c>
      <c r="M92" s="109">
        <v>-77258183</v>
      </c>
      <c r="N92" s="109">
        <v>0</v>
      </c>
      <c r="O92" s="109">
        <v>0</v>
      </c>
      <c r="P92" s="109">
        <v>94915650.299999997</v>
      </c>
      <c r="Q92" s="109">
        <v>142338318</v>
      </c>
      <c r="R92" s="109">
        <v>124501361</v>
      </c>
      <c r="S92" s="109">
        <v>135613084</v>
      </c>
      <c r="T92" s="109">
        <v>124342103.325</v>
      </c>
      <c r="U92" s="109">
        <v>34433.300000000003</v>
      </c>
      <c r="V92" s="110">
        <v>1.2129176505145787</v>
      </c>
      <c r="W92" s="111">
        <v>41764.757335463648</v>
      </c>
      <c r="X92" s="111">
        <v>-41764.757335463648</v>
      </c>
      <c r="Y92" s="110">
        <v>0</v>
      </c>
      <c r="Z92" s="111">
        <v>0</v>
      </c>
      <c r="AA92" s="111">
        <v>34433.300000000003</v>
      </c>
      <c r="AB92" s="111">
        <v>0</v>
      </c>
      <c r="AC92" s="112">
        <v>35466.299000000006</v>
      </c>
      <c r="AD92" s="113">
        <v>1032.9990000000034</v>
      </c>
    </row>
    <row r="93" spans="1:30" ht="25.5" x14ac:dyDescent="0.25">
      <c r="A93" s="107" t="s">
        <v>210</v>
      </c>
      <c r="B93" s="108" t="s">
        <v>211</v>
      </c>
      <c r="C93" s="901">
        <v>704063762.00999999</v>
      </c>
      <c r="D93" s="109">
        <v>0</v>
      </c>
      <c r="E93" s="109">
        <v>22109904.850000001</v>
      </c>
      <c r="F93" s="109">
        <v>72966900</v>
      </c>
      <c r="G93" s="109">
        <v>33094912</v>
      </c>
      <c r="H93" s="109">
        <v>88606963</v>
      </c>
      <c r="I93" s="109">
        <v>54194669.962499999</v>
      </c>
      <c r="J93" s="109"/>
      <c r="K93" s="109">
        <v>340359369.85000002</v>
      </c>
      <c r="L93" s="109">
        <v>0</v>
      </c>
      <c r="M93" s="109">
        <v>0</v>
      </c>
      <c r="N93" s="109">
        <v>0</v>
      </c>
      <c r="O93" s="109">
        <v>0</v>
      </c>
      <c r="P93" s="109">
        <v>22109904.850000001</v>
      </c>
      <c r="Q93" s="109">
        <v>72966900</v>
      </c>
      <c r="R93" s="109">
        <v>33094912</v>
      </c>
      <c r="S93" s="109">
        <v>88606963</v>
      </c>
      <c r="T93" s="109">
        <v>54194669.962499999</v>
      </c>
      <c r="U93" s="109">
        <v>340359369.85000002</v>
      </c>
      <c r="V93" s="110">
        <v>1</v>
      </c>
      <c r="W93" s="111">
        <v>340359369.85000002</v>
      </c>
      <c r="X93" s="111">
        <v>-340359369.85000002</v>
      </c>
      <c r="Y93" s="110">
        <v>0</v>
      </c>
      <c r="Z93" s="111">
        <v>0</v>
      </c>
      <c r="AA93" s="111">
        <v>340359369.85000002</v>
      </c>
      <c r="AB93" s="111">
        <v>0</v>
      </c>
      <c r="AC93" s="112">
        <v>350570150.94550002</v>
      </c>
      <c r="AD93" s="113">
        <v>10210781.095499992</v>
      </c>
    </row>
    <row r="94" spans="1:30" ht="25.5" x14ac:dyDescent="0.25">
      <c r="A94" s="107" t="s">
        <v>212</v>
      </c>
      <c r="B94" s="108" t="s">
        <v>213</v>
      </c>
      <c r="C94" s="901">
        <v>3554512644</v>
      </c>
      <c r="D94" s="109">
        <v>74789276</v>
      </c>
      <c r="E94" s="109">
        <v>0</v>
      </c>
      <c r="F94" s="109">
        <v>0</v>
      </c>
      <c r="G94" s="109">
        <v>0</v>
      </c>
      <c r="H94" s="109">
        <v>0</v>
      </c>
      <c r="I94" s="109">
        <v>0</v>
      </c>
      <c r="J94" s="109"/>
      <c r="K94" s="109">
        <v>0</v>
      </c>
      <c r="L94" s="109">
        <v>0</v>
      </c>
      <c r="M94" s="109">
        <v>0</v>
      </c>
      <c r="N94" s="109">
        <v>0</v>
      </c>
      <c r="O94" s="109">
        <v>0</v>
      </c>
      <c r="P94" s="109">
        <v>0</v>
      </c>
      <c r="Q94" s="109">
        <v>0</v>
      </c>
      <c r="R94" s="109">
        <v>0</v>
      </c>
      <c r="S94" s="109">
        <v>0</v>
      </c>
      <c r="T94" s="109">
        <v>0</v>
      </c>
      <c r="U94" s="109">
        <v>74789276</v>
      </c>
      <c r="V94" s="110"/>
      <c r="W94" s="111"/>
      <c r="X94" s="111"/>
      <c r="Y94" s="110"/>
      <c r="Z94" s="111">
        <v>0</v>
      </c>
      <c r="AA94" s="111">
        <v>74789276</v>
      </c>
      <c r="AB94" s="111">
        <v>0</v>
      </c>
      <c r="AC94" s="112">
        <v>77032954.280000001</v>
      </c>
      <c r="AD94" s="113">
        <v>2243678.2800000012</v>
      </c>
    </row>
    <row r="95" spans="1:30" ht="25.5" x14ac:dyDescent="0.25">
      <c r="A95" s="107" t="s">
        <v>214</v>
      </c>
      <c r="B95" s="108" t="s">
        <v>215</v>
      </c>
      <c r="C95" s="902">
        <v>1592.34</v>
      </c>
      <c r="D95" s="109">
        <v>0</v>
      </c>
      <c r="E95" s="109">
        <v>0</v>
      </c>
      <c r="F95" s="109">
        <v>1490359959</v>
      </c>
      <c r="G95" s="109">
        <v>2692443553</v>
      </c>
      <c r="H95" s="109">
        <v>4407506181</v>
      </c>
      <c r="I95" s="109">
        <v>2147577423.25</v>
      </c>
      <c r="J95" s="109"/>
      <c r="K95" s="109">
        <v>2741056946.1400003</v>
      </c>
      <c r="L95" s="109">
        <v>683685652.77999997</v>
      </c>
      <c r="M95" s="109">
        <v>1697688111.6300001</v>
      </c>
      <c r="N95" s="109">
        <v>0</v>
      </c>
      <c r="O95" s="109">
        <v>326705502</v>
      </c>
      <c r="P95" s="109">
        <v>683685652.77999997</v>
      </c>
      <c r="Q95" s="109">
        <v>3188048070.6300001</v>
      </c>
      <c r="R95" s="109">
        <v>2692443553</v>
      </c>
      <c r="S95" s="109">
        <v>4734211683</v>
      </c>
      <c r="T95" s="109">
        <v>2824597239.8525</v>
      </c>
      <c r="U95" s="109">
        <v>712647104.86000001</v>
      </c>
      <c r="V95" s="110">
        <v>0.76031279537827001</v>
      </c>
      <c r="W95" s="111">
        <v>541834712.41433775</v>
      </c>
      <c r="X95" s="111">
        <v>-541834712.41433775</v>
      </c>
      <c r="Y95" s="110">
        <v>0</v>
      </c>
      <c r="Z95" s="111">
        <v>0</v>
      </c>
      <c r="AA95" s="111">
        <v>712647104.86000001</v>
      </c>
      <c r="AB95" s="111">
        <v>0</v>
      </c>
      <c r="AC95" s="112">
        <v>734026518.00580001</v>
      </c>
      <c r="AD95" s="113">
        <v>21379413.145799994</v>
      </c>
    </row>
    <row r="96" spans="1:30" ht="25.5" x14ac:dyDescent="0.25">
      <c r="A96" s="107" t="s">
        <v>216</v>
      </c>
      <c r="B96" s="108" t="s">
        <v>217</v>
      </c>
      <c r="C96" s="901">
        <v>0</v>
      </c>
      <c r="D96" s="109">
        <v>0</v>
      </c>
      <c r="E96" s="109">
        <v>0</v>
      </c>
      <c r="F96" s="109">
        <v>573833621</v>
      </c>
      <c r="G96" s="109">
        <v>544912319</v>
      </c>
      <c r="H96" s="109">
        <v>226716631</v>
      </c>
      <c r="I96" s="109">
        <v>336365642.75</v>
      </c>
      <c r="J96" s="109"/>
      <c r="K96" s="109">
        <v>3434211.2</v>
      </c>
      <c r="L96" s="109">
        <v>17913596.870000001</v>
      </c>
      <c r="M96" s="109">
        <v>465971836</v>
      </c>
      <c r="N96" s="109">
        <v>0</v>
      </c>
      <c r="O96" s="109">
        <v>1664853557</v>
      </c>
      <c r="P96" s="109">
        <v>17913596.870000001</v>
      </c>
      <c r="Q96" s="109">
        <v>1039805457</v>
      </c>
      <c r="R96" s="109">
        <v>544912319</v>
      </c>
      <c r="S96" s="109">
        <v>1891570188</v>
      </c>
      <c r="T96" s="109">
        <v>873550390.21749997</v>
      </c>
      <c r="U96" s="109">
        <v>3434211.2</v>
      </c>
      <c r="V96" s="110">
        <v>0.38505579817353225</v>
      </c>
      <c r="W96" s="111">
        <v>1322362.934712484</v>
      </c>
      <c r="X96" s="111">
        <v>-1322362.934712484</v>
      </c>
      <c r="Y96" s="110">
        <v>0</v>
      </c>
      <c r="Z96" s="111">
        <v>0</v>
      </c>
      <c r="AA96" s="111">
        <v>3434211.2</v>
      </c>
      <c r="AB96" s="111">
        <v>0</v>
      </c>
      <c r="AC96" s="112">
        <v>3537237.5360000003</v>
      </c>
      <c r="AD96" s="113">
        <v>103026.33600000013</v>
      </c>
    </row>
    <row r="97" spans="1:30" x14ac:dyDescent="0.25">
      <c r="A97" s="107" t="s">
        <v>218</v>
      </c>
      <c r="B97" s="108" t="s">
        <v>219</v>
      </c>
      <c r="C97" s="902">
        <v>322864893</v>
      </c>
      <c r="D97" s="109">
        <v>558283442.49000001</v>
      </c>
      <c r="E97" s="109">
        <v>0</v>
      </c>
      <c r="F97" s="109">
        <v>511330319</v>
      </c>
      <c r="G97" s="109">
        <v>452128542</v>
      </c>
      <c r="H97" s="109">
        <v>1216895631</v>
      </c>
      <c r="I97" s="109">
        <v>545088623</v>
      </c>
      <c r="J97" s="109"/>
      <c r="K97" s="109">
        <v>1146584216.27</v>
      </c>
      <c r="L97" s="109">
        <v>333753691.63</v>
      </c>
      <c r="M97" s="109">
        <v>0</v>
      </c>
      <c r="N97" s="109">
        <v>1600250</v>
      </c>
      <c r="O97" s="109">
        <v>0</v>
      </c>
      <c r="P97" s="109">
        <v>333753691.63</v>
      </c>
      <c r="Q97" s="109">
        <v>511330319</v>
      </c>
      <c r="R97" s="109">
        <v>453728792</v>
      </c>
      <c r="S97" s="109">
        <v>1216895631</v>
      </c>
      <c r="T97" s="109">
        <v>628927108.40750003</v>
      </c>
      <c r="U97" s="109">
        <v>558283442.49000001</v>
      </c>
      <c r="V97" s="110">
        <v>0.86669602202425877</v>
      </c>
      <c r="W97" s="111">
        <v>483862038.76809204</v>
      </c>
      <c r="X97" s="111">
        <v>74421403.721907973</v>
      </c>
      <c r="Y97" s="110">
        <v>0</v>
      </c>
      <c r="Z97" s="111">
        <v>0</v>
      </c>
      <c r="AA97" s="111">
        <v>558283442.49000001</v>
      </c>
      <c r="AB97" s="111">
        <v>0</v>
      </c>
      <c r="AC97" s="112">
        <v>575031945.76470006</v>
      </c>
      <c r="AD97" s="113">
        <v>16748503.274700046</v>
      </c>
    </row>
    <row r="98" spans="1:30" ht="25.5" x14ac:dyDescent="0.25">
      <c r="A98" s="107" t="s">
        <v>220</v>
      </c>
      <c r="B98" s="108" t="s">
        <v>221</v>
      </c>
      <c r="C98" s="901">
        <v>0</v>
      </c>
      <c r="D98" s="109">
        <v>0</v>
      </c>
      <c r="E98" s="109">
        <v>0</v>
      </c>
      <c r="F98" s="109">
        <v>590675459</v>
      </c>
      <c r="G98" s="109">
        <v>500977580</v>
      </c>
      <c r="H98" s="109">
        <v>655342908</v>
      </c>
      <c r="I98" s="109">
        <v>436748986.75</v>
      </c>
      <c r="J98" s="109"/>
      <c r="K98" s="109">
        <v>571581421.21000004</v>
      </c>
      <c r="L98" s="109">
        <v>329027688.86000001</v>
      </c>
      <c r="M98" s="109">
        <v>0</v>
      </c>
      <c r="N98" s="109">
        <v>0</v>
      </c>
      <c r="O98" s="109">
        <v>0</v>
      </c>
      <c r="P98" s="109">
        <v>329027688.86000001</v>
      </c>
      <c r="Q98" s="109">
        <v>590675459</v>
      </c>
      <c r="R98" s="109">
        <v>500977580</v>
      </c>
      <c r="S98" s="109">
        <v>655342908</v>
      </c>
      <c r="T98" s="109">
        <v>519005908.96500003</v>
      </c>
      <c r="U98" s="109">
        <v>571581421.21000004</v>
      </c>
      <c r="V98" s="110">
        <v>0.84151062484233263</v>
      </c>
      <c r="W98" s="111">
        <v>480991838.91069567</v>
      </c>
      <c r="X98" s="111">
        <v>-480991838.91069567</v>
      </c>
      <c r="Y98" s="110">
        <v>0</v>
      </c>
      <c r="Z98" s="111">
        <v>0</v>
      </c>
      <c r="AA98" s="111">
        <v>571581421.21000004</v>
      </c>
      <c r="AB98" s="111">
        <v>0</v>
      </c>
      <c r="AC98" s="112">
        <v>588728863.84630001</v>
      </c>
      <c r="AD98" s="113">
        <v>17147442.636299968</v>
      </c>
    </row>
    <row r="99" spans="1:30" x14ac:dyDescent="0.25">
      <c r="C99" s="905">
        <f>SUM(C2:C98)</f>
        <v>214776358233.92007</v>
      </c>
      <c r="K99" s="117"/>
    </row>
    <row r="100" spans="1:30" x14ac:dyDescent="0.25">
      <c r="C100" s="905">
        <v>231653792974.65005</v>
      </c>
    </row>
    <row r="101" spans="1:30" x14ac:dyDescent="0.25">
      <c r="C101" s="905">
        <f>C99-C100</f>
        <v>-16877434740.72998</v>
      </c>
    </row>
    <row r="102" spans="1:30" x14ac:dyDescent="0.25">
      <c r="C102" s="905"/>
    </row>
    <row r="103" spans="1:30" x14ac:dyDescent="0.25">
      <c r="C103" s="905"/>
    </row>
    <row r="104" spans="1:30" x14ac:dyDescent="0.25">
      <c r="C104" s="905"/>
    </row>
    <row r="105" spans="1:30" x14ac:dyDescent="0.25">
      <c r="C105" s="114"/>
    </row>
    <row r="106" spans="1:30" x14ac:dyDescent="0.25">
      <c r="C106" s="114"/>
    </row>
    <row r="107" spans="1:30" x14ac:dyDescent="0.25">
      <c r="C107" s="114"/>
    </row>
    <row r="108" spans="1:30" x14ac:dyDescent="0.25">
      <c r="C108" s="114"/>
    </row>
    <row r="109" spans="1:30" x14ac:dyDescent="0.25">
      <c r="C109" s="114"/>
    </row>
    <row r="110" spans="1:30" x14ac:dyDescent="0.25">
      <c r="C110" s="114"/>
    </row>
    <row r="111" spans="1:30" x14ac:dyDescent="0.25">
      <c r="C111" s="114"/>
    </row>
    <row r="112" spans="1:30" x14ac:dyDescent="0.25">
      <c r="C112" s="114"/>
    </row>
    <row r="113" spans="3:3" x14ac:dyDescent="0.25">
      <c r="C113" s="114"/>
    </row>
    <row r="114" spans="3:3" x14ac:dyDescent="0.25">
      <c r="C114" s="901">
        <v>0</v>
      </c>
    </row>
    <row r="115" spans="3:3" x14ac:dyDescent="0.25">
      <c r="C115" s="114"/>
    </row>
    <row r="116" spans="3:3" x14ac:dyDescent="0.25">
      <c r="C116" s="114"/>
    </row>
    <row r="117" spans="3:3" x14ac:dyDescent="0.25">
      <c r="C117" s="901">
        <v>0</v>
      </c>
    </row>
    <row r="118" spans="3:3" x14ac:dyDescent="0.25">
      <c r="C118" s="114"/>
    </row>
    <row r="119" spans="3:3" x14ac:dyDescent="0.25">
      <c r="C119" s="114"/>
    </row>
    <row r="120" spans="3:3" x14ac:dyDescent="0.25">
      <c r="C120" s="114"/>
    </row>
    <row r="121" spans="3:3" x14ac:dyDescent="0.25">
      <c r="C121" s="114"/>
    </row>
    <row r="122" spans="3:3" x14ac:dyDescent="0.25">
      <c r="C122" s="114"/>
    </row>
    <row r="123" spans="3:3" x14ac:dyDescent="0.25">
      <c r="C123" s="114"/>
    </row>
    <row r="124" spans="3:3" x14ac:dyDescent="0.25">
      <c r="C124" s="114"/>
    </row>
    <row r="125" spans="3:3" x14ac:dyDescent="0.25">
      <c r="C125" s="114"/>
    </row>
    <row r="126" spans="3:3" x14ac:dyDescent="0.25">
      <c r="C126" s="114"/>
    </row>
    <row r="127" spans="3:3" x14ac:dyDescent="0.25">
      <c r="C127" s="114"/>
    </row>
    <row r="128" spans="3:3" x14ac:dyDescent="0.25">
      <c r="C128" s="114"/>
    </row>
    <row r="129" spans="3:3" x14ac:dyDescent="0.25">
      <c r="C129" s="114"/>
    </row>
    <row r="130" spans="3:3" x14ac:dyDescent="0.25">
      <c r="C130" s="114"/>
    </row>
    <row r="131" spans="3:3" x14ac:dyDescent="0.25">
      <c r="C131" s="114"/>
    </row>
    <row r="132" spans="3:3" x14ac:dyDescent="0.25">
      <c r="C132" s="114"/>
    </row>
    <row r="133" spans="3:3" x14ac:dyDescent="0.25">
      <c r="C133" s="114"/>
    </row>
    <row r="134" spans="3:3" x14ac:dyDescent="0.25">
      <c r="C134" s="114"/>
    </row>
    <row r="135" spans="3:3" x14ac:dyDescent="0.25">
      <c r="C135" s="114"/>
    </row>
    <row r="136" spans="3:3" x14ac:dyDescent="0.25">
      <c r="C136" s="114"/>
    </row>
    <row r="137" spans="3:3" x14ac:dyDescent="0.25">
      <c r="C137" s="902">
        <v>0</v>
      </c>
    </row>
    <row r="138" spans="3:3" x14ac:dyDescent="0.25">
      <c r="C138" s="11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A68F-40EE-4DFB-A8FF-3D46E7EDFEBC}">
  <sheetPr>
    <tabColor rgb="FF00FFFF"/>
  </sheetPr>
  <dimension ref="A2:AG223"/>
  <sheetViews>
    <sheetView zoomScale="175" zoomScaleNormal="175" workbookViewId="0">
      <pane xSplit="2" ySplit="5" topLeftCell="C53" activePane="bottomRight" state="frozen"/>
      <selection pane="topRight" activeCell="C1" sqref="C1"/>
      <selection pane="bottomLeft" activeCell="A6" sqref="A6"/>
      <selection pane="bottomRight" activeCell="A59" sqref="A59"/>
    </sheetView>
  </sheetViews>
  <sheetFormatPr baseColWidth="10" defaultColWidth="11.42578125" defaultRowHeight="12.75" x14ac:dyDescent="0.25"/>
  <cols>
    <col min="1" max="1" width="13.85546875" style="42" bestFit="1" customWidth="1"/>
    <col min="2" max="2" width="64.28515625" style="95" customWidth="1"/>
    <col min="3" max="3" width="18" style="42" customWidth="1"/>
    <col min="4" max="4" width="19.140625" style="42" customWidth="1"/>
    <col min="5" max="5" width="25.5703125" style="42" customWidth="1"/>
    <col min="6" max="6" width="18" style="42" customWidth="1"/>
    <col min="7" max="7" width="63" style="1519" hidden="1" customWidth="1"/>
    <col min="8" max="8" width="106.28515625" style="42" hidden="1" customWidth="1"/>
    <col min="9" max="9" width="17" style="648" hidden="1" customWidth="1"/>
    <col min="10" max="10" width="12.85546875" style="42" hidden="1" customWidth="1"/>
    <col min="11" max="11" width="14" style="42" hidden="1" customWidth="1"/>
    <col min="12" max="12" width="12.85546875" style="42" hidden="1" customWidth="1"/>
    <col min="13" max="13" width="10.28515625" style="42" hidden="1" customWidth="1"/>
    <col min="14" max="14" width="9.28515625" style="42" hidden="1" customWidth="1"/>
    <col min="15" max="15" width="12.85546875" style="42" hidden="1" customWidth="1"/>
    <col min="16" max="16" width="11.28515625" style="42" hidden="1" customWidth="1"/>
    <col min="17" max="17" width="11.42578125" style="42" hidden="1" customWidth="1"/>
    <col min="18" max="19" width="12.85546875" style="42" hidden="1" customWidth="1"/>
    <col min="20" max="20" width="8.28515625" style="42" hidden="1" customWidth="1"/>
    <col min="21" max="21" width="10.28515625" style="42" hidden="1" customWidth="1"/>
    <col min="22" max="22" width="49.7109375" style="42" customWidth="1"/>
    <col min="23" max="23" width="18" style="42" bestFit="1" customWidth="1"/>
    <col min="24" max="24" width="19.140625" style="42" bestFit="1" customWidth="1"/>
    <col min="25" max="25" width="18" style="42" bestFit="1" customWidth="1"/>
    <col min="26" max="26" width="49.7109375" style="42" bestFit="1" customWidth="1"/>
    <col min="27" max="27" width="18" style="42" bestFit="1" customWidth="1"/>
    <col min="28" max="28" width="19.140625" style="42" bestFit="1" customWidth="1"/>
    <col min="29" max="29" width="18" style="42" bestFit="1" customWidth="1"/>
    <col min="30" max="30" width="49.7109375" style="42" bestFit="1" customWidth="1"/>
    <col min="31" max="31" width="21.42578125" style="42" bestFit="1" customWidth="1"/>
    <col min="32" max="32" width="19.140625" style="42" bestFit="1" customWidth="1"/>
    <col min="33" max="33" width="18" style="42" bestFit="1" customWidth="1"/>
    <col min="34" max="264" width="11.42578125" style="42"/>
    <col min="265" max="265" width="30.42578125" style="42" customWidth="1"/>
    <col min="266" max="266" width="23.28515625" style="42" bestFit="1" customWidth="1"/>
    <col min="267" max="267" width="18.140625" style="42" bestFit="1" customWidth="1"/>
    <col min="268" max="268" width="15.85546875" style="42" bestFit="1" customWidth="1"/>
    <col min="269" max="520" width="11.42578125" style="42"/>
    <col min="521" max="521" width="30.42578125" style="42" customWidth="1"/>
    <col min="522" max="522" width="23.28515625" style="42" bestFit="1" customWidth="1"/>
    <col min="523" max="523" width="18.140625" style="42" bestFit="1" customWidth="1"/>
    <col min="524" max="524" width="15.85546875" style="42" bestFit="1" customWidth="1"/>
    <col min="525" max="776" width="11.42578125" style="42"/>
    <col min="777" max="777" width="30.42578125" style="42" customWidth="1"/>
    <col min="778" max="778" width="23.28515625" style="42" bestFit="1" customWidth="1"/>
    <col min="779" max="779" width="18.140625" style="42" bestFit="1" customWidth="1"/>
    <col min="780" max="780" width="15.85546875" style="42" bestFit="1" customWidth="1"/>
    <col min="781" max="1032" width="11.42578125" style="42"/>
    <col min="1033" max="1033" width="30.42578125" style="42" customWidth="1"/>
    <col min="1034" max="1034" width="23.28515625" style="42" bestFit="1" customWidth="1"/>
    <col min="1035" max="1035" width="18.140625" style="42" bestFit="1" customWidth="1"/>
    <col min="1036" max="1036" width="15.85546875" style="42" bestFit="1" customWidth="1"/>
    <col min="1037" max="1288" width="11.42578125" style="42"/>
    <col min="1289" max="1289" width="30.42578125" style="42" customWidth="1"/>
    <col min="1290" max="1290" width="23.28515625" style="42" bestFit="1" customWidth="1"/>
    <col min="1291" max="1291" width="18.140625" style="42" bestFit="1" customWidth="1"/>
    <col min="1292" max="1292" width="15.85546875" style="42" bestFit="1" customWidth="1"/>
    <col min="1293" max="1544" width="11.42578125" style="42"/>
    <col min="1545" max="1545" width="30.42578125" style="42" customWidth="1"/>
    <col min="1546" max="1546" width="23.28515625" style="42" bestFit="1" customWidth="1"/>
    <col min="1547" max="1547" width="18.140625" style="42" bestFit="1" customWidth="1"/>
    <col min="1548" max="1548" width="15.85546875" style="42" bestFit="1" customWidth="1"/>
    <col min="1549" max="1800" width="11.42578125" style="42"/>
    <col min="1801" max="1801" width="30.42578125" style="42" customWidth="1"/>
    <col min="1802" max="1802" width="23.28515625" style="42" bestFit="1" customWidth="1"/>
    <col min="1803" max="1803" width="18.140625" style="42" bestFit="1" customWidth="1"/>
    <col min="1804" max="1804" width="15.85546875" style="42" bestFit="1" customWidth="1"/>
    <col min="1805" max="2056" width="11.42578125" style="42"/>
    <col min="2057" max="2057" width="30.42578125" style="42" customWidth="1"/>
    <col min="2058" max="2058" width="23.28515625" style="42" bestFit="1" customWidth="1"/>
    <col min="2059" max="2059" width="18.140625" style="42" bestFit="1" customWidth="1"/>
    <col min="2060" max="2060" width="15.85546875" style="42" bestFit="1" customWidth="1"/>
    <col min="2061" max="2312" width="11.42578125" style="42"/>
    <col min="2313" max="2313" width="30.42578125" style="42" customWidth="1"/>
    <col min="2314" max="2314" width="23.28515625" style="42" bestFit="1" customWidth="1"/>
    <col min="2315" max="2315" width="18.140625" style="42" bestFit="1" customWidth="1"/>
    <col min="2316" max="2316" width="15.85546875" style="42" bestFit="1" customWidth="1"/>
    <col min="2317" max="2568" width="11.42578125" style="42"/>
    <col min="2569" max="2569" width="30.42578125" style="42" customWidth="1"/>
    <col min="2570" max="2570" width="23.28515625" style="42" bestFit="1" customWidth="1"/>
    <col min="2571" max="2571" width="18.140625" style="42" bestFit="1" customWidth="1"/>
    <col min="2572" max="2572" width="15.85546875" style="42" bestFit="1" customWidth="1"/>
    <col min="2573" max="2824" width="11.42578125" style="42"/>
    <col min="2825" max="2825" width="30.42578125" style="42" customWidth="1"/>
    <col min="2826" max="2826" width="23.28515625" style="42" bestFit="1" customWidth="1"/>
    <col min="2827" max="2827" width="18.140625" style="42" bestFit="1" customWidth="1"/>
    <col min="2828" max="2828" width="15.85546875" style="42" bestFit="1" customWidth="1"/>
    <col min="2829" max="3080" width="11.42578125" style="42"/>
    <col min="3081" max="3081" width="30.42578125" style="42" customWidth="1"/>
    <col min="3082" max="3082" width="23.28515625" style="42" bestFit="1" customWidth="1"/>
    <col min="3083" max="3083" width="18.140625" style="42" bestFit="1" customWidth="1"/>
    <col min="3084" max="3084" width="15.85546875" style="42" bestFit="1" customWidth="1"/>
    <col min="3085" max="3336" width="11.42578125" style="42"/>
    <col min="3337" max="3337" width="30.42578125" style="42" customWidth="1"/>
    <col min="3338" max="3338" width="23.28515625" style="42" bestFit="1" customWidth="1"/>
    <col min="3339" max="3339" width="18.140625" style="42" bestFit="1" customWidth="1"/>
    <col min="3340" max="3340" width="15.85546875" style="42" bestFit="1" customWidth="1"/>
    <col min="3341" max="3592" width="11.42578125" style="42"/>
    <col min="3593" max="3593" width="30.42578125" style="42" customWidth="1"/>
    <col min="3594" max="3594" width="23.28515625" style="42" bestFit="1" customWidth="1"/>
    <col min="3595" max="3595" width="18.140625" style="42" bestFit="1" customWidth="1"/>
    <col min="3596" max="3596" width="15.85546875" style="42" bestFit="1" customWidth="1"/>
    <col min="3597" max="3848" width="11.42578125" style="42"/>
    <col min="3849" max="3849" width="30.42578125" style="42" customWidth="1"/>
    <col min="3850" max="3850" width="23.28515625" style="42" bestFit="1" customWidth="1"/>
    <col min="3851" max="3851" width="18.140625" style="42" bestFit="1" customWidth="1"/>
    <col min="3852" max="3852" width="15.85546875" style="42" bestFit="1" customWidth="1"/>
    <col min="3853" max="4104" width="11.42578125" style="42"/>
    <col min="4105" max="4105" width="30.42578125" style="42" customWidth="1"/>
    <col min="4106" max="4106" width="23.28515625" style="42" bestFit="1" customWidth="1"/>
    <col min="4107" max="4107" width="18.140625" style="42" bestFit="1" customWidth="1"/>
    <col min="4108" max="4108" width="15.85546875" style="42" bestFit="1" customWidth="1"/>
    <col min="4109" max="4360" width="11.42578125" style="42"/>
    <col min="4361" max="4361" width="30.42578125" style="42" customWidth="1"/>
    <col min="4362" max="4362" width="23.28515625" style="42" bestFit="1" customWidth="1"/>
    <col min="4363" max="4363" width="18.140625" style="42" bestFit="1" customWidth="1"/>
    <col min="4364" max="4364" width="15.85546875" style="42" bestFit="1" customWidth="1"/>
    <col min="4365" max="4616" width="11.42578125" style="42"/>
    <col min="4617" max="4617" width="30.42578125" style="42" customWidth="1"/>
    <col min="4618" max="4618" width="23.28515625" style="42" bestFit="1" customWidth="1"/>
    <col min="4619" max="4619" width="18.140625" style="42" bestFit="1" customWidth="1"/>
    <col min="4620" max="4620" width="15.85546875" style="42" bestFit="1" customWidth="1"/>
    <col min="4621" max="4872" width="11.42578125" style="42"/>
    <col min="4873" max="4873" width="30.42578125" style="42" customWidth="1"/>
    <col min="4874" max="4874" width="23.28515625" style="42" bestFit="1" customWidth="1"/>
    <col min="4875" max="4875" width="18.140625" style="42" bestFit="1" customWidth="1"/>
    <col min="4876" max="4876" width="15.85546875" style="42" bestFit="1" customWidth="1"/>
    <col min="4877" max="5128" width="11.42578125" style="42"/>
    <col min="5129" max="5129" width="30.42578125" style="42" customWidth="1"/>
    <col min="5130" max="5130" width="23.28515625" style="42" bestFit="1" customWidth="1"/>
    <col min="5131" max="5131" width="18.140625" style="42" bestFit="1" customWidth="1"/>
    <col min="5132" max="5132" width="15.85546875" style="42" bestFit="1" customWidth="1"/>
    <col min="5133" max="5384" width="11.42578125" style="42"/>
    <col min="5385" max="5385" width="30.42578125" style="42" customWidth="1"/>
    <col min="5386" max="5386" width="23.28515625" style="42" bestFit="1" customWidth="1"/>
    <col min="5387" max="5387" width="18.140625" style="42" bestFit="1" customWidth="1"/>
    <col min="5388" max="5388" width="15.85546875" style="42" bestFit="1" customWidth="1"/>
    <col min="5389" max="5640" width="11.42578125" style="42"/>
    <col min="5641" max="5641" width="30.42578125" style="42" customWidth="1"/>
    <col min="5642" max="5642" width="23.28515625" style="42" bestFit="1" customWidth="1"/>
    <col min="5643" max="5643" width="18.140625" style="42" bestFit="1" customWidth="1"/>
    <col min="5644" max="5644" width="15.85546875" style="42" bestFit="1" customWidth="1"/>
    <col min="5645" max="5896" width="11.42578125" style="42"/>
    <col min="5897" max="5897" width="30.42578125" style="42" customWidth="1"/>
    <col min="5898" max="5898" width="23.28515625" style="42" bestFit="1" customWidth="1"/>
    <col min="5899" max="5899" width="18.140625" style="42" bestFit="1" customWidth="1"/>
    <col min="5900" max="5900" width="15.85546875" style="42" bestFit="1" customWidth="1"/>
    <col min="5901" max="6152" width="11.42578125" style="42"/>
    <col min="6153" max="6153" width="30.42578125" style="42" customWidth="1"/>
    <col min="6154" max="6154" width="23.28515625" style="42" bestFit="1" customWidth="1"/>
    <col min="6155" max="6155" width="18.140625" style="42" bestFit="1" customWidth="1"/>
    <col min="6156" max="6156" width="15.85546875" style="42" bestFit="1" customWidth="1"/>
    <col min="6157" max="6408" width="11.42578125" style="42"/>
    <col min="6409" max="6409" width="30.42578125" style="42" customWidth="1"/>
    <col min="6410" max="6410" width="23.28515625" style="42" bestFit="1" customWidth="1"/>
    <col min="6411" max="6411" width="18.140625" style="42" bestFit="1" customWidth="1"/>
    <col min="6412" max="6412" width="15.85546875" style="42" bestFit="1" customWidth="1"/>
    <col min="6413" max="6664" width="11.42578125" style="42"/>
    <col min="6665" max="6665" width="30.42578125" style="42" customWidth="1"/>
    <col min="6666" max="6666" width="23.28515625" style="42" bestFit="1" customWidth="1"/>
    <col min="6667" max="6667" width="18.140625" style="42" bestFit="1" customWidth="1"/>
    <col min="6668" max="6668" width="15.85546875" style="42" bestFit="1" customWidth="1"/>
    <col min="6669" max="6920" width="11.42578125" style="42"/>
    <col min="6921" max="6921" width="30.42578125" style="42" customWidth="1"/>
    <col min="6922" max="6922" width="23.28515625" style="42" bestFit="1" customWidth="1"/>
    <col min="6923" max="6923" width="18.140625" style="42" bestFit="1" customWidth="1"/>
    <col min="6924" max="6924" width="15.85546875" style="42" bestFit="1" customWidth="1"/>
    <col min="6925" max="7176" width="11.42578125" style="42"/>
    <col min="7177" max="7177" width="30.42578125" style="42" customWidth="1"/>
    <col min="7178" max="7178" width="23.28515625" style="42" bestFit="1" customWidth="1"/>
    <col min="7179" max="7179" width="18.140625" style="42" bestFit="1" customWidth="1"/>
    <col min="7180" max="7180" width="15.85546875" style="42" bestFit="1" customWidth="1"/>
    <col min="7181" max="7432" width="11.42578125" style="42"/>
    <col min="7433" max="7433" width="30.42578125" style="42" customWidth="1"/>
    <col min="7434" max="7434" width="23.28515625" style="42" bestFit="1" customWidth="1"/>
    <col min="7435" max="7435" width="18.140625" style="42" bestFit="1" customWidth="1"/>
    <col min="7436" max="7436" width="15.85546875" style="42" bestFit="1" customWidth="1"/>
    <col min="7437" max="7688" width="11.42578125" style="42"/>
    <col min="7689" max="7689" width="30.42578125" style="42" customWidth="1"/>
    <col min="7690" max="7690" width="23.28515625" style="42" bestFit="1" customWidth="1"/>
    <col min="7691" max="7691" width="18.140625" style="42" bestFit="1" customWidth="1"/>
    <col min="7692" max="7692" width="15.85546875" style="42" bestFit="1" customWidth="1"/>
    <col min="7693" max="7944" width="11.42578125" style="42"/>
    <col min="7945" max="7945" width="30.42578125" style="42" customWidth="1"/>
    <col min="7946" max="7946" width="23.28515625" style="42" bestFit="1" customWidth="1"/>
    <col min="7947" max="7947" width="18.140625" style="42" bestFit="1" customWidth="1"/>
    <col min="7948" max="7948" width="15.85546875" style="42" bestFit="1" customWidth="1"/>
    <col min="7949" max="8200" width="11.42578125" style="42"/>
    <col min="8201" max="8201" width="30.42578125" style="42" customWidth="1"/>
    <col min="8202" max="8202" width="23.28515625" style="42" bestFit="1" customWidth="1"/>
    <col min="8203" max="8203" width="18.140625" style="42" bestFit="1" customWidth="1"/>
    <col min="8204" max="8204" width="15.85546875" style="42" bestFit="1" customWidth="1"/>
    <col min="8205" max="8456" width="11.42578125" style="42"/>
    <col min="8457" max="8457" width="30.42578125" style="42" customWidth="1"/>
    <col min="8458" max="8458" width="23.28515625" style="42" bestFit="1" customWidth="1"/>
    <col min="8459" max="8459" width="18.140625" style="42" bestFit="1" customWidth="1"/>
    <col min="8460" max="8460" width="15.85546875" style="42" bestFit="1" customWidth="1"/>
    <col min="8461" max="8712" width="11.42578125" style="42"/>
    <col min="8713" max="8713" width="30.42578125" style="42" customWidth="1"/>
    <col min="8714" max="8714" width="23.28515625" style="42" bestFit="1" customWidth="1"/>
    <col min="8715" max="8715" width="18.140625" style="42" bestFit="1" customWidth="1"/>
    <col min="8716" max="8716" width="15.85546875" style="42" bestFit="1" customWidth="1"/>
    <col min="8717" max="8968" width="11.42578125" style="42"/>
    <col min="8969" max="8969" width="30.42578125" style="42" customWidth="1"/>
    <col min="8970" max="8970" width="23.28515625" style="42" bestFit="1" customWidth="1"/>
    <col min="8971" max="8971" width="18.140625" style="42" bestFit="1" customWidth="1"/>
    <col min="8972" max="8972" width="15.85546875" style="42" bestFit="1" customWidth="1"/>
    <col min="8973" max="9224" width="11.42578125" style="42"/>
    <col min="9225" max="9225" width="30.42578125" style="42" customWidth="1"/>
    <col min="9226" max="9226" width="23.28515625" style="42" bestFit="1" customWidth="1"/>
    <col min="9227" max="9227" width="18.140625" style="42" bestFit="1" customWidth="1"/>
    <col min="9228" max="9228" width="15.85546875" style="42" bestFit="1" customWidth="1"/>
    <col min="9229" max="9480" width="11.42578125" style="42"/>
    <col min="9481" max="9481" width="30.42578125" style="42" customWidth="1"/>
    <col min="9482" max="9482" width="23.28515625" style="42" bestFit="1" customWidth="1"/>
    <col min="9483" max="9483" width="18.140625" style="42" bestFit="1" customWidth="1"/>
    <col min="9484" max="9484" width="15.85546875" style="42" bestFit="1" customWidth="1"/>
    <col min="9485" max="9736" width="11.42578125" style="42"/>
    <col min="9737" max="9737" width="30.42578125" style="42" customWidth="1"/>
    <col min="9738" max="9738" width="23.28515625" style="42" bestFit="1" customWidth="1"/>
    <col min="9739" max="9739" width="18.140625" style="42" bestFit="1" customWidth="1"/>
    <col min="9740" max="9740" width="15.85546875" style="42" bestFit="1" customWidth="1"/>
    <col min="9741" max="9992" width="11.42578125" style="42"/>
    <col min="9993" max="9993" width="30.42578125" style="42" customWidth="1"/>
    <col min="9994" max="9994" width="23.28515625" style="42" bestFit="1" customWidth="1"/>
    <col min="9995" max="9995" width="18.140625" style="42" bestFit="1" customWidth="1"/>
    <col min="9996" max="9996" width="15.85546875" style="42" bestFit="1" customWidth="1"/>
    <col min="9997" max="10248" width="11.42578125" style="42"/>
    <col min="10249" max="10249" width="30.42578125" style="42" customWidth="1"/>
    <col min="10250" max="10250" width="23.28515625" style="42" bestFit="1" customWidth="1"/>
    <col min="10251" max="10251" width="18.140625" style="42" bestFit="1" customWidth="1"/>
    <col min="10252" max="10252" width="15.85546875" style="42" bestFit="1" customWidth="1"/>
    <col min="10253" max="10504" width="11.42578125" style="42"/>
    <col min="10505" max="10505" width="30.42578125" style="42" customWidth="1"/>
    <col min="10506" max="10506" width="23.28515625" style="42" bestFit="1" customWidth="1"/>
    <col min="10507" max="10507" width="18.140625" style="42" bestFit="1" customWidth="1"/>
    <col min="10508" max="10508" width="15.85546875" style="42" bestFit="1" customWidth="1"/>
    <col min="10509" max="10760" width="11.42578125" style="42"/>
    <col min="10761" max="10761" width="30.42578125" style="42" customWidth="1"/>
    <col min="10762" max="10762" width="23.28515625" style="42" bestFit="1" customWidth="1"/>
    <col min="10763" max="10763" width="18.140625" style="42" bestFit="1" customWidth="1"/>
    <col min="10764" max="10764" width="15.85546875" style="42" bestFit="1" customWidth="1"/>
    <col min="10765" max="11016" width="11.42578125" style="42"/>
    <col min="11017" max="11017" width="30.42578125" style="42" customWidth="1"/>
    <col min="11018" max="11018" width="23.28515625" style="42" bestFit="1" customWidth="1"/>
    <col min="11019" max="11019" width="18.140625" style="42" bestFit="1" customWidth="1"/>
    <col min="11020" max="11020" width="15.85546875" style="42" bestFit="1" customWidth="1"/>
    <col min="11021" max="11272" width="11.42578125" style="42"/>
    <col min="11273" max="11273" width="30.42578125" style="42" customWidth="1"/>
    <col min="11274" max="11274" width="23.28515625" style="42" bestFit="1" customWidth="1"/>
    <col min="11275" max="11275" width="18.140625" style="42" bestFit="1" customWidth="1"/>
    <col min="11276" max="11276" width="15.85546875" style="42" bestFit="1" customWidth="1"/>
    <col min="11277" max="11528" width="11.42578125" style="42"/>
    <col min="11529" max="11529" width="30.42578125" style="42" customWidth="1"/>
    <col min="11530" max="11530" width="23.28515625" style="42" bestFit="1" customWidth="1"/>
    <col min="11531" max="11531" width="18.140625" style="42" bestFit="1" customWidth="1"/>
    <col min="11532" max="11532" width="15.85546875" style="42" bestFit="1" customWidth="1"/>
    <col min="11533" max="11784" width="11.42578125" style="42"/>
    <col min="11785" max="11785" width="30.42578125" style="42" customWidth="1"/>
    <col min="11786" max="11786" width="23.28515625" style="42" bestFit="1" customWidth="1"/>
    <col min="11787" max="11787" width="18.140625" style="42" bestFit="1" customWidth="1"/>
    <col min="11788" max="11788" width="15.85546875" style="42" bestFit="1" customWidth="1"/>
    <col min="11789" max="12040" width="11.42578125" style="42"/>
    <col min="12041" max="12041" width="30.42578125" style="42" customWidth="1"/>
    <col min="12042" max="12042" width="23.28515625" style="42" bestFit="1" customWidth="1"/>
    <col min="12043" max="12043" width="18.140625" style="42" bestFit="1" customWidth="1"/>
    <col min="12044" max="12044" width="15.85546875" style="42" bestFit="1" customWidth="1"/>
    <col min="12045" max="12296" width="11.42578125" style="42"/>
    <col min="12297" max="12297" width="30.42578125" style="42" customWidth="1"/>
    <col min="12298" max="12298" width="23.28515625" style="42" bestFit="1" customWidth="1"/>
    <col min="12299" max="12299" width="18.140625" style="42" bestFit="1" customWidth="1"/>
    <col min="12300" max="12300" width="15.85546875" style="42" bestFit="1" customWidth="1"/>
    <col min="12301" max="12552" width="11.42578125" style="42"/>
    <col min="12553" max="12553" width="30.42578125" style="42" customWidth="1"/>
    <col min="12554" max="12554" width="23.28515625" style="42" bestFit="1" customWidth="1"/>
    <col min="12555" max="12555" width="18.140625" style="42" bestFit="1" customWidth="1"/>
    <col min="12556" max="12556" width="15.85546875" style="42" bestFit="1" customWidth="1"/>
    <col min="12557" max="12808" width="11.42578125" style="42"/>
    <col min="12809" max="12809" width="30.42578125" style="42" customWidth="1"/>
    <col min="12810" max="12810" width="23.28515625" style="42" bestFit="1" customWidth="1"/>
    <col min="12811" max="12811" width="18.140625" style="42" bestFit="1" customWidth="1"/>
    <col min="12812" max="12812" width="15.85546875" style="42" bestFit="1" customWidth="1"/>
    <col min="12813" max="13064" width="11.42578125" style="42"/>
    <col min="13065" max="13065" width="30.42578125" style="42" customWidth="1"/>
    <col min="13066" max="13066" width="23.28515625" style="42" bestFit="1" customWidth="1"/>
    <col min="13067" max="13067" width="18.140625" style="42" bestFit="1" customWidth="1"/>
    <col min="13068" max="13068" width="15.85546875" style="42" bestFit="1" customWidth="1"/>
    <col min="13069" max="13320" width="11.42578125" style="42"/>
    <col min="13321" max="13321" width="30.42578125" style="42" customWidth="1"/>
    <col min="13322" max="13322" width="23.28515625" style="42" bestFit="1" customWidth="1"/>
    <col min="13323" max="13323" width="18.140625" style="42" bestFit="1" customWidth="1"/>
    <col min="13324" max="13324" width="15.85546875" style="42" bestFit="1" customWidth="1"/>
    <col min="13325" max="13576" width="11.42578125" style="42"/>
    <col min="13577" max="13577" width="30.42578125" style="42" customWidth="1"/>
    <col min="13578" max="13578" width="23.28515625" style="42" bestFit="1" customWidth="1"/>
    <col min="13579" max="13579" width="18.140625" style="42" bestFit="1" customWidth="1"/>
    <col min="13580" max="13580" width="15.85546875" style="42" bestFit="1" customWidth="1"/>
    <col min="13581" max="13832" width="11.42578125" style="42"/>
    <col min="13833" max="13833" width="30.42578125" style="42" customWidth="1"/>
    <col min="13834" max="13834" width="23.28515625" style="42" bestFit="1" customWidth="1"/>
    <col min="13835" max="13835" width="18.140625" style="42" bestFit="1" customWidth="1"/>
    <col min="13836" max="13836" width="15.85546875" style="42" bestFit="1" customWidth="1"/>
    <col min="13837" max="14088" width="11.42578125" style="42"/>
    <col min="14089" max="14089" width="30.42578125" style="42" customWidth="1"/>
    <col min="14090" max="14090" width="23.28515625" style="42" bestFit="1" customWidth="1"/>
    <col min="14091" max="14091" width="18.140625" style="42" bestFit="1" customWidth="1"/>
    <col min="14092" max="14092" width="15.85546875" style="42" bestFit="1" customWidth="1"/>
    <col min="14093" max="14344" width="11.42578125" style="42"/>
    <col min="14345" max="14345" width="30.42578125" style="42" customWidth="1"/>
    <col min="14346" max="14346" width="23.28515625" style="42" bestFit="1" customWidth="1"/>
    <col min="14347" max="14347" width="18.140625" style="42" bestFit="1" customWidth="1"/>
    <col min="14348" max="14348" width="15.85546875" style="42" bestFit="1" customWidth="1"/>
    <col min="14349" max="14600" width="11.42578125" style="42"/>
    <col min="14601" max="14601" width="30.42578125" style="42" customWidth="1"/>
    <col min="14602" max="14602" width="23.28515625" style="42" bestFit="1" customWidth="1"/>
    <col min="14603" max="14603" width="18.140625" style="42" bestFit="1" customWidth="1"/>
    <col min="14604" max="14604" width="15.85546875" style="42" bestFit="1" customWidth="1"/>
    <col min="14605" max="14856" width="11.42578125" style="42"/>
    <col min="14857" max="14857" width="30.42578125" style="42" customWidth="1"/>
    <col min="14858" max="14858" width="23.28515625" style="42" bestFit="1" customWidth="1"/>
    <col min="14859" max="14859" width="18.140625" style="42" bestFit="1" customWidth="1"/>
    <col min="14860" max="14860" width="15.85546875" style="42" bestFit="1" customWidth="1"/>
    <col min="14861" max="15112" width="11.42578125" style="42"/>
    <col min="15113" max="15113" width="30.42578125" style="42" customWidth="1"/>
    <col min="15114" max="15114" width="23.28515625" style="42" bestFit="1" customWidth="1"/>
    <col min="15115" max="15115" width="18.140625" style="42" bestFit="1" customWidth="1"/>
    <col min="15116" max="15116" width="15.85546875" style="42" bestFit="1" customWidth="1"/>
    <col min="15117" max="15368" width="11.42578125" style="42"/>
    <col min="15369" max="15369" width="30.42578125" style="42" customWidth="1"/>
    <col min="15370" max="15370" width="23.28515625" style="42" bestFit="1" customWidth="1"/>
    <col min="15371" max="15371" width="18.140625" style="42" bestFit="1" customWidth="1"/>
    <col min="15372" max="15372" width="15.85546875" style="42" bestFit="1" customWidth="1"/>
    <col min="15373" max="15624" width="11.42578125" style="42"/>
    <col min="15625" max="15625" width="30.42578125" style="42" customWidth="1"/>
    <col min="15626" max="15626" width="23.28515625" style="42" bestFit="1" customWidth="1"/>
    <col min="15627" max="15627" width="18.140625" style="42" bestFit="1" customWidth="1"/>
    <col min="15628" max="15628" width="15.85546875" style="42" bestFit="1" customWidth="1"/>
    <col min="15629" max="15880" width="11.42578125" style="42"/>
    <col min="15881" max="15881" width="30.42578125" style="42" customWidth="1"/>
    <col min="15882" max="15882" width="23.28515625" style="42" bestFit="1" customWidth="1"/>
    <col min="15883" max="15883" width="18.140625" style="42" bestFit="1" customWidth="1"/>
    <col min="15884" max="15884" width="15.85546875" style="42" bestFit="1" customWidth="1"/>
    <col min="15885" max="16136" width="11.42578125" style="42"/>
    <col min="16137" max="16137" width="30.42578125" style="42" customWidth="1"/>
    <col min="16138" max="16138" width="23.28515625" style="42" bestFit="1" customWidth="1"/>
    <col min="16139" max="16139" width="18.140625" style="42" bestFit="1" customWidth="1"/>
    <col min="16140" max="16140" width="15.85546875" style="42" bestFit="1" customWidth="1"/>
    <col min="16141" max="16384" width="11.42578125" style="42"/>
  </cols>
  <sheetData>
    <row r="2" spans="1:33" ht="15" customHeight="1" x14ac:dyDescent="0.25">
      <c r="A2" s="1686" t="s">
        <v>1767</v>
      </c>
      <c r="B2" s="1686"/>
      <c r="C2" s="1686"/>
      <c r="D2" s="1686"/>
      <c r="E2" s="1686"/>
      <c r="F2" s="1687"/>
      <c r="G2" s="1520"/>
      <c r="V2" s="1688" t="s">
        <v>1767</v>
      </c>
      <c r="W2" s="1690"/>
      <c r="X2" s="1690"/>
      <c r="Y2" s="1691"/>
      <c r="Z2" s="1692" t="s">
        <v>1767</v>
      </c>
      <c r="AA2" s="1694"/>
      <c r="AB2" s="1694"/>
      <c r="AC2" s="1695"/>
      <c r="AD2" s="1696" t="s">
        <v>1767</v>
      </c>
      <c r="AE2" s="1698"/>
      <c r="AF2" s="1698"/>
      <c r="AG2" s="1699"/>
    </row>
    <row r="3" spans="1:33" ht="15" customHeight="1" x14ac:dyDescent="0.25">
      <c r="A3" s="1686" t="s">
        <v>1768</v>
      </c>
      <c r="B3" s="1686"/>
      <c r="C3" s="1686"/>
      <c r="D3" s="1686"/>
      <c r="E3" s="1686"/>
      <c r="F3" s="1687"/>
      <c r="G3" s="1520"/>
      <c r="V3" s="1688" t="s">
        <v>1768</v>
      </c>
      <c r="W3" s="1690"/>
      <c r="X3" s="1690"/>
      <c r="Y3" s="1691"/>
      <c r="Z3" s="1692" t="s">
        <v>1768</v>
      </c>
      <c r="AA3" s="1694"/>
      <c r="AB3" s="1694"/>
      <c r="AC3" s="1695"/>
      <c r="AD3" s="1696" t="s">
        <v>1768</v>
      </c>
      <c r="AE3" s="1698"/>
      <c r="AF3" s="1698"/>
      <c r="AG3" s="1699"/>
    </row>
    <row r="4" spans="1:33" ht="15" customHeight="1" x14ac:dyDescent="0.25">
      <c r="A4" s="1686" t="s">
        <v>1769</v>
      </c>
      <c r="B4" s="1686"/>
      <c r="C4" s="1686"/>
      <c r="D4" s="1686"/>
      <c r="E4" s="1686"/>
      <c r="F4" s="1687"/>
      <c r="G4" s="1520"/>
      <c r="V4" s="1688" t="s">
        <v>1769</v>
      </c>
      <c r="W4" s="1690"/>
      <c r="X4" s="1690"/>
      <c r="Y4" s="1691"/>
      <c r="Z4" s="1692" t="s">
        <v>1769</v>
      </c>
      <c r="AA4" s="1694"/>
      <c r="AB4" s="1694"/>
      <c r="AC4" s="1695"/>
      <c r="AD4" s="1696" t="s">
        <v>1769</v>
      </c>
      <c r="AE4" s="1698"/>
      <c r="AF4" s="1698"/>
      <c r="AG4" s="1699"/>
    </row>
    <row r="5" spans="1:33" ht="15" customHeight="1" x14ac:dyDescent="0.25">
      <c r="A5" s="1686" t="s">
        <v>3219</v>
      </c>
      <c r="B5" s="1686"/>
      <c r="C5" s="1686"/>
      <c r="D5" s="1686"/>
      <c r="E5" s="1686"/>
      <c r="F5" s="1687"/>
      <c r="G5" s="1520"/>
      <c r="V5" s="1688" t="s">
        <v>4349</v>
      </c>
      <c r="W5" s="1690"/>
      <c r="X5" s="1690"/>
      <c r="Y5" s="1691"/>
      <c r="Z5" s="1692" t="s">
        <v>4439</v>
      </c>
      <c r="AA5" s="1694"/>
      <c r="AB5" s="1694"/>
      <c r="AC5" s="1695"/>
      <c r="AD5" s="1696" t="s">
        <v>4448</v>
      </c>
      <c r="AE5" s="1698"/>
      <c r="AF5" s="1698"/>
      <c r="AG5" s="1699"/>
    </row>
    <row r="6" spans="1:33" s="95" customFormat="1" ht="53.25" customHeight="1" x14ac:dyDescent="0.25">
      <c r="A6" s="1615" t="s">
        <v>1771</v>
      </c>
      <c r="B6" s="1616" t="s">
        <v>1772</v>
      </c>
      <c r="C6" s="1617" t="s">
        <v>1773</v>
      </c>
      <c r="D6" s="1617" t="s">
        <v>1774</v>
      </c>
      <c r="E6" s="1618" t="s">
        <v>1775</v>
      </c>
      <c r="F6" s="1617" t="s">
        <v>1776</v>
      </c>
      <c r="G6" s="1521"/>
      <c r="I6" s="1291"/>
      <c r="V6" s="1529" t="s">
        <v>1773</v>
      </c>
      <c r="W6" s="1530" t="s">
        <v>1774</v>
      </c>
      <c r="X6" s="1531" t="s">
        <v>1775</v>
      </c>
      <c r="Y6" s="1530" t="s">
        <v>1776</v>
      </c>
      <c r="Z6" s="1613" t="s">
        <v>1773</v>
      </c>
      <c r="AA6" s="1613" t="s">
        <v>1774</v>
      </c>
      <c r="AB6" s="1613" t="s">
        <v>1775</v>
      </c>
      <c r="AC6" s="1613" t="s">
        <v>1776</v>
      </c>
      <c r="AD6" s="1614" t="s">
        <v>1773</v>
      </c>
      <c r="AE6" s="1614" t="s">
        <v>1774</v>
      </c>
      <c r="AF6" s="1614" t="s">
        <v>1775</v>
      </c>
      <c r="AG6" s="1614" t="s">
        <v>1776</v>
      </c>
    </row>
    <row r="7" spans="1:33" ht="15" x14ac:dyDescent="0.25">
      <c r="A7" s="1006">
        <v>20</v>
      </c>
      <c r="B7" s="1651" t="s">
        <v>1023</v>
      </c>
      <c r="C7" s="1254">
        <f>MROUND('F Y U 2024 Presupuesto'!C7,1000)</f>
        <v>32803406000</v>
      </c>
      <c r="D7" s="924"/>
      <c r="E7" s="924"/>
      <c r="F7" s="1526">
        <f>+C7</f>
        <v>32803406000</v>
      </c>
      <c r="G7" s="1520"/>
      <c r="V7" s="42">
        <f>+C7*1.05</f>
        <v>34443576300</v>
      </c>
      <c r="W7" s="924"/>
      <c r="X7" s="924"/>
      <c r="Y7" s="1526">
        <f>+V7</f>
        <v>34443576300</v>
      </c>
      <c r="Z7" s="42">
        <f>+V7*1.05</f>
        <v>36165755115</v>
      </c>
      <c r="AA7" s="924"/>
      <c r="AB7" s="924"/>
      <c r="AC7" s="1526">
        <f>+Z7</f>
        <v>36165755115</v>
      </c>
      <c r="AD7" s="42">
        <f>+Z7*1.05</f>
        <v>37974042870.75</v>
      </c>
      <c r="AE7" s="924"/>
      <c r="AF7" s="924"/>
      <c r="AG7" s="1526">
        <f>+AD7</f>
        <v>37974042870.75</v>
      </c>
    </row>
    <row r="8" spans="1:33" ht="15" x14ac:dyDescent="0.25">
      <c r="A8" s="933">
        <v>20</v>
      </c>
      <c r="B8" s="923" t="s">
        <v>1157</v>
      </c>
      <c r="C8" s="1254">
        <f>MROUND('F Y U 2024 Presupuesto'!C8,1000)</f>
        <v>1478804000</v>
      </c>
      <c r="D8" s="924"/>
      <c r="E8" s="924"/>
      <c r="F8" s="1526">
        <f>+C8</f>
        <v>1478804000</v>
      </c>
      <c r="G8" s="1682" t="s">
        <v>1777</v>
      </c>
      <c r="V8" s="42">
        <f>+C8*1.2</f>
        <v>1774564800</v>
      </c>
      <c r="W8" s="924"/>
      <c r="X8" s="924"/>
      <c r="Y8" s="1526">
        <f>+V8</f>
        <v>1774564800</v>
      </c>
      <c r="Z8" s="42">
        <f>+V8*1.2</f>
        <v>2129477760</v>
      </c>
      <c r="AA8" s="924"/>
      <c r="AB8" s="924"/>
      <c r="AC8" s="1526">
        <f>+Z8</f>
        <v>2129477760</v>
      </c>
      <c r="AD8" s="42">
        <f>+Z8*1.2</f>
        <v>2555373312</v>
      </c>
      <c r="AE8" s="924"/>
      <c r="AF8" s="924"/>
      <c r="AG8" s="1526">
        <f>+AD8</f>
        <v>2555373312</v>
      </c>
    </row>
    <row r="9" spans="1:33" ht="15" x14ac:dyDescent="0.25">
      <c r="A9" s="922">
        <v>20</v>
      </c>
      <c r="B9" s="923" t="s">
        <v>1158</v>
      </c>
      <c r="C9" s="1254">
        <f>MROUND('F Y U 2024 Presupuesto'!C9,1000)-C49</f>
        <v>7493777000</v>
      </c>
      <c r="D9" s="924"/>
      <c r="E9" s="924"/>
      <c r="F9" s="1527">
        <f>+C9</f>
        <v>7493777000</v>
      </c>
      <c r="G9" s="1682"/>
      <c r="H9" s="42">
        <f>+C10+C11+C12+C13+C14</f>
        <v>28774686000</v>
      </c>
      <c r="I9" s="648">
        <f>+H9*0.04</f>
        <v>1150987440</v>
      </c>
      <c r="J9" s="42">
        <f>+C12</f>
        <v>1150987000</v>
      </c>
      <c r="V9" s="42">
        <f>+C9*1.21</f>
        <v>9067470170</v>
      </c>
      <c r="W9" s="924"/>
      <c r="X9" s="924"/>
      <c r="Y9" s="1527">
        <f>+V9</f>
        <v>9067470170</v>
      </c>
      <c r="Z9" s="42">
        <f>+V9*1.21</f>
        <v>10971638905.699999</v>
      </c>
      <c r="AA9" s="924"/>
      <c r="AB9" s="924"/>
      <c r="AC9" s="1527">
        <f>+Z9</f>
        <v>10971638905.699999</v>
      </c>
      <c r="AD9" s="42">
        <f>+Z9*1.21</f>
        <v>13275683075.896997</v>
      </c>
      <c r="AE9" s="924"/>
      <c r="AF9" s="924"/>
      <c r="AG9" s="1527">
        <f>+AD9</f>
        <v>13275683075.896997</v>
      </c>
    </row>
    <row r="10" spans="1:33" ht="15" x14ac:dyDescent="0.25">
      <c r="A10" s="922">
        <v>20</v>
      </c>
      <c r="B10" s="1651" t="s">
        <v>1779</v>
      </c>
      <c r="C10" s="1254">
        <f>MROUND('F Y U 2024 Presupuesto'!C10,1000)</f>
        <v>17264812000</v>
      </c>
      <c r="D10" s="927"/>
      <c r="E10" s="924"/>
      <c r="F10" s="1527">
        <f>+C10</f>
        <v>17264812000</v>
      </c>
      <c r="I10" s="648">
        <f>+H9*0.06</f>
        <v>1726481160</v>
      </c>
      <c r="J10" s="42">
        <f>+C13</f>
        <v>1726481000</v>
      </c>
      <c r="V10" s="42">
        <f>+C10*1.08</f>
        <v>18645996960</v>
      </c>
      <c r="W10" s="927"/>
      <c r="X10" s="924"/>
      <c r="Y10" s="1527">
        <f>+V10</f>
        <v>18645996960</v>
      </c>
      <c r="Z10" s="42">
        <f>+V10*1.08</f>
        <v>20137676716.800003</v>
      </c>
      <c r="AA10" s="927"/>
      <c r="AB10" s="924"/>
      <c r="AC10" s="1527">
        <f>+Z10</f>
        <v>20137676716.800003</v>
      </c>
      <c r="AD10" s="42">
        <f>+Z10*1.08</f>
        <v>21748690854.144005</v>
      </c>
      <c r="AE10" s="927"/>
      <c r="AF10" s="924"/>
      <c r="AG10" s="1527">
        <f>+AD10</f>
        <v>21748690854.144005</v>
      </c>
    </row>
    <row r="11" spans="1:33" ht="15" x14ac:dyDescent="0.25">
      <c r="A11" s="922">
        <v>1</v>
      </c>
      <c r="B11" s="1651" t="s">
        <v>1780</v>
      </c>
      <c r="C11" s="1254">
        <f>MROUND('F Y U 2024 Presupuesto'!C11,1000)</f>
        <v>5754937000</v>
      </c>
      <c r="D11" s="927"/>
      <c r="E11" s="1251">
        <f>+C11</f>
        <v>5754937000</v>
      </c>
      <c r="F11" s="925"/>
      <c r="G11" s="1146"/>
      <c r="I11" s="648">
        <f>+H9*0.1</f>
        <v>2877468600</v>
      </c>
      <c r="J11" s="42">
        <f>+C14</f>
        <v>2877469000</v>
      </c>
      <c r="V11" s="42">
        <f t="shared" ref="V11:V14" si="0">+C11*1.08</f>
        <v>6215331960</v>
      </c>
      <c r="W11" s="927"/>
      <c r="X11" s="1251">
        <f>+V11</f>
        <v>6215331960</v>
      </c>
      <c r="Y11" s="925"/>
      <c r="Z11" s="42">
        <f>+V11*1.08</f>
        <v>6712558516.8000002</v>
      </c>
      <c r="AA11" s="927"/>
      <c r="AB11" s="1251">
        <f>+Z11</f>
        <v>6712558516.8000002</v>
      </c>
      <c r="AC11" s="925"/>
      <c r="AD11" s="42">
        <f>+Z11*1.08</f>
        <v>7249563198.144001</v>
      </c>
      <c r="AE11" s="927"/>
      <c r="AF11" s="1251">
        <f>+AD11</f>
        <v>7249563198.144001</v>
      </c>
      <c r="AG11" s="925"/>
    </row>
    <row r="12" spans="1:33" ht="15" x14ac:dyDescent="0.25">
      <c r="A12" s="922">
        <v>52</v>
      </c>
      <c r="B12" s="1651" t="s">
        <v>1028</v>
      </c>
      <c r="C12" s="1254">
        <f>MROUND('F Y U 2024 Presupuesto'!C12,1000)</f>
        <v>1150987000</v>
      </c>
      <c r="D12" s="924">
        <f>+C12</f>
        <v>1150987000</v>
      </c>
      <c r="E12" s="924"/>
      <c r="F12" s="925"/>
      <c r="G12" s="1146"/>
      <c r="I12" s="648">
        <f>+H9*0.2</f>
        <v>5754937200</v>
      </c>
      <c r="J12" s="42">
        <f>+C11</f>
        <v>5754937000</v>
      </c>
      <c r="V12" s="42">
        <f t="shared" si="0"/>
        <v>1243065960</v>
      </c>
      <c r="W12" s="924">
        <f>+V12</f>
        <v>1243065960</v>
      </c>
      <c r="X12" s="924"/>
      <c r="Y12" s="925"/>
      <c r="Z12" s="42">
        <f>+V12*1.08</f>
        <v>1342511236.8000002</v>
      </c>
      <c r="AA12" s="924">
        <f>+Z12</f>
        <v>1342511236.8000002</v>
      </c>
      <c r="AB12" s="924"/>
      <c r="AC12" s="925"/>
      <c r="AD12" s="42">
        <f>+Z12*1.08</f>
        <v>1449912135.7440002</v>
      </c>
      <c r="AE12" s="924">
        <f>+AD12</f>
        <v>1449912135.7440002</v>
      </c>
      <c r="AF12" s="924"/>
      <c r="AG12" s="925"/>
    </row>
    <row r="13" spans="1:33" ht="15" x14ac:dyDescent="0.25">
      <c r="A13" s="922">
        <v>53</v>
      </c>
      <c r="B13" s="1651" t="s">
        <v>1781</v>
      </c>
      <c r="C13" s="1254">
        <f>MROUND('F Y U 2024 Presupuesto'!C13,1000)</f>
        <v>1726481000</v>
      </c>
      <c r="D13" s="924"/>
      <c r="E13" s="1251">
        <f>+C13</f>
        <v>1726481000</v>
      </c>
      <c r="F13" s="924"/>
      <c r="G13" s="42"/>
      <c r="V13" s="42">
        <f t="shared" si="0"/>
        <v>1864599480.0000002</v>
      </c>
      <c r="W13" s="924"/>
      <c r="X13" s="1251">
        <f>+V13</f>
        <v>1864599480.0000002</v>
      </c>
      <c r="Y13" s="924"/>
      <c r="Z13" s="42">
        <f>+V13*1.08</f>
        <v>2013767438.4000003</v>
      </c>
      <c r="AA13" s="924"/>
      <c r="AB13" s="1251">
        <f>+Z13</f>
        <v>2013767438.4000003</v>
      </c>
      <c r="AC13" s="924"/>
      <c r="AD13" s="42">
        <f>+Z13*1.08</f>
        <v>2174868833.4720006</v>
      </c>
      <c r="AE13" s="924"/>
      <c r="AF13" s="1251">
        <f>+AD13</f>
        <v>2174868833.4720006</v>
      </c>
      <c r="AG13" s="924"/>
    </row>
    <row r="14" spans="1:33" ht="15" x14ac:dyDescent="0.25">
      <c r="A14" s="922">
        <v>13</v>
      </c>
      <c r="B14" s="1651" t="s">
        <v>1030</v>
      </c>
      <c r="C14" s="1254">
        <f>MROUND('F Y U 2024 Presupuesto'!C14,1000)</f>
        <v>2877469000</v>
      </c>
      <c r="D14" s="924"/>
      <c r="E14" s="924">
        <f>+C14</f>
        <v>2877469000</v>
      </c>
      <c r="F14" s="925"/>
      <c r="G14" s="1146"/>
      <c r="V14" s="42">
        <f t="shared" si="0"/>
        <v>3107666520</v>
      </c>
      <c r="W14" s="924"/>
      <c r="X14" s="924">
        <f>+V14</f>
        <v>3107666520</v>
      </c>
      <c r="Y14" s="925"/>
      <c r="Z14" s="42">
        <f>+V14*1.08</f>
        <v>3356279841.6000004</v>
      </c>
      <c r="AA14" s="924"/>
      <c r="AB14" s="924">
        <f>+Z14</f>
        <v>3356279841.6000004</v>
      </c>
      <c r="AC14" s="925"/>
      <c r="AD14" s="42">
        <f>+Z14*1.08</f>
        <v>3624782228.9280005</v>
      </c>
      <c r="AE14" s="924"/>
      <c r="AF14" s="924">
        <f>+AD14</f>
        <v>3624782228.9280005</v>
      </c>
      <c r="AG14" s="925"/>
    </row>
    <row r="15" spans="1:33" ht="15" x14ac:dyDescent="0.25">
      <c r="A15" s="922">
        <v>145</v>
      </c>
      <c r="B15" s="1651" t="s">
        <v>3237</v>
      </c>
      <c r="C15" s="1254">
        <f>MROUND('F Y U 2024 Presupuesto'!C15,1000)</f>
        <v>233083000</v>
      </c>
      <c r="D15" s="924"/>
      <c r="E15" s="1251">
        <f>+C15</f>
        <v>233083000</v>
      </c>
      <c r="F15" s="925"/>
      <c r="G15" s="1146"/>
      <c r="V15" s="42">
        <f>+C15*1.05</f>
        <v>244737150</v>
      </c>
      <c r="W15" s="924"/>
      <c r="X15" s="1251">
        <f>+V15</f>
        <v>244737150</v>
      </c>
      <c r="Y15" s="925"/>
      <c r="Z15" s="42">
        <f t="shared" ref="Z15:Z20" si="1">+V15*1.05</f>
        <v>256974007.5</v>
      </c>
      <c r="AA15" s="924"/>
      <c r="AB15" s="1251">
        <f>+Z15</f>
        <v>256974007.5</v>
      </c>
      <c r="AC15" s="925"/>
      <c r="AD15" s="42">
        <f t="shared" ref="AD15:AD20" si="2">+Z15*1.05</f>
        <v>269822707.875</v>
      </c>
      <c r="AE15" s="924"/>
      <c r="AF15" s="1251">
        <f>+AD15</f>
        <v>269822707.875</v>
      </c>
      <c r="AG15" s="925"/>
    </row>
    <row r="16" spans="1:33" ht="15" x14ac:dyDescent="0.25">
      <c r="A16" s="922">
        <v>20</v>
      </c>
      <c r="B16" s="1651" t="s">
        <v>3238</v>
      </c>
      <c r="C16" s="1254">
        <f>MROUND('F Y U 2024 Presupuesto'!C16,1000)</f>
        <v>4661652000</v>
      </c>
      <c r="D16" s="924"/>
      <c r="E16" s="924"/>
      <c r="F16" s="1526">
        <f>+C16</f>
        <v>4661652000</v>
      </c>
      <c r="G16" s="1520"/>
      <c r="V16" s="42">
        <f t="shared" ref="V16:V20" si="3">+C16*1.05</f>
        <v>4894734600</v>
      </c>
      <c r="W16" s="924"/>
      <c r="X16" s="924"/>
      <c r="Y16" s="1526">
        <f>+V16</f>
        <v>4894734600</v>
      </c>
      <c r="Z16" s="42">
        <f t="shared" si="1"/>
        <v>5139471330</v>
      </c>
      <c r="AA16" s="924"/>
      <c r="AB16" s="924"/>
      <c r="AC16" s="1526">
        <f>+Z16</f>
        <v>5139471330</v>
      </c>
      <c r="AD16" s="42">
        <f t="shared" si="2"/>
        <v>5396444896.5</v>
      </c>
      <c r="AE16" s="924"/>
      <c r="AF16" s="924"/>
      <c r="AG16" s="1526">
        <f>+AD16</f>
        <v>5396444896.5</v>
      </c>
    </row>
    <row r="17" spans="1:33" ht="15" x14ac:dyDescent="0.25">
      <c r="A17" s="922">
        <v>20</v>
      </c>
      <c r="B17" s="1651" t="s">
        <v>3240</v>
      </c>
      <c r="C17" s="1254">
        <f>MROUND('F Y U 2024 Presupuesto'!C17,1000)</f>
        <v>21471737000</v>
      </c>
      <c r="D17" s="924"/>
      <c r="E17" s="924"/>
      <c r="F17" s="1526">
        <f>+C17</f>
        <v>21471737000</v>
      </c>
      <c r="G17" s="1520"/>
      <c r="V17" s="42">
        <f t="shared" si="3"/>
        <v>22545323850</v>
      </c>
      <c r="W17" s="924"/>
      <c r="X17" s="924"/>
      <c r="Y17" s="1526">
        <f>+V17</f>
        <v>22545323850</v>
      </c>
      <c r="Z17" s="42">
        <f t="shared" si="1"/>
        <v>23672590042.5</v>
      </c>
      <c r="AA17" s="924"/>
      <c r="AB17" s="924"/>
      <c r="AC17" s="1526">
        <f>+Z17</f>
        <v>23672590042.5</v>
      </c>
      <c r="AD17" s="42">
        <f t="shared" si="2"/>
        <v>24856219544.625</v>
      </c>
      <c r="AE17" s="924"/>
      <c r="AF17" s="924"/>
      <c r="AG17" s="1526">
        <f>+AD17</f>
        <v>24856219544.625</v>
      </c>
    </row>
    <row r="18" spans="1:33" ht="15" x14ac:dyDescent="0.25">
      <c r="A18" s="922">
        <v>20</v>
      </c>
      <c r="B18" s="923" t="s">
        <v>1788</v>
      </c>
      <c r="C18" s="1254">
        <f>MROUND('F Y U 2024 Presupuesto'!C18,1000)</f>
        <v>14173023000</v>
      </c>
      <c r="D18" s="924"/>
      <c r="E18" s="924"/>
      <c r="F18" s="1526">
        <f>+C18</f>
        <v>14173023000</v>
      </c>
      <c r="G18" s="1520"/>
      <c r="V18" s="42">
        <f t="shared" si="3"/>
        <v>14881674150</v>
      </c>
      <c r="W18" s="924"/>
      <c r="X18" s="924"/>
      <c r="Y18" s="1526">
        <f>+V18</f>
        <v>14881674150</v>
      </c>
      <c r="Z18" s="42">
        <f t="shared" si="1"/>
        <v>15625757857.5</v>
      </c>
      <c r="AA18" s="924"/>
      <c r="AB18" s="924"/>
      <c r="AC18" s="1526">
        <f>+Z18</f>
        <v>15625757857.5</v>
      </c>
      <c r="AD18" s="42">
        <f t="shared" si="2"/>
        <v>16407045750.375</v>
      </c>
      <c r="AE18" s="924"/>
      <c r="AF18" s="924"/>
      <c r="AG18" s="1526">
        <f>+AD18</f>
        <v>16407045750.375</v>
      </c>
    </row>
    <row r="19" spans="1:33" ht="15" x14ac:dyDescent="0.25">
      <c r="A19" s="922">
        <v>20</v>
      </c>
      <c r="B19" s="923" t="s">
        <v>1045</v>
      </c>
      <c r="C19" s="1254">
        <f>MROUND('F Y U 2024 Presupuesto'!C19,1000)</f>
        <v>763018000</v>
      </c>
      <c r="D19" s="924"/>
      <c r="E19" s="924"/>
      <c r="F19" s="1526">
        <f>+C19</f>
        <v>763018000</v>
      </c>
      <c r="G19" s="1520"/>
      <c r="J19" s="41">
        <f>1296000000+1627500000+3158923248</f>
        <v>6082423248</v>
      </c>
      <c r="V19" s="42">
        <f t="shared" si="3"/>
        <v>801168900</v>
      </c>
      <c r="W19" s="924"/>
      <c r="X19" s="924"/>
      <c r="Y19" s="1526">
        <f>+V19</f>
        <v>801168900</v>
      </c>
      <c r="Z19" s="42">
        <f t="shared" si="1"/>
        <v>841227345</v>
      </c>
      <c r="AA19" s="924"/>
      <c r="AB19" s="924"/>
      <c r="AC19" s="1526">
        <f>+Z19</f>
        <v>841227345</v>
      </c>
      <c r="AD19" s="42">
        <f t="shared" si="2"/>
        <v>883288712.25</v>
      </c>
      <c r="AE19" s="924"/>
      <c r="AF19" s="924"/>
      <c r="AG19" s="1526">
        <f>+AD19</f>
        <v>883288712.25</v>
      </c>
    </row>
    <row r="20" spans="1:33" ht="26.25" customHeight="1" x14ac:dyDescent="0.25">
      <c r="A20" s="922">
        <v>20</v>
      </c>
      <c r="B20" s="923" t="s">
        <v>1047</v>
      </c>
      <c r="C20" s="1254">
        <f>MROUND('F Y U 2024 Presupuesto'!C20,1000)</f>
        <v>11867811000</v>
      </c>
      <c r="D20" s="924"/>
      <c r="E20" s="924"/>
      <c r="F20" s="1527">
        <f>+C20</f>
        <v>11867811000</v>
      </c>
      <c r="V20" s="42">
        <f t="shared" si="3"/>
        <v>12461201550</v>
      </c>
      <c r="W20" s="924"/>
      <c r="X20" s="924"/>
      <c r="Y20" s="1527">
        <f>+V20</f>
        <v>12461201550</v>
      </c>
      <c r="Z20" s="42">
        <f t="shared" si="1"/>
        <v>13084261627.5</v>
      </c>
      <c r="AA20" s="924"/>
      <c r="AB20" s="924"/>
      <c r="AC20" s="1527">
        <f>+Z20</f>
        <v>13084261627.5</v>
      </c>
      <c r="AD20" s="42">
        <f t="shared" si="2"/>
        <v>13738474708.875</v>
      </c>
      <c r="AE20" s="924"/>
      <c r="AF20" s="924"/>
      <c r="AG20" s="1527">
        <f>+AD20</f>
        <v>13738474708.875</v>
      </c>
    </row>
    <row r="21" spans="1:33" ht="15" x14ac:dyDescent="0.25">
      <c r="A21" s="922">
        <v>4</v>
      </c>
      <c r="B21" s="923" t="s">
        <v>1050</v>
      </c>
      <c r="C21" s="1254">
        <f>MROUND('F Y U 2024 Presupuesto'!C21,1000)</f>
        <v>7519723000</v>
      </c>
      <c r="D21" s="927">
        <f>+C21</f>
        <v>7519723000</v>
      </c>
      <c r="E21" s="924"/>
      <c r="F21" s="924"/>
      <c r="G21" s="42"/>
      <c r="H21" s="42">
        <f>+C21+C22+C23</f>
        <v>15039446000</v>
      </c>
      <c r="K21" s="42">
        <f t="shared" ref="K21:K25" si="4">MROUND(H21,1000)</f>
        <v>15039446000</v>
      </c>
      <c r="L21" s="42">
        <f>+H21-K21</f>
        <v>0</v>
      </c>
      <c r="V21" s="42">
        <f>+C21*1.19</f>
        <v>8948470370</v>
      </c>
      <c r="W21" s="927">
        <f>+V21</f>
        <v>8948470370</v>
      </c>
      <c r="X21" s="924"/>
      <c r="Y21" s="924"/>
      <c r="Z21" s="42">
        <f t="shared" ref="Z21:Z31" si="5">+V21*1.19</f>
        <v>10648679740.299999</v>
      </c>
      <c r="AA21" s="927">
        <f>+Z21</f>
        <v>10648679740.299999</v>
      </c>
      <c r="AB21" s="924"/>
      <c r="AC21" s="924"/>
      <c r="AD21" s="42">
        <f t="shared" ref="AD21:AD31" si="6">+Z21*1.19</f>
        <v>12671928890.956999</v>
      </c>
      <c r="AE21" s="927">
        <f>+AD21</f>
        <v>12671928890.956999</v>
      </c>
      <c r="AF21" s="924"/>
      <c r="AG21" s="924"/>
    </row>
    <row r="22" spans="1:33" ht="15" x14ac:dyDescent="0.25">
      <c r="A22" s="922">
        <v>176</v>
      </c>
      <c r="B22" s="923" t="s">
        <v>1051</v>
      </c>
      <c r="C22" s="1254">
        <v>3007889200</v>
      </c>
      <c r="D22" s="924"/>
      <c r="E22" s="924">
        <f>+C22</f>
        <v>3007889200</v>
      </c>
      <c r="F22" s="925"/>
      <c r="G22" s="1146"/>
      <c r="H22" s="42">
        <f>+H21*0.5</f>
        <v>7519723000</v>
      </c>
      <c r="I22" s="648">
        <f>+C21</f>
        <v>7519723000</v>
      </c>
      <c r="J22" s="42">
        <f>+I22-H22</f>
        <v>0</v>
      </c>
      <c r="K22" s="42">
        <f t="shared" si="4"/>
        <v>7519723000</v>
      </c>
      <c r="L22" s="42">
        <f>+I22-K22</f>
        <v>0</v>
      </c>
      <c r="V22" s="42">
        <f t="shared" ref="V22:V33" si="7">+C22*1.19</f>
        <v>3579388148</v>
      </c>
      <c r="W22" s="924"/>
      <c r="X22" s="924">
        <f>+V22</f>
        <v>3579388148</v>
      </c>
      <c r="Y22" s="925"/>
      <c r="Z22" s="42">
        <f t="shared" si="5"/>
        <v>4259471896.1199999</v>
      </c>
      <c r="AA22" s="924"/>
      <c r="AB22" s="924">
        <f>+Z22</f>
        <v>4259471896.1199999</v>
      </c>
      <c r="AC22" s="925"/>
      <c r="AD22" s="42">
        <f t="shared" si="6"/>
        <v>5068771556.3828001</v>
      </c>
      <c r="AE22" s="924"/>
      <c r="AF22" s="924">
        <f>+AD22</f>
        <v>5068771556.3828001</v>
      </c>
      <c r="AG22" s="925"/>
    </row>
    <row r="23" spans="1:33" ht="15" x14ac:dyDescent="0.25">
      <c r="A23" s="922">
        <v>177</v>
      </c>
      <c r="B23" s="923" t="s">
        <v>1789</v>
      </c>
      <c r="C23" s="1254">
        <v>4511833800</v>
      </c>
      <c r="D23" s="927"/>
      <c r="E23" s="1251">
        <f>+C23</f>
        <v>4511833800</v>
      </c>
      <c r="F23" s="924"/>
      <c r="G23" s="42"/>
      <c r="H23" s="42">
        <f>+H21*0.2</f>
        <v>3007889200</v>
      </c>
      <c r="I23" s="648">
        <f>+C22</f>
        <v>3007889200</v>
      </c>
      <c r="J23" s="42">
        <f t="shared" ref="J23:J24" si="8">+I23-H23</f>
        <v>0</v>
      </c>
      <c r="K23" s="42">
        <f t="shared" si="4"/>
        <v>3007889000</v>
      </c>
      <c r="L23" s="42">
        <f t="shared" ref="L23:L30" si="9">+I23-K23</f>
        <v>200</v>
      </c>
      <c r="V23" s="42">
        <f t="shared" si="7"/>
        <v>5369082222</v>
      </c>
      <c r="W23" s="927"/>
      <c r="X23" s="1251">
        <f>+V23</f>
        <v>5369082222</v>
      </c>
      <c r="Y23" s="924"/>
      <c r="Z23" s="42">
        <f t="shared" si="5"/>
        <v>6389207844.1799994</v>
      </c>
      <c r="AA23" s="927"/>
      <c r="AB23" s="1251">
        <f>+Z23</f>
        <v>6389207844.1799994</v>
      </c>
      <c r="AC23" s="924"/>
      <c r="AD23" s="42">
        <f t="shared" si="6"/>
        <v>7603157334.5741987</v>
      </c>
      <c r="AE23" s="927"/>
      <c r="AF23" s="1251">
        <f>+AD23</f>
        <v>7603157334.5741987</v>
      </c>
      <c r="AG23" s="924"/>
    </row>
    <row r="24" spans="1:33" ht="15" x14ac:dyDescent="0.25">
      <c r="A24" s="922">
        <v>5</v>
      </c>
      <c r="B24" s="923" t="s">
        <v>1054</v>
      </c>
      <c r="C24" s="1254">
        <v>633364200</v>
      </c>
      <c r="D24" s="924"/>
      <c r="E24" s="924">
        <f>+C24</f>
        <v>633364200</v>
      </c>
      <c r="F24" s="924"/>
      <c r="G24" s="42"/>
      <c r="H24" s="42">
        <f>+H21*0.3</f>
        <v>4511833800</v>
      </c>
      <c r="I24" s="648">
        <f>+C23</f>
        <v>4511833800</v>
      </c>
      <c r="J24" s="42">
        <f t="shared" si="8"/>
        <v>0</v>
      </c>
      <c r="K24" s="42">
        <f t="shared" si="4"/>
        <v>4511834000</v>
      </c>
      <c r="L24" s="42">
        <f t="shared" si="9"/>
        <v>-200</v>
      </c>
      <c r="V24" s="42">
        <f t="shared" si="7"/>
        <v>753703398</v>
      </c>
      <c r="W24" s="924"/>
      <c r="X24" s="924">
        <f>+V24</f>
        <v>753703398</v>
      </c>
      <c r="Y24" s="924"/>
      <c r="Z24" s="42">
        <f t="shared" si="5"/>
        <v>896907043.62</v>
      </c>
      <c r="AA24" s="924"/>
      <c r="AB24" s="924">
        <f>+Z24</f>
        <v>896907043.62</v>
      </c>
      <c r="AC24" s="924"/>
      <c r="AD24" s="42">
        <f t="shared" si="6"/>
        <v>1067319381.9078</v>
      </c>
      <c r="AE24" s="924"/>
      <c r="AF24" s="924">
        <f>+AD24</f>
        <v>1067319381.9078</v>
      </c>
      <c r="AG24" s="924"/>
    </row>
    <row r="25" spans="1:33" ht="15" x14ac:dyDescent="0.25">
      <c r="A25" s="922">
        <v>33</v>
      </c>
      <c r="B25" s="923" t="s">
        <v>1055</v>
      </c>
      <c r="C25" s="1254">
        <v>316682100</v>
      </c>
      <c r="D25" s="924">
        <f>+C25</f>
        <v>316682100</v>
      </c>
      <c r="E25" s="924"/>
      <c r="F25" s="925"/>
      <c r="G25" s="1146"/>
      <c r="H25" s="42">
        <f>+C24+C25+C26+C27+C28</f>
        <v>3166821000</v>
      </c>
      <c r="K25" s="42">
        <f t="shared" si="4"/>
        <v>3166821000</v>
      </c>
      <c r="V25" s="42">
        <f t="shared" si="7"/>
        <v>376851699</v>
      </c>
      <c r="W25" s="924">
        <f>+V25</f>
        <v>376851699</v>
      </c>
      <c r="X25" s="924"/>
      <c r="Y25" s="925"/>
      <c r="Z25" s="42">
        <f t="shared" si="5"/>
        <v>448453521.81</v>
      </c>
      <c r="AA25" s="924">
        <f>+Z25</f>
        <v>448453521.81</v>
      </c>
      <c r="AB25" s="924"/>
      <c r="AC25" s="925"/>
      <c r="AD25" s="42">
        <f t="shared" si="6"/>
        <v>533659690.95389998</v>
      </c>
      <c r="AE25" s="924">
        <f>+AD25</f>
        <v>533659690.95389998</v>
      </c>
      <c r="AF25" s="924"/>
      <c r="AG25" s="925"/>
    </row>
    <row r="26" spans="1:33" ht="15" x14ac:dyDescent="0.25">
      <c r="A26" s="922">
        <v>34</v>
      </c>
      <c r="B26" s="923" t="s">
        <v>1056</v>
      </c>
      <c r="C26" s="1254">
        <v>316682100</v>
      </c>
      <c r="D26" s="924">
        <f>+C26</f>
        <v>316682100</v>
      </c>
      <c r="E26" s="924"/>
      <c r="F26" s="925"/>
      <c r="G26" s="1146"/>
      <c r="H26" s="42">
        <f>+H25*0.1</f>
        <v>316682100</v>
      </c>
      <c r="I26" s="648">
        <f>+C25</f>
        <v>316682100</v>
      </c>
      <c r="J26" s="42">
        <f>+H26-I26</f>
        <v>0</v>
      </c>
      <c r="K26" s="42">
        <f>MROUND(H26,1000)</f>
        <v>316682000</v>
      </c>
      <c r="L26" s="42">
        <f t="shared" si="9"/>
        <v>100</v>
      </c>
      <c r="V26" s="42">
        <f t="shared" si="7"/>
        <v>376851699</v>
      </c>
      <c r="W26" s="924">
        <f>+V26</f>
        <v>376851699</v>
      </c>
      <c r="X26" s="924"/>
      <c r="Y26" s="925"/>
      <c r="Z26" s="42">
        <f t="shared" si="5"/>
        <v>448453521.81</v>
      </c>
      <c r="AA26" s="924">
        <f>+Z26</f>
        <v>448453521.81</v>
      </c>
      <c r="AB26" s="924"/>
      <c r="AC26" s="925"/>
      <c r="AD26" s="42">
        <f t="shared" si="6"/>
        <v>533659690.95389998</v>
      </c>
      <c r="AE26" s="924">
        <f>+AD26</f>
        <v>533659690.95389998</v>
      </c>
      <c r="AF26" s="924"/>
      <c r="AG26" s="925"/>
    </row>
    <row r="27" spans="1:33" ht="15" x14ac:dyDescent="0.25">
      <c r="A27" s="922">
        <v>39</v>
      </c>
      <c r="B27" s="923" t="s">
        <v>1057</v>
      </c>
      <c r="C27" s="1254">
        <v>1583410500</v>
      </c>
      <c r="D27" s="924">
        <f>+C27</f>
        <v>1583410500</v>
      </c>
      <c r="E27" s="924"/>
      <c r="F27" s="924"/>
      <c r="G27" s="42"/>
      <c r="H27" s="42">
        <f>+H25*0.1</f>
        <v>316682100</v>
      </c>
      <c r="I27" s="648">
        <f>+C26</f>
        <v>316682100</v>
      </c>
      <c r="J27" s="42">
        <f t="shared" ref="J27:J30" si="10">+H27-I27</f>
        <v>0</v>
      </c>
      <c r="K27" s="42">
        <f t="shared" ref="K27:K33" si="11">MROUND(H27,1000)</f>
        <v>316682000</v>
      </c>
      <c r="L27" s="42">
        <f t="shared" si="9"/>
        <v>100</v>
      </c>
      <c r="V27" s="42">
        <f t="shared" si="7"/>
        <v>1884258495</v>
      </c>
      <c r="W27" s="924">
        <f>+V27</f>
        <v>1884258495</v>
      </c>
      <c r="X27" s="924"/>
      <c r="Y27" s="924"/>
      <c r="Z27" s="42">
        <f t="shared" si="5"/>
        <v>2242267609.0499997</v>
      </c>
      <c r="AA27" s="924">
        <f>+Z27</f>
        <v>2242267609.0499997</v>
      </c>
      <c r="AB27" s="924"/>
      <c r="AC27" s="924"/>
      <c r="AD27" s="42">
        <f t="shared" si="6"/>
        <v>2668298454.7694993</v>
      </c>
      <c r="AE27" s="924">
        <f>+AD27</f>
        <v>2668298454.7694993</v>
      </c>
      <c r="AF27" s="924"/>
      <c r="AG27" s="924"/>
    </row>
    <row r="28" spans="1:33" ht="15" x14ac:dyDescent="0.25">
      <c r="A28" s="922">
        <v>41</v>
      </c>
      <c r="B28" s="923" t="s">
        <v>1058</v>
      </c>
      <c r="C28" s="1254">
        <v>316682100</v>
      </c>
      <c r="D28" s="927">
        <f>+C28</f>
        <v>316682100</v>
      </c>
      <c r="E28" s="924"/>
      <c r="F28" s="925"/>
      <c r="G28" s="1146"/>
      <c r="H28" s="42">
        <f>+H25*0.1</f>
        <v>316682100</v>
      </c>
      <c r="I28" s="648">
        <f>+C28</f>
        <v>316682100</v>
      </c>
      <c r="J28" s="42">
        <f t="shared" si="10"/>
        <v>0</v>
      </c>
      <c r="K28" s="42">
        <f t="shared" si="11"/>
        <v>316682000</v>
      </c>
      <c r="L28" s="42">
        <f t="shared" si="9"/>
        <v>100</v>
      </c>
      <c r="V28" s="42">
        <f t="shared" si="7"/>
        <v>376851699</v>
      </c>
      <c r="W28" s="927">
        <f>+V28</f>
        <v>376851699</v>
      </c>
      <c r="X28" s="924"/>
      <c r="Y28" s="925"/>
      <c r="Z28" s="42">
        <f t="shared" si="5"/>
        <v>448453521.81</v>
      </c>
      <c r="AA28" s="927">
        <f>+Z28</f>
        <v>448453521.81</v>
      </c>
      <c r="AB28" s="924"/>
      <c r="AC28" s="925"/>
      <c r="AD28" s="42">
        <f t="shared" si="6"/>
        <v>533659690.95389998</v>
      </c>
      <c r="AE28" s="927">
        <f>+AD28</f>
        <v>533659690.95389998</v>
      </c>
      <c r="AF28" s="924"/>
      <c r="AG28" s="925"/>
    </row>
    <row r="29" spans="1:33" ht="15" x14ac:dyDescent="0.25">
      <c r="A29" s="922">
        <v>6</v>
      </c>
      <c r="B29" s="923" t="s">
        <v>1060</v>
      </c>
      <c r="C29" s="1254">
        <v>5997301600</v>
      </c>
      <c r="D29" s="924">
        <f>+C29</f>
        <v>5997301600</v>
      </c>
      <c r="E29" s="924"/>
      <c r="F29" s="924"/>
      <c r="G29" s="42"/>
      <c r="H29" s="42">
        <f>+H25*0.2</f>
        <v>633364200</v>
      </c>
      <c r="I29" s="648">
        <f>+C24</f>
        <v>633364200</v>
      </c>
      <c r="J29" s="42">
        <f t="shared" si="10"/>
        <v>0</v>
      </c>
      <c r="K29" s="42">
        <f t="shared" si="11"/>
        <v>633364000</v>
      </c>
      <c r="L29" s="42">
        <f t="shared" si="9"/>
        <v>200</v>
      </c>
      <c r="V29" s="42">
        <f t="shared" si="7"/>
        <v>7136788904</v>
      </c>
      <c r="W29" s="924">
        <f>+V29</f>
        <v>7136788904</v>
      </c>
      <c r="X29" s="924"/>
      <c r="Y29" s="924"/>
      <c r="Z29" s="42">
        <f t="shared" si="5"/>
        <v>8492778795.7599993</v>
      </c>
      <c r="AA29" s="924">
        <f>+Z29</f>
        <v>8492778795.7599993</v>
      </c>
      <c r="AB29" s="924"/>
      <c r="AC29" s="924"/>
      <c r="AD29" s="42">
        <f t="shared" si="6"/>
        <v>10106406766.954399</v>
      </c>
      <c r="AE29" s="924">
        <f>+AD29</f>
        <v>10106406766.954399</v>
      </c>
      <c r="AF29" s="924"/>
      <c r="AG29" s="924"/>
    </row>
    <row r="30" spans="1:33" ht="15" x14ac:dyDescent="0.25">
      <c r="A30" s="922">
        <v>178</v>
      </c>
      <c r="B30" s="923" t="s">
        <v>1061</v>
      </c>
      <c r="C30" s="1254">
        <v>1499325400</v>
      </c>
      <c r="D30" s="924"/>
      <c r="E30" s="924">
        <f>+C30</f>
        <v>1499325400</v>
      </c>
      <c r="F30" s="925"/>
      <c r="G30" s="1146"/>
      <c r="H30" s="42">
        <f>+H25*0.5</f>
        <v>1583410500</v>
      </c>
      <c r="I30" s="648">
        <f>+C27</f>
        <v>1583410500</v>
      </c>
      <c r="J30" s="42">
        <f t="shared" si="10"/>
        <v>0</v>
      </c>
      <c r="K30" s="42">
        <f t="shared" si="11"/>
        <v>1583411000</v>
      </c>
      <c r="L30" s="42">
        <f t="shared" si="9"/>
        <v>-500</v>
      </c>
      <c r="O30" s="42">
        <f>MROUND(O31,1000)</f>
        <v>7496627000</v>
      </c>
      <c r="R30" s="1295">
        <v>5998098000</v>
      </c>
      <c r="S30" s="42">
        <f>MROUND((O30*0.8),1000)</f>
        <v>5997302000</v>
      </c>
      <c r="V30" s="42">
        <f t="shared" si="7"/>
        <v>1784197226</v>
      </c>
      <c r="W30" s="924"/>
      <c r="X30" s="924">
        <f>+V30</f>
        <v>1784197226</v>
      </c>
      <c r="Y30" s="925"/>
      <c r="Z30" s="42">
        <f t="shared" si="5"/>
        <v>2123194698.9399998</v>
      </c>
      <c r="AA30" s="924"/>
      <c r="AB30" s="924">
        <f>+Z30</f>
        <v>2123194698.9399998</v>
      </c>
      <c r="AC30" s="925"/>
      <c r="AD30" s="42">
        <f t="shared" si="6"/>
        <v>2526601691.7385998</v>
      </c>
      <c r="AE30" s="924"/>
      <c r="AF30" s="924">
        <f>+AD30</f>
        <v>2526601691.7385998</v>
      </c>
      <c r="AG30" s="925"/>
    </row>
    <row r="31" spans="1:33" s="54" customFormat="1" ht="15" x14ac:dyDescent="0.25">
      <c r="A31" s="922">
        <v>8</v>
      </c>
      <c r="B31" s="923" t="s">
        <v>1790</v>
      </c>
      <c r="C31" s="1254">
        <f>MROUND('F Y U 2024 Presupuesto'!C31,1000)</f>
        <v>12506483000</v>
      </c>
      <c r="D31" s="927"/>
      <c r="E31" s="1251">
        <f>+C31</f>
        <v>12506483000</v>
      </c>
      <c r="F31" s="925"/>
      <c r="G31" s="1146"/>
      <c r="H31" s="54">
        <f>+C29+C30</f>
        <v>7496627000</v>
      </c>
      <c r="I31" s="919"/>
      <c r="K31" s="42">
        <f t="shared" si="11"/>
        <v>7496627000</v>
      </c>
      <c r="L31" s="54">
        <f>+C29</f>
        <v>5997301600</v>
      </c>
      <c r="M31" s="54">
        <f>+K33-L31</f>
        <v>400</v>
      </c>
      <c r="O31" s="54">
        <f>+L31/80*100</f>
        <v>7496627000</v>
      </c>
      <c r="P31" s="54">
        <f>+K31-O31</f>
        <v>0</v>
      </c>
      <c r="R31" s="1296">
        <v>1498529000</v>
      </c>
      <c r="S31" s="42">
        <f>MROUND((O31*0.2),1000)</f>
        <v>1499325000</v>
      </c>
      <c r="T31" s="54">
        <f>+R31-S31</f>
        <v>-796000</v>
      </c>
      <c r="V31" s="42">
        <f t="shared" si="7"/>
        <v>14882714770</v>
      </c>
      <c r="W31" s="927"/>
      <c r="X31" s="1251">
        <f>+V31</f>
        <v>14882714770</v>
      </c>
      <c r="Y31" s="925"/>
      <c r="Z31" s="42">
        <f t="shared" si="5"/>
        <v>17710430576.299999</v>
      </c>
      <c r="AA31" s="927"/>
      <c r="AB31" s="1251">
        <f>+Z31</f>
        <v>17710430576.299999</v>
      </c>
      <c r="AC31" s="925"/>
      <c r="AD31" s="42">
        <f t="shared" si="6"/>
        <v>21075412385.796997</v>
      </c>
      <c r="AE31" s="927"/>
      <c r="AF31" s="1251">
        <f>+AD31</f>
        <v>21075412385.796997</v>
      </c>
      <c r="AG31" s="925"/>
    </row>
    <row r="32" spans="1:33" ht="15" x14ac:dyDescent="0.25">
      <c r="A32" s="922">
        <v>20</v>
      </c>
      <c r="B32" s="923" t="s">
        <v>1068</v>
      </c>
      <c r="C32" s="1254">
        <f>MROUND('F Y U 2024 Presupuesto'!C32,1000)</f>
        <v>40000000</v>
      </c>
      <c r="D32" s="924"/>
      <c r="E32" s="924"/>
      <c r="F32" s="1526">
        <f>+C32</f>
        <v>40000000</v>
      </c>
      <c r="G32" s="1520"/>
      <c r="H32" s="42">
        <f>+H31*0.2</f>
        <v>1499325400</v>
      </c>
      <c r="K32" s="42">
        <f t="shared" si="11"/>
        <v>1499325000</v>
      </c>
      <c r="L32" s="42">
        <f>+C30</f>
        <v>1499325400</v>
      </c>
      <c r="M32" s="42">
        <f>+K32-L32</f>
        <v>-400</v>
      </c>
      <c r="O32" s="42">
        <f>+O31*0.8</f>
        <v>5997301600</v>
      </c>
      <c r="S32" s="42">
        <f>+S30+S31</f>
        <v>7496627000</v>
      </c>
      <c r="V32" s="42">
        <f>+C32*1.05</f>
        <v>42000000</v>
      </c>
      <c r="W32" s="924"/>
      <c r="X32" s="924"/>
      <c r="Y32" s="1526">
        <f>+V32</f>
        <v>42000000</v>
      </c>
      <c r="Z32" s="42">
        <f>+V32*1.05</f>
        <v>44100000</v>
      </c>
      <c r="AA32" s="924"/>
      <c r="AB32" s="924"/>
      <c r="AC32" s="1526">
        <f>+Z32</f>
        <v>44100000</v>
      </c>
      <c r="AD32" s="42">
        <f>+Z32*1.05</f>
        <v>46305000</v>
      </c>
      <c r="AE32" s="924"/>
      <c r="AF32" s="924"/>
      <c r="AG32" s="1526">
        <f>+AD32</f>
        <v>46305000</v>
      </c>
    </row>
    <row r="33" spans="1:33" ht="15" x14ac:dyDescent="0.25">
      <c r="A33" s="922">
        <v>190</v>
      </c>
      <c r="B33" s="923" t="s">
        <v>1064</v>
      </c>
      <c r="C33" s="1254">
        <f>MROUND('F Y U 2024 Presupuesto'!C33,1000)</f>
        <v>2082326000</v>
      </c>
      <c r="D33" s="924"/>
      <c r="E33" s="1251">
        <f>+C33</f>
        <v>2082326000</v>
      </c>
      <c r="F33" s="925"/>
      <c r="G33" s="1146"/>
      <c r="H33" s="42">
        <f>+H31*0.8</f>
        <v>5997301600</v>
      </c>
      <c r="K33" s="42">
        <f t="shared" si="11"/>
        <v>5997302000</v>
      </c>
      <c r="M33" s="42">
        <f>+K33-L31</f>
        <v>400</v>
      </c>
      <c r="O33" s="42">
        <f>+O31*0.2</f>
        <v>1499325400</v>
      </c>
      <c r="V33" s="42">
        <f t="shared" si="7"/>
        <v>2477967940</v>
      </c>
      <c r="W33" s="924"/>
      <c r="X33" s="1251">
        <f>+V33</f>
        <v>2477967940</v>
      </c>
      <c r="Y33" s="925"/>
      <c r="Z33" s="42">
        <f>+V33*1.19</f>
        <v>2948781848.5999999</v>
      </c>
      <c r="AA33" s="924"/>
      <c r="AB33" s="1251">
        <f>+Z33</f>
        <v>2948781848.5999999</v>
      </c>
      <c r="AC33" s="925"/>
      <c r="AD33" s="42">
        <f>+Z33*1.19</f>
        <v>3509050399.8339996</v>
      </c>
      <c r="AE33" s="924"/>
      <c r="AF33" s="1251">
        <f>+AD33</f>
        <v>3509050399.8339996</v>
      </c>
      <c r="AG33" s="925"/>
    </row>
    <row r="34" spans="1:33" ht="15" x14ac:dyDescent="0.25">
      <c r="A34" s="922">
        <v>20</v>
      </c>
      <c r="B34" s="923" t="s">
        <v>1069</v>
      </c>
      <c r="C34" s="1254">
        <f>MROUND('F Y U 2024 Presupuesto'!C34,1000)</f>
        <v>210000000</v>
      </c>
      <c r="D34" s="924"/>
      <c r="E34" s="924"/>
      <c r="F34" s="1526">
        <f>+C34</f>
        <v>210000000</v>
      </c>
      <c r="G34" s="1520"/>
      <c r="V34" s="42">
        <f t="shared" ref="V34:V43" si="12">+C34*1.05</f>
        <v>220500000</v>
      </c>
      <c r="W34" s="924"/>
      <c r="X34" s="924"/>
      <c r="Y34" s="1526">
        <f>+V34</f>
        <v>220500000</v>
      </c>
      <c r="Z34" s="42">
        <f t="shared" ref="Z34:Z43" si="13">+V34*1.05</f>
        <v>231525000</v>
      </c>
      <c r="AA34" s="924"/>
      <c r="AB34" s="924"/>
      <c r="AC34" s="1526">
        <f>+Z34</f>
        <v>231525000</v>
      </c>
      <c r="AD34" s="42">
        <f t="shared" ref="AD34:AD43" si="14">+Z34*1.05</f>
        <v>243101250</v>
      </c>
      <c r="AE34" s="924"/>
      <c r="AF34" s="924"/>
      <c r="AG34" s="1526">
        <f>+AD34</f>
        <v>243101250</v>
      </c>
    </row>
    <row r="35" spans="1:33" ht="15" x14ac:dyDescent="0.25">
      <c r="A35" s="922">
        <v>20</v>
      </c>
      <c r="B35" s="923" t="s">
        <v>1070</v>
      </c>
      <c r="C35" s="1254">
        <f>MROUND('F Y U 2024 Presupuesto'!C35,1000)</f>
        <v>40000000</v>
      </c>
      <c r="D35" s="924"/>
      <c r="E35" s="924"/>
      <c r="F35" s="1526">
        <f>+C35</f>
        <v>40000000</v>
      </c>
      <c r="G35" s="1520" t="s">
        <v>1792</v>
      </c>
      <c r="V35" s="42">
        <f t="shared" si="12"/>
        <v>42000000</v>
      </c>
      <c r="W35" s="924"/>
      <c r="X35" s="924"/>
      <c r="Y35" s="1526">
        <f>+V35</f>
        <v>42000000</v>
      </c>
      <c r="Z35" s="42">
        <f t="shared" si="13"/>
        <v>44100000</v>
      </c>
      <c r="AA35" s="924"/>
      <c r="AB35" s="924"/>
      <c r="AC35" s="1526">
        <f>+Z35</f>
        <v>44100000</v>
      </c>
      <c r="AD35" s="42">
        <f t="shared" si="14"/>
        <v>46305000</v>
      </c>
      <c r="AE35" s="924"/>
      <c r="AF35" s="924"/>
      <c r="AG35" s="1526">
        <f>+AD35</f>
        <v>46305000</v>
      </c>
    </row>
    <row r="36" spans="1:33" ht="15" x14ac:dyDescent="0.25">
      <c r="A36" s="922">
        <v>49</v>
      </c>
      <c r="B36" s="923" t="s">
        <v>1793</v>
      </c>
      <c r="C36" s="1254">
        <f>MROUND('F Y U 2024 Presupuesto'!C36,1000)</f>
        <v>726530000</v>
      </c>
      <c r="D36" s="924"/>
      <c r="E36" s="924">
        <f>+C36</f>
        <v>726530000</v>
      </c>
      <c r="F36" s="925"/>
      <c r="G36" s="1146"/>
      <c r="H36" s="1001" t="s">
        <v>1794</v>
      </c>
      <c r="V36" s="42">
        <f t="shared" si="12"/>
        <v>762856500</v>
      </c>
      <c r="W36" s="924"/>
      <c r="X36" s="924">
        <f>+V36</f>
        <v>762856500</v>
      </c>
      <c r="Y36" s="925"/>
      <c r="Z36" s="42">
        <f t="shared" si="13"/>
        <v>800999325</v>
      </c>
      <c r="AA36" s="924"/>
      <c r="AB36" s="924">
        <f>+Z36</f>
        <v>800999325</v>
      </c>
      <c r="AC36" s="925"/>
      <c r="AD36" s="42">
        <f t="shared" si="14"/>
        <v>841049291.25</v>
      </c>
      <c r="AE36" s="924"/>
      <c r="AF36" s="924">
        <f>+AD36</f>
        <v>841049291.25</v>
      </c>
      <c r="AG36" s="925"/>
    </row>
    <row r="37" spans="1:33" ht="15" x14ac:dyDescent="0.25">
      <c r="A37" s="922">
        <v>133</v>
      </c>
      <c r="B37" s="923" t="s">
        <v>1795</v>
      </c>
      <c r="C37" s="1254">
        <f>MROUND('F Y U 2024 Presupuesto'!C37,1000)</f>
        <v>8000000000</v>
      </c>
      <c r="D37" s="924"/>
      <c r="E37" s="924">
        <f>C37</f>
        <v>8000000000</v>
      </c>
      <c r="F37" s="925">
        <v>0</v>
      </c>
      <c r="G37" s="1146"/>
      <c r="V37" s="42">
        <f t="shared" si="12"/>
        <v>8400000000</v>
      </c>
      <c r="W37" s="924"/>
      <c r="X37" s="924">
        <f>V37</f>
        <v>8400000000</v>
      </c>
      <c r="Y37" s="925">
        <v>0</v>
      </c>
      <c r="Z37" s="42">
        <f t="shared" si="13"/>
        <v>8820000000</v>
      </c>
      <c r="AA37" s="924"/>
      <c r="AB37" s="924">
        <f>Z37</f>
        <v>8820000000</v>
      </c>
      <c r="AC37" s="925">
        <v>0</v>
      </c>
      <c r="AD37" s="42">
        <f t="shared" si="14"/>
        <v>9261000000</v>
      </c>
      <c r="AE37" s="924"/>
      <c r="AF37" s="924">
        <f>AD37</f>
        <v>9261000000</v>
      </c>
      <c r="AG37" s="925">
        <v>0</v>
      </c>
    </row>
    <row r="38" spans="1:33" ht="15" x14ac:dyDescent="0.25">
      <c r="A38" s="922">
        <v>20</v>
      </c>
      <c r="B38" s="923" t="s">
        <v>1072</v>
      </c>
      <c r="C38" s="1254">
        <f>MROUND('F Y U 2024 Presupuesto'!C38,1000)</f>
        <v>30000000</v>
      </c>
      <c r="D38" s="924"/>
      <c r="E38" s="924"/>
      <c r="F38" s="1526">
        <f>+C38</f>
        <v>30000000</v>
      </c>
      <c r="G38" s="1520"/>
      <c r="V38" s="42">
        <f t="shared" si="12"/>
        <v>31500000</v>
      </c>
      <c r="W38" s="924"/>
      <c r="X38" s="924"/>
      <c r="Y38" s="1526">
        <f>+V38</f>
        <v>31500000</v>
      </c>
      <c r="Z38" s="42">
        <f t="shared" si="13"/>
        <v>33075000</v>
      </c>
      <c r="AA38" s="924"/>
      <c r="AB38" s="924"/>
      <c r="AC38" s="1526">
        <f>+Z38</f>
        <v>33075000</v>
      </c>
      <c r="AD38" s="42">
        <f t="shared" si="14"/>
        <v>34728750</v>
      </c>
      <c r="AE38" s="924"/>
      <c r="AF38" s="924"/>
      <c r="AG38" s="1526">
        <f>+AD38</f>
        <v>34728750</v>
      </c>
    </row>
    <row r="39" spans="1:33" s="54" customFormat="1" ht="15" x14ac:dyDescent="0.25">
      <c r="A39" s="922">
        <v>35</v>
      </c>
      <c r="B39" s="923" t="s">
        <v>1796</v>
      </c>
      <c r="C39" s="1254">
        <f>MROUND('F Y U 2024 Presupuesto'!C39,1000)</f>
        <v>5174318000</v>
      </c>
      <c r="D39" s="924">
        <f>+C39</f>
        <v>5174318000</v>
      </c>
      <c r="E39" s="924"/>
      <c r="F39" s="925"/>
      <c r="G39" s="1146"/>
      <c r="I39" s="919"/>
      <c r="V39" s="42">
        <f t="shared" si="12"/>
        <v>5433033900</v>
      </c>
      <c r="W39" s="924">
        <f>+V39</f>
        <v>5433033900</v>
      </c>
      <c r="X39" s="924"/>
      <c r="Y39" s="925"/>
      <c r="Z39" s="42">
        <f t="shared" si="13"/>
        <v>5704685595</v>
      </c>
      <c r="AA39" s="924">
        <f>+Z39</f>
        <v>5704685595</v>
      </c>
      <c r="AB39" s="924"/>
      <c r="AC39" s="925"/>
      <c r="AD39" s="42">
        <f t="shared" si="14"/>
        <v>5989919874.75</v>
      </c>
      <c r="AE39" s="924">
        <f>+AD39</f>
        <v>5989919874.75</v>
      </c>
      <c r="AF39" s="924"/>
      <c r="AG39" s="925"/>
    </row>
    <row r="40" spans="1:33" s="54" customFormat="1" ht="15" x14ac:dyDescent="0.25">
      <c r="A40" s="922">
        <v>179</v>
      </c>
      <c r="B40" s="923" t="s">
        <v>1797</v>
      </c>
      <c r="C40" s="1254">
        <f>MROUND('F Y U 2024 Presupuesto'!C40,1000)</f>
        <v>1108110000</v>
      </c>
      <c r="D40" s="924"/>
      <c r="E40" s="1251">
        <f>+C40</f>
        <v>1108110000</v>
      </c>
      <c r="F40" s="924"/>
      <c r="G40" s="1150"/>
      <c r="H40" s="54">
        <f>+C39+C40+C42</f>
        <v>23283758000</v>
      </c>
      <c r="I40" s="919"/>
      <c r="V40" s="42">
        <f t="shared" si="12"/>
        <v>1163515500</v>
      </c>
      <c r="W40" s="924"/>
      <c r="X40" s="1251">
        <f>+V40</f>
        <v>1163515500</v>
      </c>
      <c r="Y40" s="924"/>
      <c r="Z40" s="42">
        <f t="shared" si="13"/>
        <v>1221691275</v>
      </c>
      <c r="AA40" s="924"/>
      <c r="AB40" s="1251">
        <f>+Z40</f>
        <v>1221691275</v>
      </c>
      <c r="AC40" s="924"/>
      <c r="AD40" s="42">
        <f t="shared" si="14"/>
        <v>1282775838.75</v>
      </c>
      <c r="AE40" s="924"/>
      <c r="AF40" s="1251">
        <f>+AD40</f>
        <v>1282775838.75</v>
      </c>
      <c r="AG40" s="924"/>
    </row>
    <row r="41" spans="1:33" s="54" customFormat="1" ht="15" x14ac:dyDescent="0.25">
      <c r="A41" s="922">
        <v>205</v>
      </c>
      <c r="B41" s="923" t="s">
        <v>1798</v>
      </c>
      <c r="C41" s="1254">
        <f>MROUND('F Y U 2024 Presupuesto'!C41,1000)</f>
        <v>673000</v>
      </c>
      <c r="D41" s="924"/>
      <c r="E41" s="1251">
        <f>+C41</f>
        <v>673000</v>
      </c>
      <c r="F41" s="924"/>
      <c r="G41" s="1150"/>
      <c r="I41" s="919"/>
      <c r="V41" s="42">
        <f t="shared" si="12"/>
        <v>706650</v>
      </c>
      <c r="W41" s="924"/>
      <c r="X41" s="1251">
        <f>+V41</f>
        <v>706650</v>
      </c>
      <c r="Y41" s="924"/>
      <c r="Z41" s="42">
        <f t="shared" si="13"/>
        <v>741982.5</v>
      </c>
      <c r="AA41" s="924"/>
      <c r="AB41" s="1251">
        <f>+Z41</f>
        <v>741982.5</v>
      </c>
      <c r="AC41" s="924"/>
      <c r="AD41" s="42">
        <f t="shared" si="14"/>
        <v>779081.625</v>
      </c>
      <c r="AE41" s="924"/>
      <c r="AF41" s="1251">
        <f>+AD41</f>
        <v>779081.625</v>
      </c>
      <c r="AG41" s="924"/>
    </row>
    <row r="42" spans="1:33" ht="15" x14ac:dyDescent="0.25">
      <c r="A42" s="922">
        <v>20</v>
      </c>
      <c r="B42" s="923" t="s">
        <v>1080</v>
      </c>
      <c r="C42" s="1254">
        <f>MROUND('F Y U 2024 Presupuesto'!C42,1000)</f>
        <v>17001330000</v>
      </c>
      <c r="D42" s="924"/>
      <c r="E42" s="924"/>
      <c r="F42" s="1527">
        <f>+C42</f>
        <v>17001330000</v>
      </c>
      <c r="G42" s="1522"/>
      <c r="V42" s="42">
        <f t="shared" si="12"/>
        <v>17851396500</v>
      </c>
      <c r="W42" s="924"/>
      <c r="X42" s="924"/>
      <c r="Y42" s="1527">
        <f>+V42</f>
        <v>17851396500</v>
      </c>
      <c r="Z42" s="42">
        <f t="shared" si="13"/>
        <v>18743966325</v>
      </c>
      <c r="AA42" s="924"/>
      <c r="AB42" s="924"/>
      <c r="AC42" s="1527">
        <f>+Z42</f>
        <v>18743966325</v>
      </c>
      <c r="AD42" s="42">
        <f t="shared" si="14"/>
        <v>19681164641.25</v>
      </c>
      <c r="AE42" s="924"/>
      <c r="AF42" s="924"/>
      <c r="AG42" s="1527">
        <f>+AD42</f>
        <v>19681164641.25</v>
      </c>
    </row>
    <row r="43" spans="1:33" s="54" customFormat="1" ht="15" x14ac:dyDescent="0.25">
      <c r="A43" s="922">
        <v>18</v>
      </c>
      <c r="B43" s="923" t="s">
        <v>1085</v>
      </c>
      <c r="C43" s="1254">
        <f>MROUND('F Y U 2024 Presupuesto'!C43,1000)</f>
        <v>681193000</v>
      </c>
      <c r="D43" s="924"/>
      <c r="E43" s="924">
        <f>C43</f>
        <v>681193000</v>
      </c>
      <c r="F43" s="924"/>
      <c r="G43" s="1150"/>
      <c r="I43" s="919"/>
      <c r="V43" s="42">
        <f t="shared" si="12"/>
        <v>715252650</v>
      </c>
      <c r="W43" s="924"/>
      <c r="X43" s="924">
        <f>V43</f>
        <v>715252650</v>
      </c>
      <c r="Y43" s="924"/>
      <c r="Z43" s="42">
        <f t="shared" si="13"/>
        <v>751015282.5</v>
      </c>
      <c r="AA43" s="924"/>
      <c r="AB43" s="924">
        <f>Z43</f>
        <v>751015282.5</v>
      </c>
      <c r="AC43" s="924"/>
      <c r="AD43" s="42">
        <f t="shared" si="14"/>
        <v>788566046.625</v>
      </c>
      <c r="AE43" s="924"/>
      <c r="AF43" s="924">
        <f>AD43</f>
        <v>788566046.625</v>
      </c>
      <c r="AG43" s="924"/>
    </row>
    <row r="44" spans="1:33" s="54" customFormat="1" ht="15" x14ac:dyDescent="0.25">
      <c r="A44" s="922">
        <v>56</v>
      </c>
      <c r="B44" s="923" t="s">
        <v>1799</v>
      </c>
      <c r="C44" s="1254">
        <f>MROUND('F Y U 2024 Presupuesto'!C44,1000)</f>
        <v>500000000</v>
      </c>
      <c r="D44" s="924">
        <f>+C44</f>
        <v>500000000</v>
      </c>
      <c r="E44" s="924"/>
      <c r="F44" s="924"/>
      <c r="G44" s="42"/>
      <c r="I44" s="919"/>
      <c r="V44" s="42">
        <f>+C44*1.1</f>
        <v>550000000</v>
      </c>
      <c r="W44" s="924">
        <f>+V44</f>
        <v>550000000</v>
      </c>
      <c r="X44" s="924"/>
      <c r="Y44" s="924"/>
      <c r="Z44" s="42">
        <f>+V44*1.1</f>
        <v>605000000</v>
      </c>
      <c r="AA44" s="924">
        <f>+Z44</f>
        <v>605000000</v>
      </c>
      <c r="AB44" s="924"/>
      <c r="AC44" s="924"/>
      <c r="AD44" s="42">
        <f>+Z44*1.1</f>
        <v>665500000</v>
      </c>
      <c r="AE44" s="924">
        <f>+AD44</f>
        <v>665500000</v>
      </c>
      <c r="AF44" s="924"/>
      <c r="AG44" s="924"/>
    </row>
    <row r="45" spans="1:33" ht="15" x14ac:dyDescent="0.25">
      <c r="A45" s="922">
        <v>23</v>
      </c>
      <c r="B45" s="923" t="s">
        <v>1800</v>
      </c>
      <c r="C45" s="1254">
        <f>MROUND('F Y U 2024 Presupuesto'!C45,1000)</f>
        <v>697956000</v>
      </c>
      <c r="D45" s="924">
        <f>C45</f>
        <v>697956000</v>
      </c>
      <c r="E45" s="924"/>
      <c r="F45" s="925"/>
      <c r="G45" s="1146"/>
      <c r="W45" s="924">
        <f>V45</f>
        <v>0</v>
      </c>
      <c r="X45" s="924"/>
      <c r="Y45" s="925"/>
      <c r="Z45" s="42">
        <f t="shared" ref="Z45:Z52" si="15">+V45*1.05</f>
        <v>0</v>
      </c>
      <c r="AA45" s="924">
        <f>Z45</f>
        <v>0</v>
      </c>
      <c r="AB45" s="924"/>
      <c r="AC45" s="925"/>
      <c r="AD45" s="42">
        <f t="shared" ref="AD45:AD52" si="16">+Z45*1.05</f>
        <v>0</v>
      </c>
      <c r="AE45" s="924">
        <f>AD45</f>
        <v>0</v>
      </c>
      <c r="AF45" s="924"/>
      <c r="AG45" s="925"/>
    </row>
    <row r="46" spans="1:33" ht="15" x14ac:dyDescent="0.25">
      <c r="A46" s="930">
        <v>23</v>
      </c>
      <c r="B46" s="923" t="s">
        <v>1801</v>
      </c>
      <c r="C46" s="1254">
        <f>MROUND('F Y U 2024 Presupuesto'!C46,1000)</f>
        <v>2871110000</v>
      </c>
      <c r="D46" s="929">
        <f>C46</f>
        <v>2871110000</v>
      </c>
      <c r="E46" s="929"/>
      <c r="F46" s="925"/>
      <c r="G46" s="1146"/>
      <c r="V46" s="42">
        <f>+C46+C45</f>
        <v>3569066000</v>
      </c>
      <c r="W46" s="929">
        <f>V46</f>
        <v>3569066000</v>
      </c>
      <c r="X46" s="929"/>
      <c r="Y46" s="925"/>
      <c r="Z46" s="42">
        <f t="shared" si="15"/>
        <v>3747519300</v>
      </c>
      <c r="AA46" s="929">
        <f>Z46</f>
        <v>3747519300</v>
      </c>
      <c r="AB46" s="929"/>
      <c r="AC46" s="925"/>
      <c r="AD46" s="42">
        <f t="shared" si="16"/>
        <v>3934895265</v>
      </c>
      <c r="AE46" s="929">
        <f>AD46</f>
        <v>3934895265</v>
      </c>
      <c r="AF46" s="929"/>
      <c r="AG46" s="925"/>
    </row>
    <row r="47" spans="1:33" ht="15" x14ac:dyDescent="0.25">
      <c r="A47" s="930">
        <v>20</v>
      </c>
      <c r="B47" s="923" t="s">
        <v>3263</v>
      </c>
      <c r="C47" s="1254">
        <f>MROUND('F Y U 2024 Presupuesto'!C47,1000)</f>
        <v>217044000</v>
      </c>
      <c r="D47" s="929"/>
      <c r="E47" s="929"/>
      <c r="F47" s="1526">
        <f>+C47</f>
        <v>217044000</v>
      </c>
      <c r="G47" s="1146"/>
      <c r="V47" s="42">
        <f>+C47*1.05</f>
        <v>227896200</v>
      </c>
      <c r="W47" s="929"/>
      <c r="X47" s="929"/>
      <c r="Y47" s="1526">
        <f>+V47</f>
        <v>227896200</v>
      </c>
      <c r="Z47" s="42">
        <f t="shared" si="15"/>
        <v>239291010</v>
      </c>
      <c r="AA47" s="929"/>
      <c r="AB47" s="929"/>
      <c r="AC47" s="1526">
        <f>+Z47</f>
        <v>239291010</v>
      </c>
      <c r="AD47" s="42">
        <f t="shared" si="16"/>
        <v>251255560.5</v>
      </c>
      <c r="AE47" s="929"/>
      <c r="AF47" s="929"/>
      <c r="AG47" s="1526">
        <f>+AD47</f>
        <v>251255560.5</v>
      </c>
    </row>
    <row r="48" spans="1:33" ht="15" x14ac:dyDescent="0.25">
      <c r="A48" s="930">
        <v>20</v>
      </c>
      <c r="B48" s="923" t="s">
        <v>3264</v>
      </c>
      <c r="C48" s="1254">
        <f>MROUND('F Y U 2024 Presupuesto'!C48,1000)</f>
        <v>1000000</v>
      </c>
      <c r="D48" s="929"/>
      <c r="E48" s="929"/>
      <c r="F48" s="1526">
        <f>+C48</f>
        <v>1000000</v>
      </c>
      <c r="G48" s="1146"/>
      <c r="V48" s="42">
        <f t="shared" ref="V48:V52" si="17">+C48*1.05</f>
        <v>1050000</v>
      </c>
      <c r="W48" s="929"/>
      <c r="X48" s="929"/>
      <c r="Y48" s="1526">
        <f>+V48</f>
        <v>1050000</v>
      </c>
      <c r="Z48" s="42">
        <f t="shared" si="15"/>
        <v>1102500</v>
      </c>
      <c r="AA48" s="929"/>
      <c r="AB48" s="929"/>
      <c r="AC48" s="1526">
        <f>+Z48</f>
        <v>1102500</v>
      </c>
      <c r="AD48" s="42">
        <f t="shared" si="16"/>
        <v>1157625</v>
      </c>
      <c r="AE48" s="929"/>
      <c r="AF48" s="929"/>
      <c r="AG48" s="1526">
        <f>+AD48</f>
        <v>1157625</v>
      </c>
    </row>
    <row r="49" spans="1:33" ht="15" x14ac:dyDescent="0.25">
      <c r="A49" s="930">
        <v>20</v>
      </c>
      <c r="B49" s="923" t="s">
        <v>4348</v>
      </c>
      <c r="C49" s="1254">
        <v>114118000</v>
      </c>
      <c r="D49" s="929"/>
      <c r="E49" s="929"/>
      <c r="F49" s="1526">
        <f>+C49</f>
        <v>114118000</v>
      </c>
      <c r="G49" s="1146"/>
      <c r="V49" s="42">
        <f t="shared" si="17"/>
        <v>119823900</v>
      </c>
      <c r="W49" s="929"/>
      <c r="X49" s="929"/>
      <c r="Y49" s="1526">
        <f>+V49</f>
        <v>119823900</v>
      </c>
      <c r="Z49" s="42">
        <f t="shared" si="15"/>
        <v>125815095</v>
      </c>
      <c r="AA49" s="929"/>
      <c r="AB49" s="929"/>
      <c r="AC49" s="1526">
        <f>+Z49</f>
        <v>125815095</v>
      </c>
      <c r="AD49" s="42">
        <f t="shared" si="16"/>
        <v>132105849.75</v>
      </c>
      <c r="AE49" s="929"/>
      <c r="AF49" s="929"/>
      <c r="AG49" s="1526">
        <f>+AD49</f>
        <v>132105849.75</v>
      </c>
    </row>
    <row r="50" spans="1:33" ht="15" x14ac:dyDescent="0.25">
      <c r="A50" s="930">
        <v>20</v>
      </c>
      <c r="B50" s="923" t="s">
        <v>3265</v>
      </c>
      <c r="C50" s="1254">
        <f>MROUND('F Y U 2024 Presupuesto'!C49,1000)</f>
        <v>1000000</v>
      </c>
      <c r="D50" s="929"/>
      <c r="E50" s="929"/>
      <c r="F50" s="1526">
        <f>+C50</f>
        <v>1000000</v>
      </c>
      <c r="G50" s="1146"/>
      <c r="V50" s="42">
        <f t="shared" si="17"/>
        <v>1050000</v>
      </c>
      <c r="W50" s="929"/>
      <c r="X50" s="929"/>
      <c r="Y50" s="1526">
        <f>+V50</f>
        <v>1050000</v>
      </c>
      <c r="Z50" s="42">
        <f t="shared" si="15"/>
        <v>1102500</v>
      </c>
      <c r="AA50" s="929"/>
      <c r="AB50" s="929"/>
      <c r="AC50" s="1526">
        <f>+Z50</f>
        <v>1102500</v>
      </c>
      <c r="AD50" s="42">
        <f t="shared" si="16"/>
        <v>1157625</v>
      </c>
      <c r="AE50" s="929"/>
      <c r="AF50" s="929"/>
      <c r="AG50" s="1526">
        <f>+AD50</f>
        <v>1157625</v>
      </c>
    </row>
    <row r="51" spans="1:33" ht="15" x14ac:dyDescent="0.25">
      <c r="A51" s="930">
        <v>20</v>
      </c>
      <c r="B51" s="923" t="s">
        <v>3266</v>
      </c>
      <c r="C51" s="1254">
        <f>MROUND('F Y U 2024 Presupuesto'!C50,1000)</f>
        <v>77643000</v>
      </c>
      <c r="D51" s="929"/>
      <c r="E51" s="929"/>
      <c r="F51" s="1526">
        <f>+C51</f>
        <v>77643000</v>
      </c>
      <c r="G51" s="1146"/>
      <c r="V51" s="42">
        <f t="shared" si="17"/>
        <v>81525150</v>
      </c>
      <c r="W51" s="929"/>
      <c r="X51" s="929"/>
      <c r="Y51" s="1526">
        <f>+V51</f>
        <v>81525150</v>
      </c>
      <c r="Z51" s="42">
        <f t="shared" si="15"/>
        <v>85601407.5</v>
      </c>
      <c r="AA51" s="929"/>
      <c r="AB51" s="929"/>
      <c r="AC51" s="1526">
        <f>+Z51</f>
        <v>85601407.5</v>
      </c>
      <c r="AD51" s="42">
        <f t="shared" si="16"/>
        <v>89881477.875</v>
      </c>
      <c r="AE51" s="929"/>
      <c r="AF51" s="929"/>
      <c r="AG51" s="1526">
        <f>+AD51</f>
        <v>89881477.875</v>
      </c>
    </row>
    <row r="52" spans="1:33" ht="15" x14ac:dyDescent="0.25">
      <c r="A52" s="930">
        <v>47</v>
      </c>
      <c r="B52" s="921" t="s">
        <v>1093</v>
      </c>
      <c r="C52" s="1254">
        <f>MROUND('F Y U 2024 Presupuesto'!C51,1000)</f>
        <v>103859000</v>
      </c>
      <c r="D52" s="929">
        <f>+C52</f>
        <v>103859000</v>
      </c>
      <c r="E52" s="929"/>
      <c r="F52" s="925"/>
      <c r="G52" s="1146"/>
      <c r="V52" s="42">
        <f t="shared" si="17"/>
        <v>109051950</v>
      </c>
      <c r="W52" s="929">
        <f>+V52</f>
        <v>109051950</v>
      </c>
      <c r="X52" s="929"/>
      <c r="Y52" s="925"/>
      <c r="Z52" s="42">
        <f t="shared" si="15"/>
        <v>114504547.5</v>
      </c>
      <c r="AA52" s="929">
        <f>+Z52</f>
        <v>114504547.5</v>
      </c>
      <c r="AB52" s="929"/>
      <c r="AC52" s="925"/>
      <c r="AD52" s="42">
        <f t="shared" si="16"/>
        <v>120229774.875</v>
      </c>
      <c r="AE52" s="929">
        <f>+AD52</f>
        <v>120229774.875</v>
      </c>
      <c r="AF52" s="929"/>
      <c r="AG52" s="925"/>
    </row>
    <row r="53" spans="1:33" s="54" customFormat="1" ht="21" customHeight="1" x14ac:dyDescent="0.25">
      <c r="A53" s="1667" t="s">
        <v>1802</v>
      </c>
      <c r="B53" s="1668"/>
      <c r="C53" s="1008">
        <f>SUM(C7:C52)</f>
        <v>201608584000</v>
      </c>
      <c r="D53" s="1151">
        <f>SUM(D7:D52)</f>
        <v>26548711400</v>
      </c>
      <c r="E53" s="1151">
        <f>SUM(E7:E52)</f>
        <v>45349697600</v>
      </c>
      <c r="F53" s="1151">
        <f>SUM(F7:F52)</f>
        <v>129710175000</v>
      </c>
      <c r="G53" s="1518"/>
      <c r="I53" s="919"/>
      <c r="V53" s="1151">
        <f t="shared" ref="V53:AG53" si="18">SUM(V7:V52)</f>
        <v>219460463820</v>
      </c>
      <c r="W53" s="1151">
        <f t="shared" si="18"/>
        <v>30004290676</v>
      </c>
      <c r="X53" s="1151">
        <f t="shared" si="18"/>
        <v>51321720114</v>
      </c>
      <c r="Y53" s="1151">
        <f t="shared" si="18"/>
        <v>138134453030</v>
      </c>
      <c r="Z53" s="1151">
        <f t="shared" si="18"/>
        <v>239822864504.39996</v>
      </c>
      <c r="AA53" s="1151">
        <f t="shared" si="18"/>
        <v>34243307389.839996</v>
      </c>
      <c r="AB53" s="1151">
        <f t="shared" si="18"/>
        <v>58262021577.059998</v>
      </c>
      <c r="AC53" s="1151">
        <f t="shared" si="18"/>
        <v>147317535537.5</v>
      </c>
      <c r="AD53" s="1151">
        <f t="shared" si="18"/>
        <v>262914016717.60596</v>
      </c>
      <c r="AE53" s="1151">
        <f t="shared" si="18"/>
        <v>39208070235.911591</v>
      </c>
      <c r="AF53" s="1151">
        <f t="shared" si="18"/>
        <v>66343519976.903397</v>
      </c>
      <c r="AG53" s="1151">
        <f t="shared" si="18"/>
        <v>157362426504.79102</v>
      </c>
    </row>
    <row r="54" spans="1:33" x14ac:dyDescent="0.25">
      <c r="A54" s="934"/>
      <c r="B54" s="931"/>
      <c r="C54" s="932"/>
      <c r="D54" s="1152"/>
      <c r="E54" s="1153"/>
      <c r="F54" s="1154"/>
      <c r="H54" s="1150"/>
    </row>
    <row r="55" spans="1:33" ht="15" x14ac:dyDescent="0.25">
      <c r="A55" s="922">
        <v>50</v>
      </c>
      <c r="B55" s="923" t="s">
        <v>1160</v>
      </c>
      <c r="C55" s="1254">
        <f>MROUND('F Y U 2024 Presupuesto'!C54,1000)</f>
        <v>200000000</v>
      </c>
      <c r="D55" s="924"/>
      <c r="E55" s="924">
        <f>+C55</f>
        <v>200000000</v>
      </c>
      <c r="F55" s="924"/>
      <c r="H55" s="1001" t="s">
        <v>1794</v>
      </c>
      <c r="V55" s="42">
        <f t="shared" ref="V55:V89" si="19">+C55*1.05</f>
        <v>210000000</v>
      </c>
      <c r="W55" s="924"/>
      <c r="X55" s="924">
        <f>+V55</f>
        <v>210000000</v>
      </c>
      <c r="Y55" s="924"/>
      <c r="Z55" s="42">
        <f t="shared" ref="Z55:Z104" si="20">+V55*1.05</f>
        <v>220500000</v>
      </c>
      <c r="AA55" s="924"/>
      <c r="AB55" s="924">
        <f>+Z55</f>
        <v>220500000</v>
      </c>
      <c r="AC55" s="924"/>
      <c r="AD55" s="42">
        <f t="shared" ref="AD55:AD104" si="21">+Z55*1.05</f>
        <v>231525000</v>
      </c>
      <c r="AE55" s="924"/>
      <c r="AF55" s="924">
        <f>+AD55</f>
        <v>231525000</v>
      </c>
      <c r="AG55" s="924"/>
    </row>
    <row r="56" spans="1:33" ht="15" x14ac:dyDescent="0.25">
      <c r="A56" s="922">
        <v>135</v>
      </c>
      <c r="B56" s="923" t="s">
        <v>1803</v>
      </c>
      <c r="C56" s="1254">
        <f>MROUND('F Y U 2024 Presupuesto'!C55,1000)</f>
        <v>9000000000</v>
      </c>
      <c r="D56" s="927"/>
      <c r="E56" s="924">
        <f>+C56</f>
        <v>9000000000</v>
      </c>
      <c r="F56" s="925"/>
      <c r="G56" s="1520"/>
      <c r="V56" s="42">
        <f t="shared" si="19"/>
        <v>9450000000</v>
      </c>
      <c r="W56" s="927"/>
      <c r="X56" s="924">
        <f>+V56</f>
        <v>9450000000</v>
      </c>
      <c r="Y56" s="925"/>
      <c r="Z56" s="42">
        <f t="shared" si="20"/>
        <v>9922500000</v>
      </c>
      <c r="AA56" s="927"/>
      <c r="AB56" s="924">
        <f>+Z56</f>
        <v>9922500000</v>
      </c>
      <c r="AC56" s="925"/>
      <c r="AD56" s="42">
        <f t="shared" si="21"/>
        <v>10418625000</v>
      </c>
      <c r="AE56" s="927"/>
      <c r="AF56" s="924">
        <f>+AD56</f>
        <v>10418625000</v>
      </c>
      <c r="AG56" s="925"/>
    </row>
    <row r="57" spans="1:33" s="1652" customFormat="1" ht="15" x14ac:dyDescent="0.25">
      <c r="A57" s="922">
        <v>9</v>
      </c>
      <c r="B57" s="923" t="s">
        <v>40</v>
      </c>
      <c r="C57" s="1254">
        <v>139116291.99000001</v>
      </c>
      <c r="D57" s="927">
        <f>+C57</f>
        <v>139116291.99000001</v>
      </c>
      <c r="E57" s="924"/>
      <c r="F57" s="925"/>
      <c r="G57" s="1654"/>
      <c r="I57" s="648"/>
      <c r="W57" s="927"/>
      <c r="X57" s="924"/>
      <c r="Y57" s="925"/>
      <c r="AA57" s="927"/>
      <c r="AB57" s="924"/>
      <c r="AC57" s="925"/>
      <c r="AE57" s="927"/>
      <c r="AF57" s="924"/>
      <c r="AG57" s="925"/>
    </row>
    <row r="58" spans="1:33" s="1652" customFormat="1" ht="15" x14ac:dyDescent="0.25">
      <c r="A58" s="922">
        <v>82</v>
      </c>
      <c r="B58" s="923" t="s">
        <v>191</v>
      </c>
      <c r="C58" s="1254">
        <v>5801575548.9700003</v>
      </c>
      <c r="D58" s="927">
        <f t="shared" ref="D58:D68" si="22">+C58</f>
        <v>5801575548.9700003</v>
      </c>
      <c r="E58" s="924"/>
      <c r="F58" s="925"/>
      <c r="G58" s="1654"/>
      <c r="I58" s="648"/>
      <c r="W58" s="927"/>
      <c r="X58" s="924"/>
      <c r="Y58" s="925"/>
      <c r="AA58" s="927"/>
      <c r="AB58" s="924"/>
      <c r="AC58" s="925"/>
      <c r="AE58" s="927"/>
      <c r="AF58" s="924"/>
      <c r="AG58" s="925"/>
    </row>
    <row r="59" spans="1:33" s="1652" customFormat="1" ht="15" x14ac:dyDescent="0.25">
      <c r="A59" s="922">
        <v>88</v>
      </c>
      <c r="B59" s="923" t="s">
        <v>199</v>
      </c>
      <c r="C59" s="1254">
        <v>5417614813.6199989</v>
      </c>
      <c r="D59" s="927">
        <f t="shared" si="22"/>
        <v>5417614813.6199989</v>
      </c>
      <c r="E59" s="924"/>
      <c r="F59" s="925"/>
      <c r="G59" s="1654"/>
      <c r="I59" s="648"/>
      <c r="W59" s="927"/>
      <c r="X59" s="924"/>
      <c r="Y59" s="925"/>
      <c r="AA59" s="927"/>
      <c r="AB59" s="924"/>
      <c r="AC59" s="925"/>
      <c r="AE59" s="927"/>
      <c r="AF59" s="924"/>
      <c r="AG59" s="925"/>
    </row>
    <row r="60" spans="1:33" s="1652" customFormat="1" ht="15" x14ac:dyDescent="0.25">
      <c r="A60" s="922">
        <v>89</v>
      </c>
      <c r="B60" s="923" t="s">
        <v>201</v>
      </c>
      <c r="C60" s="1254">
        <v>893732107.30999994</v>
      </c>
      <c r="D60" s="927">
        <f t="shared" si="22"/>
        <v>893732107.30999994</v>
      </c>
      <c r="E60" s="924"/>
      <c r="F60" s="925"/>
      <c r="G60" s="1654"/>
      <c r="I60" s="648"/>
      <c r="W60" s="927"/>
      <c r="X60" s="924"/>
      <c r="Y60" s="925"/>
      <c r="AA60" s="927"/>
      <c r="AB60" s="924"/>
      <c r="AC60" s="925"/>
      <c r="AE60" s="927"/>
      <c r="AF60" s="924"/>
      <c r="AG60" s="925"/>
    </row>
    <row r="61" spans="1:33" s="1652" customFormat="1" ht="15" x14ac:dyDescent="0.25">
      <c r="A61" s="922">
        <v>90</v>
      </c>
      <c r="B61" s="923" t="s">
        <v>203</v>
      </c>
      <c r="C61" s="1254">
        <v>45473661.210000001</v>
      </c>
      <c r="D61" s="927">
        <f t="shared" si="22"/>
        <v>45473661.210000001</v>
      </c>
      <c r="E61" s="924"/>
      <c r="F61" s="925"/>
      <c r="G61" s="1654"/>
      <c r="I61" s="648"/>
      <c r="W61" s="927"/>
      <c r="X61" s="924"/>
      <c r="Y61" s="925"/>
      <c r="AA61" s="927"/>
      <c r="AB61" s="924"/>
      <c r="AC61" s="925"/>
      <c r="AE61" s="927"/>
      <c r="AF61" s="924"/>
      <c r="AG61" s="925"/>
    </row>
    <row r="62" spans="1:33" s="1652" customFormat="1" ht="15" x14ac:dyDescent="0.25">
      <c r="A62" s="922">
        <v>91</v>
      </c>
      <c r="B62" s="923" t="s">
        <v>205</v>
      </c>
      <c r="C62" s="1254">
        <v>698832206.11000001</v>
      </c>
      <c r="D62" s="927">
        <f t="shared" si="22"/>
        <v>698832206.11000001</v>
      </c>
      <c r="E62" s="924"/>
      <c r="F62" s="925"/>
      <c r="G62" s="1654"/>
      <c r="I62" s="648"/>
      <c r="W62" s="927"/>
      <c r="X62" s="924"/>
      <c r="Y62" s="925"/>
      <c r="AA62" s="927"/>
      <c r="AB62" s="924"/>
      <c r="AC62" s="925"/>
      <c r="AE62" s="927"/>
      <c r="AF62" s="924"/>
      <c r="AG62" s="925"/>
    </row>
    <row r="63" spans="1:33" s="1652" customFormat="1" ht="15" x14ac:dyDescent="0.25">
      <c r="A63" s="922">
        <v>137</v>
      </c>
      <c r="B63" s="923" t="s">
        <v>1735</v>
      </c>
      <c r="C63" s="1254">
        <v>3373562039.04</v>
      </c>
      <c r="D63" s="927">
        <f t="shared" si="22"/>
        <v>3373562039.04</v>
      </c>
      <c r="E63" s="924"/>
      <c r="F63" s="925"/>
      <c r="G63" s="1654"/>
      <c r="I63" s="648"/>
      <c r="W63" s="927"/>
      <c r="X63" s="924"/>
      <c r="Y63" s="925"/>
      <c r="AA63" s="927"/>
      <c r="AB63" s="924"/>
      <c r="AC63" s="925"/>
      <c r="AE63" s="927"/>
      <c r="AF63" s="924"/>
      <c r="AG63" s="925"/>
    </row>
    <row r="64" spans="1:33" s="1652" customFormat="1" ht="15" x14ac:dyDescent="0.25">
      <c r="A64" s="922">
        <v>186</v>
      </c>
      <c r="B64" s="923" t="s">
        <v>112</v>
      </c>
      <c r="C64" s="1254">
        <v>150448.76</v>
      </c>
      <c r="D64" s="927">
        <f t="shared" si="22"/>
        <v>150448.76</v>
      </c>
      <c r="E64" s="924"/>
      <c r="F64" s="925"/>
      <c r="G64" s="1654"/>
      <c r="I64" s="648"/>
      <c r="W64" s="927"/>
      <c r="X64" s="924"/>
      <c r="Y64" s="925"/>
      <c r="AA64" s="927"/>
      <c r="AB64" s="924"/>
      <c r="AC64" s="925"/>
      <c r="AE64" s="927"/>
      <c r="AF64" s="924"/>
      <c r="AG64" s="925"/>
    </row>
    <row r="65" spans="1:33" s="1652" customFormat="1" ht="15" x14ac:dyDescent="0.25">
      <c r="A65" s="922">
        <v>189</v>
      </c>
      <c r="B65" s="923" t="s">
        <v>118</v>
      </c>
      <c r="C65" s="1254">
        <v>489152310.42000002</v>
      </c>
      <c r="D65" s="927">
        <f t="shared" si="22"/>
        <v>489152310.42000002</v>
      </c>
      <c r="E65" s="924"/>
      <c r="F65" s="925"/>
      <c r="G65" s="1654"/>
      <c r="I65" s="648"/>
      <c r="W65" s="927"/>
      <c r="X65" s="924"/>
      <c r="Y65" s="925"/>
      <c r="AA65" s="927"/>
      <c r="AB65" s="924"/>
      <c r="AC65" s="925"/>
      <c r="AE65" s="927"/>
      <c r="AF65" s="924"/>
      <c r="AG65" s="925"/>
    </row>
    <row r="66" spans="1:33" s="1652" customFormat="1" ht="15" x14ac:dyDescent="0.25">
      <c r="A66" s="922">
        <v>227</v>
      </c>
      <c r="B66" s="923" t="s">
        <v>4451</v>
      </c>
      <c r="C66" s="1254">
        <v>1056276477</v>
      </c>
      <c r="D66" s="927">
        <f t="shared" si="22"/>
        <v>1056276477</v>
      </c>
      <c r="E66" s="924"/>
      <c r="F66" s="925"/>
      <c r="G66" s="1654"/>
      <c r="I66" s="648"/>
      <c r="W66" s="927"/>
      <c r="X66" s="924"/>
      <c r="Y66" s="925"/>
      <c r="AA66" s="927"/>
      <c r="AB66" s="924"/>
      <c r="AC66" s="925"/>
      <c r="AE66" s="927"/>
      <c r="AF66" s="924"/>
      <c r="AG66" s="925"/>
    </row>
    <row r="67" spans="1:33" s="1652" customFormat="1" ht="15" x14ac:dyDescent="0.25">
      <c r="A67" s="922">
        <v>228</v>
      </c>
      <c r="B67" s="923" t="s">
        <v>4452</v>
      </c>
      <c r="C67" s="1254">
        <v>9069171774.3999996</v>
      </c>
      <c r="D67" s="927">
        <f t="shared" si="22"/>
        <v>9069171774.3999996</v>
      </c>
      <c r="E67" s="924"/>
      <c r="F67" s="925"/>
      <c r="G67" s="1654"/>
      <c r="I67" s="648"/>
      <c r="W67" s="927"/>
      <c r="X67" s="924"/>
      <c r="Y67" s="925"/>
      <c r="AA67" s="927"/>
      <c r="AB67" s="924"/>
      <c r="AC67" s="925"/>
      <c r="AE67" s="927"/>
      <c r="AF67" s="924"/>
      <c r="AG67" s="925"/>
    </row>
    <row r="68" spans="1:33" s="1652" customFormat="1" ht="15" x14ac:dyDescent="0.25">
      <c r="A68" s="922">
        <v>264</v>
      </c>
      <c r="B68" s="923" t="s">
        <v>4453</v>
      </c>
      <c r="C68" s="1254">
        <v>6822431</v>
      </c>
      <c r="D68" s="927">
        <f t="shared" si="22"/>
        <v>6822431</v>
      </c>
      <c r="E68" s="924"/>
      <c r="F68" s="925"/>
      <c r="G68" s="1654"/>
      <c r="I68" s="648"/>
      <c r="W68" s="927"/>
      <c r="X68" s="924"/>
      <c r="Y68" s="925"/>
      <c r="AA68" s="927"/>
      <c r="AB68" s="924"/>
      <c r="AC68" s="925"/>
      <c r="AE68" s="927"/>
      <c r="AF68" s="924"/>
      <c r="AG68" s="925"/>
    </row>
    <row r="69" spans="1:33" s="1652" customFormat="1" ht="15" hidden="1" x14ac:dyDescent="0.25">
      <c r="A69" s="922"/>
      <c r="B69" s="923"/>
      <c r="C69" s="1254"/>
      <c r="D69" s="927"/>
      <c r="E69" s="924"/>
      <c r="F69" s="925"/>
      <c r="G69" s="1654"/>
      <c r="I69" s="648"/>
      <c r="W69" s="927"/>
      <c r="X69" s="924"/>
      <c r="Y69" s="925"/>
      <c r="AA69" s="927"/>
      <c r="AB69" s="924"/>
      <c r="AC69" s="925"/>
      <c r="AE69" s="927"/>
      <c r="AF69" s="924"/>
      <c r="AG69" s="925"/>
    </row>
    <row r="70" spans="1:33" s="1652" customFormat="1" ht="15" hidden="1" x14ac:dyDescent="0.25">
      <c r="A70" s="922"/>
      <c r="B70" s="923"/>
      <c r="C70" s="1254"/>
      <c r="D70" s="927"/>
      <c r="E70" s="924"/>
      <c r="F70" s="925"/>
      <c r="G70" s="1654"/>
      <c r="I70" s="648"/>
      <c r="W70" s="927"/>
      <c r="X70" s="924"/>
      <c r="Y70" s="925"/>
      <c r="AA70" s="927"/>
      <c r="AB70" s="924"/>
      <c r="AC70" s="925"/>
      <c r="AE70" s="927"/>
      <c r="AF70" s="924"/>
      <c r="AG70" s="925"/>
    </row>
    <row r="71" spans="1:33" s="1652" customFormat="1" ht="15" hidden="1" x14ac:dyDescent="0.25">
      <c r="A71" s="922"/>
      <c r="B71" s="923"/>
      <c r="C71" s="1254"/>
      <c r="D71" s="927"/>
      <c r="E71" s="924"/>
      <c r="F71" s="925"/>
      <c r="G71" s="1654"/>
      <c r="I71" s="648"/>
      <c r="W71" s="927"/>
      <c r="X71" s="924"/>
      <c r="Y71" s="925"/>
      <c r="AA71" s="927"/>
      <c r="AB71" s="924"/>
      <c r="AC71" s="925"/>
      <c r="AE71" s="927"/>
      <c r="AF71" s="924"/>
      <c r="AG71" s="925"/>
    </row>
    <row r="72" spans="1:33" s="1652" customFormat="1" ht="15" hidden="1" x14ac:dyDescent="0.25">
      <c r="A72" s="922"/>
      <c r="B72" s="923"/>
      <c r="C72" s="1254"/>
      <c r="D72" s="927"/>
      <c r="E72" s="924"/>
      <c r="F72" s="925"/>
      <c r="G72" s="1654"/>
      <c r="I72" s="648"/>
      <c r="W72" s="927"/>
      <c r="X72" s="924"/>
      <c r="Y72" s="925"/>
      <c r="AA72" s="927"/>
      <c r="AB72" s="924"/>
      <c r="AC72" s="925"/>
      <c r="AE72" s="927"/>
      <c r="AF72" s="924"/>
      <c r="AG72" s="925"/>
    </row>
    <row r="73" spans="1:33" s="1652" customFormat="1" ht="15" hidden="1" x14ac:dyDescent="0.25">
      <c r="A73" s="922"/>
      <c r="B73" s="923"/>
      <c r="C73" s="1254"/>
      <c r="D73" s="927"/>
      <c r="E73" s="924"/>
      <c r="F73" s="925"/>
      <c r="G73" s="1654"/>
      <c r="I73" s="648"/>
      <c r="W73" s="927"/>
      <c r="X73" s="924"/>
      <c r="Y73" s="925"/>
      <c r="AA73" s="927"/>
      <c r="AB73" s="924"/>
      <c r="AC73" s="925"/>
      <c r="AE73" s="927"/>
      <c r="AF73" s="924"/>
      <c r="AG73" s="925"/>
    </row>
    <row r="74" spans="1:33" s="1652" customFormat="1" ht="15" hidden="1" x14ac:dyDescent="0.25">
      <c r="A74" s="922"/>
      <c r="B74" s="923"/>
      <c r="C74" s="1254"/>
      <c r="D74" s="927"/>
      <c r="E74" s="924"/>
      <c r="F74" s="925"/>
      <c r="G74" s="1654"/>
      <c r="I74" s="648"/>
      <c r="W74" s="927"/>
      <c r="X74" s="924"/>
      <c r="Y74" s="925"/>
      <c r="AA74" s="927"/>
      <c r="AB74" s="924"/>
      <c r="AC74" s="925"/>
      <c r="AE74" s="927"/>
      <c r="AF74" s="924"/>
      <c r="AG74" s="925"/>
    </row>
    <row r="75" spans="1:33" s="1652" customFormat="1" ht="15" hidden="1" x14ac:dyDescent="0.25">
      <c r="A75" s="922"/>
      <c r="B75" s="923"/>
      <c r="C75" s="1254"/>
      <c r="D75" s="927"/>
      <c r="E75" s="924"/>
      <c r="F75" s="925"/>
      <c r="G75" s="1654"/>
      <c r="I75" s="648"/>
      <c r="W75" s="927"/>
      <c r="X75" s="924"/>
      <c r="Y75" s="925"/>
      <c r="AA75" s="927"/>
      <c r="AB75" s="924"/>
      <c r="AC75" s="925"/>
      <c r="AE75" s="927"/>
      <c r="AF75" s="924"/>
      <c r="AG75" s="925"/>
    </row>
    <row r="76" spans="1:33" s="1652" customFormat="1" ht="15" hidden="1" x14ac:dyDescent="0.25">
      <c r="A76" s="922"/>
      <c r="B76" s="923"/>
      <c r="C76" s="1254"/>
      <c r="D76" s="927"/>
      <c r="E76" s="924"/>
      <c r="F76" s="925"/>
      <c r="G76" s="1654"/>
      <c r="I76" s="648"/>
      <c r="W76" s="927"/>
      <c r="X76" s="924"/>
      <c r="Y76" s="925"/>
      <c r="AA76" s="927"/>
      <c r="AB76" s="924"/>
      <c r="AC76" s="925"/>
      <c r="AE76" s="927"/>
      <c r="AF76" s="924"/>
      <c r="AG76" s="925"/>
    </row>
    <row r="77" spans="1:33" s="1652" customFormat="1" ht="15" hidden="1" x14ac:dyDescent="0.25">
      <c r="A77" s="922"/>
      <c r="B77" s="923"/>
      <c r="C77" s="1254"/>
      <c r="D77" s="927"/>
      <c r="E77" s="924"/>
      <c r="F77" s="925"/>
      <c r="G77" s="1654"/>
      <c r="I77" s="648"/>
      <c r="W77" s="927"/>
      <c r="X77" s="924"/>
      <c r="Y77" s="925"/>
      <c r="AA77" s="927"/>
      <c r="AB77" s="924"/>
      <c r="AC77" s="925"/>
      <c r="AE77" s="927"/>
      <c r="AF77" s="924"/>
      <c r="AG77" s="925"/>
    </row>
    <row r="78" spans="1:33" s="1652" customFormat="1" ht="15" hidden="1" x14ac:dyDescent="0.25">
      <c r="A78" s="922"/>
      <c r="B78" s="923"/>
      <c r="C78" s="1254"/>
      <c r="D78" s="927"/>
      <c r="E78" s="924"/>
      <c r="F78" s="925"/>
      <c r="G78" s="1654"/>
      <c r="I78" s="648"/>
      <c r="W78" s="927"/>
      <c r="X78" s="924"/>
      <c r="Y78" s="925"/>
      <c r="AA78" s="927"/>
      <c r="AB78" s="924"/>
      <c r="AC78" s="925"/>
      <c r="AE78" s="927"/>
      <c r="AF78" s="924"/>
      <c r="AG78" s="925"/>
    </row>
    <row r="79" spans="1:33" s="1652" customFormat="1" ht="15" hidden="1" x14ac:dyDescent="0.25">
      <c r="A79" s="922"/>
      <c r="B79" s="923"/>
      <c r="C79" s="1254"/>
      <c r="D79" s="927"/>
      <c r="E79" s="924"/>
      <c r="F79" s="925"/>
      <c r="G79" s="1654"/>
      <c r="I79" s="648"/>
      <c r="W79" s="927"/>
      <c r="X79" s="924"/>
      <c r="Y79" s="925"/>
      <c r="AA79" s="927"/>
      <c r="AB79" s="924"/>
      <c r="AC79" s="925"/>
      <c r="AE79" s="927"/>
      <c r="AF79" s="924"/>
      <c r="AG79" s="925"/>
    </row>
    <row r="80" spans="1:33" s="1652" customFormat="1" ht="15" hidden="1" x14ac:dyDescent="0.25">
      <c r="A80" s="922"/>
      <c r="B80" s="923"/>
      <c r="C80" s="1254"/>
      <c r="D80" s="927"/>
      <c r="E80" s="924"/>
      <c r="F80" s="925"/>
      <c r="G80" s="1654"/>
      <c r="I80" s="648"/>
      <c r="W80" s="927"/>
      <c r="X80" s="924"/>
      <c r="Y80" s="925"/>
      <c r="AA80" s="927"/>
      <c r="AB80" s="924"/>
      <c r="AC80" s="925"/>
      <c r="AE80" s="927"/>
      <c r="AF80" s="924"/>
      <c r="AG80" s="925"/>
    </row>
    <row r="81" spans="1:33" s="1652" customFormat="1" ht="15" hidden="1" x14ac:dyDescent="0.25">
      <c r="A81" s="922"/>
      <c r="B81" s="923"/>
      <c r="C81" s="1254"/>
      <c r="D81" s="927"/>
      <c r="E81" s="924"/>
      <c r="F81" s="925"/>
      <c r="G81" s="1654"/>
      <c r="I81" s="648"/>
      <c r="W81" s="927"/>
      <c r="X81" s="924"/>
      <c r="Y81" s="925"/>
      <c r="AA81" s="927"/>
      <c r="AB81" s="924"/>
      <c r="AC81" s="925"/>
      <c r="AE81" s="927"/>
      <c r="AF81" s="924"/>
      <c r="AG81" s="925"/>
    </row>
    <row r="82" spans="1:33" s="1652" customFormat="1" ht="15" hidden="1" x14ac:dyDescent="0.25">
      <c r="A82" s="922"/>
      <c r="B82" s="923"/>
      <c r="C82" s="1254"/>
      <c r="D82" s="927"/>
      <c r="E82" s="924"/>
      <c r="F82" s="925"/>
      <c r="G82" s="1654"/>
      <c r="I82" s="648"/>
      <c r="W82" s="927"/>
      <c r="X82" s="924"/>
      <c r="Y82" s="925"/>
      <c r="AA82" s="927"/>
      <c r="AB82" s="924"/>
      <c r="AC82" s="925"/>
      <c r="AE82" s="927"/>
      <c r="AF82" s="924"/>
      <c r="AG82" s="925"/>
    </row>
    <row r="83" spans="1:33" s="1652" customFormat="1" ht="15" hidden="1" x14ac:dyDescent="0.25">
      <c r="A83" s="922"/>
      <c r="B83" s="923"/>
      <c r="C83" s="1254"/>
      <c r="D83" s="927"/>
      <c r="E83" s="924"/>
      <c r="F83" s="925"/>
      <c r="G83" s="1654"/>
      <c r="I83" s="648"/>
      <c r="W83" s="927"/>
      <c r="X83" s="924"/>
      <c r="Y83" s="925"/>
      <c r="AA83" s="927"/>
      <c r="AB83" s="924"/>
      <c r="AC83" s="925"/>
      <c r="AE83" s="927"/>
      <c r="AF83" s="924"/>
      <c r="AG83" s="925"/>
    </row>
    <row r="84" spans="1:33" s="1652" customFormat="1" ht="15" hidden="1" x14ac:dyDescent="0.25">
      <c r="A84" s="922"/>
      <c r="B84" s="923"/>
      <c r="C84" s="1254"/>
      <c r="D84" s="927"/>
      <c r="E84" s="924"/>
      <c r="F84" s="925"/>
      <c r="G84" s="1654"/>
      <c r="I84" s="648"/>
      <c r="W84" s="927"/>
      <c r="X84" s="924"/>
      <c r="Y84" s="925"/>
      <c r="AA84" s="927"/>
      <c r="AB84" s="924"/>
      <c r="AC84" s="925"/>
      <c r="AE84" s="927"/>
      <c r="AF84" s="924"/>
      <c r="AG84" s="925"/>
    </row>
    <row r="85" spans="1:33" s="1652" customFormat="1" ht="15" hidden="1" x14ac:dyDescent="0.25">
      <c r="A85" s="922"/>
      <c r="B85" s="923"/>
      <c r="C85" s="1254"/>
      <c r="D85" s="927"/>
      <c r="E85" s="924"/>
      <c r="F85" s="925"/>
      <c r="G85" s="1654"/>
      <c r="I85" s="648"/>
      <c r="W85" s="927"/>
      <c r="X85" s="924"/>
      <c r="Y85" s="925"/>
      <c r="AA85" s="927"/>
      <c r="AB85" s="924"/>
      <c r="AC85" s="925"/>
      <c r="AE85" s="927"/>
      <c r="AF85" s="924"/>
      <c r="AG85" s="925"/>
    </row>
    <row r="86" spans="1:33" s="1652" customFormat="1" ht="15" hidden="1" x14ac:dyDescent="0.25">
      <c r="A86" s="922"/>
      <c r="B86" s="923"/>
      <c r="C86" s="1254"/>
      <c r="D86" s="927"/>
      <c r="E86" s="924"/>
      <c r="F86" s="925"/>
      <c r="G86" s="1654"/>
      <c r="I86" s="648"/>
      <c r="W86" s="927"/>
      <c r="X86" s="924"/>
      <c r="Y86" s="925"/>
      <c r="AA86" s="927"/>
      <c r="AB86" s="924"/>
      <c r="AC86" s="925"/>
      <c r="AE86" s="927"/>
      <c r="AF86" s="924"/>
      <c r="AG86" s="925"/>
    </row>
    <row r="87" spans="1:33" s="1652" customFormat="1" ht="15" hidden="1" x14ac:dyDescent="0.25">
      <c r="A87" s="922"/>
      <c r="B87" s="923"/>
      <c r="C87" s="1254"/>
      <c r="D87" s="927"/>
      <c r="E87" s="924"/>
      <c r="F87" s="925"/>
      <c r="G87" s="1654"/>
      <c r="I87" s="648"/>
      <c r="W87" s="927"/>
      <c r="X87" s="924"/>
      <c r="Y87" s="925"/>
      <c r="AA87" s="927"/>
      <c r="AB87" s="924"/>
      <c r="AC87" s="925"/>
      <c r="AE87" s="927"/>
      <c r="AF87" s="924"/>
      <c r="AG87" s="925"/>
    </row>
    <row r="88" spans="1:33" s="1652" customFormat="1" ht="15" hidden="1" x14ac:dyDescent="0.25">
      <c r="A88" s="922"/>
      <c r="B88" s="923"/>
      <c r="C88" s="1254"/>
      <c r="D88" s="927"/>
      <c r="E88" s="924"/>
      <c r="F88" s="925"/>
      <c r="G88" s="1654"/>
      <c r="I88" s="648"/>
      <c r="W88" s="927"/>
      <c r="X88" s="924"/>
      <c r="Y88" s="925"/>
      <c r="AA88" s="927"/>
      <c r="AB88" s="924"/>
      <c r="AC88" s="925"/>
      <c r="AE88" s="927"/>
      <c r="AF88" s="924"/>
      <c r="AG88" s="925"/>
    </row>
    <row r="89" spans="1:33" ht="15" x14ac:dyDescent="0.25">
      <c r="A89" s="922">
        <v>20</v>
      </c>
      <c r="B89" s="923" t="s">
        <v>606</v>
      </c>
      <c r="C89" s="1254">
        <f>MROUND('F Y U 2024 Presupuesto'!C56,1000)</f>
        <v>10000000</v>
      </c>
      <c r="D89" s="924"/>
      <c r="E89" s="924"/>
      <c r="F89" s="924">
        <f>+C89</f>
        <v>10000000</v>
      </c>
      <c r="V89" s="42">
        <f t="shared" si="19"/>
        <v>10500000</v>
      </c>
      <c r="W89" s="924"/>
      <c r="X89" s="924"/>
      <c r="Y89" s="924">
        <f>+V89</f>
        <v>10500000</v>
      </c>
      <c r="Z89" s="42">
        <f t="shared" si="20"/>
        <v>11025000</v>
      </c>
      <c r="AA89" s="924"/>
      <c r="AB89" s="924"/>
      <c r="AC89" s="924">
        <f>+Z89</f>
        <v>11025000</v>
      </c>
      <c r="AD89" s="42">
        <f t="shared" si="21"/>
        <v>11576250</v>
      </c>
      <c r="AE89" s="924"/>
      <c r="AF89" s="924"/>
      <c r="AG89" s="924">
        <f>+AD89</f>
        <v>11576250</v>
      </c>
    </row>
    <row r="90" spans="1:33" ht="15" x14ac:dyDescent="0.25">
      <c r="A90" s="922">
        <v>20</v>
      </c>
      <c r="B90" s="923" t="s">
        <v>1804</v>
      </c>
      <c r="C90" s="1254">
        <f>MROUND('F Y U 2024 Presupuesto'!C57,1000)</f>
        <v>300000000</v>
      </c>
      <c r="D90" s="924"/>
      <c r="E90" s="924"/>
      <c r="F90" s="1527">
        <f>+C90</f>
        <v>300000000</v>
      </c>
      <c r="V90" s="42">
        <f>+C90*1.02</f>
        <v>306000000</v>
      </c>
      <c r="W90" s="924"/>
      <c r="X90" s="924"/>
      <c r="Y90" s="1527">
        <f>+V90</f>
        <v>306000000</v>
      </c>
      <c r="Z90" s="42">
        <f t="shared" si="20"/>
        <v>321300000</v>
      </c>
      <c r="AA90" s="924"/>
      <c r="AB90" s="924"/>
      <c r="AC90" s="1527">
        <f>+Z90</f>
        <v>321300000</v>
      </c>
      <c r="AD90" s="42">
        <f t="shared" si="21"/>
        <v>337365000</v>
      </c>
      <c r="AE90" s="924"/>
      <c r="AF90" s="924"/>
      <c r="AG90" s="1527">
        <f>+AD90</f>
        <v>337365000</v>
      </c>
    </row>
    <row r="91" spans="1:33" ht="15" x14ac:dyDescent="0.25">
      <c r="A91" s="922">
        <v>4</v>
      </c>
      <c r="B91" s="923" t="s">
        <v>1805</v>
      </c>
      <c r="C91" s="1254">
        <f>MROUND('F Y U 2024 Presupuesto'!C58,1000)</f>
        <v>20000000</v>
      </c>
      <c r="D91" s="924">
        <f>+C91</f>
        <v>20000000</v>
      </c>
      <c r="E91" s="924"/>
      <c r="F91" s="924"/>
      <c r="V91" s="42">
        <f t="shared" ref="V91:V102" si="23">+C91*1.02</f>
        <v>20400000</v>
      </c>
      <c r="W91" s="924">
        <f>+V91</f>
        <v>20400000</v>
      </c>
      <c r="X91" s="924"/>
      <c r="Y91" s="924"/>
      <c r="Z91" s="42">
        <f t="shared" si="20"/>
        <v>21420000</v>
      </c>
      <c r="AA91" s="924">
        <f>+Z91</f>
        <v>21420000</v>
      </c>
      <c r="AB91" s="924"/>
      <c r="AC91" s="924"/>
      <c r="AD91" s="42">
        <f t="shared" si="21"/>
        <v>22491000</v>
      </c>
      <c r="AE91" s="924">
        <f>+AD91</f>
        <v>22491000</v>
      </c>
      <c r="AF91" s="924"/>
      <c r="AG91" s="924"/>
    </row>
    <row r="92" spans="1:33" ht="15" x14ac:dyDescent="0.25">
      <c r="A92" s="922">
        <v>176</v>
      </c>
      <c r="B92" s="923" t="s">
        <v>1806</v>
      </c>
      <c r="C92" s="1254">
        <f>MROUND('F Y U 2024 Presupuesto'!C59,1000)</f>
        <v>5000000</v>
      </c>
      <c r="D92" s="924"/>
      <c r="E92" s="924">
        <f>+C92</f>
        <v>5000000</v>
      </c>
      <c r="F92" s="924"/>
      <c r="V92" s="42">
        <f t="shared" si="23"/>
        <v>5100000</v>
      </c>
      <c r="W92" s="924"/>
      <c r="X92" s="924">
        <f>+V92</f>
        <v>5100000</v>
      </c>
      <c r="Y92" s="924"/>
      <c r="Z92" s="42">
        <f t="shared" si="20"/>
        <v>5355000</v>
      </c>
      <c r="AA92" s="924"/>
      <c r="AB92" s="924">
        <f>+Z92</f>
        <v>5355000</v>
      </c>
      <c r="AC92" s="924"/>
      <c r="AD92" s="42">
        <f t="shared" si="21"/>
        <v>5622750</v>
      </c>
      <c r="AE92" s="924"/>
      <c r="AF92" s="924">
        <f>+AD92</f>
        <v>5622750</v>
      </c>
      <c r="AG92" s="924"/>
    </row>
    <row r="93" spans="1:33" ht="15" x14ac:dyDescent="0.25">
      <c r="A93" s="922">
        <v>5</v>
      </c>
      <c r="B93" s="923" t="s">
        <v>1807</v>
      </c>
      <c r="C93" s="1254">
        <f>MROUND('F Y U 2024 Presupuesto'!C60,1000)</f>
        <v>2000000</v>
      </c>
      <c r="D93" s="924"/>
      <c r="E93" s="924">
        <f>+C93</f>
        <v>2000000</v>
      </c>
      <c r="F93" s="924"/>
      <c r="V93" s="42">
        <f t="shared" si="23"/>
        <v>2040000</v>
      </c>
      <c r="W93" s="924"/>
      <c r="X93" s="924">
        <f>+V93</f>
        <v>2040000</v>
      </c>
      <c r="Y93" s="924"/>
      <c r="Z93" s="42">
        <f t="shared" si="20"/>
        <v>2142000</v>
      </c>
      <c r="AA93" s="924"/>
      <c r="AB93" s="924">
        <f>+Z93</f>
        <v>2142000</v>
      </c>
      <c r="AC93" s="924"/>
      <c r="AD93" s="42">
        <f t="shared" si="21"/>
        <v>2249100</v>
      </c>
      <c r="AE93" s="924"/>
      <c r="AF93" s="924">
        <f>+AD93</f>
        <v>2249100</v>
      </c>
      <c r="AG93" s="924"/>
    </row>
    <row r="94" spans="1:33" ht="15" x14ac:dyDescent="0.25">
      <c r="A94" s="922">
        <v>33</v>
      </c>
      <c r="B94" s="923" t="s">
        <v>1808</v>
      </c>
      <c r="C94" s="1254">
        <f>MROUND('F Y U 2024 Presupuesto'!C61,1000)</f>
        <v>1000000</v>
      </c>
      <c r="D94" s="924">
        <f>+C94</f>
        <v>1000000</v>
      </c>
      <c r="E94" s="924"/>
      <c r="F94" s="924"/>
      <c r="V94" s="42">
        <f t="shared" si="23"/>
        <v>1020000</v>
      </c>
      <c r="W94" s="924">
        <f>+V94</f>
        <v>1020000</v>
      </c>
      <c r="X94" s="924"/>
      <c r="Y94" s="924"/>
      <c r="Z94" s="42">
        <f t="shared" si="20"/>
        <v>1071000</v>
      </c>
      <c r="AA94" s="924">
        <f>+Z94</f>
        <v>1071000</v>
      </c>
      <c r="AB94" s="924"/>
      <c r="AC94" s="924"/>
      <c r="AD94" s="42">
        <f t="shared" si="21"/>
        <v>1124550</v>
      </c>
      <c r="AE94" s="924">
        <f>+AD94</f>
        <v>1124550</v>
      </c>
      <c r="AF94" s="924"/>
      <c r="AG94" s="924"/>
    </row>
    <row r="95" spans="1:33" ht="15" x14ac:dyDescent="0.25">
      <c r="A95" s="922">
        <v>34</v>
      </c>
      <c r="B95" s="923" t="s">
        <v>1809</v>
      </c>
      <c r="C95" s="1254">
        <f>MROUND('F Y U 2024 Presupuesto'!C62,1000)</f>
        <v>1000000</v>
      </c>
      <c r="D95" s="924">
        <f>+C95</f>
        <v>1000000</v>
      </c>
      <c r="E95" s="924"/>
      <c r="F95" s="924"/>
      <c r="V95" s="42">
        <f t="shared" si="23"/>
        <v>1020000</v>
      </c>
      <c r="W95" s="924">
        <f>+V95</f>
        <v>1020000</v>
      </c>
      <c r="X95" s="924"/>
      <c r="Y95" s="924"/>
      <c r="Z95" s="42">
        <f t="shared" si="20"/>
        <v>1071000</v>
      </c>
      <c r="AA95" s="924">
        <f>+Z95</f>
        <v>1071000</v>
      </c>
      <c r="AB95" s="924"/>
      <c r="AC95" s="924"/>
      <c r="AD95" s="42">
        <f t="shared" si="21"/>
        <v>1124550</v>
      </c>
      <c r="AE95" s="924">
        <f>+AD95</f>
        <v>1124550</v>
      </c>
      <c r="AF95" s="924"/>
      <c r="AG95" s="924"/>
    </row>
    <row r="96" spans="1:33" ht="15" x14ac:dyDescent="0.25">
      <c r="A96" s="922">
        <v>39</v>
      </c>
      <c r="B96" s="923" t="s">
        <v>1810</v>
      </c>
      <c r="C96" s="1254">
        <f>MROUND('F Y U 2024 Presupuesto'!C63,1000)</f>
        <v>5000000</v>
      </c>
      <c r="D96" s="924">
        <f>+C96</f>
        <v>5000000</v>
      </c>
      <c r="E96" s="924"/>
      <c r="F96" s="924"/>
      <c r="V96" s="42">
        <f t="shared" si="23"/>
        <v>5100000</v>
      </c>
      <c r="W96" s="924">
        <f>+V96</f>
        <v>5100000</v>
      </c>
      <c r="X96" s="924"/>
      <c r="Y96" s="924"/>
      <c r="Z96" s="42">
        <f t="shared" si="20"/>
        <v>5355000</v>
      </c>
      <c r="AA96" s="924">
        <f>+Z96</f>
        <v>5355000</v>
      </c>
      <c r="AB96" s="924"/>
      <c r="AC96" s="924"/>
      <c r="AD96" s="42">
        <f t="shared" si="21"/>
        <v>5622750</v>
      </c>
      <c r="AE96" s="924">
        <f>+AD96</f>
        <v>5622750</v>
      </c>
      <c r="AF96" s="924"/>
      <c r="AG96" s="924"/>
    </row>
    <row r="97" spans="1:33" ht="15" x14ac:dyDescent="0.25">
      <c r="A97" s="922">
        <v>41</v>
      </c>
      <c r="B97" s="923" t="s">
        <v>1811</v>
      </c>
      <c r="C97" s="1254">
        <f>MROUND('F Y U 2024 Presupuesto'!C64,1000)</f>
        <v>1000000</v>
      </c>
      <c r="D97" s="924">
        <f>+C97</f>
        <v>1000000</v>
      </c>
      <c r="E97" s="924"/>
      <c r="F97" s="924"/>
      <c r="V97" s="42">
        <f t="shared" si="23"/>
        <v>1020000</v>
      </c>
      <c r="W97" s="924">
        <f>+V97</f>
        <v>1020000</v>
      </c>
      <c r="X97" s="924"/>
      <c r="Y97" s="924"/>
      <c r="Z97" s="42">
        <f t="shared" si="20"/>
        <v>1071000</v>
      </c>
      <c r="AA97" s="924">
        <f>+Z97</f>
        <v>1071000</v>
      </c>
      <c r="AB97" s="924"/>
      <c r="AC97" s="924"/>
      <c r="AD97" s="42">
        <f t="shared" si="21"/>
        <v>1124550</v>
      </c>
      <c r="AE97" s="924">
        <f>+AD97</f>
        <v>1124550</v>
      </c>
      <c r="AF97" s="924"/>
      <c r="AG97" s="924"/>
    </row>
    <row r="98" spans="1:33" ht="15" x14ac:dyDescent="0.25">
      <c r="A98" s="922">
        <v>6</v>
      </c>
      <c r="B98" s="923" t="s">
        <v>1812</v>
      </c>
      <c r="C98" s="1254">
        <f>MROUND('F Y U 2024 Presupuesto'!C65,1000)</f>
        <v>20000000</v>
      </c>
      <c r="D98" s="924">
        <f>+C98</f>
        <v>20000000</v>
      </c>
      <c r="E98" s="924"/>
      <c r="F98" s="924"/>
      <c r="V98" s="42">
        <f t="shared" si="23"/>
        <v>20400000</v>
      </c>
      <c r="W98" s="924">
        <f>+V98</f>
        <v>20400000</v>
      </c>
      <c r="X98" s="924"/>
      <c r="Y98" s="924"/>
      <c r="Z98" s="42">
        <f t="shared" si="20"/>
        <v>21420000</v>
      </c>
      <c r="AA98" s="924">
        <f>+Z98</f>
        <v>21420000</v>
      </c>
      <c r="AB98" s="924"/>
      <c r="AC98" s="924"/>
      <c r="AD98" s="42">
        <f t="shared" si="21"/>
        <v>22491000</v>
      </c>
      <c r="AE98" s="924">
        <f>+AD98</f>
        <v>22491000</v>
      </c>
      <c r="AF98" s="924"/>
      <c r="AG98" s="924"/>
    </row>
    <row r="99" spans="1:33" ht="15" x14ac:dyDescent="0.25">
      <c r="A99" s="922">
        <v>178</v>
      </c>
      <c r="B99" s="923" t="s">
        <v>1813</v>
      </c>
      <c r="C99" s="1254">
        <f>MROUND('F Y U 2024 Presupuesto'!C66,1000)</f>
        <v>5000000</v>
      </c>
      <c r="D99" s="924"/>
      <c r="E99" s="924">
        <f>+C99</f>
        <v>5000000</v>
      </c>
      <c r="F99" s="924"/>
      <c r="V99" s="42">
        <f t="shared" si="23"/>
        <v>5100000</v>
      </c>
      <c r="W99" s="924"/>
      <c r="X99" s="924">
        <f>+V99</f>
        <v>5100000</v>
      </c>
      <c r="Y99" s="924"/>
      <c r="Z99" s="42">
        <f t="shared" si="20"/>
        <v>5355000</v>
      </c>
      <c r="AA99" s="924"/>
      <c r="AB99" s="924">
        <f>+Z99</f>
        <v>5355000</v>
      </c>
      <c r="AC99" s="924"/>
      <c r="AD99" s="42">
        <f t="shared" si="21"/>
        <v>5622750</v>
      </c>
      <c r="AE99" s="924"/>
      <c r="AF99" s="924">
        <f>+AD99</f>
        <v>5622750</v>
      </c>
      <c r="AG99" s="924"/>
    </row>
    <row r="100" spans="1:33" ht="15" x14ac:dyDescent="0.25">
      <c r="A100" s="922">
        <v>42</v>
      </c>
      <c r="B100" s="923" t="s">
        <v>1814</v>
      </c>
      <c r="C100" s="1254">
        <f>MROUND('F Y U 2024 Presupuesto'!C67,1000)</f>
        <v>30000000</v>
      </c>
      <c r="D100" s="924">
        <f>+C100</f>
        <v>30000000</v>
      </c>
      <c r="E100" s="924"/>
      <c r="F100" s="924"/>
      <c r="V100" s="42">
        <f t="shared" si="23"/>
        <v>30600000</v>
      </c>
      <c r="W100" s="924">
        <f>+V100</f>
        <v>30600000</v>
      </c>
      <c r="X100" s="924"/>
      <c r="Y100" s="924"/>
      <c r="Z100" s="42">
        <f t="shared" si="20"/>
        <v>32130000</v>
      </c>
      <c r="AA100" s="924">
        <f>+Z100</f>
        <v>32130000</v>
      </c>
      <c r="AB100" s="924"/>
      <c r="AC100" s="924"/>
      <c r="AD100" s="42">
        <f t="shared" si="21"/>
        <v>33736500</v>
      </c>
      <c r="AE100" s="924">
        <f>+AD100</f>
        <v>33736500</v>
      </c>
      <c r="AF100" s="924"/>
      <c r="AG100" s="924"/>
    </row>
    <row r="101" spans="1:33" ht="15" x14ac:dyDescent="0.25">
      <c r="A101" s="922">
        <v>27</v>
      </c>
      <c r="B101" s="923" t="s">
        <v>1815</v>
      </c>
      <c r="C101" s="1254">
        <f>MROUND('F Y U 2024 Presupuesto'!C68,1000)</f>
        <v>7000000</v>
      </c>
      <c r="D101" s="924">
        <f>+C101</f>
        <v>7000000</v>
      </c>
      <c r="E101" s="924"/>
      <c r="F101" s="924"/>
      <c r="V101" s="42">
        <f t="shared" si="23"/>
        <v>7140000</v>
      </c>
      <c r="W101" s="924">
        <f>+V101</f>
        <v>7140000</v>
      </c>
      <c r="X101" s="924"/>
      <c r="Y101" s="924"/>
      <c r="Z101" s="42">
        <f t="shared" si="20"/>
        <v>7497000</v>
      </c>
      <c r="AA101" s="924">
        <f>+Z101</f>
        <v>7497000</v>
      </c>
      <c r="AB101" s="924"/>
      <c r="AC101" s="924"/>
      <c r="AD101" s="42">
        <f t="shared" si="21"/>
        <v>7871850</v>
      </c>
      <c r="AE101" s="924">
        <f>+AD101</f>
        <v>7871850</v>
      </c>
      <c r="AF101" s="924"/>
      <c r="AG101" s="924"/>
    </row>
    <row r="102" spans="1:33" ht="15" x14ac:dyDescent="0.25">
      <c r="A102" s="922">
        <v>136</v>
      </c>
      <c r="B102" s="923" t="s">
        <v>1816</v>
      </c>
      <c r="C102" s="1254">
        <f>MROUND('F Y U 2024 Presupuesto'!C69,1000)</f>
        <v>10000000</v>
      </c>
      <c r="D102" s="924"/>
      <c r="E102" s="924">
        <f>+C102</f>
        <v>10000000</v>
      </c>
      <c r="F102" s="924"/>
      <c r="V102" s="42">
        <f t="shared" si="23"/>
        <v>10200000</v>
      </c>
      <c r="W102" s="924"/>
      <c r="X102" s="924">
        <f>+V102</f>
        <v>10200000</v>
      </c>
      <c r="Y102" s="924"/>
      <c r="Z102" s="42">
        <f t="shared" si="20"/>
        <v>10710000</v>
      </c>
      <c r="AA102" s="924"/>
      <c r="AB102" s="924">
        <f>+Z102</f>
        <v>10710000</v>
      </c>
      <c r="AC102" s="924"/>
      <c r="AD102" s="42">
        <f t="shared" si="21"/>
        <v>11245500</v>
      </c>
      <c r="AE102" s="924"/>
      <c r="AF102" s="924">
        <f>+AD102</f>
        <v>11245500</v>
      </c>
      <c r="AG102" s="924"/>
    </row>
    <row r="103" spans="1:33" ht="15" x14ac:dyDescent="0.25">
      <c r="A103" s="922">
        <v>157</v>
      </c>
      <c r="B103" s="923" t="s">
        <v>4444</v>
      </c>
      <c r="C103" s="1254"/>
      <c r="D103" s="924"/>
      <c r="E103" s="924"/>
      <c r="F103" s="924"/>
      <c r="V103" s="42">
        <v>15000000000</v>
      </c>
      <c r="W103" s="924">
        <f>+V103</f>
        <v>15000000000</v>
      </c>
      <c r="X103" s="924"/>
      <c r="Y103" s="924"/>
      <c r="Z103" s="42">
        <v>30000000000</v>
      </c>
      <c r="AA103" s="924">
        <f>+Z103</f>
        <v>30000000000</v>
      </c>
      <c r="AB103" s="924"/>
      <c r="AC103" s="924"/>
      <c r="AD103" s="42">
        <f>+V103</f>
        <v>15000000000</v>
      </c>
      <c r="AE103" s="42">
        <f>+W103</f>
        <v>15000000000</v>
      </c>
      <c r="AF103" s="924"/>
      <c r="AG103" s="924"/>
    </row>
    <row r="104" spans="1:33" ht="15" x14ac:dyDescent="0.25">
      <c r="A104" s="922">
        <v>20</v>
      </c>
      <c r="B104" s="923" t="s">
        <v>1184</v>
      </c>
      <c r="C104" s="1254">
        <f>MROUND('F Y U 2024 Presupuesto'!C70,1000)</f>
        <v>200000000</v>
      </c>
      <c r="D104" s="924"/>
      <c r="E104" s="924"/>
      <c r="F104" s="1527">
        <f>+C104</f>
        <v>200000000</v>
      </c>
      <c r="V104" s="42">
        <f>+C104*1.05</f>
        <v>210000000</v>
      </c>
      <c r="W104" s="924"/>
      <c r="X104" s="924"/>
      <c r="Y104" s="1527">
        <f>+V104</f>
        <v>210000000</v>
      </c>
      <c r="Z104" s="42">
        <f t="shared" si="20"/>
        <v>220500000</v>
      </c>
      <c r="AA104" s="924"/>
      <c r="AB104" s="924"/>
      <c r="AC104" s="1527">
        <f>+Z104</f>
        <v>220500000</v>
      </c>
      <c r="AD104" s="42">
        <f t="shared" si="21"/>
        <v>231525000</v>
      </c>
      <c r="AE104" s="924"/>
      <c r="AF104" s="924"/>
      <c r="AG104" s="1527">
        <f>+AD104</f>
        <v>231525000</v>
      </c>
    </row>
    <row r="105" spans="1:33" ht="21" customHeight="1" x14ac:dyDescent="0.25">
      <c r="A105" s="1667" t="s">
        <v>1817</v>
      </c>
      <c r="B105" s="1668"/>
      <c r="C105" s="1009">
        <f>SUM(C55:C104)</f>
        <v>36808480109.829994</v>
      </c>
      <c r="D105" s="1155">
        <f>SUM(D55:D104)</f>
        <v>27076480109.829994</v>
      </c>
      <c r="E105" s="1155">
        <f>SUM(E55:E104)</f>
        <v>9222000000</v>
      </c>
      <c r="F105" s="1155">
        <f>SUM(F55:F104)</f>
        <v>510000000</v>
      </c>
      <c r="V105" s="1009">
        <f t="shared" ref="V105:AG105" si="24">SUM(V55:V104)</f>
        <v>25295640000</v>
      </c>
      <c r="W105" s="1155">
        <f t="shared" si="24"/>
        <v>15086700000</v>
      </c>
      <c r="X105" s="1155">
        <f t="shared" si="24"/>
        <v>9682440000</v>
      </c>
      <c r="Y105" s="1155">
        <f t="shared" si="24"/>
        <v>526500000</v>
      </c>
      <c r="Z105" s="1009">
        <f t="shared" si="24"/>
        <v>40810422000</v>
      </c>
      <c r="AA105" s="1155">
        <f t="shared" si="24"/>
        <v>30091035000</v>
      </c>
      <c r="AB105" s="1155">
        <f t="shared" si="24"/>
        <v>10166562000</v>
      </c>
      <c r="AC105" s="1155">
        <f t="shared" si="24"/>
        <v>552825000</v>
      </c>
      <c r="AD105" s="1009">
        <f t="shared" si="24"/>
        <v>26350943100</v>
      </c>
      <c r="AE105" s="1155">
        <f t="shared" si="24"/>
        <v>15095586750</v>
      </c>
      <c r="AF105" s="1155">
        <f t="shared" si="24"/>
        <v>10674890100</v>
      </c>
      <c r="AG105" s="1155">
        <f t="shared" si="24"/>
        <v>580466250</v>
      </c>
    </row>
    <row r="106" spans="1:33" x14ac:dyDescent="0.25">
      <c r="B106" s="382"/>
      <c r="C106" s="915"/>
      <c r="D106" s="1156"/>
      <c r="E106" s="1156"/>
      <c r="F106" s="1156"/>
    </row>
    <row r="107" spans="1:33" s="54" customFormat="1" x14ac:dyDescent="0.25">
      <c r="A107" s="42"/>
      <c r="B107" s="1674" t="s">
        <v>953</v>
      </c>
      <c r="C107" s="1674"/>
      <c r="G107" s="1518"/>
      <c r="I107" s="919"/>
      <c r="V107" s="42"/>
      <c r="W107" s="42"/>
      <c r="X107" s="42"/>
      <c r="Y107" s="42"/>
      <c r="Z107" s="42"/>
      <c r="AA107" s="42"/>
      <c r="AB107" s="42"/>
      <c r="AC107" s="42"/>
      <c r="AD107" s="42"/>
    </row>
    <row r="108" spans="1:33" s="54" customFormat="1" ht="6.75" customHeight="1" x14ac:dyDescent="0.25">
      <c r="A108" s="42"/>
      <c r="B108" s="42"/>
      <c r="C108" s="42"/>
      <c r="D108" s="42"/>
      <c r="G108" s="1518"/>
      <c r="I108" s="919"/>
      <c r="V108" s="42"/>
      <c r="W108" s="42"/>
      <c r="X108" s="42"/>
      <c r="Y108" s="42"/>
      <c r="Z108" s="42"/>
      <c r="AA108" s="42"/>
      <c r="AB108" s="42"/>
      <c r="AC108" s="42"/>
      <c r="AD108" s="42"/>
    </row>
    <row r="109" spans="1:33" ht="28.5" customHeight="1" x14ac:dyDescent="0.25">
      <c r="B109" s="1675" t="s">
        <v>1100</v>
      </c>
      <c r="C109" s="1676"/>
      <c r="D109" s="1156"/>
      <c r="E109" s="1156"/>
      <c r="F109" s="1156"/>
    </row>
    <row r="110" spans="1:33" ht="15" x14ac:dyDescent="0.25">
      <c r="A110" s="922">
        <v>25</v>
      </c>
      <c r="B110" s="923" t="s">
        <v>1101</v>
      </c>
      <c r="C110" s="1254">
        <f>MROUND('F Y U 2024 Presupuesto'!C76,1000)</f>
        <v>173431997000</v>
      </c>
      <c r="D110" s="924">
        <f t="shared" ref="D110:D117" si="25">+C110</f>
        <v>173431997000</v>
      </c>
      <c r="E110" s="924"/>
      <c r="F110" s="924"/>
      <c r="V110" s="42">
        <f>+C110*1.056</f>
        <v>183144188832</v>
      </c>
      <c r="W110" s="924">
        <f t="shared" ref="W110:W117" si="26">+V110</f>
        <v>183144188832</v>
      </c>
      <c r="X110" s="924"/>
      <c r="Y110" s="924"/>
      <c r="Z110" s="42">
        <f t="shared" ref="Z110:Z116" si="27">+V110*1.05</f>
        <v>192301398273.60001</v>
      </c>
      <c r="AA110" s="924">
        <f t="shared" ref="AA110:AA117" si="28">+Z110</f>
        <v>192301398273.60001</v>
      </c>
      <c r="AB110" s="924"/>
      <c r="AC110" s="924"/>
      <c r="AD110" s="42">
        <f t="shared" ref="AD110:AD116" si="29">+Z110*1.05</f>
        <v>201916468187.28003</v>
      </c>
      <c r="AE110" s="924">
        <f t="shared" ref="AE110:AE117" si="30">+AD110</f>
        <v>201916468187.28003</v>
      </c>
    </row>
    <row r="111" spans="1:33" s="54" customFormat="1" ht="25.5" x14ac:dyDescent="0.25">
      <c r="A111" s="922">
        <v>26</v>
      </c>
      <c r="B111" s="923" t="s">
        <v>1102</v>
      </c>
      <c r="C111" s="1254">
        <f>MROUND('F Y U 2024 Presupuesto'!C77,1000)</f>
        <v>33454400000</v>
      </c>
      <c r="D111" s="924">
        <f t="shared" si="25"/>
        <v>33454400000</v>
      </c>
      <c r="E111" s="924"/>
      <c r="F111" s="924"/>
      <c r="G111" s="1518"/>
      <c r="I111" s="919"/>
      <c r="V111" s="42">
        <f t="shared" ref="V111:V114" si="31">+C111*1.056</f>
        <v>35327846400</v>
      </c>
      <c r="W111" s="924">
        <f t="shared" si="26"/>
        <v>35327846400</v>
      </c>
      <c r="X111" s="924"/>
      <c r="Y111" s="924"/>
      <c r="Z111" s="42">
        <f t="shared" si="27"/>
        <v>37094238720</v>
      </c>
      <c r="AA111" s="924">
        <f t="shared" si="28"/>
        <v>37094238720</v>
      </c>
      <c r="AB111" s="924"/>
      <c r="AC111" s="924"/>
      <c r="AD111" s="42">
        <f t="shared" si="29"/>
        <v>38948950656</v>
      </c>
      <c r="AE111" s="924">
        <f t="shared" si="30"/>
        <v>38948950656</v>
      </c>
    </row>
    <row r="112" spans="1:33" ht="15" x14ac:dyDescent="0.25">
      <c r="A112" s="922">
        <v>25</v>
      </c>
      <c r="B112" s="923" t="s">
        <v>1105</v>
      </c>
      <c r="C112" s="1254">
        <f>MROUND('F Y U 2024 Presupuesto'!C78,1000)</f>
        <v>684320000</v>
      </c>
      <c r="D112" s="924">
        <f t="shared" si="25"/>
        <v>684320000</v>
      </c>
      <c r="E112" s="924"/>
      <c r="F112" s="924"/>
      <c r="V112" s="42">
        <f t="shared" si="31"/>
        <v>722641920</v>
      </c>
      <c r="W112" s="924">
        <f t="shared" si="26"/>
        <v>722641920</v>
      </c>
      <c r="X112" s="924"/>
      <c r="Y112" s="924"/>
      <c r="Z112" s="42">
        <f t="shared" si="27"/>
        <v>758774016</v>
      </c>
      <c r="AA112" s="924">
        <f t="shared" si="28"/>
        <v>758774016</v>
      </c>
      <c r="AB112" s="924"/>
      <c r="AC112" s="924"/>
      <c r="AD112" s="42">
        <f t="shared" si="29"/>
        <v>796712716.80000007</v>
      </c>
      <c r="AE112" s="924">
        <f t="shared" si="30"/>
        <v>796712716.80000007</v>
      </c>
    </row>
    <row r="113" spans="1:31" ht="15" x14ac:dyDescent="0.25">
      <c r="A113" s="922">
        <v>25</v>
      </c>
      <c r="B113" s="923" t="s">
        <v>1106</v>
      </c>
      <c r="C113" s="1254">
        <f>MROUND('F Y U 2024 Presupuesto'!C79,1000)</f>
        <v>1559043000</v>
      </c>
      <c r="D113" s="924">
        <f t="shared" si="25"/>
        <v>1559043000</v>
      </c>
      <c r="E113" s="924"/>
      <c r="F113" s="924"/>
      <c r="V113" s="42">
        <f t="shared" si="31"/>
        <v>1646349408</v>
      </c>
      <c r="W113" s="924">
        <f t="shared" si="26"/>
        <v>1646349408</v>
      </c>
      <c r="X113" s="924"/>
      <c r="Y113" s="924"/>
      <c r="Z113" s="42">
        <f t="shared" si="27"/>
        <v>1728666878.4000001</v>
      </c>
      <c r="AA113" s="924">
        <f t="shared" si="28"/>
        <v>1728666878.4000001</v>
      </c>
      <c r="AB113" s="924"/>
      <c r="AC113" s="924"/>
      <c r="AD113" s="42">
        <f t="shared" si="29"/>
        <v>1815100222.3200002</v>
      </c>
      <c r="AE113" s="924">
        <f t="shared" si="30"/>
        <v>1815100222.3200002</v>
      </c>
    </row>
    <row r="114" spans="1:31" ht="15" x14ac:dyDescent="0.25">
      <c r="A114" s="922">
        <v>81</v>
      </c>
      <c r="B114" s="923" t="s">
        <v>1107</v>
      </c>
      <c r="C114" s="1254">
        <f>MROUND('F Y U 2024 Presupuesto'!C80,1000)</f>
        <v>9901551000</v>
      </c>
      <c r="D114" s="924">
        <f t="shared" si="25"/>
        <v>9901551000</v>
      </c>
      <c r="E114" s="924"/>
      <c r="F114" s="924"/>
      <c r="V114" s="42">
        <f t="shared" si="31"/>
        <v>10456037856</v>
      </c>
      <c r="W114" s="924">
        <f t="shared" si="26"/>
        <v>10456037856</v>
      </c>
      <c r="X114" s="924"/>
      <c r="Y114" s="924"/>
      <c r="Z114" s="42">
        <f t="shared" si="27"/>
        <v>10978839748.800001</v>
      </c>
      <c r="AA114" s="924">
        <f t="shared" si="28"/>
        <v>10978839748.800001</v>
      </c>
      <c r="AB114" s="924"/>
      <c r="AC114" s="924"/>
      <c r="AD114" s="42">
        <f t="shared" si="29"/>
        <v>11527781736.240002</v>
      </c>
      <c r="AE114" s="924">
        <f t="shared" si="30"/>
        <v>11527781736.240002</v>
      </c>
    </row>
    <row r="115" spans="1:31" s="54" customFormat="1" ht="15" x14ac:dyDescent="0.25">
      <c r="A115" s="922">
        <v>21</v>
      </c>
      <c r="B115" s="923" t="s">
        <v>1113</v>
      </c>
      <c r="C115" s="1254">
        <f>MROUND('F Y U 2024 Presupuesto'!C81,1000)</f>
        <v>248000000</v>
      </c>
      <c r="D115" s="924">
        <f t="shared" si="25"/>
        <v>248000000</v>
      </c>
      <c r="E115" s="924"/>
      <c r="F115" s="924"/>
      <c r="G115" s="1518"/>
      <c r="I115" s="919"/>
      <c r="M115" s="53">
        <v>4000000</v>
      </c>
      <c r="V115" s="42">
        <f>+C115*1.02</f>
        <v>252960000</v>
      </c>
      <c r="W115" s="924">
        <f t="shared" si="26"/>
        <v>252960000</v>
      </c>
      <c r="X115" s="924"/>
      <c r="Y115" s="924"/>
      <c r="Z115" s="42">
        <f t="shared" si="27"/>
        <v>265608000</v>
      </c>
      <c r="AA115" s="924">
        <f t="shared" si="28"/>
        <v>265608000</v>
      </c>
      <c r="AB115" s="924"/>
      <c r="AC115" s="924"/>
      <c r="AD115" s="42">
        <f t="shared" si="29"/>
        <v>278888400</v>
      </c>
      <c r="AE115" s="924">
        <f t="shared" si="30"/>
        <v>278888400</v>
      </c>
    </row>
    <row r="116" spans="1:31" s="54" customFormat="1" ht="15" x14ac:dyDescent="0.25">
      <c r="A116" s="922">
        <v>81</v>
      </c>
      <c r="B116" s="923" t="s">
        <v>1818</v>
      </c>
      <c r="C116" s="1254">
        <f>MROUND('F Y U 2024 Presupuesto'!C82,1000)</f>
        <v>10000000</v>
      </c>
      <c r="D116" s="924">
        <f t="shared" si="25"/>
        <v>10000000</v>
      </c>
      <c r="E116" s="924"/>
      <c r="F116" s="924"/>
      <c r="G116" s="1518"/>
      <c r="I116" s="919"/>
      <c r="M116" s="53">
        <v>8226708</v>
      </c>
      <c r="V116" s="42">
        <f>+C116*1.02</f>
        <v>10200000</v>
      </c>
      <c r="W116" s="924">
        <f t="shared" si="26"/>
        <v>10200000</v>
      </c>
      <c r="X116" s="924"/>
      <c r="Y116" s="924"/>
      <c r="Z116" s="42">
        <f t="shared" si="27"/>
        <v>10710000</v>
      </c>
      <c r="AA116" s="924">
        <f t="shared" si="28"/>
        <v>10710000</v>
      </c>
      <c r="AB116" s="924"/>
      <c r="AC116" s="924"/>
      <c r="AD116" s="42">
        <f t="shared" si="29"/>
        <v>11245500</v>
      </c>
      <c r="AE116" s="924">
        <f t="shared" si="30"/>
        <v>11245500</v>
      </c>
    </row>
    <row r="117" spans="1:31" s="54" customFormat="1" ht="15" x14ac:dyDescent="0.25">
      <c r="A117" s="922">
        <v>9</v>
      </c>
      <c r="B117" s="923" t="s">
        <v>606</v>
      </c>
      <c r="C117" s="1254">
        <v>0</v>
      </c>
      <c r="D117" s="924">
        <f t="shared" si="25"/>
        <v>0</v>
      </c>
      <c r="E117" s="924"/>
      <c r="F117" s="924"/>
      <c r="G117" s="1518"/>
      <c r="I117" s="919"/>
      <c r="M117" s="53">
        <v>93990000</v>
      </c>
      <c r="V117" s="42"/>
      <c r="W117" s="924">
        <f t="shared" si="26"/>
        <v>0</v>
      </c>
      <c r="X117" s="924"/>
      <c r="Y117" s="924"/>
      <c r="Z117" s="42"/>
      <c r="AA117" s="924">
        <f t="shared" si="28"/>
        <v>0</v>
      </c>
      <c r="AB117" s="924"/>
      <c r="AC117" s="924"/>
      <c r="AD117" s="42"/>
      <c r="AE117" s="924">
        <f t="shared" si="30"/>
        <v>0</v>
      </c>
    </row>
    <row r="118" spans="1:31" s="54" customFormat="1" ht="31.5" customHeight="1" x14ac:dyDescent="0.25">
      <c r="A118" s="922"/>
      <c r="B118" s="1157" t="s">
        <v>1819</v>
      </c>
      <c r="C118" s="1009">
        <f>SUM(C110:C117)</f>
        <v>219289311000</v>
      </c>
      <c r="D118" s="924"/>
      <c r="E118" s="924"/>
      <c r="F118" s="924"/>
      <c r="G118" s="1518"/>
      <c r="I118" s="919"/>
      <c r="V118" s="1009">
        <f>SUM(V110:V117)</f>
        <v>231560224416</v>
      </c>
      <c r="W118" s="42"/>
      <c r="X118" s="42"/>
      <c r="Y118" s="42"/>
      <c r="Z118" s="1009">
        <f>SUM(Z110:Z117)</f>
        <v>243138235636.79999</v>
      </c>
      <c r="AA118" s="42"/>
      <c r="AB118" s="42"/>
      <c r="AC118" s="42"/>
      <c r="AD118" s="1009">
        <f>SUM(AD110:AD117)</f>
        <v>255295147418.64001</v>
      </c>
    </row>
    <row r="119" spans="1:31" s="54" customFormat="1" x14ac:dyDescent="0.25">
      <c r="A119" s="922"/>
      <c r="B119" s="924"/>
      <c r="C119" s="924"/>
      <c r="D119" s="924"/>
      <c r="E119" s="924"/>
      <c r="F119" s="924"/>
      <c r="G119" s="1518"/>
      <c r="I119" s="919"/>
      <c r="V119" s="42"/>
      <c r="W119" s="42"/>
      <c r="X119" s="42"/>
      <c r="Y119" s="42"/>
      <c r="Z119" s="42"/>
      <c r="AA119" s="42"/>
      <c r="AB119" s="42"/>
      <c r="AC119" s="42"/>
      <c r="AD119" s="42"/>
    </row>
    <row r="120" spans="1:31" s="54" customFormat="1" ht="25.5" customHeight="1" x14ac:dyDescent="0.25">
      <c r="A120" s="922"/>
      <c r="B120" s="1667" t="s">
        <v>1116</v>
      </c>
      <c r="C120" s="1668"/>
      <c r="D120" s="924"/>
      <c r="E120" s="924"/>
      <c r="F120" s="924"/>
      <c r="G120" s="1518"/>
      <c r="I120" s="919"/>
      <c r="V120" s="42"/>
      <c r="W120" s="42"/>
      <c r="X120" s="42"/>
      <c r="Y120" s="42"/>
      <c r="Z120" s="42"/>
      <c r="AA120" s="42"/>
      <c r="AB120" s="42"/>
      <c r="AC120" s="42"/>
      <c r="AD120" s="42"/>
    </row>
    <row r="121" spans="1:31" s="54" customFormat="1" ht="15" x14ac:dyDescent="0.25">
      <c r="A121" s="922">
        <v>61</v>
      </c>
      <c r="B121" s="923" t="s">
        <v>1119</v>
      </c>
      <c r="C121" s="1254">
        <f>MROUND('F Y U 2024 Presupuesto'!C87,1000)</f>
        <v>5409655000</v>
      </c>
      <c r="D121" s="924">
        <f t="shared" ref="D121:D141" si="32">+C121</f>
        <v>5409655000</v>
      </c>
      <c r="E121" s="924"/>
      <c r="F121" s="924"/>
      <c r="G121" s="1518"/>
      <c r="I121" s="919"/>
      <c r="V121" s="42">
        <f>+C121*1.05</f>
        <v>5680137750</v>
      </c>
      <c r="W121" s="924">
        <f t="shared" ref="W121:W141" si="33">+V121</f>
        <v>5680137750</v>
      </c>
      <c r="X121" s="924"/>
      <c r="Y121" s="924"/>
      <c r="Z121" s="42">
        <f t="shared" ref="Z121:Z141" si="34">+V121*1.05</f>
        <v>5964144637.5</v>
      </c>
      <c r="AA121" s="924">
        <f t="shared" ref="AA121:AA141" si="35">+Z121</f>
        <v>5964144637.5</v>
      </c>
      <c r="AB121" s="42"/>
      <c r="AC121" s="42"/>
      <c r="AD121" s="42">
        <f t="shared" ref="AD121:AD141" si="36">+Z121*1.05</f>
        <v>6262351869.375</v>
      </c>
      <c r="AE121" s="924">
        <f t="shared" ref="AE121:AE141" si="37">+AD121</f>
        <v>6262351869.375</v>
      </c>
    </row>
    <row r="122" spans="1:31" s="54" customFormat="1" ht="15" x14ac:dyDescent="0.25">
      <c r="A122" s="922">
        <v>171</v>
      </c>
      <c r="B122" s="923" t="s">
        <v>1820</v>
      </c>
      <c r="C122" s="1254">
        <f>MROUND('F Y U 2024 Presupuesto'!C88,1000)</f>
        <v>2148092000</v>
      </c>
      <c r="D122" s="924">
        <f t="shared" si="32"/>
        <v>2148092000</v>
      </c>
      <c r="E122" s="924"/>
      <c r="F122" s="924"/>
      <c r="G122" s="1518"/>
      <c r="I122" s="919"/>
      <c r="V122" s="42">
        <f t="shared" ref="V122:V141" si="38">+C122*1.05</f>
        <v>2255496600</v>
      </c>
      <c r="W122" s="924">
        <f t="shared" si="33"/>
        <v>2255496600</v>
      </c>
      <c r="X122" s="924"/>
      <c r="Y122" s="924"/>
      <c r="Z122" s="42">
        <f t="shared" si="34"/>
        <v>2368271430</v>
      </c>
      <c r="AA122" s="924">
        <f t="shared" si="35"/>
        <v>2368271430</v>
      </c>
      <c r="AB122" s="42"/>
      <c r="AC122" s="42"/>
      <c r="AD122" s="42">
        <f t="shared" si="36"/>
        <v>2486685001.5</v>
      </c>
      <c r="AE122" s="924">
        <f t="shared" si="37"/>
        <v>2486685001.5</v>
      </c>
    </row>
    <row r="123" spans="1:31" s="54" customFormat="1" ht="15" x14ac:dyDescent="0.25">
      <c r="A123" s="922">
        <v>61</v>
      </c>
      <c r="B123" s="923" t="str">
        <f>+'[3]Plan Financiero 2021'!A100</f>
        <v>Rendimientos por Operaciones Financieras. (SGP - Salud Pública )</v>
      </c>
      <c r="C123" s="1254">
        <f>MROUND('F Y U 2024 Presupuesto'!C89,1000)</f>
        <v>3000000</v>
      </c>
      <c r="D123" s="924">
        <f t="shared" si="32"/>
        <v>3000000</v>
      </c>
      <c r="E123" s="924"/>
      <c r="F123" s="924"/>
      <c r="G123" s="1518"/>
      <c r="I123" s="919"/>
      <c r="V123" s="42">
        <f t="shared" si="38"/>
        <v>3150000</v>
      </c>
      <c r="W123" s="924">
        <f t="shared" si="33"/>
        <v>3150000</v>
      </c>
      <c r="X123" s="924"/>
      <c r="Y123" s="924"/>
      <c r="Z123" s="42">
        <f t="shared" si="34"/>
        <v>3307500</v>
      </c>
      <c r="AA123" s="924">
        <f t="shared" si="35"/>
        <v>3307500</v>
      </c>
      <c r="AB123" s="42"/>
      <c r="AC123" s="42"/>
      <c r="AD123" s="42">
        <f t="shared" si="36"/>
        <v>3472875</v>
      </c>
      <c r="AE123" s="924">
        <f t="shared" si="37"/>
        <v>3472875</v>
      </c>
    </row>
    <row r="124" spans="1:31" s="54" customFormat="1" ht="15" x14ac:dyDescent="0.25">
      <c r="A124" s="922">
        <v>171</v>
      </c>
      <c r="B124" s="923" t="str">
        <f>+'[3]Plan Financiero 2021'!A101</f>
        <v>Rendimientos por Operaciones Financieras. (SGP - Oferta)</v>
      </c>
      <c r="C124" s="1254">
        <f>MROUND('F Y U 2024 Presupuesto'!C90,1000)</f>
        <v>1000000</v>
      </c>
      <c r="D124" s="924">
        <f t="shared" si="32"/>
        <v>1000000</v>
      </c>
      <c r="E124" s="924"/>
      <c r="F124" s="924"/>
      <c r="G124" s="1518"/>
      <c r="I124" s="919"/>
      <c r="V124" s="42">
        <f t="shared" si="38"/>
        <v>1050000</v>
      </c>
      <c r="W124" s="924">
        <f t="shared" si="33"/>
        <v>1050000</v>
      </c>
      <c r="X124" s="924"/>
      <c r="Y124" s="924"/>
      <c r="Z124" s="42">
        <f t="shared" si="34"/>
        <v>1102500</v>
      </c>
      <c r="AA124" s="924">
        <f t="shared" si="35"/>
        <v>1102500</v>
      </c>
      <c r="AB124" s="42"/>
      <c r="AC124" s="42"/>
      <c r="AD124" s="42">
        <f t="shared" si="36"/>
        <v>1157625</v>
      </c>
      <c r="AE124" s="924">
        <f t="shared" si="37"/>
        <v>1157625</v>
      </c>
    </row>
    <row r="125" spans="1:31" s="54" customFormat="1" ht="15" x14ac:dyDescent="0.25">
      <c r="A125" s="922"/>
      <c r="B125" s="923" t="str">
        <f>+'[3]Plan Financiero 2021'!A102</f>
        <v>Rendimientos por Operaciones Financieras. (Fondo Estupefacientes )</v>
      </c>
      <c r="C125" s="1254">
        <f>MROUND('F Y U 2024 Presupuesto'!C91,1000)</f>
        <v>1000000</v>
      </c>
      <c r="D125" s="924">
        <f t="shared" si="32"/>
        <v>1000000</v>
      </c>
      <c r="E125" s="924"/>
      <c r="F125" s="924"/>
      <c r="G125" s="1518"/>
      <c r="I125" s="919"/>
      <c r="V125" s="42">
        <f t="shared" si="38"/>
        <v>1050000</v>
      </c>
      <c r="W125" s="924">
        <f t="shared" si="33"/>
        <v>1050000</v>
      </c>
      <c r="X125" s="924"/>
      <c r="Y125" s="924"/>
      <c r="Z125" s="42">
        <f t="shared" si="34"/>
        <v>1102500</v>
      </c>
      <c r="AA125" s="924">
        <f t="shared" si="35"/>
        <v>1102500</v>
      </c>
      <c r="AB125" s="42"/>
      <c r="AC125" s="42"/>
      <c r="AD125" s="42">
        <f t="shared" si="36"/>
        <v>1157625</v>
      </c>
      <c r="AE125" s="924">
        <f t="shared" si="37"/>
        <v>1157625</v>
      </c>
    </row>
    <row r="126" spans="1:31" s="54" customFormat="1" ht="15" x14ac:dyDescent="0.25">
      <c r="A126" s="922"/>
      <c r="B126" s="923" t="str">
        <f>+'[3]Plan Financiero 2021'!A103</f>
        <v>Rendimientos por Operaciones Financieras. (Rentas Cedidas )</v>
      </c>
      <c r="C126" s="1254">
        <f>MROUND('F Y U 2024 Presupuesto'!C92,1000)</f>
        <v>2000000</v>
      </c>
      <c r="D126" s="924">
        <f t="shared" si="32"/>
        <v>2000000</v>
      </c>
      <c r="E126" s="924"/>
      <c r="F126" s="924"/>
      <c r="G126" s="1518"/>
      <c r="I126" s="919"/>
      <c r="V126" s="42">
        <f t="shared" si="38"/>
        <v>2100000</v>
      </c>
      <c r="W126" s="924">
        <f t="shared" si="33"/>
        <v>2100000</v>
      </c>
      <c r="X126" s="924"/>
      <c r="Y126" s="924"/>
      <c r="Z126" s="42">
        <f t="shared" si="34"/>
        <v>2205000</v>
      </c>
      <c r="AA126" s="924">
        <f t="shared" si="35"/>
        <v>2205000</v>
      </c>
      <c r="AB126" s="42"/>
      <c r="AC126" s="42"/>
      <c r="AD126" s="42">
        <f t="shared" si="36"/>
        <v>2315250</v>
      </c>
      <c r="AE126" s="924">
        <f t="shared" si="37"/>
        <v>2315250</v>
      </c>
    </row>
    <row r="127" spans="1:31" s="54" customFormat="1" ht="15" x14ac:dyDescent="0.25">
      <c r="A127" s="922"/>
      <c r="B127" s="923" t="s">
        <v>1126</v>
      </c>
      <c r="C127" s="1254">
        <f>MROUND('F Y U 2024 Presupuesto'!C93,1000)</f>
        <v>13674983000</v>
      </c>
      <c r="D127" s="924">
        <f t="shared" si="32"/>
        <v>13674983000</v>
      </c>
      <c r="E127" s="924"/>
      <c r="F127" s="924"/>
      <c r="G127" s="1523">
        <f>+D127+C39+C40+C42</f>
        <v>36958741000</v>
      </c>
      <c r="H127" s="1265">
        <f>+G127*14%</f>
        <v>5174223740.000001</v>
      </c>
      <c r="I127" s="1292">
        <f>+H127-C39</f>
        <v>-94259.999999046326</v>
      </c>
      <c r="J127" s="53"/>
      <c r="K127" s="53"/>
      <c r="L127" s="53">
        <f>14+46+3</f>
        <v>63</v>
      </c>
      <c r="M127" s="53"/>
      <c r="V127" s="42">
        <f t="shared" si="38"/>
        <v>14358732150</v>
      </c>
      <c r="W127" s="924">
        <f t="shared" si="33"/>
        <v>14358732150</v>
      </c>
      <c r="X127" s="924"/>
      <c r="Y127" s="924"/>
      <c r="Z127" s="42">
        <f t="shared" si="34"/>
        <v>15076668757.5</v>
      </c>
      <c r="AA127" s="924">
        <f t="shared" si="35"/>
        <v>15076668757.5</v>
      </c>
      <c r="AB127" s="42"/>
      <c r="AC127" s="42"/>
      <c r="AD127" s="42">
        <f t="shared" si="36"/>
        <v>15830502195.375</v>
      </c>
      <c r="AE127" s="924">
        <f t="shared" si="37"/>
        <v>15830502195.375</v>
      </c>
    </row>
    <row r="128" spans="1:31" s="54" customFormat="1" ht="15" x14ac:dyDescent="0.25">
      <c r="A128" s="922"/>
      <c r="B128" s="1651" t="s">
        <v>1127</v>
      </c>
      <c r="C128" s="1254">
        <f>MROUND('F Y U 2024 Presupuesto'!C94,1000)</f>
        <v>4294347000</v>
      </c>
      <c r="D128" s="924">
        <f t="shared" si="32"/>
        <v>4294347000</v>
      </c>
      <c r="E128" s="924"/>
      <c r="F128" s="924"/>
      <c r="G128" s="1523"/>
      <c r="H128" s="1265">
        <f>+G127*3%</f>
        <v>1108762230</v>
      </c>
      <c r="I128" s="1293">
        <f>+H128-C40</f>
        <v>652230</v>
      </c>
      <c r="J128" s="53"/>
      <c r="K128" s="53"/>
      <c r="L128" s="53">
        <f>100-L127</f>
        <v>37</v>
      </c>
      <c r="M128" s="53"/>
      <c r="V128" s="42">
        <f t="shared" si="38"/>
        <v>4509064350</v>
      </c>
      <c r="W128" s="924">
        <f t="shared" si="33"/>
        <v>4509064350</v>
      </c>
      <c r="X128" s="924"/>
      <c r="Y128" s="924"/>
      <c r="Z128" s="42">
        <f t="shared" si="34"/>
        <v>4734517567.5</v>
      </c>
      <c r="AA128" s="924">
        <f t="shared" si="35"/>
        <v>4734517567.5</v>
      </c>
      <c r="AB128" s="42"/>
      <c r="AC128" s="42"/>
      <c r="AD128" s="42">
        <f t="shared" si="36"/>
        <v>4971243445.875</v>
      </c>
      <c r="AE128" s="924">
        <f t="shared" si="37"/>
        <v>4971243445.875</v>
      </c>
    </row>
    <row r="129" spans="1:31" s="54" customFormat="1" ht="15" x14ac:dyDescent="0.25">
      <c r="A129" s="922"/>
      <c r="B129" s="923" t="s">
        <v>1128</v>
      </c>
      <c r="C129" s="1254">
        <f>MROUND('F Y U 2024 Presupuesto'!C95,1000)</f>
        <v>6555523000</v>
      </c>
      <c r="D129" s="924">
        <f t="shared" si="32"/>
        <v>6555523000</v>
      </c>
      <c r="E129" s="924"/>
      <c r="F129" s="924"/>
      <c r="G129" s="1523"/>
      <c r="H129" s="1265">
        <f>+G127*46%</f>
        <v>17001020860</v>
      </c>
      <c r="I129" s="1293">
        <f>+H129-C42</f>
        <v>-309140</v>
      </c>
      <c r="J129" s="53"/>
      <c r="K129" s="53"/>
      <c r="L129" s="53"/>
      <c r="M129" s="53"/>
      <c r="V129" s="42">
        <f t="shared" si="38"/>
        <v>6883299150</v>
      </c>
      <c r="W129" s="924">
        <f t="shared" si="33"/>
        <v>6883299150</v>
      </c>
      <c r="X129" s="924"/>
      <c r="Y129" s="924"/>
      <c r="Z129" s="42">
        <f t="shared" si="34"/>
        <v>7227464107.5</v>
      </c>
      <c r="AA129" s="924">
        <f t="shared" si="35"/>
        <v>7227464107.5</v>
      </c>
      <c r="AB129" s="42"/>
      <c r="AC129" s="42"/>
      <c r="AD129" s="42">
        <f t="shared" si="36"/>
        <v>7588837312.875</v>
      </c>
      <c r="AE129" s="924">
        <f t="shared" si="37"/>
        <v>7588837312.875</v>
      </c>
    </row>
    <row r="130" spans="1:31" s="54" customFormat="1" ht="15" x14ac:dyDescent="0.25">
      <c r="A130" s="922"/>
      <c r="B130" s="923" t="s">
        <v>1129</v>
      </c>
      <c r="C130" s="1254">
        <f>MROUND('F Y U 2024 Presupuesto'!C96,1000)</f>
        <v>1039156000</v>
      </c>
      <c r="D130" s="924">
        <f t="shared" si="32"/>
        <v>1039156000</v>
      </c>
      <c r="E130" s="924"/>
      <c r="F130" s="924"/>
      <c r="G130" s="1523"/>
      <c r="H130" s="1265"/>
      <c r="I130" s="1293"/>
      <c r="J130" s="53"/>
      <c r="K130" s="53"/>
      <c r="L130" s="53"/>
      <c r="M130" s="53"/>
      <c r="V130" s="42">
        <f t="shared" si="38"/>
        <v>1091113800</v>
      </c>
      <c r="W130" s="924">
        <f t="shared" si="33"/>
        <v>1091113800</v>
      </c>
      <c r="X130" s="924"/>
      <c r="Y130" s="924"/>
      <c r="Z130" s="42">
        <f t="shared" si="34"/>
        <v>1145669490</v>
      </c>
      <c r="AA130" s="924">
        <f t="shared" si="35"/>
        <v>1145669490</v>
      </c>
      <c r="AB130" s="42"/>
      <c r="AC130" s="42"/>
      <c r="AD130" s="42">
        <f t="shared" si="36"/>
        <v>1202952964.5</v>
      </c>
      <c r="AE130" s="924">
        <f t="shared" si="37"/>
        <v>1202952964.5</v>
      </c>
    </row>
    <row r="131" spans="1:31" ht="15.75" customHeight="1" x14ac:dyDescent="0.25">
      <c r="A131" s="922"/>
      <c r="B131" s="923" t="s">
        <v>1130</v>
      </c>
      <c r="C131" s="1254">
        <f>MROUND('F Y U 2024 Presupuesto'!C97,1000)</f>
        <v>32160000</v>
      </c>
      <c r="D131" s="924">
        <f t="shared" si="32"/>
        <v>32160000</v>
      </c>
      <c r="E131" s="924"/>
      <c r="F131" s="924"/>
      <c r="G131" s="1523"/>
      <c r="H131" s="1265"/>
      <c r="I131" s="1294"/>
      <c r="J131" s="41"/>
      <c r="K131" s="41"/>
      <c r="L131" s="41"/>
      <c r="M131" s="41"/>
      <c r="V131" s="42">
        <f t="shared" si="38"/>
        <v>33768000</v>
      </c>
      <c r="W131" s="924">
        <f t="shared" si="33"/>
        <v>33768000</v>
      </c>
      <c r="X131" s="924"/>
      <c r="Y131" s="924"/>
      <c r="Z131" s="42">
        <f t="shared" si="34"/>
        <v>35456400</v>
      </c>
      <c r="AA131" s="924">
        <f t="shared" si="35"/>
        <v>35456400</v>
      </c>
      <c r="AD131" s="42">
        <f t="shared" si="36"/>
        <v>37229220</v>
      </c>
      <c r="AE131" s="924">
        <f t="shared" si="37"/>
        <v>37229220</v>
      </c>
    </row>
    <row r="132" spans="1:31" s="54" customFormat="1" ht="15" x14ac:dyDescent="0.25">
      <c r="A132" s="922"/>
      <c r="B132" s="1651" t="s">
        <v>1132</v>
      </c>
      <c r="C132" s="1254">
        <f>MROUND('F Y U 2024 Presupuesto'!C98,1000)</f>
        <v>2874685000</v>
      </c>
      <c r="D132" s="924">
        <f t="shared" si="32"/>
        <v>2874685000</v>
      </c>
      <c r="E132" s="924"/>
      <c r="F132" s="924"/>
      <c r="G132" s="1523"/>
      <c r="H132" s="1265"/>
      <c r="I132" s="1293"/>
      <c r="J132" s="53"/>
      <c r="K132" s="53"/>
      <c r="L132" s="53"/>
      <c r="M132" s="53"/>
      <c r="V132" s="42">
        <f t="shared" si="38"/>
        <v>3018419250</v>
      </c>
      <c r="W132" s="924">
        <f t="shared" si="33"/>
        <v>3018419250</v>
      </c>
      <c r="X132" s="924"/>
      <c r="Y132" s="924"/>
      <c r="Z132" s="42">
        <f t="shared" si="34"/>
        <v>3169340212.5</v>
      </c>
      <c r="AA132" s="924">
        <f t="shared" si="35"/>
        <v>3169340212.5</v>
      </c>
      <c r="AB132" s="42"/>
      <c r="AC132" s="42"/>
      <c r="AD132" s="42">
        <f t="shared" si="36"/>
        <v>3327807223.125</v>
      </c>
      <c r="AE132" s="924">
        <f t="shared" si="37"/>
        <v>3327807223.125</v>
      </c>
    </row>
    <row r="133" spans="1:31" ht="15" x14ac:dyDescent="0.25">
      <c r="A133" s="922"/>
      <c r="B133" s="923" t="s">
        <v>1133</v>
      </c>
      <c r="C133" s="1254">
        <f>MROUND('F Y U 2024 Presupuesto'!C99,1000)</f>
        <v>935708000</v>
      </c>
      <c r="D133" s="924">
        <f t="shared" si="32"/>
        <v>935708000</v>
      </c>
      <c r="E133" s="924"/>
      <c r="F133" s="924"/>
      <c r="G133" s="1523"/>
      <c r="H133" s="1265"/>
      <c r="I133" s="1294"/>
      <c r="J133" s="41"/>
      <c r="K133" s="41"/>
      <c r="L133" s="41"/>
      <c r="M133" s="41"/>
      <c r="V133" s="42">
        <f t="shared" si="38"/>
        <v>982493400</v>
      </c>
      <c r="W133" s="924">
        <f t="shared" si="33"/>
        <v>982493400</v>
      </c>
      <c r="X133" s="924"/>
      <c r="Y133" s="924"/>
      <c r="Z133" s="42">
        <f t="shared" si="34"/>
        <v>1031618070</v>
      </c>
      <c r="AA133" s="924">
        <f t="shared" si="35"/>
        <v>1031618070</v>
      </c>
      <c r="AD133" s="42">
        <f t="shared" si="36"/>
        <v>1083198973.5</v>
      </c>
      <c r="AE133" s="924">
        <f t="shared" si="37"/>
        <v>1083198973.5</v>
      </c>
    </row>
    <row r="134" spans="1:31" ht="15" x14ac:dyDescent="0.25">
      <c r="A134" s="922"/>
      <c r="B134" s="923" t="s">
        <v>1137</v>
      </c>
      <c r="C134" s="1254">
        <f>MROUND('F Y U 2024 Presupuesto'!C100,1000)</f>
        <v>2710326000</v>
      </c>
      <c r="D134" s="924">
        <f t="shared" si="32"/>
        <v>2710326000</v>
      </c>
      <c r="E134" s="924"/>
      <c r="F134" s="924"/>
      <c r="G134" s="1523"/>
      <c r="H134" s="1265"/>
      <c r="I134" s="1294"/>
      <c r="J134" s="41"/>
      <c r="K134" s="41"/>
      <c r="L134" s="41"/>
      <c r="M134" s="41"/>
      <c r="V134" s="42">
        <f t="shared" si="38"/>
        <v>2845842300</v>
      </c>
      <c r="W134" s="924">
        <f t="shared" si="33"/>
        <v>2845842300</v>
      </c>
      <c r="X134" s="924"/>
      <c r="Y134" s="924"/>
      <c r="Z134" s="42">
        <f t="shared" si="34"/>
        <v>2988134415</v>
      </c>
      <c r="AA134" s="924">
        <f t="shared" si="35"/>
        <v>2988134415</v>
      </c>
      <c r="AD134" s="42">
        <f t="shared" si="36"/>
        <v>3137541135.75</v>
      </c>
      <c r="AE134" s="924">
        <f t="shared" si="37"/>
        <v>3137541135.75</v>
      </c>
    </row>
    <row r="135" spans="1:31" s="54" customFormat="1" ht="15" x14ac:dyDescent="0.25">
      <c r="A135" s="922"/>
      <c r="B135" s="923" t="s">
        <v>1138</v>
      </c>
      <c r="C135" s="1254">
        <f>MROUND('F Y U 2024 Presupuesto'!C101,1000)</f>
        <v>1496247000</v>
      </c>
      <c r="D135" s="924">
        <f t="shared" si="32"/>
        <v>1496247000</v>
      </c>
      <c r="E135" s="924"/>
      <c r="F135" s="924"/>
      <c r="G135" s="1523"/>
      <c r="H135" s="1265"/>
      <c r="I135" s="1293"/>
      <c r="J135" s="53"/>
      <c r="K135" s="53"/>
      <c r="L135" s="53"/>
      <c r="M135" s="53"/>
      <c r="V135" s="42">
        <f t="shared" si="38"/>
        <v>1571059350</v>
      </c>
      <c r="W135" s="924">
        <f t="shared" si="33"/>
        <v>1571059350</v>
      </c>
      <c r="X135" s="924"/>
      <c r="Y135" s="924"/>
      <c r="Z135" s="42">
        <f t="shared" si="34"/>
        <v>1649612317.5</v>
      </c>
      <c r="AA135" s="924">
        <f t="shared" si="35"/>
        <v>1649612317.5</v>
      </c>
      <c r="AB135" s="42"/>
      <c r="AC135" s="42"/>
      <c r="AD135" s="42">
        <f t="shared" si="36"/>
        <v>1732092933.375</v>
      </c>
      <c r="AE135" s="924">
        <f t="shared" si="37"/>
        <v>1732092933.375</v>
      </c>
    </row>
    <row r="136" spans="1:31" ht="15" x14ac:dyDescent="0.25">
      <c r="A136" s="922"/>
      <c r="B136" s="923" t="s">
        <v>1139</v>
      </c>
      <c r="C136" s="1254">
        <f>MROUND('F Y U 2024 Presupuesto'!C102,1000)</f>
        <v>300000000</v>
      </c>
      <c r="D136" s="924">
        <f t="shared" si="32"/>
        <v>300000000</v>
      </c>
      <c r="E136" s="924"/>
      <c r="F136" s="924"/>
      <c r="H136" s="41"/>
      <c r="I136" s="1294"/>
      <c r="J136" s="41"/>
      <c r="K136" s="41"/>
      <c r="L136" s="41"/>
      <c r="M136" s="41"/>
      <c r="V136" s="42">
        <f t="shared" si="38"/>
        <v>315000000</v>
      </c>
      <c r="W136" s="924">
        <f t="shared" si="33"/>
        <v>315000000</v>
      </c>
      <c r="X136" s="924"/>
      <c r="Y136" s="924"/>
      <c r="Z136" s="42">
        <f t="shared" si="34"/>
        <v>330750000</v>
      </c>
      <c r="AA136" s="924">
        <f t="shared" si="35"/>
        <v>330750000</v>
      </c>
      <c r="AD136" s="42">
        <f t="shared" si="36"/>
        <v>347287500</v>
      </c>
      <c r="AE136" s="924">
        <f t="shared" si="37"/>
        <v>347287500</v>
      </c>
    </row>
    <row r="137" spans="1:31" s="54" customFormat="1" ht="15" x14ac:dyDescent="0.25">
      <c r="A137" s="922"/>
      <c r="B137" s="923" t="s">
        <v>1141</v>
      </c>
      <c r="C137" s="1254">
        <f>MROUND('F Y U 2024 Presupuesto'!C103,1000)</f>
        <v>15500000000</v>
      </c>
      <c r="D137" s="924">
        <f t="shared" si="32"/>
        <v>15500000000</v>
      </c>
      <c r="E137" s="924"/>
      <c r="F137" s="924"/>
      <c r="G137" s="1518"/>
      <c r="H137" s="53"/>
      <c r="I137" s="1293"/>
      <c r="J137" s="53"/>
      <c r="K137" s="53"/>
      <c r="L137" s="53"/>
      <c r="M137" s="53"/>
      <c r="V137" s="42">
        <f t="shared" si="38"/>
        <v>16275000000</v>
      </c>
      <c r="W137" s="924">
        <f t="shared" si="33"/>
        <v>16275000000</v>
      </c>
      <c r="X137" s="924"/>
      <c r="Y137" s="924"/>
      <c r="Z137" s="42">
        <f t="shared" si="34"/>
        <v>17088750000</v>
      </c>
      <c r="AA137" s="924">
        <f t="shared" si="35"/>
        <v>17088750000</v>
      </c>
      <c r="AB137" s="42"/>
      <c r="AC137" s="42"/>
      <c r="AD137" s="42">
        <f t="shared" si="36"/>
        <v>17943187500</v>
      </c>
      <c r="AE137" s="924">
        <f t="shared" si="37"/>
        <v>17943187500</v>
      </c>
    </row>
    <row r="138" spans="1:31" s="54" customFormat="1" ht="15" x14ac:dyDescent="0.25">
      <c r="A138" s="922"/>
      <c r="B138" s="923" t="s">
        <v>1821</v>
      </c>
      <c r="C138" s="1254">
        <f>MROUND('F Y U 2024 Presupuesto'!C104,1000)</f>
        <v>5061794000</v>
      </c>
      <c r="D138" s="924">
        <f t="shared" si="32"/>
        <v>5061794000</v>
      </c>
      <c r="E138" s="924"/>
      <c r="F138" s="924"/>
      <c r="G138" s="1518"/>
      <c r="H138" s="53"/>
      <c r="I138" s="1293"/>
      <c r="J138" s="53"/>
      <c r="K138" s="53"/>
      <c r="L138" s="53"/>
      <c r="M138" s="53"/>
      <c r="V138" s="42">
        <f t="shared" si="38"/>
        <v>5314883700</v>
      </c>
      <c r="W138" s="924">
        <f t="shared" si="33"/>
        <v>5314883700</v>
      </c>
      <c r="X138" s="924"/>
      <c r="Y138" s="924"/>
      <c r="Z138" s="42">
        <f t="shared" si="34"/>
        <v>5580627885</v>
      </c>
      <c r="AA138" s="924">
        <f t="shared" si="35"/>
        <v>5580627885</v>
      </c>
      <c r="AB138" s="42"/>
      <c r="AC138" s="42"/>
      <c r="AD138" s="42">
        <f t="shared" si="36"/>
        <v>5859659279.25</v>
      </c>
      <c r="AE138" s="924">
        <f t="shared" si="37"/>
        <v>5859659279.25</v>
      </c>
    </row>
    <row r="139" spans="1:31" s="54" customFormat="1" ht="15" x14ac:dyDescent="0.25">
      <c r="A139" s="922" t="s">
        <v>226</v>
      </c>
      <c r="B139" s="923" t="s">
        <v>1143</v>
      </c>
      <c r="C139" s="1254">
        <f>MROUND('F Y U 2024 Presupuesto'!C105,1000)</f>
        <v>2166183000</v>
      </c>
      <c r="D139" s="924">
        <f t="shared" si="32"/>
        <v>2166183000</v>
      </c>
      <c r="E139" s="924"/>
      <c r="F139" s="924"/>
      <c r="G139" s="1518"/>
      <c r="H139" s="53"/>
      <c r="I139" s="1293"/>
      <c r="J139" s="53"/>
      <c r="K139" s="53"/>
      <c r="L139" s="53"/>
      <c r="M139" s="53"/>
      <c r="V139" s="42">
        <f t="shared" si="38"/>
        <v>2274492150</v>
      </c>
      <c r="W139" s="924">
        <f t="shared" si="33"/>
        <v>2274492150</v>
      </c>
      <c r="X139" s="924"/>
      <c r="Y139" s="924"/>
      <c r="Z139" s="42">
        <f t="shared" si="34"/>
        <v>2388216757.5</v>
      </c>
      <c r="AA139" s="924">
        <f t="shared" si="35"/>
        <v>2388216757.5</v>
      </c>
      <c r="AB139" s="42"/>
      <c r="AC139" s="42"/>
      <c r="AD139" s="42">
        <f t="shared" si="36"/>
        <v>2507627595.375</v>
      </c>
      <c r="AE139" s="924">
        <f t="shared" si="37"/>
        <v>2507627595.375</v>
      </c>
    </row>
    <row r="140" spans="1:31" s="54" customFormat="1" ht="15" x14ac:dyDescent="0.25">
      <c r="A140" s="922"/>
      <c r="B140" s="923" t="str">
        <f>+'[3]Plan Financiero 2021'!A127</f>
        <v>IVA Cedido Sobre Licores, Vinos, Aperitivos y Similares</v>
      </c>
      <c r="C140" s="1254">
        <f>MROUND('F Y U 2024 Presupuesto'!C106,1000)</f>
        <v>2874685000</v>
      </c>
      <c r="D140" s="924">
        <f t="shared" si="32"/>
        <v>2874685000</v>
      </c>
      <c r="E140" s="924"/>
      <c r="F140" s="924"/>
      <c r="G140" s="1518"/>
      <c r="H140" s="53"/>
      <c r="I140" s="1293"/>
      <c r="J140" s="53"/>
      <c r="K140" s="53"/>
      <c r="L140" s="53"/>
      <c r="M140" s="53"/>
      <c r="V140" s="42">
        <f t="shared" si="38"/>
        <v>3018419250</v>
      </c>
      <c r="W140" s="924">
        <f t="shared" si="33"/>
        <v>3018419250</v>
      </c>
      <c r="X140" s="924"/>
      <c r="Y140" s="924"/>
      <c r="Z140" s="42">
        <f t="shared" si="34"/>
        <v>3169340212.5</v>
      </c>
      <c r="AA140" s="924">
        <f t="shared" si="35"/>
        <v>3169340212.5</v>
      </c>
      <c r="AB140" s="42"/>
      <c r="AC140" s="42"/>
      <c r="AD140" s="42">
        <f t="shared" si="36"/>
        <v>3327807223.125</v>
      </c>
      <c r="AE140" s="924">
        <f t="shared" si="37"/>
        <v>3327807223.125</v>
      </c>
    </row>
    <row r="141" spans="1:31" s="54" customFormat="1" ht="15" x14ac:dyDescent="0.25">
      <c r="A141" s="930"/>
      <c r="B141" s="1046" t="s">
        <v>1146</v>
      </c>
      <c r="C141" s="1254">
        <f>MROUND('F Y U 2024 Presupuesto'!C107,1000)</f>
        <v>3963289000</v>
      </c>
      <c r="D141" s="929">
        <f t="shared" si="32"/>
        <v>3963289000</v>
      </c>
      <c r="E141" s="929"/>
      <c r="F141" s="929"/>
      <c r="G141" s="1518"/>
      <c r="H141" s="53"/>
      <c r="I141" s="1293"/>
      <c r="J141" s="53"/>
      <c r="K141" s="53"/>
      <c r="L141" s="53"/>
      <c r="M141" s="53"/>
      <c r="V141" s="42">
        <f t="shared" si="38"/>
        <v>4161453450</v>
      </c>
      <c r="W141" s="929">
        <f t="shared" si="33"/>
        <v>4161453450</v>
      </c>
      <c r="X141" s="929"/>
      <c r="Y141" s="929"/>
      <c r="Z141" s="42">
        <f t="shared" si="34"/>
        <v>4369526122.5</v>
      </c>
      <c r="AA141" s="929">
        <f t="shared" si="35"/>
        <v>4369526122.5</v>
      </c>
      <c r="AB141" s="42"/>
      <c r="AC141" s="42"/>
      <c r="AD141" s="42">
        <f t="shared" si="36"/>
        <v>4588002428.625</v>
      </c>
      <c r="AE141" s="929">
        <f t="shared" si="37"/>
        <v>4588002428.625</v>
      </c>
    </row>
    <row r="142" spans="1:31" s="54" customFormat="1" ht="18.75" customHeight="1" x14ac:dyDescent="0.25">
      <c r="A142" s="42"/>
      <c r="B142" s="1157" t="s">
        <v>1822</v>
      </c>
      <c r="C142" s="1009">
        <f>SUM(C121:C141)</f>
        <v>71043833000</v>
      </c>
      <c r="D142" s="42"/>
      <c r="E142" s="42"/>
      <c r="F142" s="42"/>
      <c r="G142" s="1518">
        <f>+C142+C118</f>
        <v>290333144000</v>
      </c>
      <c r="H142" s="53"/>
      <c r="I142" s="1293"/>
      <c r="J142" s="53"/>
      <c r="K142" s="53"/>
      <c r="L142" s="53"/>
      <c r="M142" s="53"/>
      <c r="V142" s="1009">
        <f>SUM(V121:V141)</f>
        <v>74596024650</v>
      </c>
      <c r="W142" s="42"/>
      <c r="X142" s="42"/>
      <c r="Y142" s="42"/>
      <c r="Z142" s="1009">
        <f>SUM(Z121:Z141)</f>
        <v>78325825882.5</v>
      </c>
      <c r="AA142" s="42"/>
      <c r="AB142" s="42"/>
      <c r="AC142" s="42"/>
      <c r="AD142" s="1009">
        <f>SUM(AD121:AD141)</f>
        <v>82242117176.625</v>
      </c>
    </row>
    <row r="143" spans="1:31" s="54" customFormat="1" x14ac:dyDescent="0.25">
      <c r="A143" s="42"/>
      <c r="B143" s="42"/>
      <c r="C143" s="42"/>
      <c r="D143" s="42"/>
      <c r="E143" s="42"/>
      <c r="F143" s="42"/>
      <c r="G143" s="1518"/>
      <c r="H143" s="53"/>
      <c r="I143" s="1293"/>
      <c r="J143" s="53"/>
      <c r="K143" s="53"/>
      <c r="L143" s="53"/>
      <c r="M143" s="53"/>
      <c r="V143" s="42"/>
      <c r="W143" s="42"/>
      <c r="X143" s="42"/>
      <c r="Y143" s="42"/>
      <c r="Z143" s="42"/>
      <c r="AA143" s="42"/>
      <c r="AB143" s="42"/>
      <c r="AC143" s="42"/>
      <c r="AD143" s="42"/>
    </row>
    <row r="144" spans="1:31" s="54" customFormat="1" ht="25.5" customHeight="1" x14ac:dyDescent="0.25">
      <c r="A144" s="42"/>
      <c r="B144" s="1667" t="s">
        <v>1065</v>
      </c>
      <c r="C144" s="1668"/>
      <c r="D144" s="42"/>
      <c r="E144" s="42"/>
      <c r="G144" s="1518"/>
      <c r="H144" s="53"/>
      <c r="I144" s="1293"/>
      <c r="J144" s="53"/>
      <c r="K144" s="53"/>
      <c r="L144" s="53"/>
      <c r="M144" s="53"/>
      <c r="V144" s="42"/>
      <c r="W144" s="42"/>
      <c r="X144" s="42"/>
      <c r="Y144" s="42"/>
      <c r="Z144" s="42"/>
      <c r="AA144" s="42"/>
      <c r="AB144" s="42"/>
      <c r="AC144" s="42"/>
      <c r="AD144" s="42"/>
    </row>
    <row r="145" spans="1:33" s="54" customFormat="1" ht="15" x14ac:dyDescent="0.25">
      <c r="A145" s="933">
        <v>27</v>
      </c>
      <c r="B145" s="923" t="s">
        <v>1066</v>
      </c>
      <c r="C145" s="1254">
        <f>MROUND('F Y U 2024 Presupuesto'!C111,1000)</f>
        <v>4052617000</v>
      </c>
      <c r="D145" s="924">
        <f>+C145</f>
        <v>4052617000</v>
      </c>
      <c r="E145" s="935"/>
      <c r="F145" s="935"/>
      <c r="G145" s="1518"/>
      <c r="I145" s="919"/>
      <c r="V145" s="42">
        <f>+C145*1.05</f>
        <v>4255247850</v>
      </c>
      <c r="W145" s="924">
        <f>+V145</f>
        <v>4255247850</v>
      </c>
      <c r="X145" s="935"/>
      <c r="Y145" s="935"/>
      <c r="Z145" s="42">
        <f>+V145*1.05</f>
        <v>4468010242.5</v>
      </c>
      <c r="AA145" s="924">
        <f>+Z145</f>
        <v>4468010242.5</v>
      </c>
      <c r="AB145" s="42"/>
      <c r="AC145" s="42"/>
      <c r="AD145" s="42">
        <f>+Z145*1.05</f>
        <v>4691410754.625</v>
      </c>
      <c r="AE145" s="924">
        <f>+AD145</f>
        <v>4691410754.625</v>
      </c>
    </row>
    <row r="146" spans="1:33" s="54" customFormat="1" x14ac:dyDescent="0.25">
      <c r="A146" s="936"/>
      <c r="B146" s="1157" t="s">
        <v>1823</v>
      </c>
      <c r="C146" s="1009">
        <f>+C145</f>
        <v>4052617000</v>
      </c>
      <c r="D146" s="42"/>
      <c r="E146" s="42"/>
      <c r="F146" s="42"/>
      <c r="G146" s="1518"/>
      <c r="I146" s="919"/>
      <c r="V146" s="1009">
        <f>+V145</f>
        <v>4255247850</v>
      </c>
      <c r="W146" s="42"/>
      <c r="X146" s="42"/>
      <c r="Y146" s="42"/>
      <c r="Z146" s="1009">
        <f>+Z145</f>
        <v>4468010242.5</v>
      </c>
      <c r="AA146" s="42"/>
      <c r="AB146" s="42"/>
      <c r="AC146" s="42"/>
      <c r="AD146" s="1009">
        <f>+AD145</f>
        <v>4691410754.625</v>
      </c>
    </row>
    <row r="147" spans="1:33" s="54" customFormat="1" x14ac:dyDescent="0.25">
      <c r="A147" s="936"/>
      <c r="B147" s="936"/>
      <c r="C147" s="936"/>
      <c r="D147" s="42"/>
      <c r="E147" s="42"/>
      <c r="F147" s="42"/>
      <c r="G147" s="1518"/>
      <c r="I147" s="919"/>
      <c r="V147" s="42"/>
      <c r="W147" s="42"/>
      <c r="X147" s="42"/>
      <c r="Y147" s="42"/>
      <c r="Z147" s="42"/>
      <c r="AA147" s="42"/>
      <c r="AB147" s="42"/>
      <c r="AC147" s="42"/>
      <c r="AD147" s="42"/>
    </row>
    <row r="148" spans="1:33" s="54" customFormat="1" x14ac:dyDescent="0.25">
      <c r="A148" s="936"/>
      <c r="B148" s="1667" t="s">
        <v>961</v>
      </c>
      <c r="C148" s="1668"/>
      <c r="D148" s="924"/>
      <c r="E148" s="924"/>
      <c r="F148" s="924"/>
      <c r="G148" s="1518"/>
      <c r="I148" s="919"/>
      <c r="V148" s="42"/>
      <c r="W148" s="924"/>
      <c r="X148" s="924"/>
      <c r="Y148" s="924"/>
      <c r="Z148" s="42"/>
      <c r="AA148" s="42"/>
      <c r="AB148" s="42"/>
      <c r="AC148" s="42"/>
      <c r="AD148" s="42"/>
    </row>
    <row r="149" spans="1:33" s="54" customFormat="1" ht="15" x14ac:dyDescent="0.25">
      <c r="A149" s="923"/>
      <c r="B149" s="923" t="s">
        <v>1149</v>
      </c>
      <c r="C149" s="1254">
        <f>MROUND('F Y U 2024 Presupuesto'!C115,1000)</f>
        <v>2461968000</v>
      </c>
      <c r="D149" s="924">
        <f>+C149</f>
        <v>2461968000</v>
      </c>
      <c r="E149" s="924"/>
      <c r="F149" s="924"/>
      <c r="G149" s="1518"/>
      <c r="I149" s="919"/>
      <c r="V149" s="42">
        <f>+C149*1.19</f>
        <v>2929741920</v>
      </c>
      <c r="W149" s="924">
        <f>+V149</f>
        <v>2929741920</v>
      </c>
      <c r="X149" s="924"/>
      <c r="Y149" s="924"/>
      <c r="Z149" s="42">
        <f>+V149*1.05</f>
        <v>3076229016</v>
      </c>
      <c r="AA149" s="924">
        <f>+Z149</f>
        <v>3076229016</v>
      </c>
      <c r="AB149" s="42"/>
      <c r="AC149" s="42"/>
      <c r="AD149" s="42">
        <f>+Z149*1.05</f>
        <v>3230040466.8000002</v>
      </c>
      <c r="AE149" s="924">
        <f>+AD149</f>
        <v>3230040466.8000002</v>
      </c>
    </row>
    <row r="150" spans="1:33" s="54" customFormat="1" ht="21" customHeight="1" x14ac:dyDescent="0.25">
      <c r="A150" s="923"/>
      <c r="B150" s="1157" t="s">
        <v>1824</v>
      </c>
      <c r="C150" s="1009">
        <f>+C149</f>
        <v>2461968000</v>
      </c>
      <c r="D150" s="924"/>
      <c r="E150" s="924"/>
      <c r="F150" s="924"/>
      <c r="G150" s="1518"/>
      <c r="I150" s="919"/>
      <c r="V150" s="1009">
        <f>+V149</f>
        <v>2929741920</v>
      </c>
      <c r="W150" s="42"/>
      <c r="X150" s="42"/>
      <c r="Y150" s="42"/>
      <c r="Z150" s="1009">
        <f>+Z149</f>
        <v>3076229016</v>
      </c>
      <c r="AA150" s="42"/>
      <c r="AB150" s="42"/>
      <c r="AC150" s="42"/>
      <c r="AD150" s="1009">
        <f>+AD149</f>
        <v>3230040466.8000002</v>
      </c>
    </row>
    <row r="151" spans="1:33" s="54" customFormat="1" x14ac:dyDescent="0.25">
      <c r="A151" s="42"/>
      <c r="B151" s="42"/>
      <c r="C151" s="42"/>
      <c r="E151" s="924"/>
      <c r="F151" s="924"/>
      <c r="G151" s="1518"/>
      <c r="I151" s="919"/>
      <c r="V151" s="42"/>
      <c r="W151" s="42"/>
      <c r="X151" s="42"/>
      <c r="Y151" s="42"/>
      <c r="Z151" s="42"/>
      <c r="AA151" s="42"/>
      <c r="AB151" s="42"/>
      <c r="AC151" s="42"/>
      <c r="AD151" s="42"/>
    </row>
    <row r="152" spans="1:33" s="54" customFormat="1" ht="24" customHeight="1" x14ac:dyDescent="0.25">
      <c r="A152" s="1677" t="s">
        <v>1825</v>
      </c>
      <c r="B152" s="1678"/>
      <c r="C152" s="1009">
        <f>+C118+C142+C146+C150</f>
        <v>296847729000</v>
      </c>
      <c r="D152" s="1009">
        <f>SUM(D109:D150)</f>
        <v>296847729000</v>
      </c>
      <c r="E152" s="924"/>
      <c r="F152" s="1517"/>
      <c r="G152" s="1518"/>
      <c r="I152" s="919"/>
      <c r="V152" s="1009">
        <f>+V118+V142+V146+V150</f>
        <v>313341238836</v>
      </c>
      <c r="W152" s="1009">
        <f>SUM(W109:W150)</f>
        <v>313341238836</v>
      </c>
      <c r="X152" s="42"/>
      <c r="Y152" s="42"/>
      <c r="Z152" s="1009">
        <f>+Z118+Z142+Z146+Z150</f>
        <v>329008300777.79999</v>
      </c>
      <c r="AA152" s="1009">
        <f>SUM(AA109:AA150)</f>
        <v>329008300777.79999</v>
      </c>
      <c r="AB152" s="42"/>
      <c r="AC152" s="42"/>
      <c r="AD152" s="1009">
        <f>+AD118+AD142+AD146+AD150</f>
        <v>345458715816.69</v>
      </c>
      <c r="AE152" s="1009">
        <f>SUM(AE109:AE150)</f>
        <v>345458715816.69</v>
      </c>
    </row>
    <row r="153" spans="1:33" s="54" customFormat="1" x14ac:dyDescent="0.25">
      <c r="A153" s="88"/>
      <c r="B153" s="88"/>
      <c r="C153" s="88"/>
      <c r="D153" s="88"/>
      <c r="E153" s="88"/>
      <c r="F153" s="88"/>
      <c r="G153" s="1518"/>
      <c r="I153" s="919"/>
      <c r="V153" s="42"/>
      <c r="W153" s="42"/>
      <c r="X153" s="42"/>
      <c r="Y153" s="42"/>
      <c r="Z153" s="42"/>
      <c r="AA153" s="42"/>
      <c r="AB153" s="42"/>
      <c r="AC153" s="42"/>
      <c r="AD153" s="42"/>
    </row>
    <row r="154" spans="1:33" s="54" customFormat="1" ht="36" customHeight="1" x14ac:dyDescent="0.25">
      <c r="A154" s="1677" t="s">
        <v>1826</v>
      </c>
      <c r="B154" s="1678"/>
      <c r="C154" s="1009">
        <f>+C152+C53+C105</f>
        <v>535264793109.83002</v>
      </c>
      <c r="D154" s="1155">
        <f>+D152+D53+D105</f>
        <v>350472920509.83002</v>
      </c>
      <c r="E154" s="1155">
        <f>+E152+E53+E105</f>
        <v>54571697600</v>
      </c>
      <c r="F154" s="1155">
        <f>+F152+F53+F105</f>
        <v>130220175000</v>
      </c>
      <c r="G154" s="1518">
        <f>D154+E154+F154</f>
        <v>535264793109.83002</v>
      </c>
      <c r="H154" s="54">
        <f>C154-G154</f>
        <v>0</v>
      </c>
      <c r="I154" s="919"/>
      <c r="M154" s="1680" t="s">
        <v>3251</v>
      </c>
      <c r="N154" s="1680"/>
      <c r="O154" s="1680"/>
      <c r="P154" s="1680"/>
      <c r="V154" s="1009">
        <f>+V152+V53+V105</f>
        <v>558097342656</v>
      </c>
      <c r="W154" s="1155">
        <f>+W152+W53+W105</f>
        <v>358432229512</v>
      </c>
      <c r="X154" s="1155">
        <f>+X152+X53+X105</f>
        <v>61004160114</v>
      </c>
      <c r="Y154" s="1155">
        <f>+Y152+Y53+Y105</f>
        <v>138660953030</v>
      </c>
      <c r="Z154" s="1155">
        <f t="shared" ref="Z154:AG154" si="39">+Z152+Z53+Z105</f>
        <v>609641587282.19995</v>
      </c>
      <c r="AA154" s="1155">
        <f t="shared" si="39"/>
        <v>393342643167.64001</v>
      </c>
      <c r="AB154" s="1155">
        <f t="shared" si="39"/>
        <v>68428583577.059998</v>
      </c>
      <c r="AC154" s="1155">
        <f t="shared" si="39"/>
        <v>147870360537.5</v>
      </c>
      <c r="AD154" s="1155">
        <f t="shared" si="39"/>
        <v>634723675634.2959</v>
      </c>
      <c r="AE154" s="1155">
        <f t="shared" si="39"/>
        <v>399762372802.60156</v>
      </c>
      <c r="AF154" s="1155">
        <f t="shared" si="39"/>
        <v>77018410076.903397</v>
      </c>
      <c r="AG154" s="1155">
        <f t="shared" si="39"/>
        <v>157942892754.79102</v>
      </c>
    </row>
    <row r="155" spans="1:33" s="54" customFormat="1" x14ac:dyDescent="0.25">
      <c r="A155" s="42"/>
      <c r="B155" s="1679"/>
      <c r="C155" s="1679"/>
      <c r="D155" s="73"/>
      <c r="E155" s="73"/>
      <c r="F155" s="74"/>
      <c r="G155" s="1518"/>
      <c r="I155" s="919"/>
      <c r="M155" s="53">
        <v>1</v>
      </c>
      <c r="N155" s="53">
        <f>5730450*1.2</f>
        <v>6876540</v>
      </c>
      <c r="O155" s="53">
        <f>+M155*N155</f>
        <v>6876540</v>
      </c>
      <c r="P155" s="53">
        <f>+O155*1.76</f>
        <v>12102710.4</v>
      </c>
      <c r="V155" s="42"/>
      <c r="W155" s="42"/>
      <c r="X155" s="42"/>
      <c r="Y155" s="42"/>
      <c r="Z155" s="42"/>
      <c r="AA155" s="42"/>
      <c r="AB155" s="42"/>
      <c r="AC155" s="42"/>
      <c r="AD155" s="42"/>
    </row>
    <row r="156" spans="1:33" s="54" customFormat="1" ht="15" x14ac:dyDescent="0.25">
      <c r="A156" s="42"/>
      <c r="B156" s="972" t="s">
        <v>1827</v>
      </c>
      <c r="C156" s="1255">
        <f>ROUND(F53*0.01,0)</f>
        <v>1297101750</v>
      </c>
      <c r="E156" s="53">
        <v>508273313000</v>
      </c>
      <c r="F156" s="70">
        <f>157753937382+11236130587+338283245031</f>
        <v>507273313000</v>
      </c>
      <c r="G156" s="1518">
        <f>+E156-F156</f>
        <v>1000000000</v>
      </c>
      <c r="I156" s="919"/>
      <c r="M156" s="53">
        <v>1</v>
      </c>
      <c r="N156" s="53">
        <f>5535226*1.2</f>
        <v>6642271.2000000002</v>
      </c>
      <c r="O156" s="53">
        <f t="shared" ref="O156:O159" si="40">+M156*N156</f>
        <v>6642271.2000000002</v>
      </c>
      <c r="P156" s="53">
        <f t="shared" ref="P156:P159" si="41">+O156*1.76</f>
        <v>11690397.312000001</v>
      </c>
      <c r="V156" s="972" t="s">
        <v>1827</v>
      </c>
      <c r="W156" s="1255">
        <f>ROUND(Y53*0.01,0)</f>
        <v>1381344530</v>
      </c>
      <c r="X156" s="42"/>
      <c r="Y156" s="42"/>
      <c r="Z156" s="972" t="s">
        <v>1827</v>
      </c>
      <c r="AA156" s="1255">
        <f>ROUND(AC53*0.01,0)</f>
        <v>1473175355</v>
      </c>
      <c r="AB156" s="42"/>
      <c r="AC156" s="42"/>
      <c r="AD156" s="972" t="s">
        <v>1827</v>
      </c>
      <c r="AE156" s="1255">
        <f>ROUND(AG53*0.01,0)</f>
        <v>1573624265</v>
      </c>
    </row>
    <row r="157" spans="1:33" s="54" customFormat="1" ht="15" x14ac:dyDescent="0.25">
      <c r="A157" s="42"/>
      <c r="B157" s="973" t="s">
        <v>1828</v>
      </c>
      <c r="C157" s="1255">
        <f>ROUND(F53*0.01,0)</f>
        <v>1297101750</v>
      </c>
      <c r="E157" s="53">
        <v>5168301321</v>
      </c>
      <c r="F157" s="1532">
        <f>+F154-F105</f>
        <v>129710175000</v>
      </c>
      <c r="G157" s="1518"/>
      <c r="I157" s="919"/>
      <c r="M157" s="53">
        <v>3</v>
      </c>
      <c r="N157" s="53">
        <f>1.2*4789477</f>
        <v>5747372.3999999994</v>
      </c>
      <c r="O157" s="53">
        <f t="shared" si="40"/>
        <v>17242117.199999999</v>
      </c>
      <c r="P157" s="53">
        <f t="shared" si="41"/>
        <v>30346126.272</v>
      </c>
      <c r="V157" s="973" t="s">
        <v>1828</v>
      </c>
      <c r="W157" s="1255">
        <f>ROUND(Y53*0.01,0)</f>
        <v>1381344530</v>
      </c>
      <c r="X157" s="42"/>
      <c r="Y157" s="42"/>
      <c r="Z157" s="973" t="s">
        <v>1828</v>
      </c>
      <c r="AA157" s="1255">
        <f>ROUND(AC53*0.01,0)</f>
        <v>1473175355</v>
      </c>
      <c r="AB157" s="42"/>
      <c r="AC157" s="42"/>
      <c r="AD157" s="973" t="s">
        <v>1828</v>
      </c>
      <c r="AE157" s="1255">
        <f>ROUND(AG53*0.01,0)</f>
        <v>1573624265</v>
      </c>
    </row>
    <row r="158" spans="1:33" s="54" customFormat="1" ht="15" x14ac:dyDescent="0.25">
      <c r="A158" s="42"/>
      <c r="B158" s="972" t="s">
        <v>1829</v>
      </c>
      <c r="C158" s="1255">
        <f>ROUND(F53*0.007,0)</f>
        <v>907971225</v>
      </c>
      <c r="E158" s="53">
        <v>8523050371</v>
      </c>
      <c r="F158" s="70"/>
      <c r="G158" s="1518"/>
      <c r="I158" s="919"/>
      <c r="M158" s="53">
        <v>1</v>
      </c>
      <c r="N158" s="53">
        <f>1.2*6500000</f>
        <v>7800000</v>
      </c>
      <c r="O158" s="53">
        <f t="shared" si="40"/>
        <v>7800000</v>
      </c>
      <c r="P158" s="53">
        <f t="shared" si="41"/>
        <v>13728000</v>
      </c>
      <c r="V158" s="972" t="s">
        <v>1829</v>
      </c>
      <c r="W158" s="1255">
        <f>ROUND(Y53*0.007,0)</f>
        <v>966941171</v>
      </c>
      <c r="X158" s="42"/>
      <c r="Y158" s="42"/>
      <c r="Z158" s="972" t="s">
        <v>1829</v>
      </c>
      <c r="AA158" s="1255">
        <f>ROUND(AC53*0.007,0)</f>
        <v>1031222749</v>
      </c>
      <c r="AB158" s="42"/>
      <c r="AC158" s="42"/>
      <c r="AD158" s="972" t="s">
        <v>1829</v>
      </c>
      <c r="AE158" s="1255">
        <f>ROUND(AG53*0.007,0)</f>
        <v>1101536986</v>
      </c>
    </row>
    <row r="159" spans="1:33" s="54" customFormat="1" ht="15" x14ac:dyDescent="0.25">
      <c r="A159" s="42"/>
      <c r="B159" s="973" t="s">
        <v>1830</v>
      </c>
      <c r="C159" s="1256">
        <f>1.2*1627500000</f>
        <v>1953000000</v>
      </c>
      <c r="E159" s="53">
        <f>SUM(E156:E158)</f>
        <v>521964664692</v>
      </c>
      <c r="F159" s="1533"/>
      <c r="G159" s="1518"/>
      <c r="I159" s="919"/>
      <c r="M159" s="53">
        <v>1</v>
      </c>
      <c r="N159" s="53">
        <f>1.2*3555691</f>
        <v>4266829.2</v>
      </c>
      <c r="O159" s="53">
        <f t="shared" si="40"/>
        <v>4266829.2</v>
      </c>
      <c r="P159" s="53">
        <f t="shared" si="41"/>
        <v>7509619.392</v>
      </c>
      <c r="V159" s="973" t="s">
        <v>1830</v>
      </c>
      <c r="W159" s="1256">
        <f>+C159*1.05</f>
        <v>2050650000</v>
      </c>
      <c r="X159" s="42"/>
      <c r="Y159" s="42"/>
      <c r="Z159" s="973" t="s">
        <v>1830</v>
      </c>
      <c r="AA159" s="1256">
        <f>+W159*1.05</f>
        <v>2153182500</v>
      </c>
      <c r="AB159" s="42"/>
      <c r="AC159" s="42"/>
      <c r="AD159" s="973" t="s">
        <v>1830</v>
      </c>
      <c r="AE159" s="1256">
        <f>+AA159*1.05</f>
        <v>2260841625</v>
      </c>
    </row>
    <row r="160" spans="1:33" s="54" customFormat="1" ht="15" x14ac:dyDescent="0.25">
      <c r="A160" s="42"/>
      <c r="B160" s="972" t="s">
        <v>1831</v>
      </c>
      <c r="C160" s="1255">
        <f>ROUND(F53*0.1,0)</f>
        <v>12971017500</v>
      </c>
      <c r="F160" s="74"/>
      <c r="G160" s="1518"/>
      <c r="I160" s="919"/>
      <c r="M160" s="53"/>
      <c r="N160" s="53"/>
      <c r="O160" s="53"/>
      <c r="P160" s="53">
        <f>SUM(P155:P159)</f>
        <v>75376853.376000002</v>
      </c>
      <c r="V160" s="972" t="s">
        <v>1831</v>
      </c>
      <c r="W160" s="1255">
        <f>ROUND(Y53*0.1,0)</f>
        <v>13813445303</v>
      </c>
      <c r="X160" s="42"/>
      <c r="Y160" s="42"/>
      <c r="Z160" s="972" t="s">
        <v>1831</v>
      </c>
      <c r="AA160" s="1255">
        <f>ROUND(AC53*0.1,0)</f>
        <v>14731753554</v>
      </c>
      <c r="AB160" s="42"/>
      <c r="AC160" s="42"/>
      <c r="AD160" s="972" t="s">
        <v>1831</v>
      </c>
      <c r="AE160" s="1255">
        <f>ROUND(AG53*0.1,0)</f>
        <v>15736242650</v>
      </c>
    </row>
    <row r="161" spans="2:32" x14ac:dyDescent="0.25">
      <c r="B161" s="1660"/>
      <c r="C161" s="1661"/>
      <c r="D161" s="1163"/>
      <c r="E161" s="411"/>
      <c r="F161" s="77"/>
      <c r="K161" s="54"/>
      <c r="L161" s="54"/>
      <c r="M161" s="41"/>
      <c r="N161" s="41"/>
      <c r="O161" s="41"/>
      <c r="P161" s="41">
        <f>+P160*13</f>
        <v>979899093.88800001</v>
      </c>
    </row>
    <row r="162" spans="2:32" ht="22.5" customHeight="1" x14ac:dyDescent="0.25">
      <c r="B162" s="1160" t="s">
        <v>970</v>
      </c>
      <c r="C162" s="1010" t="s">
        <v>971</v>
      </c>
      <c r="D162" s="1010" t="s">
        <v>956</v>
      </c>
      <c r="E162" s="411"/>
      <c r="F162" s="124"/>
      <c r="K162" s="54"/>
      <c r="L162" s="54"/>
      <c r="M162" s="41"/>
      <c r="N162" s="41"/>
      <c r="O162" s="41"/>
      <c r="P162" s="41"/>
      <c r="V162" s="1160" t="s">
        <v>970</v>
      </c>
      <c r="W162" s="1010" t="s">
        <v>971</v>
      </c>
      <c r="X162" s="1010" t="s">
        <v>956</v>
      </c>
      <c r="Z162" s="1160" t="s">
        <v>970</v>
      </c>
      <c r="AA162" s="1010" t="s">
        <v>971</v>
      </c>
      <c r="AB162" s="1010" t="s">
        <v>956</v>
      </c>
      <c r="AD162" s="1160" t="s">
        <v>970</v>
      </c>
      <c r="AE162" s="1010" t="s">
        <v>971</v>
      </c>
      <c r="AF162" s="1010" t="s">
        <v>956</v>
      </c>
    </row>
    <row r="163" spans="2:32" ht="15" x14ac:dyDescent="0.25">
      <c r="B163" s="921" t="s">
        <v>972</v>
      </c>
      <c r="C163" s="1257">
        <f>+F154-C156-C158-C160-C157-C159</f>
        <v>111793982775</v>
      </c>
      <c r="D163" s="956">
        <v>1</v>
      </c>
      <c r="E163" s="411"/>
      <c r="F163" s="41">
        <f>C163*3.7%</f>
        <v>4136377362.6750007</v>
      </c>
      <c r="K163" s="54"/>
      <c r="L163" s="54"/>
      <c r="V163" s="921" t="s">
        <v>972</v>
      </c>
      <c r="W163" s="1257">
        <f>+Y154-W156-W157-W158-W159-W160</f>
        <v>119067227496</v>
      </c>
      <c r="X163" s="956">
        <v>1</v>
      </c>
      <c r="Z163" s="921" t="s">
        <v>972</v>
      </c>
      <c r="AA163" s="1257">
        <f>+AC154-AA156-AA157-AA158-AA159-AA160</f>
        <v>127007851024.5</v>
      </c>
      <c r="AB163" s="956">
        <v>1</v>
      </c>
      <c r="AD163" s="921" t="s">
        <v>972</v>
      </c>
      <c r="AE163" s="1257">
        <f>+AG154-AE156-AE157-AE158-AE159-AE160</f>
        <v>135697022963.79102</v>
      </c>
      <c r="AF163" s="956">
        <v>1</v>
      </c>
    </row>
    <row r="164" spans="2:32" ht="15" x14ac:dyDescent="0.25">
      <c r="B164" s="921" t="s">
        <v>973</v>
      </c>
      <c r="C164" s="1257">
        <f>+(C163*0.7)</f>
        <v>78255787942.5</v>
      </c>
      <c r="D164" s="956">
        <f>+C164/$C$163</f>
        <v>0.7</v>
      </c>
      <c r="E164" s="411"/>
      <c r="F164" s="41">
        <f>F163-C170</f>
        <v>18870000.000000954</v>
      </c>
      <c r="G164" s="1519">
        <f>F105*3.7%</f>
        <v>18870000.000000004</v>
      </c>
      <c r="K164" s="54"/>
      <c r="L164" s="54"/>
      <c r="V164" s="921" t="s">
        <v>973</v>
      </c>
      <c r="W164" s="1257">
        <f>+(W163*0.7)</f>
        <v>83347059247.199997</v>
      </c>
      <c r="X164" s="956">
        <f>+W164/W163</f>
        <v>0.7</v>
      </c>
      <c r="Z164" s="921" t="s">
        <v>973</v>
      </c>
      <c r="AA164" s="1257">
        <f>+(AA163*0.7)</f>
        <v>88905495717.149994</v>
      </c>
      <c r="AB164" s="956">
        <f>+AA164/AA163</f>
        <v>0.7</v>
      </c>
      <c r="AD164" s="921" t="s">
        <v>973</v>
      </c>
      <c r="AE164" s="1257">
        <f>+(AE163*0.7)</f>
        <v>94987916074.653702</v>
      </c>
      <c r="AF164" s="956">
        <f>+AE164/AE163</f>
        <v>0.7</v>
      </c>
    </row>
    <row r="165" spans="2:32" ht="15" x14ac:dyDescent="0.25">
      <c r="B165" s="937" t="s">
        <v>974</v>
      </c>
      <c r="C165" s="1258">
        <f>+C163-C164</f>
        <v>33538194832.5</v>
      </c>
      <c r="D165" s="957">
        <f t="shared" ref="D165" si="42">+C165/$C$163</f>
        <v>0.3</v>
      </c>
      <c r="E165" s="411"/>
      <c r="F165" s="41"/>
      <c r="K165" s="54"/>
      <c r="L165" s="54"/>
      <c r="V165" s="937" t="s">
        <v>974</v>
      </c>
      <c r="W165" s="1258">
        <f>+W163-W164</f>
        <v>35720168248.800003</v>
      </c>
      <c r="X165" s="957">
        <f>+W165/W163</f>
        <v>0.30000000000000004</v>
      </c>
      <c r="Z165" s="937" t="s">
        <v>974</v>
      </c>
      <c r="AA165" s="1258">
        <f>+AA163-AA164</f>
        <v>38102355307.350006</v>
      </c>
      <c r="AB165" s="957">
        <f>+AA165/AA163</f>
        <v>0.30000000000000004</v>
      </c>
      <c r="AD165" s="937" t="s">
        <v>974</v>
      </c>
      <c r="AE165" s="1258">
        <f>+AE163-AE164</f>
        <v>40709106889.137314</v>
      </c>
      <c r="AF165" s="957">
        <f>+AE165/AE163</f>
        <v>0.30000000000000004</v>
      </c>
    </row>
    <row r="166" spans="2:32" x14ac:dyDescent="0.25">
      <c r="B166" s="1662"/>
      <c r="C166" s="1663"/>
      <c r="D166" s="1164"/>
      <c r="E166" s="73"/>
      <c r="F166" s="74"/>
      <c r="K166" s="54"/>
      <c r="L166" s="54"/>
    </row>
    <row r="167" spans="2:32" ht="22.5" customHeight="1" x14ac:dyDescent="0.25">
      <c r="B167" s="1673" t="s">
        <v>1832</v>
      </c>
      <c r="C167" s="1673"/>
      <c r="D167" s="73"/>
      <c r="E167" s="73"/>
      <c r="F167" s="74"/>
      <c r="K167" s="54"/>
      <c r="L167" s="54"/>
      <c r="V167" s="1673" t="s">
        <v>1832</v>
      </c>
      <c r="W167" s="1673"/>
      <c r="Z167" s="1673" t="s">
        <v>1832</v>
      </c>
      <c r="AA167" s="1673"/>
      <c r="AD167" s="1673" t="s">
        <v>1832</v>
      </c>
      <c r="AE167" s="1673"/>
    </row>
    <row r="168" spans="2:32" ht="15" x14ac:dyDescent="0.25">
      <c r="B168" s="921" t="s">
        <v>1833</v>
      </c>
      <c r="C168" s="1259">
        <f>11236130586.506-C46</f>
        <v>8365020586.5060005</v>
      </c>
      <c r="D168" s="411"/>
      <c r="E168" s="1165"/>
      <c r="F168" s="74"/>
      <c r="K168" s="54"/>
      <c r="L168" s="54"/>
      <c r="V168" s="921" t="s">
        <v>1833</v>
      </c>
      <c r="W168" s="1259">
        <f>+'Capacidad de Endeudamiento PA'!C33+'Capacidad de Endeudamiento PA'!C27-' Verdad Verdadera 24-27'!W46</f>
        <v>8413383493</v>
      </c>
      <c r="Z168" s="921" t="s">
        <v>1833</v>
      </c>
      <c r="AA168" s="1259">
        <f>+'Capacidad de Endeudamiento PA'!D27+'Capacidad de Endeudamiento PA'!D33-' Verdad Verdadera 24-27'!AA46</f>
        <v>12933937740</v>
      </c>
      <c r="AD168" s="921" t="s">
        <v>1833</v>
      </c>
      <c r="AE168" s="1259">
        <f>+'Capacidad de Endeudamiento PA'!E27+'Capacidad de Endeudamiento PA'!E33-' Verdad Verdadera 24-27'!AE46</f>
        <v>15537160628</v>
      </c>
    </row>
    <row r="169" spans="2:32" ht="15" x14ac:dyDescent="0.25">
      <c r="B169" s="921" t="s">
        <v>1835</v>
      </c>
      <c r="C169" s="1259">
        <v>4668913388</v>
      </c>
      <c r="D169" s="411"/>
      <c r="E169" s="1165"/>
      <c r="F169" s="74"/>
      <c r="K169" s="54"/>
      <c r="L169" s="54"/>
      <c r="V169" s="921" t="s">
        <v>1835</v>
      </c>
      <c r="W169" s="1259">
        <f>+'Asamblea 2024-2027'!C17</f>
        <v>5004907154.7475014</v>
      </c>
      <c r="Z169" s="921" t="s">
        <v>1835</v>
      </c>
      <c r="AA169" s="1259">
        <f>+'Asamblea 2024-2027'!D17</f>
        <v>5505397870.2222509</v>
      </c>
      <c r="AD169" s="921" t="s">
        <v>1835</v>
      </c>
      <c r="AE169" s="1259">
        <f>+'Asamblea 2024-2027'!E17</f>
        <v>6055937657.2444754</v>
      </c>
    </row>
    <row r="170" spans="2:32" ht="15" x14ac:dyDescent="0.25">
      <c r="B170" s="937" t="s">
        <v>1837</v>
      </c>
      <c r="C170" s="970">
        <f>(F53-C157-C160-C158-C159-C156)*0.037</f>
        <v>4117507362.6749997</v>
      </c>
      <c r="D170" s="1166"/>
      <c r="E170" s="1166"/>
      <c r="F170" s="74"/>
      <c r="V170" s="937" t="s">
        <v>1837</v>
      </c>
      <c r="W170" s="970">
        <f>(Y53-W157-W160-W158-W159-W156)*0.037</f>
        <v>4386006917.3520002</v>
      </c>
      <c r="Z170" s="937" t="s">
        <v>1837</v>
      </c>
      <c r="AA170" s="970">
        <f>(AC53-AA157-AA160-AA158-AA159-AA156)*0.037</f>
        <v>4678835962.9064999</v>
      </c>
      <c r="AD170" s="937" t="s">
        <v>1837</v>
      </c>
      <c r="AE170" s="970">
        <f>(AG53-AE157-AE160-AE158-AE159-AE156)*0.037</f>
        <v>4999312598.4102669</v>
      </c>
    </row>
    <row r="171" spans="2:32" ht="15" x14ac:dyDescent="0.25">
      <c r="B171" s="921" t="s">
        <v>1841</v>
      </c>
      <c r="C171" s="970">
        <f>+C156+C158+C159+C160+C163+A136-C168-C169-C170-C178-C179-C180-C181-C184</f>
        <v>27354674525.219002</v>
      </c>
      <c r="D171" s="411"/>
      <c r="E171" s="85"/>
      <c r="F171" s="74"/>
      <c r="V171" s="921" t="s">
        <v>1841</v>
      </c>
      <c r="W171" s="970">
        <f>+W156+W158+W159+W160+W163+U136-W168-W169-W170-W178-W179-W180-W181-W184</f>
        <v>35580986813.500504</v>
      </c>
      <c r="Z171" s="921" t="s">
        <v>1841</v>
      </c>
      <c r="AA171" s="970">
        <f>+AA156+AA158+AA159+AA160+AA163+Y136-AA168-AA169-AA170-AA178-AA179-AA180-AA181-AA184</f>
        <v>35336411307.873756</v>
      </c>
      <c r="AD171" s="921" t="s">
        <v>1841</v>
      </c>
      <c r="AE171" s="970">
        <f>+AE156+AE158+AE159+AE160+AE163+AC136-AE168-AE169-AE170-AE178-AE179-AE180-AE181-AE184</f>
        <v>37536351374.739403</v>
      </c>
    </row>
    <row r="172" spans="2:32" x14ac:dyDescent="0.25">
      <c r="B172" s="1167" t="s">
        <v>1773</v>
      </c>
      <c r="C172" s="1011">
        <f>+C168+C169+C170+C171</f>
        <v>44506115862.400002</v>
      </c>
      <c r="D172" s="411"/>
      <c r="E172" s="411"/>
      <c r="F172" s="422"/>
      <c r="V172" s="1167" t="s">
        <v>1773</v>
      </c>
      <c r="W172" s="1011">
        <f>+W168+W169+W170+W171</f>
        <v>53385284378.600006</v>
      </c>
      <c r="Z172" s="1167" t="s">
        <v>1773</v>
      </c>
      <c r="AA172" s="1011">
        <f>+AA168+AA169+AA170+AA171</f>
        <v>58454582881.00251</v>
      </c>
      <c r="AD172" s="1167" t="s">
        <v>1773</v>
      </c>
      <c r="AE172" s="1011">
        <f>+AE168+AE169+AE170+AE171</f>
        <v>64128762258.39415</v>
      </c>
    </row>
    <row r="173" spans="2:32" x14ac:dyDescent="0.25">
      <c r="B173" s="1669"/>
      <c r="C173" s="1669"/>
      <c r="D173" s="73"/>
      <c r="E173" s="73"/>
      <c r="F173" s="74"/>
    </row>
    <row r="174" spans="2:32" ht="24.75" customHeight="1" x14ac:dyDescent="0.25">
      <c r="B174" s="1670" t="s">
        <v>1842</v>
      </c>
      <c r="C174" s="1670"/>
      <c r="D174" s="124"/>
      <c r="E174" s="124"/>
      <c r="F174" s="124"/>
      <c r="V174" s="1670" t="s">
        <v>1842</v>
      </c>
      <c r="W174" s="1670"/>
      <c r="X174" s="124"/>
      <c r="Z174" s="1670" t="s">
        <v>1842</v>
      </c>
      <c r="AA174" s="1670"/>
      <c r="AB174" s="124"/>
      <c r="AD174" s="1670" t="s">
        <v>1842</v>
      </c>
      <c r="AE174" s="1670"/>
      <c r="AF174" s="124"/>
    </row>
    <row r="175" spans="2:32" ht="15" customHeight="1" x14ac:dyDescent="0.25">
      <c r="B175" s="940" t="s">
        <v>1843</v>
      </c>
      <c r="C175" s="1260">
        <f>+C169</f>
        <v>4668913388</v>
      </c>
      <c r="D175" s="73"/>
      <c r="E175" s="73"/>
      <c r="F175" s="74"/>
      <c r="V175" s="940" t="s">
        <v>1843</v>
      </c>
      <c r="W175" s="1260">
        <f>+W169</f>
        <v>5004907154.7475014</v>
      </c>
      <c r="X175" s="73"/>
      <c r="Z175" s="940" t="s">
        <v>1843</v>
      </c>
      <c r="AA175" s="1260">
        <f>+AA169</f>
        <v>5505397870.2222509</v>
      </c>
      <c r="AB175" s="73"/>
      <c r="AD175" s="940" t="s">
        <v>1843</v>
      </c>
      <c r="AE175" s="1260">
        <f>+AE169</f>
        <v>6055937657.2444754</v>
      </c>
      <c r="AF175" s="73"/>
    </row>
    <row r="176" spans="2:32" ht="15" customHeight="1" x14ac:dyDescent="0.25">
      <c r="B176" s="937" t="s">
        <v>1844</v>
      </c>
      <c r="C176" s="1258">
        <f>+C170</f>
        <v>4117507362.6749997</v>
      </c>
      <c r="D176" s="411"/>
      <c r="E176" s="411"/>
      <c r="F176" s="74"/>
      <c r="V176" s="937" t="s">
        <v>1844</v>
      </c>
      <c r="W176" s="1258">
        <f>+W170</f>
        <v>4386006917.3520002</v>
      </c>
      <c r="X176" s="411"/>
      <c r="Z176" s="937" t="s">
        <v>1844</v>
      </c>
      <c r="AA176" s="1258">
        <f>+AA170</f>
        <v>4678835962.9064999</v>
      </c>
      <c r="AB176" s="411"/>
      <c r="AD176" s="937" t="s">
        <v>1844</v>
      </c>
      <c r="AE176" s="1258">
        <f>+AE170</f>
        <v>4999312598.4102669</v>
      </c>
      <c r="AF176" s="411"/>
    </row>
    <row r="177" spans="2:33" ht="26.25" customHeight="1" x14ac:dyDescent="0.25">
      <c r="B177" s="921" t="s">
        <v>1845</v>
      </c>
      <c r="C177" s="1257">
        <f>+E43</f>
        <v>681193000</v>
      </c>
      <c r="D177" s="1168"/>
      <c r="E177" s="411"/>
      <c r="F177" s="74"/>
      <c r="V177" s="921" t="s">
        <v>1845</v>
      </c>
      <c r="W177" s="1257">
        <f>+X43</f>
        <v>715252650</v>
      </c>
      <c r="X177" s="1168"/>
      <c r="Z177" s="921" t="s">
        <v>1845</v>
      </c>
      <c r="AA177" s="1257">
        <f>+AB43</f>
        <v>751015282.5</v>
      </c>
      <c r="AB177" s="1168"/>
      <c r="AD177" s="921" t="s">
        <v>1845</v>
      </c>
      <c r="AE177" s="1257">
        <f>+AF43</f>
        <v>788566046.625</v>
      </c>
      <c r="AF177" s="1168"/>
    </row>
    <row r="178" spans="2:33" ht="26.25" customHeight="1" x14ac:dyDescent="0.25">
      <c r="B178" s="1004" t="s">
        <v>3221</v>
      </c>
      <c r="C178" s="1270">
        <v>2538098716</v>
      </c>
      <c r="D178" s="73"/>
      <c r="E178" s="411"/>
      <c r="F178" s="74"/>
      <c r="V178" s="1004" t="s">
        <v>4441</v>
      </c>
      <c r="W178" s="1270">
        <v>3701108420.6500001</v>
      </c>
      <c r="X178" s="73"/>
      <c r="Z178" s="1004" t="s">
        <v>4442</v>
      </c>
      <c r="AA178" s="1270">
        <v>3098391711.9099998</v>
      </c>
      <c r="AB178" s="73"/>
      <c r="AD178" s="1004" t="s">
        <v>4443</v>
      </c>
      <c r="AE178" s="1270">
        <v>2428140452.23</v>
      </c>
      <c r="AF178" s="73"/>
    </row>
    <row r="179" spans="2:33" ht="26.25" customHeight="1" x14ac:dyDescent="0.25">
      <c r="B179" s="937" t="s">
        <v>1847</v>
      </c>
      <c r="C179" s="1271">
        <f>51589822235+296687000</f>
        <v>51886509235</v>
      </c>
      <c r="D179" s="411"/>
      <c r="E179" s="411"/>
      <c r="F179" s="74"/>
      <c r="G179" s="1524"/>
      <c r="V179" s="937" t="s">
        <v>1847</v>
      </c>
      <c r="W179" s="1271">
        <f>+C179*1.05</f>
        <v>54480834696.75</v>
      </c>
      <c r="X179" s="411"/>
      <c r="Z179" s="937" t="s">
        <v>1847</v>
      </c>
      <c r="AA179" s="1271">
        <f>+W179*1.05</f>
        <v>57204876431.587502</v>
      </c>
      <c r="AB179" s="411"/>
      <c r="AD179" s="937" t="s">
        <v>1847</v>
      </c>
      <c r="AE179" s="1271">
        <f>+AA179*1.05</f>
        <v>60065120253.166878</v>
      </c>
      <c r="AF179" s="411"/>
    </row>
    <row r="180" spans="2:33" ht="26.25" customHeight="1" x14ac:dyDescent="0.25">
      <c r="B180" s="1002" t="s">
        <v>4440</v>
      </c>
      <c r="C180" s="1270">
        <v>7000000000</v>
      </c>
      <c r="D180" s="411"/>
      <c r="E180" s="411"/>
      <c r="F180" s="74"/>
      <c r="G180" s="1525"/>
      <c r="V180" s="1002" t="str">
        <f>+B180</f>
        <v xml:space="preserve"> Funcionamiento Educacion RO </v>
      </c>
      <c r="W180" s="1270">
        <v>5000000000</v>
      </c>
      <c r="X180" s="411"/>
      <c r="Z180" s="1002" t="str">
        <f>+V180</f>
        <v xml:space="preserve"> Funcionamiento Educacion RO </v>
      </c>
      <c r="AA180" s="1270">
        <f>+W180*1.1</f>
        <v>5500000000</v>
      </c>
      <c r="AB180" s="411"/>
      <c r="AD180" s="1002" t="str">
        <f>+Z180</f>
        <v xml:space="preserve"> Funcionamiento Educacion RO </v>
      </c>
      <c r="AE180" s="1270">
        <f>+AA180*1.1</f>
        <v>6050000000.000001</v>
      </c>
      <c r="AF180" s="411"/>
    </row>
    <row r="181" spans="2:33" ht="15" customHeight="1" x14ac:dyDescent="0.25">
      <c r="B181" s="1002" t="s">
        <v>1848</v>
      </c>
      <c r="C181" s="1272">
        <f>+(1969382468*1.2)+2500000000+1000000000</f>
        <v>5863258961.6000004</v>
      </c>
      <c r="D181" s="1169"/>
      <c r="E181" s="423"/>
      <c r="F181" s="74"/>
      <c r="V181" s="1002" t="s">
        <v>1848</v>
      </c>
      <c r="W181" s="1272">
        <v>2500000000</v>
      </c>
      <c r="X181" s="1169"/>
      <c r="Z181" s="1002" t="s">
        <v>1848</v>
      </c>
      <c r="AA181" s="1270">
        <f>+W181*1.1</f>
        <v>2750000000</v>
      </c>
      <c r="AB181" s="1169"/>
      <c r="AD181" s="1002" t="s">
        <v>1848</v>
      </c>
      <c r="AE181" s="1270">
        <f>+AA181*1.1</f>
        <v>3025000000.0000005</v>
      </c>
      <c r="AF181" s="1169"/>
    </row>
    <row r="182" spans="2:33" ht="15.75" customHeight="1" x14ac:dyDescent="0.25">
      <c r="B182" s="1004" t="s">
        <v>1849</v>
      </c>
      <c r="C182" s="1262">
        <f>+'Salud 2024 '!F25</f>
        <v>10015793400</v>
      </c>
      <c r="D182" s="411"/>
      <c r="E182" s="423"/>
      <c r="F182" s="74"/>
      <c r="V182" s="1004" t="s">
        <v>1849</v>
      </c>
      <c r="W182" s="1262">
        <f>+C182*1.05</f>
        <v>10516583070</v>
      </c>
      <c r="X182" s="411"/>
      <c r="Z182" s="1004" t="s">
        <v>1849</v>
      </c>
      <c r="AA182" s="1262">
        <f>+W182*1.05</f>
        <v>11042412223.5</v>
      </c>
      <c r="AB182" s="411"/>
      <c r="AD182" s="1004" t="s">
        <v>1849</v>
      </c>
      <c r="AE182" s="1262">
        <f>+AA182*1.05</f>
        <v>11594532834.675001</v>
      </c>
      <c r="AF182" s="411"/>
    </row>
    <row r="183" spans="2:33" ht="15" x14ac:dyDescent="0.25">
      <c r="B183" s="921" t="s">
        <v>1850</v>
      </c>
      <c r="C183" s="1263">
        <f>+E14+E22+E24+E30+E56+E92+E93+E99+E102+E37+E36+E55</f>
        <v>25966577800</v>
      </c>
      <c r="D183" s="1170">
        <f>+C184+C181+C180+C179+C178+C176+C175+C190+C192</f>
        <v>130220175000</v>
      </c>
      <c r="E183" s="423">
        <f>+F154</f>
        <v>130220175000</v>
      </c>
      <c r="F183" s="74"/>
      <c r="V183" s="921" t="s">
        <v>1850</v>
      </c>
      <c r="W183" s="1263">
        <f>+X14+X22+X24+X30+X56+X92+X93+X99+X102+X37+X36+X55</f>
        <v>28070251792</v>
      </c>
      <c r="X183" s="1170">
        <f>+W184+W181+W180+W179+W178+W176+W175+W190+W192</f>
        <v>138660953030</v>
      </c>
      <c r="Y183" s="423">
        <f>+Y154</f>
        <v>138660953030</v>
      </c>
      <c r="Z183" s="921" t="s">
        <v>1850</v>
      </c>
      <c r="AA183" s="1263">
        <f>+AB14+AB22+AB24+AB30+AB56+AB92+AB93+AB99+AB102+AB37+AB36+AB55</f>
        <v>30423414805.279999</v>
      </c>
      <c r="AB183" s="1170">
        <f>+AA184+AA181+AA180+AA179+AA178+AA176+AA175+AA190+AA192</f>
        <v>147870360537.5</v>
      </c>
      <c r="AC183" s="42">
        <f>+AC154</f>
        <v>147870360537.5</v>
      </c>
      <c r="AD183" s="921" t="s">
        <v>1850</v>
      </c>
      <c r="AE183" s="1263">
        <f>+AF14+AF22+AF24+AF30+AF56+AF92+AF93+AF99+AF102+AF37+AF36+AF55</f>
        <v>33064414250.207199</v>
      </c>
      <c r="AF183" s="1170">
        <f>+AE184+AE181+AE180+AE179+AE178+AE176+AE175+AE190+AE192</f>
        <v>157942892754.79102</v>
      </c>
      <c r="AG183" s="42">
        <f>+AG154</f>
        <v>157942892754.79102</v>
      </c>
    </row>
    <row r="184" spans="2:33" ht="15" customHeight="1" x14ac:dyDescent="0.25">
      <c r="B184" s="937" t="s">
        <v>1851</v>
      </c>
      <c r="C184" s="1261">
        <f>+C160+C158+C156+C159</f>
        <v>17129090475</v>
      </c>
      <c r="D184" s="1171"/>
      <c r="E184" s="413"/>
      <c r="F184" s="74"/>
      <c r="V184" s="937" t="s">
        <v>1851</v>
      </c>
      <c r="W184" s="1261">
        <f>+W160+W158+W156+W159</f>
        <v>18212381004</v>
      </c>
      <c r="X184" s="1171"/>
      <c r="Z184" s="937" t="s">
        <v>1851</v>
      </c>
      <c r="AA184" s="1261">
        <f>+AA160+AA158+AA156+AA159</f>
        <v>19389334158</v>
      </c>
      <c r="AB184" s="1171"/>
      <c r="AD184" s="937" t="s">
        <v>1851</v>
      </c>
      <c r="AE184" s="1261">
        <f>+AE160+AE158+AE156+AE159</f>
        <v>20672245526</v>
      </c>
      <c r="AF184" s="1171"/>
    </row>
    <row r="185" spans="2:33" ht="15" customHeight="1" x14ac:dyDescent="0.25">
      <c r="B185" s="921" t="s">
        <v>1852</v>
      </c>
      <c r="C185" s="1263">
        <f>+E11+E15+E23+E31+E33+E40+E13+E41</f>
        <v>27923926800</v>
      </c>
      <c r="D185" s="1170"/>
      <c r="E185" s="85"/>
      <c r="F185" s="74"/>
      <c r="H185" s="1150"/>
      <c r="V185" s="921" t="s">
        <v>1852</v>
      </c>
      <c r="W185" s="1263">
        <f>+X11+X15+X23+X31+X33+X40+X13+X41</f>
        <v>32218655672</v>
      </c>
      <c r="X185" s="1170"/>
      <c r="Z185" s="921" t="s">
        <v>1852</v>
      </c>
      <c r="AA185" s="1263">
        <f>+AB11+AB15+AB23+AB31+AB33+AB40+AB13+AB41</f>
        <v>37254153489.279999</v>
      </c>
      <c r="AB185" s="1170"/>
      <c r="AD185" s="921" t="s">
        <v>1852</v>
      </c>
      <c r="AE185" s="1263">
        <f>+AF11+AF15+AF23+AF31+AF33+AF40+AF13+AF41</f>
        <v>43165429780.071198</v>
      </c>
      <c r="AF185" s="1170"/>
    </row>
    <row r="186" spans="2:33" x14ac:dyDescent="0.25">
      <c r="B186" s="1172" t="s">
        <v>1853</v>
      </c>
      <c r="C186" s="1012">
        <f>+C175+C176+C179+C184+C185+C177+C183+C181+C182+C178+C180</f>
        <v>157790869138.27499</v>
      </c>
      <c r="D186" s="381"/>
      <c r="E186" s="87"/>
      <c r="F186" s="88"/>
      <c r="V186" s="1172" t="s">
        <v>1853</v>
      </c>
      <c r="W186" s="1012">
        <f>+W175+W176+W179+W184+W185+W177+W183+W181+W182+W178+W180</f>
        <v>164805981377.49948</v>
      </c>
      <c r="X186" s="381"/>
      <c r="Z186" s="1172" t="s">
        <v>1853</v>
      </c>
      <c r="AA186" s="1012">
        <f>+AA175+AA176+AA179+AA184+AA185+AA177+AA183+AA181+AA182+AA178+AA180</f>
        <v>177597831935.18625</v>
      </c>
      <c r="AB186" s="381"/>
      <c r="AD186" s="1172" t="s">
        <v>1853</v>
      </c>
      <c r="AE186" s="1012">
        <f>+AE175+AE176+AE179+AE184+AE185+AE177+AE183+AE181+AE182+AE178+AE180</f>
        <v>191908699398.63004</v>
      </c>
      <c r="AF186" s="381"/>
    </row>
    <row r="187" spans="2:33" x14ac:dyDescent="0.25">
      <c r="B187" s="1671"/>
      <c r="C187" s="1671"/>
      <c r="D187" s="73"/>
      <c r="E187" s="73"/>
      <c r="F187" s="74"/>
      <c r="V187" s="1671"/>
      <c r="W187" s="1671"/>
      <c r="X187" s="73"/>
      <c r="Z187" s="1671"/>
      <c r="AA187" s="1671"/>
      <c r="AB187" s="73"/>
      <c r="AD187" s="1671"/>
      <c r="AE187" s="1671"/>
      <c r="AF187" s="73"/>
    </row>
    <row r="188" spans="2:33" x14ac:dyDescent="0.25">
      <c r="B188" s="1172" t="s">
        <v>1854</v>
      </c>
      <c r="C188" s="1012">
        <f>C190+C189</f>
        <v>11236130586.506001</v>
      </c>
      <c r="D188" s="87"/>
      <c r="E188" s="87"/>
      <c r="F188" s="88"/>
      <c r="V188" s="1172" t="s">
        <v>1854</v>
      </c>
      <c r="W188" s="1012">
        <f>W190+W189</f>
        <v>11982449493</v>
      </c>
      <c r="X188" s="87"/>
      <c r="Z188" s="1172" t="s">
        <v>1854</v>
      </c>
      <c r="AA188" s="1012">
        <f>AA190+AA189</f>
        <v>16681457040</v>
      </c>
      <c r="AB188" s="87"/>
      <c r="AD188" s="1172" t="s">
        <v>1854</v>
      </c>
      <c r="AE188" s="1012">
        <f>AE190+AE189</f>
        <v>19472055893</v>
      </c>
      <c r="AF188" s="87"/>
    </row>
    <row r="189" spans="2:33" ht="15" x14ac:dyDescent="0.25">
      <c r="B189" s="937" t="s">
        <v>1855</v>
      </c>
      <c r="C189" s="1258">
        <f>+C46</f>
        <v>2871110000</v>
      </c>
      <c r="D189" s="87"/>
      <c r="E189" s="409"/>
      <c r="F189" s="88"/>
      <c r="V189" s="937" t="s">
        <v>1855</v>
      </c>
      <c r="W189" s="1258">
        <f>+W45+W46</f>
        <v>3569066000</v>
      </c>
      <c r="X189" s="87"/>
      <c r="Z189" s="937" t="s">
        <v>1855</v>
      </c>
      <c r="AA189" s="1258">
        <f>+AA46</f>
        <v>3747519300</v>
      </c>
      <c r="AB189" s="87"/>
      <c r="AD189" s="937" t="s">
        <v>1855</v>
      </c>
      <c r="AE189" s="1258">
        <f>+AE46</f>
        <v>3934895265</v>
      </c>
      <c r="AF189" s="87"/>
    </row>
    <row r="190" spans="2:33" ht="15" x14ac:dyDescent="0.25">
      <c r="B190" s="921" t="s">
        <v>1856</v>
      </c>
      <c r="C190" s="1260">
        <f>C168</f>
        <v>8365020586.5060005</v>
      </c>
      <c r="D190" s="87"/>
      <c r="E190" s="87"/>
      <c r="F190" s="88"/>
      <c r="V190" s="921" t="s">
        <v>1856</v>
      </c>
      <c r="W190" s="1260">
        <f>W168</f>
        <v>8413383493</v>
      </c>
      <c r="X190" s="87"/>
      <c r="Z190" s="921" t="s">
        <v>1856</v>
      </c>
      <c r="AA190" s="1260">
        <f>AA168</f>
        <v>12933937740</v>
      </c>
      <c r="AB190" s="87"/>
      <c r="AD190" s="921" t="s">
        <v>1856</v>
      </c>
      <c r="AE190" s="1260">
        <f>AE168</f>
        <v>15537160628</v>
      </c>
      <c r="AF190" s="87"/>
    </row>
    <row r="191" spans="2:33" x14ac:dyDescent="0.25">
      <c r="B191" s="1172" t="s">
        <v>1857</v>
      </c>
      <c r="D191" s="73"/>
      <c r="E191" s="73"/>
      <c r="F191" s="74"/>
      <c r="V191" s="1172" t="s">
        <v>1857</v>
      </c>
      <c r="X191" s="73"/>
      <c r="Z191" s="1172" t="s">
        <v>1857</v>
      </c>
      <c r="AB191" s="73"/>
      <c r="AD191" s="1172" t="s">
        <v>1857</v>
      </c>
      <c r="AF191" s="73"/>
    </row>
    <row r="192" spans="2:33" x14ac:dyDescent="0.25">
      <c r="B192" s="942" t="s">
        <v>1858</v>
      </c>
      <c r="C192" s="943">
        <f>+C171+C157</f>
        <v>28651776275.219002</v>
      </c>
      <c r="D192" s="411"/>
      <c r="E192" s="73"/>
      <c r="F192" s="74"/>
      <c r="V192" s="942" t="s">
        <v>1858</v>
      </c>
      <c r="W192" s="943">
        <f>+W171+W157</f>
        <v>36962331343.500504</v>
      </c>
      <c r="X192" s="411"/>
      <c r="Z192" s="942" t="s">
        <v>1858</v>
      </c>
      <c r="AA192" s="943">
        <f>+AA171+AA157</f>
        <v>36809586662.873756</v>
      </c>
      <c r="AB192" s="411"/>
      <c r="AD192" s="942" t="s">
        <v>1858</v>
      </c>
      <c r="AE192" s="943">
        <f>+AE171+AE157</f>
        <v>39109975639.739403</v>
      </c>
      <c r="AF192" s="411"/>
    </row>
    <row r="193" spans="1:32" x14ac:dyDescent="0.25">
      <c r="A193" s="941"/>
      <c r="B193" s="77" t="s">
        <v>1859</v>
      </c>
      <c r="C193" s="943">
        <f>+D12+D21+D25+D26+D27+D28+D29+D39+D44+D52+D91+D94+D95+D96+D97+D98+D100+D101+C149+C145+D45</f>
        <v>30277186400</v>
      </c>
      <c r="D193" s="411"/>
      <c r="E193" s="73"/>
      <c r="F193" s="74"/>
      <c r="V193" s="77" t="s">
        <v>1859</v>
      </c>
      <c r="W193" s="943">
        <f>+W12+W21+W25+W26+W27+W28+W29+W39+W44+W52+W91+W94+W95+W96+W97+W98+W100+W101+W103+W149+W145</f>
        <v>48706914446</v>
      </c>
      <c r="X193" s="411"/>
      <c r="Z193" s="77" t="s">
        <v>1859</v>
      </c>
      <c r="AA193" s="943">
        <f>+AA12+AA21+AA25+AA26+AA27+AA28+AA29+AA39+AA44+AA52+AA91+AA94+AA95+AA96+AA97+AA98+AA100+AA101+AA103+AA149+AA145</f>
        <v>68131062348.339996</v>
      </c>
      <c r="AB193" s="411"/>
      <c r="AD193" s="77" t="s">
        <v>1859</v>
      </c>
      <c r="AE193" s="943">
        <f>+AE12+AE21+AE25+AE26+AE27+AE28+AE29+AE39+AE44+AE52+AE91+AE94+AE95+AE96+AE97+AE98+AE100+AE101+AE103+AE149+AE145</f>
        <v>58290212942.336594</v>
      </c>
      <c r="AF193" s="411"/>
    </row>
    <row r="194" spans="1:32" s="1652" customFormat="1" x14ac:dyDescent="0.25">
      <c r="A194" s="1655"/>
      <c r="B194" s="77" t="s">
        <v>4454</v>
      </c>
      <c r="C194" s="944">
        <f>+D57+D58+D59+D60+D61+D62+D63+D64+D65+D66+D67+D68</f>
        <v>26991480109.829994</v>
      </c>
      <c r="D194" s="411"/>
      <c r="E194" s="73"/>
      <c r="F194" s="74"/>
      <c r="G194" s="1519"/>
      <c r="I194" s="648"/>
      <c r="V194" s="77"/>
      <c r="W194" s="944"/>
      <c r="X194" s="411"/>
      <c r="Z194" s="77"/>
      <c r="AA194" s="944"/>
      <c r="AB194" s="411"/>
      <c r="AD194" s="77"/>
      <c r="AE194" s="944"/>
      <c r="AF194" s="411"/>
    </row>
    <row r="195" spans="1:32" ht="15" x14ac:dyDescent="0.25">
      <c r="B195" s="942" t="s">
        <v>1860</v>
      </c>
      <c r="C195" s="944">
        <f>+D110+D111+D112+D113+D114+D115+D116+D117+D121+D122+D123+D124+D125+D126+D127+D128+D129+D130+D131+D132+D133+D134+D135+D136+D137+D138+D139+D140+D141-C182</f>
        <v>280317350600</v>
      </c>
      <c r="D195" s="411"/>
      <c r="E195" s="413"/>
      <c r="F195" s="74"/>
      <c r="V195" s="942" t="s">
        <v>1860</v>
      </c>
      <c r="W195" s="944">
        <f>+W110+W111+W112+W113+W114+W115+W116+W117+W121+W122+W123+W124+W125+W126+W127+W128+W129+W130+W131+W132+W133+W134+W135+W136+W137+W138+W139+W140+W141-W182</f>
        <v>295639665996</v>
      </c>
      <c r="X195" s="411"/>
      <c r="Z195" s="942" t="s">
        <v>1860</v>
      </c>
      <c r="AA195" s="944">
        <f>+AA110+AA111+AA112+AA113+AA114+AA115+AA116+AA117+AA121+AA122+AA123+AA124+AA125+AA126+AA127+AA128+AA129+AA130+AA131+AA132+AA133+AA134+AA135+AA136+AA137+AA138+AA139+AA140+AA141-AA182</f>
        <v>310421649295.79999</v>
      </c>
      <c r="AB195" s="411"/>
      <c r="AD195" s="942" t="s">
        <v>1860</v>
      </c>
      <c r="AE195" s="944">
        <f>+AE110+AE111+AE112+AE113+AE114+AE115+AE116+AE117+AE121+AE122+AE123+AE124+AE125+AE126+AE127+AE128+AE129+AE130+AE131+AE132+AE133+AE134+AE135+AE136+AE137+AE138+AE139+AE140+AE141-AE182</f>
        <v>325942731760.59003</v>
      </c>
      <c r="AF195" s="411"/>
    </row>
    <row r="196" spans="1:32" x14ac:dyDescent="0.25">
      <c r="B196" s="1172" t="s">
        <v>1861</v>
      </c>
      <c r="C196" s="1012">
        <f>+C195+C193+C192+C194</f>
        <v>366237793385.04901</v>
      </c>
      <c r="D196" s="409"/>
      <c r="E196" s="409"/>
      <c r="F196" s="88"/>
      <c r="V196" s="1172" t="s">
        <v>1861</v>
      </c>
      <c r="W196" s="1012">
        <f>+W195+W193+W192</f>
        <v>381308911785.50049</v>
      </c>
      <c r="X196" s="409"/>
      <c r="Z196" s="1172" t="s">
        <v>1861</v>
      </c>
      <c r="AA196" s="1012">
        <f>+AA195+AA193+AA192</f>
        <v>415362298307.01379</v>
      </c>
      <c r="AB196" s="409"/>
      <c r="AD196" s="1172" t="s">
        <v>1861</v>
      </c>
      <c r="AE196" s="1012">
        <f>+AE195+AE193+AE192</f>
        <v>423342920342.66602</v>
      </c>
      <c r="AF196" s="409"/>
    </row>
    <row r="197" spans="1:32" x14ac:dyDescent="0.25">
      <c r="B197" s="1672"/>
      <c r="C197" s="1672"/>
      <c r="D197" s="409"/>
      <c r="E197" s="1173"/>
      <c r="F197" s="88"/>
      <c r="V197" s="1672"/>
      <c r="W197" s="1672"/>
      <c r="X197" s="409"/>
      <c r="Z197" s="1672"/>
      <c r="AA197" s="1672"/>
      <c r="AB197" s="409"/>
      <c r="AD197" s="1672"/>
      <c r="AE197" s="1672"/>
      <c r="AF197" s="409"/>
    </row>
    <row r="198" spans="1:32" x14ac:dyDescent="0.25">
      <c r="B198" s="1172" t="s">
        <v>1862</v>
      </c>
      <c r="C198" s="1012">
        <f>C196+C188+C186</f>
        <v>535264793109.82996</v>
      </c>
      <c r="D198" s="409">
        <f>+C198-C154</f>
        <v>0</v>
      </c>
      <c r="E198" s="1528"/>
      <c r="F198" s="651"/>
      <c r="G198" s="1519">
        <v>227850000</v>
      </c>
      <c r="V198" s="1172" t="s">
        <v>1862</v>
      </c>
      <c r="W198" s="1012">
        <f>W196+W188+W186</f>
        <v>558097342656</v>
      </c>
      <c r="X198" s="409">
        <f>+W198-V154</f>
        <v>0</v>
      </c>
      <c r="Z198" s="1172" t="s">
        <v>1862</v>
      </c>
      <c r="AA198" s="1012">
        <f>AA196+AA188+AA186</f>
        <v>609641587282.20007</v>
      </c>
      <c r="AB198" s="409">
        <f>+AA198-Z154</f>
        <v>0</v>
      </c>
      <c r="AD198" s="1172" t="s">
        <v>1862</v>
      </c>
      <c r="AE198" s="1012">
        <f>AE196+AE188+AE186</f>
        <v>634723675634.29602</v>
      </c>
      <c r="AF198" s="409">
        <f>+AE198-AD154</f>
        <v>0</v>
      </c>
    </row>
    <row r="199" spans="1:32" x14ac:dyDescent="0.25">
      <c r="B199" s="77"/>
      <c r="C199" s="88"/>
      <c r="D199" s="411"/>
      <c r="E199" s="411"/>
      <c r="F199" s="74"/>
      <c r="V199" s="77"/>
      <c r="W199" s="88"/>
      <c r="X199" s="411"/>
      <c r="Z199" s="77"/>
      <c r="AA199" s="88"/>
      <c r="AB199" s="411"/>
      <c r="AD199" s="77"/>
      <c r="AE199" s="88"/>
      <c r="AF199" s="411"/>
    </row>
    <row r="200" spans="1:32" x14ac:dyDescent="0.25">
      <c r="C200" s="433"/>
      <c r="V200" s="95"/>
      <c r="W200" s="433"/>
      <c r="Z200" s="95"/>
      <c r="AA200" s="433"/>
      <c r="AD200" s="95"/>
      <c r="AE200" s="433"/>
    </row>
    <row r="201" spans="1:32" x14ac:dyDescent="0.25">
      <c r="B201" s="1666" t="s">
        <v>3222</v>
      </c>
      <c r="C201" s="1666"/>
      <c r="D201" s="1666"/>
      <c r="V201" s="1666" t="s">
        <v>4445</v>
      </c>
      <c r="W201" s="1666"/>
      <c r="X201" s="1666"/>
      <c r="Z201" s="1666" t="s">
        <v>4446</v>
      </c>
      <c r="AA201" s="1666"/>
      <c r="AB201" s="1666"/>
      <c r="AD201" s="1666" t="s">
        <v>4447</v>
      </c>
      <c r="AE201" s="1666"/>
      <c r="AF201" s="1666"/>
    </row>
    <row r="202" spans="1:32" x14ac:dyDescent="0.25">
      <c r="B202" s="1160" t="s">
        <v>970</v>
      </c>
      <c r="C202" s="1010" t="s">
        <v>971</v>
      </c>
      <c r="D202" s="1010" t="s">
        <v>956</v>
      </c>
      <c r="V202" s="1160" t="s">
        <v>970</v>
      </c>
      <c r="W202" s="1010" t="s">
        <v>971</v>
      </c>
      <c r="X202" s="1010" t="s">
        <v>956</v>
      </c>
      <c r="Z202" s="1160" t="s">
        <v>970</v>
      </c>
      <c r="AA202" s="1010" t="s">
        <v>971</v>
      </c>
      <c r="AB202" s="1010" t="s">
        <v>956</v>
      </c>
      <c r="AD202" s="1160" t="s">
        <v>970</v>
      </c>
      <c r="AE202" s="1010" t="s">
        <v>971</v>
      </c>
      <c r="AF202" s="1010" t="s">
        <v>956</v>
      </c>
    </row>
    <row r="203" spans="1:32" ht="15" x14ac:dyDescent="0.25">
      <c r="B203" s="921" t="s">
        <v>972</v>
      </c>
      <c r="C203" s="1257">
        <f>+C163</f>
        <v>111793982775</v>
      </c>
      <c r="D203" s="956">
        <v>1</v>
      </c>
      <c r="V203" s="921" t="s">
        <v>972</v>
      </c>
      <c r="W203" s="1257">
        <f>+W163</f>
        <v>119067227496</v>
      </c>
      <c r="X203" s="956">
        <v>1</v>
      </c>
      <c r="Z203" s="921" t="s">
        <v>972</v>
      </c>
      <c r="AA203" s="1257">
        <f>+AA163</f>
        <v>127007851024.5</v>
      </c>
      <c r="AB203" s="956">
        <v>1</v>
      </c>
      <c r="AD203" s="921" t="s">
        <v>972</v>
      </c>
      <c r="AE203" s="1257">
        <f>+AE163</f>
        <v>135697022963.79102</v>
      </c>
      <c r="AF203" s="956">
        <v>1</v>
      </c>
    </row>
    <row r="204" spans="1:32" ht="15" x14ac:dyDescent="0.25">
      <c r="B204" s="921" t="s">
        <v>973</v>
      </c>
      <c r="C204" s="1257">
        <f>+C179+C181+C178+C180</f>
        <v>67287866912.599998</v>
      </c>
      <c r="D204" s="956">
        <f>+C204/$C$163</f>
        <v>0.601891669322003</v>
      </c>
      <c r="V204" s="921" t="s">
        <v>973</v>
      </c>
      <c r="W204" s="1257">
        <f>+W179+W181+W178+W180</f>
        <v>65681943117.400002</v>
      </c>
      <c r="X204" s="956">
        <f>+W204/$C$163</f>
        <v>0.58752664040598224</v>
      </c>
      <c r="Z204" s="921" t="s">
        <v>973</v>
      </c>
      <c r="AA204" s="1257">
        <f>+AA179+AA181+AA178+AA180</f>
        <v>68553268143.497498</v>
      </c>
      <c r="AB204" s="956">
        <f>+AA204/$C$163</f>
        <v>0.61321071529824556</v>
      </c>
      <c r="AD204" s="921" t="s">
        <v>973</v>
      </c>
      <c r="AE204" s="1257">
        <f>+AE179+AE181+AE178+AE180</f>
        <v>71568260705.396881</v>
      </c>
      <c r="AF204" s="956">
        <f>+AE204/$C$163</f>
        <v>0.64017989992750646</v>
      </c>
    </row>
    <row r="205" spans="1:32" ht="15" x14ac:dyDescent="0.25">
      <c r="B205" s="937" t="s">
        <v>974</v>
      </c>
      <c r="C205" s="1258">
        <f>+C168+C169+C170+C171</f>
        <v>44506115862.400002</v>
      </c>
      <c r="D205" s="957">
        <f t="shared" ref="D205" si="43">+C205/$C$163</f>
        <v>0.398108330677997</v>
      </c>
      <c r="V205" s="937" t="s">
        <v>974</v>
      </c>
      <c r="W205" s="1258">
        <f>+W168+W169+W170+W171</f>
        <v>53385284378.600006</v>
      </c>
      <c r="X205" s="957">
        <f t="shared" ref="X205" si="44">+W205/$C$163</f>
        <v>0.47753271735603936</v>
      </c>
      <c r="Z205" s="937" t="s">
        <v>974</v>
      </c>
      <c r="AA205" s="1258">
        <f>+AA168+AA169+AA170+AA171</f>
        <v>58454582881.00251</v>
      </c>
      <c r="AB205" s="957">
        <f t="shared" ref="AB205" si="45">+AA205/$C$163</f>
        <v>0.52287772051783854</v>
      </c>
      <c r="AD205" s="937" t="s">
        <v>974</v>
      </c>
      <c r="AE205" s="1258">
        <f>+AE168+AE169+AE170+AE171</f>
        <v>64128762258.39415</v>
      </c>
      <c r="AF205" s="957">
        <f t="shared" ref="AF205" si="46">+AE205/$C$163</f>
        <v>0.57363339838658101</v>
      </c>
    </row>
    <row r="208" spans="1:32" ht="12.75" customHeight="1" x14ac:dyDescent="0.25"/>
    <row r="211" spans="2:3" x14ac:dyDescent="0.25">
      <c r="B211" s="1273"/>
      <c r="C211" s="41"/>
    </row>
    <row r="212" spans="2:3" x14ac:dyDescent="0.25">
      <c r="B212" s="1273" t="s">
        <v>3252</v>
      </c>
      <c r="C212" s="41">
        <f>+C179</f>
        <v>51886509235</v>
      </c>
    </row>
    <row r="213" spans="2:3" x14ac:dyDescent="0.25">
      <c r="B213" s="1273" t="s">
        <v>3253</v>
      </c>
      <c r="C213" s="41">
        <f>+C181</f>
        <v>5863258961.6000004</v>
      </c>
    </row>
    <row r="214" spans="2:3" x14ac:dyDescent="0.25">
      <c r="B214" s="1273" t="s">
        <v>3254</v>
      </c>
      <c r="C214" s="41">
        <f>+C180</f>
        <v>7000000000</v>
      </c>
    </row>
    <row r="215" spans="2:3" x14ac:dyDescent="0.25">
      <c r="B215" s="1273" t="s">
        <v>3255</v>
      </c>
      <c r="C215" s="41">
        <f>+C178</f>
        <v>2538098716</v>
      </c>
    </row>
    <row r="216" spans="2:3" x14ac:dyDescent="0.25">
      <c r="B216" s="1273" t="s">
        <v>3256</v>
      </c>
      <c r="C216" s="41">
        <f>+C176</f>
        <v>4117507362.6749997</v>
      </c>
    </row>
    <row r="217" spans="2:3" x14ac:dyDescent="0.25">
      <c r="B217" s="1273" t="s">
        <v>3257</v>
      </c>
      <c r="C217" s="41">
        <f>+C169</f>
        <v>4668913388</v>
      </c>
    </row>
    <row r="218" spans="2:3" x14ac:dyDescent="0.25">
      <c r="B218" s="1273" t="s">
        <v>3258</v>
      </c>
      <c r="C218" s="41">
        <f>+C156+C158+C159+C160</f>
        <v>17129090475</v>
      </c>
    </row>
    <row r="219" spans="2:3" x14ac:dyDescent="0.25">
      <c r="B219" s="1273" t="s">
        <v>3259</v>
      </c>
      <c r="C219" s="41">
        <f>SUM(C212:C218)</f>
        <v>93203378138.274994</v>
      </c>
    </row>
    <row r="220" spans="2:3" x14ac:dyDescent="0.25">
      <c r="B220" s="1273" t="s">
        <v>3260</v>
      </c>
      <c r="C220" s="41">
        <f>+C190</f>
        <v>8365020586.5060005</v>
      </c>
    </row>
    <row r="221" spans="2:3" x14ac:dyDescent="0.25">
      <c r="B221" s="1273" t="s">
        <v>3261</v>
      </c>
      <c r="C221" s="41">
        <f>+C219+C220</f>
        <v>101568398724.78099</v>
      </c>
    </row>
    <row r="222" spans="2:3" x14ac:dyDescent="0.25">
      <c r="B222" s="1273" t="s">
        <v>3262</v>
      </c>
      <c r="C222" s="41">
        <f>+C221-F154</f>
        <v>-28651776275.219009</v>
      </c>
    </row>
    <row r="223" spans="2:3" x14ac:dyDescent="0.25">
      <c r="B223" s="1273"/>
      <c r="C223" s="41">
        <f>+C192</f>
        <v>28651776275.219002</v>
      </c>
    </row>
  </sheetData>
  <autoFilter ref="A6:D53" xr:uid="{00000000-0009-0000-0000-000004000000}"/>
  <mergeCells count="51">
    <mergeCell ref="V4:Y4"/>
    <mergeCell ref="V5:Y5"/>
    <mergeCell ref="A2:F2"/>
    <mergeCell ref="A3:F3"/>
    <mergeCell ref="A4:F4"/>
    <mergeCell ref="A5:F5"/>
    <mergeCell ref="B187:C187"/>
    <mergeCell ref="B197:C197"/>
    <mergeCell ref="B201:D201"/>
    <mergeCell ref="A152:B152"/>
    <mergeCell ref="A154:B154"/>
    <mergeCell ref="B155:C155"/>
    <mergeCell ref="B161:C161"/>
    <mergeCell ref="B166:C166"/>
    <mergeCell ref="M154:P154"/>
    <mergeCell ref="G8:G9"/>
    <mergeCell ref="B167:C167"/>
    <mergeCell ref="B173:C173"/>
    <mergeCell ref="B174:C174"/>
    <mergeCell ref="A105:B105"/>
    <mergeCell ref="B107:C107"/>
    <mergeCell ref="B109:C109"/>
    <mergeCell ref="B120:C120"/>
    <mergeCell ref="B144:C144"/>
    <mergeCell ref="B148:C148"/>
    <mergeCell ref="A53:B53"/>
    <mergeCell ref="V174:W174"/>
    <mergeCell ref="V187:W187"/>
    <mergeCell ref="V197:W197"/>
    <mergeCell ref="V201:X201"/>
    <mergeCell ref="Z2:AC2"/>
    <mergeCell ref="Z3:AC3"/>
    <mergeCell ref="Z4:AC4"/>
    <mergeCell ref="Z5:AC5"/>
    <mergeCell ref="Z167:AA167"/>
    <mergeCell ref="Z174:AA174"/>
    <mergeCell ref="Z187:AA187"/>
    <mergeCell ref="Z197:AA197"/>
    <mergeCell ref="Z201:AB201"/>
    <mergeCell ref="V167:W167"/>
    <mergeCell ref="V2:Y2"/>
    <mergeCell ref="V3:Y3"/>
    <mergeCell ref="AD174:AE174"/>
    <mergeCell ref="AD187:AE187"/>
    <mergeCell ref="AD197:AE197"/>
    <mergeCell ref="AD201:AF201"/>
    <mergeCell ref="AD2:AG2"/>
    <mergeCell ref="AD3:AG3"/>
    <mergeCell ref="AD4:AG4"/>
    <mergeCell ref="AD5:AG5"/>
    <mergeCell ref="AD167:AE16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3880-0334-468F-8CDA-87283A362143}">
  <sheetPr>
    <tabColor rgb="FF00B050"/>
  </sheetPr>
  <dimension ref="A2:AG228"/>
  <sheetViews>
    <sheetView tabSelected="1" zoomScale="85" zoomScaleNormal="85" workbookViewId="0">
      <pane xSplit="2" ySplit="5" topLeftCell="C6" activePane="bottomRight" state="frozen"/>
      <selection pane="topRight" activeCell="C1" sqref="C1"/>
      <selection pane="bottomLeft" activeCell="A6" sqref="A6"/>
      <selection pane="bottomRight" activeCell="AE210" sqref="AE210"/>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customWidth="1"/>
    <col min="5" max="5" width="27" style="42" customWidth="1"/>
    <col min="6" max="6" width="19.140625" style="42" customWidth="1"/>
    <col min="7" max="7" width="16.140625" style="1519" hidden="1" customWidth="1"/>
    <col min="8" max="8" width="27.28515625" style="42" hidden="1" customWidth="1"/>
    <col min="9" max="9" width="19.28515625" style="648" hidden="1" customWidth="1"/>
    <col min="10" max="10" width="14.140625" style="42" hidden="1" customWidth="1"/>
    <col min="11" max="11" width="25.140625" style="42" hidden="1" customWidth="1"/>
    <col min="12" max="12" width="15.140625" style="42" hidden="1" customWidth="1"/>
    <col min="13" max="14" width="11.42578125" style="42" hidden="1" customWidth="1"/>
    <col min="15" max="15" width="13.140625" style="42" hidden="1" customWidth="1"/>
    <col min="16" max="16" width="13.5703125" style="42" hidden="1" customWidth="1"/>
    <col min="17" max="17" width="11.42578125" style="42" hidden="1" customWidth="1"/>
    <col min="18" max="19" width="13.140625" style="42" hidden="1" customWidth="1"/>
    <col min="20" max="21" width="11.42578125" style="42" hidden="1" customWidth="1"/>
    <col min="22" max="22" width="32.5703125" style="42" customWidth="1"/>
    <col min="23" max="23" width="19.7109375" style="42" customWidth="1"/>
    <col min="24" max="24" width="18.28515625" style="42" customWidth="1"/>
    <col min="25" max="25" width="17.7109375" style="42" bestFit="1" customWidth="1"/>
    <col min="26" max="26" width="28.42578125" style="42" customWidth="1"/>
    <col min="27" max="28" width="20" style="42" customWidth="1"/>
    <col min="29" max="29" width="20.42578125" style="42" customWidth="1"/>
    <col min="30" max="30" width="39.7109375" style="42" customWidth="1"/>
    <col min="31" max="31" width="22.140625" style="42" customWidth="1"/>
    <col min="32" max="32" width="18.85546875" style="42" bestFit="1" customWidth="1"/>
    <col min="33" max="33" width="22.140625" style="42" customWidth="1"/>
    <col min="34" max="264" width="11.42578125" style="42"/>
    <col min="265" max="265" width="30.42578125" style="42" customWidth="1"/>
    <col min="266" max="266" width="23.28515625" style="42" bestFit="1" customWidth="1"/>
    <col min="267" max="267" width="18.140625" style="42" bestFit="1" customWidth="1"/>
    <col min="268" max="268" width="15.85546875" style="42" bestFit="1" customWidth="1"/>
    <col min="269" max="520" width="11.42578125" style="42"/>
    <col min="521" max="521" width="30.42578125" style="42" customWidth="1"/>
    <col min="522" max="522" width="23.28515625" style="42" bestFit="1" customWidth="1"/>
    <col min="523" max="523" width="18.140625" style="42" bestFit="1" customWidth="1"/>
    <col min="524" max="524" width="15.85546875" style="42" bestFit="1" customWidth="1"/>
    <col min="525" max="776" width="11.42578125" style="42"/>
    <col min="777" max="777" width="30.42578125" style="42" customWidth="1"/>
    <col min="778" max="778" width="23.28515625" style="42" bestFit="1" customWidth="1"/>
    <col min="779" max="779" width="18.140625" style="42" bestFit="1" customWidth="1"/>
    <col min="780" max="780" width="15.85546875" style="42" bestFit="1" customWidth="1"/>
    <col min="781" max="1032" width="11.42578125" style="42"/>
    <col min="1033" max="1033" width="30.42578125" style="42" customWidth="1"/>
    <col min="1034" max="1034" width="23.28515625" style="42" bestFit="1" customWidth="1"/>
    <col min="1035" max="1035" width="18.140625" style="42" bestFit="1" customWidth="1"/>
    <col min="1036" max="1036" width="15.85546875" style="42" bestFit="1" customWidth="1"/>
    <col min="1037" max="1288" width="11.42578125" style="42"/>
    <col min="1289" max="1289" width="30.42578125" style="42" customWidth="1"/>
    <col min="1290" max="1290" width="23.28515625" style="42" bestFit="1" customWidth="1"/>
    <col min="1291" max="1291" width="18.140625" style="42" bestFit="1" customWidth="1"/>
    <col min="1292" max="1292" width="15.85546875" style="42" bestFit="1" customWidth="1"/>
    <col min="1293" max="1544" width="11.42578125" style="42"/>
    <col min="1545" max="1545" width="30.42578125" style="42" customWidth="1"/>
    <col min="1546" max="1546" width="23.28515625" style="42" bestFit="1" customWidth="1"/>
    <col min="1547" max="1547" width="18.140625" style="42" bestFit="1" customWidth="1"/>
    <col min="1548" max="1548" width="15.85546875" style="42" bestFit="1" customWidth="1"/>
    <col min="1549" max="1800" width="11.42578125" style="42"/>
    <col min="1801" max="1801" width="30.42578125" style="42" customWidth="1"/>
    <col min="1802" max="1802" width="23.28515625" style="42" bestFit="1" customWidth="1"/>
    <col min="1803" max="1803" width="18.140625" style="42" bestFit="1" customWidth="1"/>
    <col min="1804" max="1804" width="15.85546875" style="42" bestFit="1" customWidth="1"/>
    <col min="1805" max="2056" width="11.42578125" style="42"/>
    <col min="2057" max="2057" width="30.42578125" style="42" customWidth="1"/>
    <col min="2058" max="2058" width="23.28515625" style="42" bestFit="1" customWidth="1"/>
    <col min="2059" max="2059" width="18.140625" style="42" bestFit="1" customWidth="1"/>
    <col min="2060" max="2060" width="15.85546875" style="42" bestFit="1" customWidth="1"/>
    <col min="2061" max="2312" width="11.42578125" style="42"/>
    <col min="2313" max="2313" width="30.42578125" style="42" customWidth="1"/>
    <col min="2314" max="2314" width="23.28515625" style="42" bestFit="1" customWidth="1"/>
    <col min="2315" max="2315" width="18.140625" style="42" bestFit="1" customWidth="1"/>
    <col min="2316" max="2316" width="15.85546875" style="42" bestFit="1" customWidth="1"/>
    <col min="2317" max="2568" width="11.42578125" style="42"/>
    <col min="2569" max="2569" width="30.42578125" style="42" customWidth="1"/>
    <col min="2570" max="2570" width="23.28515625" style="42" bestFit="1" customWidth="1"/>
    <col min="2571" max="2571" width="18.140625" style="42" bestFit="1" customWidth="1"/>
    <col min="2572" max="2572" width="15.85546875" style="42" bestFit="1" customWidth="1"/>
    <col min="2573" max="2824" width="11.42578125" style="42"/>
    <col min="2825" max="2825" width="30.42578125" style="42" customWidth="1"/>
    <col min="2826" max="2826" width="23.28515625" style="42" bestFit="1" customWidth="1"/>
    <col min="2827" max="2827" width="18.140625" style="42" bestFit="1" customWidth="1"/>
    <col min="2828" max="2828" width="15.85546875" style="42" bestFit="1" customWidth="1"/>
    <col min="2829" max="3080" width="11.42578125" style="42"/>
    <col min="3081" max="3081" width="30.42578125" style="42" customWidth="1"/>
    <col min="3082" max="3082" width="23.28515625" style="42" bestFit="1" customWidth="1"/>
    <col min="3083" max="3083" width="18.140625" style="42" bestFit="1" customWidth="1"/>
    <col min="3084" max="3084" width="15.85546875" style="42" bestFit="1" customWidth="1"/>
    <col min="3085" max="3336" width="11.42578125" style="42"/>
    <col min="3337" max="3337" width="30.42578125" style="42" customWidth="1"/>
    <col min="3338" max="3338" width="23.28515625" style="42" bestFit="1" customWidth="1"/>
    <col min="3339" max="3339" width="18.140625" style="42" bestFit="1" customWidth="1"/>
    <col min="3340" max="3340" width="15.85546875" style="42" bestFit="1" customWidth="1"/>
    <col min="3341" max="3592" width="11.42578125" style="42"/>
    <col min="3593" max="3593" width="30.42578125" style="42" customWidth="1"/>
    <col min="3594" max="3594" width="23.28515625" style="42" bestFit="1" customWidth="1"/>
    <col min="3595" max="3595" width="18.140625" style="42" bestFit="1" customWidth="1"/>
    <col min="3596" max="3596" width="15.85546875" style="42" bestFit="1" customWidth="1"/>
    <col min="3597" max="3848" width="11.42578125" style="42"/>
    <col min="3849" max="3849" width="30.42578125" style="42" customWidth="1"/>
    <col min="3850" max="3850" width="23.28515625" style="42" bestFit="1" customWidth="1"/>
    <col min="3851" max="3851" width="18.140625" style="42" bestFit="1" customWidth="1"/>
    <col min="3852" max="3852" width="15.85546875" style="42" bestFit="1" customWidth="1"/>
    <col min="3853" max="4104" width="11.42578125" style="42"/>
    <col min="4105" max="4105" width="30.42578125" style="42" customWidth="1"/>
    <col min="4106" max="4106" width="23.28515625" style="42" bestFit="1" customWidth="1"/>
    <col min="4107" max="4107" width="18.140625" style="42" bestFit="1" customWidth="1"/>
    <col min="4108" max="4108" width="15.85546875" style="42" bestFit="1" customWidth="1"/>
    <col min="4109" max="4360" width="11.42578125" style="42"/>
    <col min="4361" max="4361" width="30.42578125" style="42" customWidth="1"/>
    <col min="4362" max="4362" width="23.28515625" style="42" bestFit="1" customWidth="1"/>
    <col min="4363" max="4363" width="18.140625" style="42" bestFit="1" customWidth="1"/>
    <col min="4364" max="4364" width="15.85546875" style="42" bestFit="1" customWidth="1"/>
    <col min="4365" max="4616" width="11.42578125" style="42"/>
    <col min="4617" max="4617" width="30.42578125" style="42" customWidth="1"/>
    <col min="4618" max="4618" width="23.28515625" style="42" bestFit="1" customWidth="1"/>
    <col min="4619" max="4619" width="18.140625" style="42" bestFit="1" customWidth="1"/>
    <col min="4620" max="4620" width="15.85546875" style="42" bestFit="1" customWidth="1"/>
    <col min="4621" max="4872" width="11.42578125" style="42"/>
    <col min="4873" max="4873" width="30.42578125" style="42" customWidth="1"/>
    <col min="4874" max="4874" width="23.28515625" style="42" bestFit="1" customWidth="1"/>
    <col min="4875" max="4875" width="18.140625" style="42" bestFit="1" customWidth="1"/>
    <col min="4876" max="4876" width="15.85546875" style="42" bestFit="1" customWidth="1"/>
    <col min="4877" max="5128" width="11.42578125" style="42"/>
    <col min="5129" max="5129" width="30.42578125" style="42" customWidth="1"/>
    <col min="5130" max="5130" width="23.28515625" style="42" bestFit="1" customWidth="1"/>
    <col min="5131" max="5131" width="18.140625" style="42" bestFit="1" customWidth="1"/>
    <col min="5132" max="5132" width="15.85546875" style="42" bestFit="1" customWidth="1"/>
    <col min="5133" max="5384" width="11.42578125" style="42"/>
    <col min="5385" max="5385" width="30.42578125" style="42" customWidth="1"/>
    <col min="5386" max="5386" width="23.28515625" style="42" bestFit="1" customWidth="1"/>
    <col min="5387" max="5387" width="18.140625" style="42" bestFit="1" customWidth="1"/>
    <col min="5388" max="5388" width="15.85546875" style="42" bestFit="1" customWidth="1"/>
    <col min="5389" max="5640" width="11.42578125" style="42"/>
    <col min="5641" max="5641" width="30.42578125" style="42" customWidth="1"/>
    <col min="5642" max="5642" width="23.28515625" style="42" bestFit="1" customWidth="1"/>
    <col min="5643" max="5643" width="18.140625" style="42" bestFit="1" customWidth="1"/>
    <col min="5644" max="5644" width="15.85546875" style="42" bestFit="1" customWidth="1"/>
    <col min="5645" max="5896" width="11.42578125" style="42"/>
    <col min="5897" max="5897" width="30.42578125" style="42" customWidth="1"/>
    <col min="5898" max="5898" width="23.28515625" style="42" bestFit="1" customWidth="1"/>
    <col min="5899" max="5899" width="18.140625" style="42" bestFit="1" customWidth="1"/>
    <col min="5900" max="5900" width="15.85546875" style="42" bestFit="1" customWidth="1"/>
    <col min="5901" max="6152" width="11.42578125" style="42"/>
    <col min="6153" max="6153" width="30.42578125" style="42" customWidth="1"/>
    <col min="6154" max="6154" width="23.28515625" style="42" bestFit="1" customWidth="1"/>
    <col min="6155" max="6155" width="18.140625" style="42" bestFit="1" customWidth="1"/>
    <col min="6156" max="6156" width="15.85546875" style="42" bestFit="1" customWidth="1"/>
    <col min="6157" max="6408" width="11.42578125" style="42"/>
    <col min="6409" max="6409" width="30.42578125" style="42" customWidth="1"/>
    <col min="6410" max="6410" width="23.28515625" style="42" bestFit="1" customWidth="1"/>
    <col min="6411" max="6411" width="18.140625" style="42" bestFit="1" customWidth="1"/>
    <col min="6412" max="6412" width="15.85546875" style="42" bestFit="1" customWidth="1"/>
    <col min="6413" max="6664" width="11.42578125" style="42"/>
    <col min="6665" max="6665" width="30.42578125" style="42" customWidth="1"/>
    <col min="6666" max="6666" width="23.28515625" style="42" bestFit="1" customWidth="1"/>
    <col min="6667" max="6667" width="18.140625" style="42" bestFit="1" customWidth="1"/>
    <col min="6668" max="6668" width="15.85546875" style="42" bestFit="1" customWidth="1"/>
    <col min="6669" max="6920" width="11.42578125" style="42"/>
    <col min="6921" max="6921" width="30.42578125" style="42" customWidth="1"/>
    <col min="6922" max="6922" width="23.28515625" style="42" bestFit="1" customWidth="1"/>
    <col min="6923" max="6923" width="18.140625" style="42" bestFit="1" customWidth="1"/>
    <col min="6924" max="6924" width="15.85546875" style="42" bestFit="1" customWidth="1"/>
    <col min="6925" max="7176" width="11.42578125" style="42"/>
    <col min="7177" max="7177" width="30.42578125" style="42" customWidth="1"/>
    <col min="7178" max="7178" width="23.28515625" style="42" bestFit="1" customWidth="1"/>
    <col min="7179" max="7179" width="18.140625" style="42" bestFit="1" customWidth="1"/>
    <col min="7180" max="7180" width="15.85546875" style="42" bestFit="1" customWidth="1"/>
    <col min="7181" max="7432" width="11.42578125" style="42"/>
    <col min="7433" max="7433" width="30.42578125" style="42" customWidth="1"/>
    <col min="7434" max="7434" width="23.28515625" style="42" bestFit="1" customWidth="1"/>
    <col min="7435" max="7435" width="18.140625" style="42" bestFit="1" customWidth="1"/>
    <col min="7436" max="7436" width="15.85546875" style="42" bestFit="1" customWidth="1"/>
    <col min="7437" max="7688" width="11.42578125" style="42"/>
    <col min="7689" max="7689" width="30.42578125" style="42" customWidth="1"/>
    <col min="7690" max="7690" width="23.28515625" style="42" bestFit="1" customWidth="1"/>
    <col min="7691" max="7691" width="18.140625" style="42" bestFit="1" customWidth="1"/>
    <col min="7692" max="7692" width="15.85546875" style="42" bestFit="1" customWidth="1"/>
    <col min="7693" max="7944" width="11.42578125" style="42"/>
    <col min="7945" max="7945" width="30.42578125" style="42" customWidth="1"/>
    <col min="7946" max="7946" width="23.28515625" style="42" bestFit="1" customWidth="1"/>
    <col min="7947" max="7947" width="18.140625" style="42" bestFit="1" customWidth="1"/>
    <col min="7948" max="7948" width="15.85546875" style="42" bestFit="1" customWidth="1"/>
    <col min="7949" max="8200" width="11.42578125" style="42"/>
    <col min="8201" max="8201" width="30.42578125" style="42" customWidth="1"/>
    <col min="8202" max="8202" width="23.28515625" style="42" bestFit="1" customWidth="1"/>
    <col min="8203" max="8203" width="18.140625" style="42" bestFit="1" customWidth="1"/>
    <col min="8204" max="8204" width="15.85546875" style="42" bestFit="1" customWidth="1"/>
    <col min="8205" max="8456" width="11.42578125" style="42"/>
    <col min="8457" max="8457" width="30.42578125" style="42" customWidth="1"/>
    <col min="8458" max="8458" width="23.28515625" style="42" bestFit="1" customWidth="1"/>
    <col min="8459" max="8459" width="18.140625" style="42" bestFit="1" customWidth="1"/>
    <col min="8460" max="8460" width="15.85546875" style="42" bestFit="1" customWidth="1"/>
    <col min="8461" max="8712" width="11.42578125" style="42"/>
    <col min="8713" max="8713" width="30.42578125" style="42" customWidth="1"/>
    <col min="8714" max="8714" width="23.28515625" style="42" bestFit="1" customWidth="1"/>
    <col min="8715" max="8715" width="18.140625" style="42" bestFit="1" customWidth="1"/>
    <col min="8716" max="8716" width="15.85546875" style="42" bestFit="1" customWidth="1"/>
    <col min="8717" max="8968" width="11.42578125" style="42"/>
    <col min="8969" max="8969" width="30.42578125" style="42" customWidth="1"/>
    <col min="8970" max="8970" width="23.28515625" style="42" bestFit="1" customWidth="1"/>
    <col min="8971" max="8971" width="18.140625" style="42" bestFit="1" customWidth="1"/>
    <col min="8972" max="8972" width="15.85546875" style="42" bestFit="1" customWidth="1"/>
    <col min="8973" max="9224" width="11.42578125" style="42"/>
    <col min="9225" max="9225" width="30.42578125" style="42" customWidth="1"/>
    <col min="9226" max="9226" width="23.28515625" style="42" bestFit="1" customWidth="1"/>
    <col min="9227" max="9227" width="18.140625" style="42" bestFit="1" customWidth="1"/>
    <col min="9228" max="9228" width="15.85546875" style="42" bestFit="1" customWidth="1"/>
    <col min="9229" max="9480" width="11.42578125" style="42"/>
    <col min="9481" max="9481" width="30.42578125" style="42" customWidth="1"/>
    <col min="9482" max="9482" width="23.28515625" style="42" bestFit="1" customWidth="1"/>
    <col min="9483" max="9483" width="18.140625" style="42" bestFit="1" customWidth="1"/>
    <col min="9484" max="9484" width="15.85546875" style="42" bestFit="1" customWidth="1"/>
    <col min="9485" max="9736" width="11.42578125" style="42"/>
    <col min="9737" max="9737" width="30.42578125" style="42" customWidth="1"/>
    <col min="9738" max="9738" width="23.28515625" style="42" bestFit="1" customWidth="1"/>
    <col min="9739" max="9739" width="18.140625" style="42" bestFit="1" customWidth="1"/>
    <col min="9740" max="9740" width="15.85546875" style="42" bestFit="1" customWidth="1"/>
    <col min="9741" max="9992" width="11.42578125" style="42"/>
    <col min="9993" max="9993" width="30.42578125" style="42" customWidth="1"/>
    <col min="9994" max="9994" width="23.28515625" style="42" bestFit="1" customWidth="1"/>
    <col min="9995" max="9995" width="18.140625" style="42" bestFit="1" customWidth="1"/>
    <col min="9996" max="9996" width="15.85546875" style="42" bestFit="1" customWidth="1"/>
    <col min="9997" max="10248" width="11.42578125" style="42"/>
    <col min="10249" max="10249" width="30.42578125" style="42" customWidth="1"/>
    <col min="10250" max="10250" width="23.28515625" style="42" bestFit="1" customWidth="1"/>
    <col min="10251" max="10251" width="18.140625" style="42" bestFit="1" customWidth="1"/>
    <col min="10252" max="10252" width="15.85546875" style="42" bestFit="1" customWidth="1"/>
    <col min="10253" max="10504" width="11.42578125" style="42"/>
    <col min="10505" max="10505" width="30.42578125" style="42" customWidth="1"/>
    <col min="10506" max="10506" width="23.28515625" style="42" bestFit="1" customWidth="1"/>
    <col min="10507" max="10507" width="18.140625" style="42" bestFit="1" customWidth="1"/>
    <col min="10508" max="10508" width="15.85546875" style="42" bestFit="1" customWidth="1"/>
    <col min="10509" max="10760" width="11.42578125" style="42"/>
    <col min="10761" max="10761" width="30.42578125" style="42" customWidth="1"/>
    <col min="10762" max="10762" width="23.28515625" style="42" bestFit="1" customWidth="1"/>
    <col min="10763" max="10763" width="18.140625" style="42" bestFit="1" customWidth="1"/>
    <col min="10764" max="10764" width="15.85546875" style="42" bestFit="1" customWidth="1"/>
    <col min="10765" max="11016" width="11.42578125" style="42"/>
    <col min="11017" max="11017" width="30.42578125" style="42" customWidth="1"/>
    <col min="11018" max="11018" width="23.28515625" style="42" bestFit="1" customWidth="1"/>
    <col min="11019" max="11019" width="18.140625" style="42" bestFit="1" customWidth="1"/>
    <col min="11020" max="11020" width="15.85546875" style="42" bestFit="1" customWidth="1"/>
    <col min="11021" max="11272" width="11.42578125" style="42"/>
    <col min="11273" max="11273" width="30.42578125" style="42" customWidth="1"/>
    <col min="11274" max="11274" width="23.28515625" style="42" bestFit="1" customWidth="1"/>
    <col min="11275" max="11275" width="18.140625" style="42" bestFit="1" customWidth="1"/>
    <col min="11276" max="11276" width="15.85546875" style="42" bestFit="1" customWidth="1"/>
    <col min="11277" max="11528" width="11.42578125" style="42"/>
    <col min="11529" max="11529" width="30.42578125" style="42" customWidth="1"/>
    <col min="11530" max="11530" width="23.28515625" style="42" bestFit="1" customWidth="1"/>
    <col min="11531" max="11531" width="18.140625" style="42" bestFit="1" customWidth="1"/>
    <col min="11532" max="11532" width="15.85546875" style="42" bestFit="1" customWidth="1"/>
    <col min="11533" max="11784" width="11.42578125" style="42"/>
    <col min="11785" max="11785" width="30.42578125" style="42" customWidth="1"/>
    <col min="11786" max="11786" width="23.28515625" style="42" bestFit="1" customWidth="1"/>
    <col min="11787" max="11787" width="18.140625" style="42" bestFit="1" customWidth="1"/>
    <col min="11788" max="11788" width="15.85546875" style="42" bestFit="1" customWidth="1"/>
    <col min="11789" max="12040" width="11.42578125" style="42"/>
    <col min="12041" max="12041" width="30.42578125" style="42" customWidth="1"/>
    <col min="12042" max="12042" width="23.28515625" style="42" bestFit="1" customWidth="1"/>
    <col min="12043" max="12043" width="18.140625" style="42" bestFit="1" customWidth="1"/>
    <col min="12044" max="12044" width="15.85546875" style="42" bestFit="1" customWidth="1"/>
    <col min="12045" max="12296" width="11.42578125" style="42"/>
    <col min="12297" max="12297" width="30.42578125" style="42" customWidth="1"/>
    <col min="12298" max="12298" width="23.28515625" style="42" bestFit="1" customWidth="1"/>
    <col min="12299" max="12299" width="18.140625" style="42" bestFit="1" customWidth="1"/>
    <col min="12300" max="12300" width="15.85546875" style="42" bestFit="1" customWidth="1"/>
    <col min="12301" max="12552" width="11.42578125" style="42"/>
    <col min="12553" max="12553" width="30.42578125" style="42" customWidth="1"/>
    <col min="12554" max="12554" width="23.28515625" style="42" bestFit="1" customWidth="1"/>
    <col min="12555" max="12555" width="18.140625" style="42" bestFit="1" customWidth="1"/>
    <col min="12556" max="12556" width="15.85546875" style="42" bestFit="1" customWidth="1"/>
    <col min="12557" max="12808" width="11.42578125" style="42"/>
    <col min="12809" max="12809" width="30.42578125" style="42" customWidth="1"/>
    <col min="12810" max="12810" width="23.28515625" style="42" bestFit="1" customWidth="1"/>
    <col min="12811" max="12811" width="18.140625" style="42" bestFit="1" customWidth="1"/>
    <col min="12812" max="12812" width="15.85546875" style="42" bestFit="1" customWidth="1"/>
    <col min="12813" max="13064" width="11.42578125" style="42"/>
    <col min="13065" max="13065" width="30.42578125" style="42" customWidth="1"/>
    <col min="13066" max="13066" width="23.28515625" style="42" bestFit="1" customWidth="1"/>
    <col min="13067" max="13067" width="18.140625" style="42" bestFit="1" customWidth="1"/>
    <col min="13068" max="13068" width="15.85546875" style="42" bestFit="1" customWidth="1"/>
    <col min="13069" max="13320" width="11.42578125" style="42"/>
    <col min="13321" max="13321" width="30.42578125" style="42" customWidth="1"/>
    <col min="13322" max="13322" width="23.28515625" style="42" bestFit="1" customWidth="1"/>
    <col min="13323" max="13323" width="18.140625" style="42" bestFit="1" customWidth="1"/>
    <col min="13324" max="13324" width="15.85546875" style="42" bestFit="1" customWidth="1"/>
    <col min="13325" max="13576" width="11.42578125" style="42"/>
    <col min="13577" max="13577" width="30.42578125" style="42" customWidth="1"/>
    <col min="13578" max="13578" width="23.28515625" style="42" bestFit="1" customWidth="1"/>
    <col min="13579" max="13579" width="18.140625" style="42" bestFit="1" customWidth="1"/>
    <col min="13580" max="13580" width="15.85546875" style="42" bestFit="1" customWidth="1"/>
    <col min="13581" max="13832" width="11.42578125" style="42"/>
    <col min="13833" max="13833" width="30.42578125" style="42" customWidth="1"/>
    <col min="13834" max="13834" width="23.28515625" style="42" bestFit="1" customWidth="1"/>
    <col min="13835" max="13835" width="18.140625" style="42" bestFit="1" customWidth="1"/>
    <col min="13836" max="13836" width="15.85546875" style="42" bestFit="1" customWidth="1"/>
    <col min="13837" max="14088" width="11.42578125" style="42"/>
    <col min="14089" max="14089" width="30.42578125" style="42" customWidth="1"/>
    <col min="14090" max="14090" width="23.28515625" style="42" bestFit="1" customWidth="1"/>
    <col min="14091" max="14091" width="18.140625" style="42" bestFit="1" customWidth="1"/>
    <col min="14092" max="14092" width="15.85546875" style="42" bestFit="1" customWidth="1"/>
    <col min="14093" max="14344" width="11.42578125" style="42"/>
    <col min="14345" max="14345" width="30.42578125" style="42" customWidth="1"/>
    <col min="14346" max="14346" width="23.28515625" style="42" bestFit="1" customWidth="1"/>
    <col min="14347" max="14347" width="18.140625" style="42" bestFit="1" customWidth="1"/>
    <col min="14348" max="14348" width="15.85546875" style="42" bestFit="1" customWidth="1"/>
    <col min="14349" max="14600" width="11.42578125" style="42"/>
    <col min="14601" max="14601" width="30.42578125" style="42" customWidth="1"/>
    <col min="14602" max="14602" width="23.28515625" style="42" bestFit="1" customWidth="1"/>
    <col min="14603" max="14603" width="18.140625" style="42" bestFit="1" customWidth="1"/>
    <col min="14604" max="14604" width="15.85546875" style="42" bestFit="1" customWidth="1"/>
    <col min="14605" max="14856" width="11.42578125" style="42"/>
    <col min="14857" max="14857" width="30.42578125" style="42" customWidth="1"/>
    <col min="14858" max="14858" width="23.28515625" style="42" bestFit="1" customWidth="1"/>
    <col min="14859" max="14859" width="18.140625" style="42" bestFit="1" customWidth="1"/>
    <col min="14860" max="14860" width="15.85546875" style="42" bestFit="1" customWidth="1"/>
    <col min="14861" max="15112" width="11.42578125" style="42"/>
    <col min="15113" max="15113" width="30.42578125" style="42" customWidth="1"/>
    <col min="15114" max="15114" width="23.28515625" style="42" bestFit="1" customWidth="1"/>
    <col min="15115" max="15115" width="18.140625" style="42" bestFit="1" customWidth="1"/>
    <col min="15116" max="15116" width="15.85546875" style="42" bestFit="1" customWidth="1"/>
    <col min="15117" max="15368" width="11.42578125" style="42"/>
    <col min="15369" max="15369" width="30.42578125" style="42" customWidth="1"/>
    <col min="15370" max="15370" width="23.28515625" style="42" bestFit="1" customWidth="1"/>
    <col min="15371" max="15371" width="18.140625" style="42" bestFit="1" customWidth="1"/>
    <col min="15372" max="15372" width="15.85546875" style="42" bestFit="1" customWidth="1"/>
    <col min="15373" max="15624" width="11.42578125" style="42"/>
    <col min="15625" max="15625" width="30.42578125" style="42" customWidth="1"/>
    <col min="15626" max="15626" width="23.28515625" style="42" bestFit="1" customWidth="1"/>
    <col min="15627" max="15627" width="18.140625" style="42" bestFit="1" customWidth="1"/>
    <col min="15628" max="15628" width="15.85546875" style="42" bestFit="1" customWidth="1"/>
    <col min="15629" max="15880" width="11.42578125" style="42"/>
    <col min="15881" max="15881" width="30.42578125" style="42" customWidth="1"/>
    <col min="15882" max="15882" width="23.28515625" style="42" bestFit="1" customWidth="1"/>
    <col min="15883" max="15883" width="18.140625" style="42" bestFit="1" customWidth="1"/>
    <col min="15884" max="15884" width="15.85546875" style="42" bestFit="1" customWidth="1"/>
    <col min="15885" max="16136" width="11.42578125" style="42"/>
    <col min="16137" max="16137" width="30.42578125" style="42" customWidth="1"/>
    <col min="16138" max="16138" width="23.28515625" style="42" bestFit="1" customWidth="1"/>
    <col min="16139" max="16139" width="18.140625" style="42" bestFit="1" customWidth="1"/>
    <col min="16140" max="16140" width="15.85546875" style="42" bestFit="1" customWidth="1"/>
    <col min="16141" max="16384" width="11.42578125" style="42"/>
  </cols>
  <sheetData>
    <row r="2" spans="1:33" ht="15" customHeight="1" x14ac:dyDescent="0.25">
      <c r="A2" s="1686" t="s">
        <v>1767</v>
      </c>
      <c r="B2" s="1686"/>
      <c r="C2" s="1686"/>
      <c r="D2" s="1686"/>
      <c r="E2" s="1686"/>
      <c r="F2" s="1687"/>
      <c r="G2" s="1520"/>
      <c r="V2" s="1688" t="s">
        <v>1767</v>
      </c>
      <c r="W2" s="1690"/>
      <c r="X2" s="1690"/>
      <c r="Y2" s="1691"/>
      <c r="Z2" s="1692" t="s">
        <v>1767</v>
      </c>
      <c r="AA2" s="1694"/>
      <c r="AB2" s="1694"/>
      <c r="AC2" s="1695"/>
      <c r="AD2" s="1696" t="s">
        <v>1767</v>
      </c>
      <c r="AE2" s="1698"/>
      <c r="AF2" s="1698"/>
      <c r="AG2" s="1699"/>
    </row>
    <row r="3" spans="1:33" ht="15" customHeight="1" x14ac:dyDescent="0.25">
      <c r="A3" s="1686" t="s">
        <v>1768</v>
      </c>
      <c r="B3" s="1686"/>
      <c r="C3" s="1686"/>
      <c r="D3" s="1686"/>
      <c r="E3" s="1686"/>
      <c r="F3" s="1687"/>
      <c r="G3" s="1520"/>
      <c r="V3" s="1688" t="s">
        <v>1768</v>
      </c>
      <c r="W3" s="1690"/>
      <c r="X3" s="1690"/>
      <c r="Y3" s="1691"/>
      <c r="Z3" s="1692" t="s">
        <v>1768</v>
      </c>
      <c r="AA3" s="1694"/>
      <c r="AB3" s="1694"/>
      <c r="AC3" s="1695"/>
      <c r="AD3" s="1696" t="s">
        <v>1768</v>
      </c>
      <c r="AE3" s="1698"/>
      <c r="AF3" s="1698"/>
      <c r="AG3" s="1699"/>
    </row>
    <row r="4" spans="1:33" ht="15" customHeight="1" x14ac:dyDescent="0.25">
      <c r="A4" s="1686" t="s">
        <v>1769</v>
      </c>
      <c r="B4" s="1686"/>
      <c r="C4" s="1686"/>
      <c r="D4" s="1686"/>
      <c r="E4" s="1686"/>
      <c r="F4" s="1687"/>
      <c r="G4" s="1520"/>
      <c r="V4" s="1688" t="s">
        <v>1769</v>
      </c>
      <c r="W4" s="1690"/>
      <c r="X4" s="1690"/>
      <c r="Y4" s="1691"/>
      <c r="Z4" s="1692" t="s">
        <v>1769</v>
      </c>
      <c r="AA4" s="1694"/>
      <c r="AB4" s="1694"/>
      <c r="AC4" s="1695"/>
      <c r="AD4" s="1696" t="s">
        <v>1769</v>
      </c>
      <c r="AE4" s="1698"/>
      <c r="AF4" s="1698"/>
      <c r="AG4" s="1699"/>
    </row>
    <row r="5" spans="1:33" ht="15" customHeight="1" x14ac:dyDescent="0.25">
      <c r="A5" s="1686" t="s">
        <v>3219</v>
      </c>
      <c r="B5" s="1686"/>
      <c r="C5" s="1686"/>
      <c r="D5" s="1686"/>
      <c r="E5" s="1686"/>
      <c r="F5" s="1687"/>
      <c r="G5" s="1520"/>
      <c r="V5" s="1688" t="s">
        <v>4349</v>
      </c>
      <c r="W5" s="1690"/>
      <c r="X5" s="1690"/>
      <c r="Y5" s="1691"/>
      <c r="Z5" s="1692" t="s">
        <v>4439</v>
      </c>
      <c r="AA5" s="1694"/>
      <c r="AB5" s="1694"/>
      <c r="AC5" s="1695"/>
      <c r="AD5" s="1696" t="s">
        <v>4448</v>
      </c>
      <c r="AE5" s="1698"/>
      <c r="AF5" s="1698"/>
      <c r="AG5" s="1699"/>
    </row>
    <row r="6" spans="1:33" s="95" customFormat="1" ht="53.25" customHeight="1" x14ac:dyDescent="0.25">
      <c r="A6" s="1615" t="s">
        <v>1771</v>
      </c>
      <c r="B6" s="1616" t="s">
        <v>1772</v>
      </c>
      <c r="C6" s="1617" t="s">
        <v>1773</v>
      </c>
      <c r="D6" s="1617" t="s">
        <v>1774</v>
      </c>
      <c r="E6" s="1618" t="s">
        <v>1775</v>
      </c>
      <c r="F6" s="1617" t="s">
        <v>1776</v>
      </c>
      <c r="G6" s="1521"/>
      <c r="I6" s="1291"/>
      <c r="V6" s="1529" t="s">
        <v>1773</v>
      </c>
      <c r="W6" s="1530" t="s">
        <v>1774</v>
      </c>
      <c r="X6" s="1531" t="s">
        <v>1775</v>
      </c>
      <c r="Y6" s="1530" t="s">
        <v>1776</v>
      </c>
      <c r="Z6" s="1613" t="s">
        <v>1773</v>
      </c>
      <c r="AA6" s="1613" t="s">
        <v>1774</v>
      </c>
      <c r="AB6" s="1613" t="s">
        <v>1775</v>
      </c>
      <c r="AC6" s="1613" t="s">
        <v>1776</v>
      </c>
      <c r="AD6" s="1614" t="s">
        <v>1773</v>
      </c>
      <c r="AE6" s="1614" t="s">
        <v>1774</v>
      </c>
      <c r="AF6" s="1614" t="s">
        <v>1775</v>
      </c>
      <c r="AG6" s="1614" t="s">
        <v>1776</v>
      </c>
    </row>
    <row r="7" spans="1:33" ht="25.5" x14ac:dyDescent="0.25">
      <c r="A7" s="1006">
        <v>20</v>
      </c>
      <c r="B7" s="923" t="s">
        <v>1023</v>
      </c>
      <c r="C7" s="924">
        <v>32803406000</v>
      </c>
      <c r="D7" s="924"/>
      <c r="E7" s="924"/>
      <c r="F7" s="924">
        <v>32803406000</v>
      </c>
      <c r="G7" s="924"/>
      <c r="H7" s="924"/>
      <c r="I7" s="924"/>
      <c r="J7" s="924"/>
      <c r="K7" s="924"/>
      <c r="L7" s="924"/>
      <c r="M7" s="924"/>
      <c r="N7" s="924"/>
      <c r="O7" s="924"/>
      <c r="P7" s="924"/>
      <c r="Q7" s="924"/>
      <c r="R7" s="924"/>
      <c r="S7" s="924"/>
      <c r="T7" s="924"/>
      <c r="U7" s="924"/>
      <c r="V7" s="924">
        <v>34443576300</v>
      </c>
      <c r="W7" s="924"/>
      <c r="X7" s="924"/>
      <c r="Y7" s="1526">
        <v>34443576300</v>
      </c>
      <c r="Z7" s="42">
        <v>36165755115</v>
      </c>
      <c r="AA7" s="924"/>
      <c r="AB7" s="924"/>
      <c r="AC7" s="1526">
        <v>36165755115</v>
      </c>
      <c r="AD7" s="42">
        <v>37974042870.75</v>
      </c>
      <c r="AE7" s="924"/>
      <c r="AF7" s="924"/>
      <c r="AG7" s="1526">
        <v>37974042870.75</v>
      </c>
    </row>
    <row r="8" spans="1:33" ht="25.5" customHeight="1" x14ac:dyDescent="0.25">
      <c r="A8" s="933">
        <v>20</v>
      </c>
      <c r="B8" s="923" t="s">
        <v>1157</v>
      </c>
      <c r="C8" s="924">
        <v>1478804000</v>
      </c>
      <c r="D8" s="924"/>
      <c r="E8" s="924"/>
      <c r="F8" s="924">
        <v>1478804000</v>
      </c>
      <c r="G8" s="924" t="s">
        <v>1777</v>
      </c>
      <c r="H8" s="924"/>
      <c r="I8" s="924"/>
      <c r="J8" s="924"/>
      <c r="K8" s="924"/>
      <c r="L8" s="924"/>
      <c r="M8" s="924"/>
      <c r="N8" s="924"/>
      <c r="O8" s="924"/>
      <c r="P8" s="924"/>
      <c r="Q8" s="924"/>
      <c r="R8" s="924"/>
      <c r="S8" s="924"/>
      <c r="T8" s="924"/>
      <c r="U8" s="924"/>
      <c r="V8" s="924">
        <v>1774564800</v>
      </c>
      <c r="W8" s="924"/>
      <c r="X8" s="924"/>
      <c r="Y8" s="1526">
        <v>1774564800</v>
      </c>
      <c r="Z8" s="42">
        <v>2129477760</v>
      </c>
      <c r="AA8" s="924"/>
      <c r="AB8" s="924"/>
      <c r="AC8" s="1526">
        <v>2129477760</v>
      </c>
      <c r="AD8" s="42">
        <v>2555373312</v>
      </c>
      <c r="AE8" s="924"/>
      <c r="AF8" s="924"/>
      <c r="AG8" s="1526">
        <v>2555373312</v>
      </c>
    </row>
    <row r="9" spans="1:33" ht="25.5" x14ac:dyDescent="0.25">
      <c r="A9" s="922">
        <v>20</v>
      </c>
      <c r="B9" s="923" t="s">
        <v>1158</v>
      </c>
      <c r="C9" s="924">
        <v>7607895000</v>
      </c>
      <c r="D9" s="924"/>
      <c r="E9" s="924"/>
      <c r="F9" s="924">
        <v>7607895000</v>
      </c>
      <c r="G9" s="924"/>
      <c r="H9" s="924">
        <v>28774686000</v>
      </c>
      <c r="I9" s="924">
        <v>1150987440</v>
      </c>
      <c r="J9" s="924">
        <v>1150987000</v>
      </c>
      <c r="K9" s="924"/>
      <c r="L9" s="924"/>
      <c r="M9" s="924"/>
      <c r="N9" s="924"/>
      <c r="O9" s="924"/>
      <c r="P9" s="924"/>
      <c r="Q9" s="924"/>
      <c r="R9" s="924"/>
      <c r="S9" s="924"/>
      <c r="T9" s="924"/>
      <c r="U9" s="924"/>
      <c r="V9" s="924">
        <v>9067470170</v>
      </c>
      <c r="W9" s="924"/>
      <c r="X9" s="924"/>
      <c r="Y9" s="1527">
        <v>9067470170</v>
      </c>
      <c r="Z9" s="42">
        <v>10971638905.699999</v>
      </c>
      <c r="AA9" s="924"/>
      <c r="AB9" s="924"/>
      <c r="AC9" s="1527">
        <v>10971638905.699999</v>
      </c>
      <c r="AD9" s="42">
        <v>13275683075.896997</v>
      </c>
      <c r="AE9" s="924"/>
      <c r="AF9" s="924"/>
      <c r="AG9" s="1527">
        <v>13275683075.896997</v>
      </c>
    </row>
    <row r="10" spans="1:33" x14ac:dyDescent="0.25">
      <c r="A10" s="922">
        <v>20</v>
      </c>
      <c r="B10" s="923" t="s">
        <v>1779</v>
      </c>
      <c r="C10" s="924">
        <v>17264812000</v>
      </c>
      <c r="D10" s="924"/>
      <c r="E10" s="924"/>
      <c r="F10" s="924">
        <v>17264812000</v>
      </c>
      <c r="G10" s="924"/>
      <c r="H10" s="924"/>
      <c r="I10" s="924">
        <v>1726481160</v>
      </c>
      <c r="J10" s="924">
        <v>1726481000</v>
      </c>
      <c r="K10" s="924"/>
      <c r="L10" s="924"/>
      <c r="M10" s="924"/>
      <c r="N10" s="924"/>
      <c r="O10" s="924"/>
      <c r="P10" s="924"/>
      <c r="Q10" s="924"/>
      <c r="R10" s="924"/>
      <c r="S10" s="924"/>
      <c r="T10" s="924"/>
      <c r="U10" s="924"/>
      <c r="V10" s="924">
        <v>18645996960</v>
      </c>
      <c r="W10" s="927"/>
      <c r="X10" s="924"/>
      <c r="Y10" s="1527">
        <v>18645996960</v>
      </c>
      <c r="Z10" s="42">
        <v>20137676716.800003</v>
      </c>
      <c r="AA10" s="927"/>
      <c r="AB10" s="924"/>
      <c r="AC10" s="1527">
        <v>20137676716.800003</v>
      </c>
      <c r="AD10" s="42">
        <v>21748690854.144005</v>
      </c>
      <c r="AE10" s="927"/>
      <c r="AF10" s="924"/>
      <c r="AG10" s="1527">
        <v>21748690854.144005</v>
      </c>
    </row>
    <row r="11" spans="1:33" x14ac:dyDescent="0.25">
      <c r="A11" s="922">
        <v>1</v>
      </c>
      <c r="B11" s="923" t="s">
        <v>1780</v>
      </c>
      <c r="C11" s="924">
        <v>5754937000</v>
      </c>
      <c r="D11" s="924"/>
      <c r="E11" s="924">
        <v>5754937000</v>
      </c>
      <c r="F11" s="924"/>
      <c r="G11" s="924"/>
      <c r="H11" s="924"/>
      <c r="I11" s="924">
        <v>2877468600</v>
      </c>
      <c r="J11" s="924">
        <v>2877469000</v>
      </c>
      <c r="K11" s="924"/>
      <c r="L11" s="924"/>
      <c r="M11" s="924"/>
      <c r="N11" s="924"/>
      <c r="O11" s="924"/>
      <c r="P11" s="924"/>
      <c r="Q11" s="924"/>
      <c r="R11" s="924"/>
      <c r="S11" s="924"/>
      <c r="T11" s="924"/>
      <c r="U11" s="924"/>
      <c r="V11" s="924">
        <v>6215331960</v>
      </c>
      <c r="W11" s="927"/>
      <c r="X11" s="1251">
        <v>6215331960</v>
      </c>
      <c r="Y11" s="925"/>
      <c r="Z11" s="42">
        <v>6712558516.8000002</v>
      </c>
      <c r="AA11" s="927"/>
      <c r="AB11" s="1251">
        <v>6712558516.8000002</v>
      </c>
      <c r="AC11" s="925"/>
      <c r="AD11" s="42">
        <v>7249563198.144001</v>
      </c>
      <c r="AE11" s="927"/>
      <c r="AF11" s="1251">
        <v>7249563198.144001</v>
      </c>
      <c r="AG11" s="925"/>
    </row>
    <row r="12" spans="1:33" x14ac:dyDescent="0.25">
      <c r="A12" s="922">
        <v>52</v>
      </c>
      <c r="B12" s="923" t="s">
        <v>1028</v>
      </c>
      <c r="C12" s="924">
        <v>1150987000</v>
      </c>
      <c r="D12" s="924">
        <v>1150987000</v>
      </c>
      <c r="E12" s="924"/>
      <c r="F12" s="924"/>
      <c r="G12" s="924"/>
      <c r="H12" s="924"/>
      <c r="I12" s="924">
        <v>5754937200</v>
      </c>
      <c r="J12" s="924">
        <v>5754937000</v>
      </c>
      <c r="K12" s="924"/>
      <c r="L12" s="924"/>
      <c r="M12" s="924"/>
      <c r="N12" s="924"/>
      <c r="O12" s="924"/>
      <c r="P12" s="924"/>
      <c r="Q12" s="924"/>
      <c r="R12" s="924"/>
      <c r="S12" s="924"/>
      <c r="T12" s="924"/>
      <c r="U12" s="924"/>
      <c r="V12" s="924">
        <v>1243065960</v>
      </c>
      <c r="W12" s="924">
        <v>1243065960</v>
      </c>
      <c r="X12" s="924"/>
      <c r="Y12" s="925"/>
      <c r="Z12" s="42">
        <v>1342511236.8000002</v>
      </c>
      <c r="AA12" s="924">
        <v>1342511236.8000002</v>
      </c>
      <c r="AB12" s="924"/>
      <c r="AC12" s="925"/>
      <c r="AD12" s="42">
        <v>1449912135.7440002</v>
      </c>
      <c r="AE12" s="924">
        <v>1449912135.7440002</v>
      </c>
      <c r="AF12" s="924"/>
      <c r="AG12" s="925"/>
    </row>
    <row r="13" spans="1:33" x14ac:dyDescent="0.25">
      <c r="A13" s="922">
        <v>53</v>
      </c>
      <c r="B13" s="923" t="s">
        <v>1781</v>
      </c>
      <c r="C13" s="924">
        <v>1726481000</v>
      </c>
      <c r="D13" s="924"/>
      <c r="E13" s="924">
        <v>1726481000</v>
      </c>
      <c r="F13" s="924"/>
      <c r="G13" s="924"/>
      <c r="H13" s="924"/>
      <c r="I13" s="924"/>
      <c r="J13" s="924"/>
      <c r="K13" s="924"/>
      <c r="L13" s="924"/>
      <c r="M13" s="924"/>
      <c r="N13" s="924"/>
      <c r="O13" s="924"/>
      <c r="P13" s="924"/>
      <c r="Q13" s="924"/>
      <c r="R13" s="924"/>
      <c r="S13" s="924"/>
      <c r="T13" s="924"/>
      <c r="U13" s="924"/>
      <c r="V13" s="924">
        <v>1864599480.0000002</v>
      </c>
      <c r="W13" s="924"/>
      <c r="X13" s="1251">
        <v>1864599480.0000002</v>
      </c>
      <c r="Y13" s="924"/>
      <c r="Z13" s="42">
        <v>2013767438.4000003</v>
      </c>
      <c r="AA13" s="924"/>
      <c r="AB13" s="1251">
        <v>2013767438.4000003</v>
      </c>
      <c r="AC13" s="924"/>
      <c r="AD13" s="42">
        <v>2174868833.4720006</v>
      </c>
      <c r="AE13" s="924"/>
      <c r="AF13" s="1251">
        <v>2174868833.4720006</v>
      </c>
      <c r="AG13" s="924"/>
    </row>
    <row r="14" spans="1:33" ht="25.5" x14ac:dyDescent="0.25">
      <c r="A14" s="922">
        <v>13</v>
      </c>
      <c r="B14" s="923" t="s">
        <v>1030</v>
      </c>
      <c r="C14" s="924">
        <v>2877469000</v>
      </c>
      <c r="D14" s="924"/>
      <c r="E14" s="924">
        <v>2877469000</v>
      </c>
      <c r="F14" s="924"/>
      <c r="G14" s="924"/>
      <c r="H14" s="924"/>
      <c r="I14" s="924"/>
      <c r="J14" s="924"/>
      <c r="K14" s="924"/>
      <c r="L14" s="924"/>
      <c r="M14" s="924"/>
      <c r="N14" s="924"/>
      <c r="O14" s="924"/>
      <c r="P14" s="924"/>
      <c r="Q14" s="924"/>
      <c r="R14" s="924"/>
      <c r="S14" s="924"/>
      <c r="T14" s="924"/>
      <c r="U14" s="924"/>
      <c r="V14" s="924">
        <v>3107666520</v>
      </c>
      <c r="W14" s="924"/>
      <c r="X14" s="924">
        <v>3107666520</v>
      </c>
      <c r="Y14" s="925"/>
      <c r="Z14" s="42">
        <v>3356279841.6000004</v>
      </c>
      <c r="AA14" s="924"/>
      <c r="AB14" s="924">
        <v>3356279841.6000004</v>
      </c>
      <c r="AC14" s="925"/>
      <c r="AD14" s="42">
        <v>3624782228.9280005</v>
      </c>
      <c r="AE14" s="924"/>
      <c r="AF14" s="924">
        <v>3624782228.9280005</v>
      </c>
      <c r="AG14" s="925"/>
    </row>
    <row r="15" spans="1:33" ht="25.5" x14ac:dyDescent="0.25">
      <c r="A15" s="922">
        <v>145</v>
      </c>
      <c r="B15" s="923" t="s">
        <v>3237</v>
      </c>
      <c r="C15" s="924">
        <v>233083000</v>
      </c>
      <c r="D15" s="924"/>
      <c r="E15" s="924">
        <v>233083000</v>
      </c>
      <c r="F15" s="924"/>
      <c r="G15" s="924"/>
      <c r="H15" s="924"/>
      <c r="I15" s="924"/>
      <c r="J15" s="924"/>
      <c r="K15" s="924"/>
      <c r="L15" s="924"/>
      <c r="M15" s="924"/>
      <c r="N15" s="924"/>
      <c r="O15" s="924"/>
      <c r="P15" s="924"/>
      <c r="Q15" s="924"/>
      <c r="R15" s="924"/>
      <c r="S15" s="924"/>
      <c r="T15" s="924"/>
      <c r="U15" s="924"/>
      <c r="V15" s="924">
        <v>244737150</v>
      </c>
      <c r="W15" s="924"/>
      <c r="X15" s="1251">
        <v>244737150</v>
      </c>
      <c r="Y15" s="925"/>
      <c r="Z15" s="42">
        <v>256974007.5</v>
      </c>
      <c r="AA15" s="924"/>
      <c r="AB15" s="1251">
        <v>256974007.5</v>
      </c>
      <c r="AC15" s="925"/>
      <c r="AD15" s="42">
        <v>269822707.875</v>
      </c>
      <c r="AE15" s="924"/>
      <c r="AF15" s="1251">
        <v>269822707.875</v>
      </c>
      <c r="AG15" s="925"/>
    </row>
    <row r="16" spans="1:33" x14ac:dyDescent="0.25">
      <c r="A16" s="922">
        <v>20</v>
      </c>
      <c r="B16" s="923" t="s">
        <v>3238</v>
      </c>
      <c r="C16" s="924">
        <v>4661652000</v>
      </c>
      <c r="D16" s="924"/>
      <c r="E16" s="924"/>
      <c r="F16" s="924">
        <v>4661652000</v>
      </c>
      <c r="G16" s="924"/>
      <c r="H16" s="924"/>
      <c r="I16" s="924"/>
      <c r="J16" s="924"/>
      <c r="K16" s="924"/>
      <c r="L16" s="924"/>
      <c r="M16" s="924"/>
      <c r="N16" s="924"/>
      <c r="O16" s="924"/>
      <c r="P16" s="924"/>
      <c r="Q16" s="924"/>
      <c r="R16" s="924"/>
      <c r="S16" s="924"/>
      <c r="T16" s="924"/>
      <c r="U16" s="924"/>
      <c r="V16" s="924">
        <v>4894734600</v>
      </c>
      <c r="W16" s="924"/>
      <c r="X16" s="924"/>
      <c r="Y16" s="1526">
        <v>4894734600</v>
      </c>
      <c r="Z16" s="42">
        <v>5139471330</v>
      </c>
      <c r="AA16" s="924"/>
      <c r="AB16" s="924"/>
      <c r="AC16" s="1526">
        <v>5139471330</v>
      </c>
      <c r="AD16" s="42">
        <v>5396444896.5</v>
      </c>
      <c r="AE16" s="924"/>
      <c r="AF16" s="924"/>
      <c r="AG16" s="1526">
        <v>5396444896.5</v>
      </c>
    </row>
    <row r="17" spans="1:33" x14ac:dyDescent="0.25">
      <c r="A17" s="922">
        <v>20</v>
      </c>
      <c r="B17" s="923" t="s">
        <v>3240</v>
      </c>
      <c r="C17" s="924">
        <v>21471737000</v>
      </c>
      <c r="D17" s="924"/>
      <c r="E17" s="924"/>
      <c r="F17" s="924">
        <v>21471737000</v>
      </c>
      <c r="G17" s="924"/>
      <c r="H17" s="924"/>
      <c r="I17" s="924"/>
      <c r="J17" s="924"/>
      <c r="K17" s="924"/>
      <c r="L17" s="924"/>
      <c r="M17" s="924"/>
      <c r="N17" s="924"/>
      <c r="O17" s="924"/>
      <c r="P17" s="924"/>
      <c r="Q17" s="924"/>
      <c r="R17" s="924"/>
      <c r="S17" s="924"/>
      <c r="T17" s="924"/>
      <c r="U17" s="924"/>
      <c r="V17" s="924">
        <v>22545323850</v>
      </c>
      <c r="W17" s="924"/>
      <c r="X17" s="924"/>
      <c r="Y17" s="1526">
        <v>22545323850</v>
      </c>
      <c r="Z17" s="42">
        <v>23672590042.5</v>
      </c>
      <c r="AA17" s="924"/>
      <c r="AB17" s="924"/>
      <c r="AC17" s="1526">
        <v>23672590042.5</v>
      </c>
      <c r="AD17" s="42">
        <v>24856219544.625</v>
      </c>
      <c r="AE17" s="924"/>
      <c r="AF17" s="924"/>
      <c r="AG17" s="1526">
        <v>24856219544.625</v>
      </c>
    </row>
    <row r="18" spans="1:33" ht="25.5" x14ac:dyDescent="0.25">
      <c r="A18" s="922">
        <v>20</v>
      </c>
      <c r="B18" s="923" t="s">
        <v>1788</v>
      </c>
      <c r="C18" s="924">
        <v>14173023000</v>
      </c>
      <c r="D18" s="924"/>
      <c r="E18" s="924"/>
      <c r="F18" s="924">
        <v>14173023000</v>
      </c>
      <c r="G18" s="924"/>
      <c r="H18" s="924"/>
      <c r="I18" s="924"/>
      <c r="J18" s="924"/>
      <c r="K18" s="924"/>
      <c r="L18" s="924"/>
      <c r="M18" s="924"/>
      <c r="N18" s="924"/>
      <c r="O18" s="924"/>
      <c r="P18" s="924"/>
      <c r="Q18" s="924"/>
      <c r="R18" s="924"/>
      <c r="S18" s="924"/>
      <c r="T18" s="924"/>
      <c r="U18" s="924"/>
      <c r="V18" s="924">
        <v>14881674150</v>
      </c>
      <c r="W18" s="924"/>
      <c r="X18" s="924"/>
      <c r="Y18" s="1526">
        <v>14881674150</v>
      </c>
      <c r="Z18" s="42">
        <v>15625757857.5</v>
      </c>
      <c r="AA18" s="924"/>
      <c r="AB18" s="924"/>
      <c r="AC18" s="1526">
        <v>15625757857.5</v>
      </c>
      <c r="AD18" s="42">
        <v>16407045750.375</v>
      </c>
      <c r="AE18" s="924"/>
      <c r="AF18" s="924"/>
      <c r="AG18" s="1526">
        <v>16407045750.375</v>
      </c>
    </row>
    <row r="19" spans="1:33" ht="25.5" x14ac:dyDescent="0.25">
      <c r="A19" s="922">
        <v>20</v>
      </c>
      <c r="B19" s="923" t="s">
        <v>1045</v>
      </c>
      <c r="C19" s="924">
        <v>763018000</v>
      </c>
      <c r="D19" s="924"/>
      <c r="E19" s="924"/>
      <c r="F19" s="924">
        <v>763018000</v>
      </c>
      <c r="G19" s="924"/>
      <c r="H19" s="924"/>
      <c r="I19" s="924"/>
      <c r="J19" s="924">
        <v>6082423248</v>
      </c>
      <c r="K19" s="924"/>
      <c r="L19" s="924"/>
      <c r="M19" s="924"/>
      <c r="N19" s="924"/>
      <c r="O19" s="924"/>
      <c r="P19" s="924"/>
      <c r="Q19" s="924"/>
      <c r="R19" s="924"/>
      <c r="S19" s="924"/>
      <c r="T19" s="924"/>
      <c r="U19" s="924"/>
      <c r="V19" s="924">
        <v>801168900</v>
      </c>
      <c r="W19" s="924"/>
      <c r="X19" s="924"/>
      <c r="Y19" s="1526">
        <v>801168900</v>
      </c>
      <c r="Z19" s="42">
        <v>841227345</v>
      </c>
      <c r="AA19" s="924"/>
      <c r="AB19" s="924"/>
      <c r="AC19" s="1526">
        <v>841227345</v>
      </c>
      <c r="AD19" s="42">
        <v>883288712.25</v>
      </c>
      <c r="AE19" s="924"/>
      <c r="AF19" s="924"/>
      <c r="AG19" s="1526">
        <v>883288712.25</v>
      </c>
    </row>
    <row r="20" spans="1:33" ht="26.25" customHeight="1" x14ac:dyDescent="0.25">
      <c r="A20" s="922">
        <v>20</v>
      </c>
      <c r="B20" s="923" t="s">
        <v>1047</v>
      </c>
      <c r="C20" s="924">
        <v>11867811000</v>
      </c>
      <c r="D20" s="924"/>
      <c r="E20" s="924"/>
      <c r="F20" s="924">
        <v>11867811000</v>
      </c>
      <c r="G20" s="924"/>
      <c r="H20" s="924"/>
      <c r="I20" s="924"/>
      <c r="J20" s="924"/>
      <c r="K20" s="924"/>
      <c r="L20" s="924"/>
      <c r="M20" s="924"/>
      <c r="N20" s="924"/>
      <c r="O20" s="924"/>
      <c r="P20" s="924"/>
      <c r="Q20" s="924"/>
      <c r="R20" s="924"/>
      <c r="S20" s="924"/>
      <c r="T20" s="924"/>
      <c r="U20" s="924"/>
      <c r="V20" s="924">
        <v>12461201550</v>
      </c>
      <c r="W20" s="924"/>
      <c r="X20" s="924"/>
      <c r="Y20" s="1527">
        <v>12461201550</v>
      </c>
      <c r="Z20" s="42">
        <v>13084261627.5</v>
      </c>
      <c r="AA20" s="924"/>
      <c r="AB20" s="924"/>
      <c r="AC20" s="1527">
        <v>13084261627.5</v>
      </c>
      <c r="AD20" s="42">
        <v>13738474708.875</v>
      </c>
      <c r="AE20" s="924"/>
      <c r="AF20" s="924"/>
      <c r="AG20" s="1527">
        <v>13738474708.875</v>
      </c>
    </row>
    <row r="21" spans="1:33" x14ac:dyDescent="0.25">
      <c r="A21" s="922">
        <v>4</v>
      </c>
      <c r="B21" s="923" t="s">
        <v>1050</v>
      </c>
      <c r="C21" s="924">
        <v>7519723000</v>
      </c>
      <c r="D21" s="924">
        <v>7519723000</v>
      </c>
      <c r="E21" s="924"/>
      <c r="F21" s="924"/>
      <c r="G21" s="924"/>
      <c r="H21" s="924">
        <v>15039446000</v>
      </c>
      <c r="I21" s="924"/>
      <c r="J21" s="924"/>
      <c r="K21" s="924">
        <v>15039446000</v>
      </c>
      <c r="L21" s="924">
        <v>0</v>
      </c>
      <c r="M21" s="924"/>
      <c r="N21" s="924"/>
      <c r="O21" s="924"/>
      <c r="P21" s="924"/>
      <c r="Q21" s="924"/>
      <c r="R21" s="924"/>
      <c r="S21" s="924"/>
      <c r="T21" s="924"/>
      <c r="U21" s="924"/>
      <c r="V21" s="924">
        <v>8948470370</v>
      </c>
      <c r="W21" s="927">
        <v>8948470370</v>
      </c>
      <c r="X21" s="924"/>
      <c r="Y21" s="924"/>
      <c r="Z21" s="42">
        <v>10648679740.299999</v>
      </c>
      <c r="AA21" s="927">
        <v>10648679740.299999</v>
      </c>
      <c r="AB21" s="924"/>
      <c r="AC21" s="924"/>
      <c r="AD21" s="42">
        <v>12671928890.956999</v>
      </c>
      <c r="AE21" s="927">
        <v>12671928890.956999</v>
      </c>
      <c r="AF21" s="924"/>
      <c r="AG21" s="924"/>
    </row>
    <row r="22" spans="1:33" ht="25.5" x14ac:dyDescent="0.25">
      <c r="A22" s="922">
        <v>176</v>
      </c>
      <c r="B22" s="923" t="s">
        <v>1051</v>
      </c>
      <c r="C22" s="924">
        <v>3010114000</v>
      </c>
      <c r="D22" s="924"/>
      <c r="E22" s="924">
        <v>3010114000</v>
      </c>
      <c r="F22" s="924"/>
      <c r="G22" s="924"/>
      <c r="H22" s="924">
        <v>7519723000</v>
      </c>
      <c r="I22" s="924">
        <v>7519723000</v>
      </c>
      <c r="J22" s="924">
        <v>0</v>
      </c>
      <c r="K22" s="924">
        <v>7519723000</v>
      </c>
      <c r="L22" s="924">
        <v>0</v>
      </c>
      <c r="M22" s="924"/>
      <c r="N22" s="924"/>
      <c r="O22" s="924"/>
      <c r="P22" s="924"/>
      <c r="Q22" s="924"/>
      <c r="R22" s="924"/>
      <c r="S22" s="924"/>
      <c r="T22" s="924"/>
      <c r="U22" s="924"/>
      <c r="V22" s="924">
        <v>3579388148</v>
      </c>
      <c r="W22" s="924"/>
      <c r="X22" s="924">
        <v>3579388148</v>
      </c>
      <c r="Y22" s="925"/>
      <c r="Z22" s="42">
        <v>4259471896.1199999</v>
      </c>
      <c r="AA22" s="924"/>
      <c r="AB22" s="924">
        <v>4259471896.1199999</v>
      </c>
      <c r="AC22" s="925"/>
      <c r="AD22" s="42">
        <v>5068771556.3828001</v>
      </c>
      <c r="AE22" s="924"/>
      <c r="AF22" s="924">
        <v>5068771556.3828001</v>
      </c>
      <c r="AG22" s="925"/>
    </row>
    <row r="23" spans="1:33" ht="25.5" x14ac:dyDescent="0.25">
      <c r="A23" s="922">
        <v>177</v>
      </c>
      <c r="B23" s="923" t="s">
        <v>1789</v>
      </c>
      <c r="C23" s="924">
        <v>4509609000</v>
      </c>
      <c r="D23" s="924"/>
      <c r="E23" s="924">
        <v>4509609000</v>
      </c>
      <c r="F23" s="924"/>
      <c r="G23" s="924"/>
      <c r="H23" s="924">
        <v>3007889200</v>
      </c>
      <c r="I23" s="924">
        <v>3007889200</v>
      </c>
      <c r="J23" s="924">
        <v>0</v>
      </c>
      <c r="K23" s="924">
        <v>3007889000</v>
      </c>
      <c r="L23" s="924">
        <v>200</v>
      </c>
      <c r="M23" s="924"/>
      <c r="N23" s="924"/>
      <c r="O23" s="924"/>
      <c r="P23" s="924"/>
      <c r="Q23" s="924"/>
      <c r="R23" s="924"/>
      <c r="S23" s="924"/>
      <c r="T23" s="924"/>
      <c r="U23" s="924"/>
      <c r="V23" s="924">
        <v>5369082222</v>
      </c>
      <c r="W23" s="927"/>
      <c r="X23" s="1251">
        <v>5369082222</v>
      </c>
      <c r="Y23" s="924"/>
      <c r="Z23" s="42">
        <v>6389207844.1799994</v>
      </c>
      <c r="AA23" s="927"/>
      <c r="AB23" s="1251">
        <v>6389207844.1799994</v>
      </c>
      <c r="AC23" s="924"/>
      <c r="AD23" s="42">
        <v>7603157334.5741987</v>
      </c>
      <c r="AE23" s="927"/>
      <c r="AF23" s="1251">
        <v>7603157334.5741987</v>
      </c>
      <c r="AG23" s="924"/>
    </row>
    <row r="24" spans="1:33" x14ac:dyDescent="0.25">
      <c r="A24" s="922">
        <v>5</v>
      </c>
      <c r="B24" s="923" t="s">
        <v>1054</v>
      </c>
      <c r="C24" s="924">
        <v>633364000</v>
      </c>
      <c r="D24" s="924"/>
      <c r="E24" s="924">
        <v>633364000</v>
      </c>
      <c r="F24" s="924"/>
      <c r="G24" s="924"/>
      <c r="H24" s="924">
        <v>4511833800</v>
      </c>
      <c r="I24" s="924">
        <v>4511833800</v>
      </c>
      <c r="J24" s="924">
        <v>0</v>
      </c>
      <c r="K24" s="924">
        <v>4511834000</v>
      </c>
      <c r="L24" s="924">
        <v>-200</v>
      </c>
      <c r="M24" s="924"/>
      <c r="N24" s="924"/>
      <c r="O24" s="924"/>
      <c r="P24" s="924"/>
      <c r="Q24" s="924"/>
      <c r="R24" s="924"/>
      <c r="S24" s="924"/>
      <c r="T24" s="924"/>
      <c r="U24" s="924"/>
      <c r="V24" s="924">
        <v>753703398</v>
      </c>
      <c r="W24" s="924"/>
      <c r="X24" s="924">
        <v>753703398</v>
      </c>
      <c r="Y24" s="924"/>
      <c r="Z24" s="42">
        <v>896907043.62</v>
      </c>
      <c r="AA24" s="924"/>
      <c r="AB24" s="924">
        <v>896907043.62</v>
      </c>
      <c r="AC24" s="924"/>
      <c r="AD24" s="42">
        <v>1067319381.9078</v>
      </c>
      <c r="AE24" s="924"/>
      <c r="AF24" s="924">
        <v>1067319381.9078</v>
      </c>
      <c r="AG24" s="924"/>
    </row>
    <row r="25" spans="1:33" ht="25.5" x14ac:dyDescent="0.25">
      <c r="A25" s="922">
        <v>33</v>
      </c>
      <c r="B25" s="923" t="s">
        <v>1055</v>
      </c>
      <c r="C25" s="924">
        <v>316682000</v>
      </c>
      <c r="D25" s="924">
        <v>316682000</v>
      </c>
      <c r="E25" s="924"/>
      <c r="F25" s="924"/>
      <c r="G25" s="924"/>
      <c r="H25" s="924">
        <v>3166821000</v>
      </c>
      <c r="I25" s="924"/>
      <c r="J25" s="924"/>
      <c r="K25" s="924">
        <v>3166821000</v>
      </c>
      <c r="L25" s="924"/>
      <c r="M25" s="924"/>
      <c r="N25" s="924"/>
      <c r="O25" s="924"/>
      <c r="P25" s="924"/>
      <c r="Q25" s="924"/>
      <c r="R25" s="924"/>
      <c r="S25" s="924"/>
      <c r="T25" s="924"/>
      <c r="U25" s="924"/>
      <c r="V25" s="924">
        <v>376851699</v>
      </c>
      <c r="W25" s="924">
        <v>376851699</v>
      </c>
      <c r="X25" s="924"/>
      <c r="Y25" s="925"/>
      <c r="Z25" s="42">
        <v>448453521.81</v>
      </c>
      <c r="AA25" s="924">
        <v>448453521.81</v>
      </c>
      <c r="AB25" s="924"/>
      <c r="AC25" s="925"/>
      <c r="AD25" s="42">
        <v>533659690.95389998</v>
      </c>
      <c r="AE25" s="924">
        <v>533659690.95389998</v>
      </c>
      <c r="AF25" s="924"/>
      <c r="AG25" s="925"/>
    </row>
    <row r="26" spans="1:33" x14ac:dyDescent="0.25">
      <c r="A26" s="922">
        <v>34</v>
      </c>
      <c r="B26" s="923" t="s">
        <v>1056</v>
      </c>
      <c r="C26" s="924">
        <v>316816000</v>
      </c>
      <c r="D26" s="924">
        <v>316816000</v>
      </c>
      <c r="E26" s="924"/>
      <c r="F26" s="924"/>
      <c r="G26" s="924"/>
      <c r="H26" s="924">
        <v>316682100</v>
      </c>
      <c r="I26" s="924">
        <v>316682100</v>
      </c>
      <c r="J26" s="924">
        <v>0</v>
      </c>
      <c r="K26" s="924">
        <v>316682000</v>
      </c>
      <c r="L26" s="924">
        <v>100</v>
      </c>
      <c r="M26" s="924"/>
      <c r="N26" s="924"/>
      <c r="O26" s="924"/>
      <c r="P26" s="924"/>
      <c r="Q26" s="924"/>
      <c r="R26" s="924"/>
      <c r="S26" s="924"/>
      <c r="T26" s="924"/>
      <c r="U26" s="924"/>
      <c r="V26" s="924">
        <v>376851699</v>
      </c>
      <c r="W26" s="924">
        <v>376851699</v>
      </c>
      <c r="X26" s="924"/>
      <c r="Y26" s="925"/>
      <c r="Z26" s="42">
        <v>448453521.81</v>
      </c>
      <c r="AA26" s="924">
        <v>448453521.81</v>
      </c>
      <c r="AB26" s="924"/>
      <c r="AC26" s="925"/>
      <c r="AD26" s="42">
        <v>533659690.95389998</v>
      </c>
      <c r="AE26" s="924">
        <v>533659690.95389998</v>
      </c>
      <c r="AF26" s="924"/>
      <c r="AG26" s="925"/>
    </row>
    <row r="27" spans="1:33" ht="25.5" x14ac:dyDescent="0.25">
      <c r="A27" s="922">
        <v>39</v>
      </c>
      <c r="B27" s="923" t="s">
        <v>1057</v>
      </c>
      <c r="C27" s="924">
        <v>1583277000</v>
      </c>
      <c r="D27" s="924">
        <v>1583277000</v>
      </c>
      <c r="E27" s="924"/>
      <c r="F27" s="924"/>
      <c r="G27" s="924"/>
      <c r="H27" s="924">
        <v>316682100</v>
      </c>
      <c r="I27" s="924">
        <v>316682100</v>
      </c>
      <c r="J27" s="924">
        <v>0</v>
      </c>
      <c r="K27" s="924">
        <v>316682000</v>
      </c>
      <c r="L27" s="924">
        <v>100</v>
      </c>
      <c r="M27" s="924"/>
      <c r="N27" s="924"/>
      <c r="O27" s="924"/>
      <c r="P27" s="924"/>
      <c r="Q27" s="924"/>
      <c r="R27" s="924"/>
      <c r="S27" s="924"/>
      <c r="T27" s="924"/>
      <c r="U27" s="924"/>
      <c r="V27" s="924">
        <v>1884258495</v>
      </c>
      <c r="W27" s="924">
        <v>1884258495</v>
      </c>
      <c r="X27" s="924"/>
      <c r="Y27" s="924"/>
      <c r="Z27" s="42">
        <v>2242267609.0499997</v>
      </c>
      <c r="AA27" s="924">
        <v>2242267609.0499997</v>
      </c>
      <c r="AB27" s="924"/>
      <c r="AC27" s="924"/>
      <c r="AD27" s="42">
        <v>2668298454.7694993</v>
      </c>
      <c r="AE27" s="924">
        <v>2668298454.7694993</v>
      </c>
      <c r="AF27" s="924"/>
      <c r="AG27" s="924"/>
    </row>
    <row r="28" spans="1:33" x14ac:dyDescent="0.25">
      <c r="A28" s="922">
        <v>41</v>
      </c>
      <c r="B28" s="923" t="s">
        <v>1058</v>
      </c>
      <c r="C28" s="924">
        <v>316682000</v>
      </c>
      <c r="D28" s="924">
        <v>316682000</v>
      </c>
      <c r="E28" s="924"/>
      <c r="F28" s="924"/>
      <c r="G28" s="924"/>
      <c r="H28" s="924">
        <v>316682100</v>
      </c>
      <c r="I28" s="924">
        <v>316682100</v>
      </c>
      <c r="J28" s="924">
        <v>0</v>
      </c>
      <c r="K28" s="924">
        <v>316682000</v>
      </c>
      <c r="L28" s="924">
        <v>100</v>
      </c>
      <c r="M28" s="924"/>
      <c r="N28" s="924"/>
      <c r="O28" s="924"/>
      <c r="P28" s="924"/>
      <c r="Q28" s="924"/>
      <c r="R28" s="924"/>
      <c r="S28" s="924"/>
      <c r="T28" s="924"/>
      <c r="U28" s="924"/>
      <c r="V28" s="924">
        <v>376851699</v>
      </c>
      <c r="W28" s="927">
        <v>376851699</v>
      </c>
      <c r="X28" s="924"/>
      <c r="Y28" s="925"/>
      <c r="Z28" s="42">
        <v>448453521.81</v>
      </c>
      <c r="AA28" s="927">
        <v>448453521.81</v>
      </c>
      <c r="AB28" s="924"/>
      <c r="AC28" s="925"/>
      <c r="AD28" s="42">
        <v>533659690.95389998</v>
      </c>
      <c r="AE28" s="927">
        <v>533659690.95389998</v>
      </c>
      <c r="AF28" s="924"/>
      <c r="AG28" s="925"/>
    </row>
    <row r="29" spans="1:33" x14ac:dyDescent="0.25">
      <c r="A29" s="922">
        <v>6</v>
      </c>
      <c r="B29" s="923" t="s">
        <v>1060</v>
      </c>
      <c r="C29" s="924">
        <v>5998098000</v>
      </c>
      <c r="D29" s="924">
        <v>5998098000</v>
      </c>
      <c r="E29" s="924"/>
      <c r="F29" s="924"/>
      <c r="G29" s="924"/>
      <c r="H29" s="924">
        <v>633364200</v>
      </c>
      <c r="I29" s="924">
        <v>633364200</v>
      </c>
      <c r="J29" s="924">
        <v>0</v>
      </c>
      <c r="K29" s="924">
        <v>633364000</v>
      </c>
      <c r="L29" s="924">
        <v>200</v>
      </c>
      <c r="M29" s="924"/>
      <c r="N29" s="924"/>
      <c r="O29" s="924"/>
      <c r="P29" s="924"/>
      <c r="Q29" s="924"/>
      <c r="R29" s="924"/>
      <c r="S29" s="924"/>
      <c r="T29" s="924"/>
      <c r="U29" s="924"/>
      <c r="V29" s="924">
        <v>7136788904</v>
      </c>
      <c r="W29" s="924">
        <v>7136788904</v>
      </c>
      <c r="X29" s="924"/>
      <c r="Y29" s="924"/>
      <c r="Z29" s="42">
        <v>8492778795.7599993</v>
      </c>
      <c r="AA29" s="924">
        <v>8492778795.7599993</v>
      </c>
      <c r="AB29" s="924"/>
      <c r="AC29" s="924"/>
      <c r="AD29" s="42">
        <v>10106406766.954399</v>
      </c>
      <c r="AE29" s="924">
        <v>10106406766.954399</v>
      </c>
      <c r="AF29" s="924"/>
      <c r="AG29" s="924"/>
    </row>
    <row r="30" spans="1:33" ht="25.5" x14ac:dyDescent="0.25">
      <c r="A30" s="922">
        <v>178</v>
      </c>
      <c r="B30" s="923" t="s">
        <v>1061</v>
      </c>
      <c r="C30" s="924">
        <v>1498529000</v>
      </c>
      <c r="D30" s="924"/>
      <c r="E30" s="924">
        <v>1498529000</v>
      </c>
      <c r="F30" s="924"/>
      <c r="G30" s="924"/>
      <c r="H30" s="924">
        <v>1583410500</v>
      </c>
      <c r="I30" s="924">
        <v>1583410500</v>
      </c>
      <c r="J30" s="924">
        <v>0</v>
      </c>
      <c r="K30" s="924">
        <v>1583411000</v>
      </c>
      <c r="L30" s="924">
        <v>-500</v>
      </c>
      <c r="M30" s="924"/>
      <c r="N30" s="924"/>
      <c r="O30" s="924">
        <v>7496627000</v>
      </c>
      <c r="P30" s="924"/>
      <c r="Q30" s="924"/>
      <c r="R30" s="924">
        <v>5998098000</v>
      </c>
      <c r="S30" s="924">
        <v>5997302000</v>
      </c>
      <c r="T30" s="924"/>
      <c r="U30" s="924"/>
      <c r="V30" s="924">
        <v>1784197226</v>
      </c>
      <c r="W30" s="924"/>
      <c r="X30" s="924">
        <v>1784197226</v>
      </c>
      <c r="Y30" s="925"/>
      <c r="Z30" s="42">
        <v>2123194698.9399998</v>
      </c>
      <c r="AA30" s="924"/>
      <c r="AB30" s="924">
        <v>2123194698.9399998</v>
      </c>
      <c r="AC30" s="925"/>
      <c r="AD30" s="42">
        <v>2526601691.7385998</v>
      </c>
      <c r="AE30" s="924"/>
      <c r="AF30" s="924">
        <v>2526601691.7385998</v>
      </c>
      <c r="AG30" s="925"/>
    </row>
    <row r="31" spans="1:33" s="54" customFormat="1" x14ac:dyDescent="0.25">
      <c r="A31" s="922">
        <v>8</v>
      </c>
      <c r="B31" s="923" t="s">
        <v>1790</v>
      </c>
      <c r="C31" s="924">
        <v>12506483000</v>
      </c>
      <c r="D31" s="924"/>
      <c r="E31" s="924">
        <v>12506483000</v>
      </c>
      <c r="F31" s="924"/>
      <c r="G31" s="924"/>
      <c r="H31" s="924">
        <v>7496627000</v>
      </c>
      <c r="I31" s="924"/>
      <c r="J31" s="924"/>
      <c r="K31" s="924">
        <v>7496627000</v>
      </c>
      <c r="L31" s="924">
        <v>5997301600</v>
      </c>
      <c r="M31" s="924">
        <v>400</v>
      </c>
      <c r="N31" s="924"/>
      <c r="O31" s="924">
        <v>7496627000</v>
      </c>
      <c r="P31" s="924">
        <v>0</v>
      </c>
      <c r="Q31" s="924"/>
      <c r="R31" s="924">
        <v>1498529000</v>
      </c>
      <c r="S31" s="924">
        <v>1499325000</v>
      </c>
      <c r="T31" s="924">
        <v>-796000</v>
      </c>
      <c r="U31" s="924"/>
      <c r="V31" s="924">
        <v>14882714770</v>
      </c>
      <c r="W31" s="927"/>
      <c r="X31" s="1251">
        <v>14882714770</v>
      </c>
      <c r="Y31" s="925"/>
      <c r="Z31" s="42">
        <v>17710430576.299999</v>
      </c>
      <c r="AA31" s="927"/>
      <c r="AB31" s="1251">
        <v>17710430576.299999</v>
      </c>
      <c r="AC31" s="925"/>
      <c r="AD31" s="42">
        <v>21075412385.796997</v>
      </c>
      <c r="AE31" s="927"/>
      <c r="AF31" s="1251">
        <v>21075412385.796997</v>
      </c>
      <c r="AG31" s="925"/>
    </row>
    <row r="32" spans="1:33" x14ac:dyDescent="0.25">
      <c r="A32" s="922">
        <v>20</v>
      </c>
      <c r="B32" s="923" t="s">
        <v>1068</v>
      </c>
      <c r="C32" s="924">
        <v>40000000</v>
      </c>
      <c r="D32" s="924"/>
      <c r="E32" s="924"/>
      <c r="F32" s="924">
        <v>40000000</v>
      </c>
      <c r="G32" s="924"/>
      <c r="H32" s="924">
        <v>1499325400</v>
      </c>
      <c r="I32" s="924"/>
      <c r="J32" s="924"/>
      <c r="K32" s="924">
        <v>1499325000</v>
      </c>
      <c r="L32" s="924">
        <v>1499325400</v>
      </c>
      <c r="M32" s="924">
        <v>-400</v>
      </c>
      <c r="N32" s="924"/>
      <c r="O32" s="924">
        <v>5997301600</v>
      </c>
      <c r="P32" s="924"/>
      <c r="Q32" s="924"/>
      <c r="R32" s="924"/>
      <c r="S32" s="924">
        <v>7496627000</v>
      </c>
      <c r="T32" s="924"/>
      <c r="U32" s="924"/>
      <c r="V32" s="924">
        <v>42000000</v>
      </c>
      <c r="W32" s="924"/>
      <c r="X32" s="924"/>
      <c r="Y32" s="1526">
        <v>42000000</v>
      </c>
      <c r="Z32" s="42">
        <v>44100000</v>
      </c>
      <c r="AA32" s="924"/>
      <c r="AB32" s="924"/>
      <c r="AC32" s="1526">
        <v>44100000</v>
      </c>
      <c r="AD32" s="42">
        <v>46305000</v>
      </c>
      <c r="AE32" s="924"/>
      <c r="AF32" s="924"/>
      <c r="AG32" s="1526">
        <v>46305000</v>
      </c>
    </row>
    <row r="33" spans="1:33" x14ac:dyDescent="0.25">
      <c r="A33" s="922">
        <v>190</v>
      </c>
      <c r="B33" s="923" t="s">
        <v>1064</v>
      </c>
      <c r="C33" s="924">
        <v>2082326000</v>
      </c>
      <c r="D33" s="924"/>
      <c r="E33" s="924">
        <v>2082326000</v>
      </c>
      <c r="F33" s="924"/>
      <c r="G33" s="924"/>
      <c r="H33" s="924">
        <v>5997301600</v>
      </c>
      <c r="I33" s="924"/>
      <c r="J33" s="924"/>
      <c r="K33" s="924">
        <v>5997302000</v>
      </c>
      <c r="L33" s="924"/>
      <c r="M33" s="924">
        <v>400</v>
      </c>
      <c r="N33" s="924"/>
      <c r="O33" s="924">
        <v>1499325400</v>
      </c>
      <c r="P33" s="924"/>
      <c r="Q33" s="924"/>
      <c r="R33" s="924"/>
      <c r="S33" s="924"/>
      <c r="T33" s="924"/>
      <c r="U33" s="924"/>
      <c r="V33" s="924">
        <v>2477967940</v>
      </c>
      <c r="W33" s="924"/>
      <c r="X33" s="1251">
        <v>2477967940</v>
      </c>
      <c r="Y33" s="925"/>
      <c r="Z33" s="42">
        <v>2948781848.5999999</v>
      </c>
      <c r="AA33" s="924"/>
      <c r="AB33" s="1251">
        <v>2948781848.5999999</v>
      </c>
      <c r="AC33" s="925"/>
      <c r="AD33" s="42">
        <v>3509050399.8339996</v>
      </c>
      <c r="AE33" s="924"/>
      <c r="AF33" s="1251">
        <v>3509050399.8339996</v>
      </c>
      <c r="AG33" s="925"/>
    </row>
    <row r="34" spans="1:33" x14ac:dyDescent="0.25">
      <c r="A34" s="922">
        <v>20</v>
      </c>
      <c r="B34" s="923" t="s">
        <v>1069</v>
      </c>
      <c r="C34" s="924">
        <v>210000000</v>
      </c>
      <c r="D34" s="924"/>
      <c r="E34" s="924"/>
      <c r="F34" s="924">
        <v>210000000</v>
      </c>
      <c r="G34" s="924"/>
      <c r="H34" s="924"/>
      <c r="I34" s="924"/>
      <c r="J34" s="924"/>
      <c r="K34" s="924"/>
      <c r="L34" s="924"/>
      <c r="M34" s="924"/>
      <c r="N34" s="924"/>
      <c r="O34" s="924"/>
      <c r="P34" s="924"/>
      <c r="Q34" s="924"/>
      <c r="R34" s="924"/>
      <c r="S34" s="924"/>
      <c r="T34" s="924"/>
      <c r="U34" s="924"/>
      <c r="V34" s="924">
        <v>220500000</v>
      </c>
      <c r="W34" s="924"/>
      <c r="X34" s="924"/>
      <c r="Y34" s="1526">
        <v>220500000</v>
      </c>
      <c r="Z34" s="42">
        <v>231525000</v>
      </c>
      <c r="AA34" s="924"/>
      <c r="AB34" s="924"/>
      <c r="AC34" s="1526">
        <v>231525000</v>
      </c>
      <c r="AD34" s="42">
        <v>243101250</v>
      </c>
      <c r="AE34" s="924"/>
      <c r="AF34" s="924"/>
      <c r="AG34" s="1526">
        <v>243101250</v>
      </c>
    </row>
    <row r="35" spans="1:33" x14ac:dyDescent="0.25">
      <c r="A35" s="922">
        <v>20</v>
      </c>
      <c r="B35" s="923" t="s">
        <v>1070</v>
      </c>
      <c r="C35" s="924">
        <v>40000000</v>
      </c>
      <c r="D35" s="924"/>
      <c r="E35" s="924"/>
      <c r="F35" s="924">
        <v>40000000</v>
      </c>
      <c r="G35" s="924" t="s">
        <v>1792</v>
      </c>
      <c r="H35" s="924"/>
      <c r="I35" s="924"/>
      <c r="J35" s="924"/>
      <c r="K35" s="924"/>
      <c r="L35" s="924"/>
      <c r="M35" s="924"/>
      <c r="N35" s="924"/>
      <c r="O35" s="924"/>
      <c r="P35" s="924"/>
      <c r="Q35" s="924"/>
      <c r="R35" s="924"/>
      <c r="S35" s="924"/>
      <c r="T35" s="924"/>
      <c r="U35" s="924"/>
      <c r="V35" s="924">
        <v>42000000</v>
      </c>
      <c r="W35" s="924"/>
      <c r="X35" s="924"/>
      <c r="Y35" s="1526">
        <v>42000000</v>
      </c>
      <c r="Z35" s="42">
        <v>44100000</v>
      </c>
      <c r="AA35" s="924"/>
      <c r="AB35" s="924"/>
      <c r="AC35" s="1526">
        <v>44100000</v>
      </c>
      <c r="AD35" s="42">
        <v>46305000</v>
      </c>
      <c r="AE35" s="924"/>
      <c r="AF35" s="924"/>
      <c r="AG35" s="1526">
        <v>46305000</v>
      </c>
    </row>
    <row r="36" spans="1:33" x14ac:dyDescent="0.25">
      <c r="A36" s="922">
        <v>49</v>
      </c>
      <c r="B36" s="923" t="s">
        <v>1793</v>
      </c>
      <c r="C36" s="924">
        <v>726530000</v>
      </c>
      <c r="D36" s="924"/>
      <c r="E36" s="924">
        <v>726530000</v>
      </c>
      <c r="F36" s="924"/>
      <c r="G36" s="924"/>
      <c r="H36" s="924" t="s">
        <v>1794</v>
      </c>
      <c r="I36" s="924"/>
      <c r="J36" s="924"/>
      <c r="K36" s="924"/>
      <c r="L36" s="924"/>
      <c r="M36" s="924"/>
      <c r="N36" s="924"/>
      <c r="O36" s="924"/>
      <c r="P36" s="924"/>
      <c r="Q36" s="924"/>
      <c r="R36" s="924"/>
      <c r="S36" s="924"/>
      <c r="T36" s="924"/>
      <c r="U36" s="924"/>
      <c r="V36" s="924">
        <v>762856500</v>
      </c>
      <c r="W36" s="924"/>
      <c r="X36" s="924">
        <v>762856500</v>
      </c>
      <c r="Y36" s="925"/>
      <c r="Z36" s="42">
        <v>800999325</v>
      </c>
      <c r="AA36" s="924"/>
      <c r="AB36" s="924">
        <v>800999325</v>
      </c>
      <c r="AC36" s="925"/>
      <c r="AD36" s="42">
        <v>841049291.25</v>
      </c>
      <c r="AE36" s="924"/>
      <c r="AF36" s="924">
        <v>841049291.25</v>
      </c>
      <c r="AG36" s="925"/>
    </row>
    <row r="37" spans="1:33" x14ac:dyDescent="0.25">
      <c r="A37" s="922">
        <v>133</v>
      </c>
      <c r="B37" s="923" t="s">
        <v>1795</v>
      </c>
      <c r="C37" s="924">
        <v>8000000000</v>
      </c>
      <c r="D37" s="924"/>
      <c r="E37" s="924">
        <v>8000000000</v>
      </c>
      <c r="F37" s="924">
        <v>0</v>
      </c>
      <c r="G37" s="924"/>
      <c r="H37" s="924"/>
      <c r="I37" s="924"/>
      <c r="J37" s="924"/>
      <c r="K37" s="924"/>
      <c r="L37" s="924"/>
      <c r="M37" s="924"/>
      <c r="N37" s="924"/>
      <c r="O37" s="924"/>
      <c r="P37" s="924"/>
      <c r="Q37" s="924"/>
      <c r="R37" s="924"/>
      <c r="S37" s="924"/>
      <c r="T37" s="924"/>
      <c r="U37" s="924"/>
      <c r="V37" s="924">
        <v>8400000000</v>
      </c>
      <c r="W37" s="924"/>
      <c r="X37" s="924">
        <v>8400000000</v>
      </c>
      <c r="Y37" s="925">
        <v>0</v>
      </c>
      <c r="Z37" s="42">
        <v>8820000000</v>
      </c>
      <c r="AA37" s="924"/>
      <c r="AB37" s="924">
        <v>8820000000</v>
      </c>
      <c r="AC37" s="925">
        <v>0</v>
      </c>
      <c r="AD37" s="42">
        <v>9261000000</v>
      </c>
      <c r="AE37" s="924"/>
      <c r="AF37" s="924">
        <v>9261000000</v>
      </c>
      <c r="AG37" s="925">
        <v>0</v>
      </c>
    </row>
    <row r="38" spans="1:33" x14ac:dyDescent="0.25">
      <c r="A38" s="922">
        <v>20</v>
      </c>
      <c r="B38" s="923" t="s">
        <v>1072</v>
      </c>
      <c r="C38" s="924">
        <v>30000000</v>
      </c>
      <c r="D38" s="924"/>
      <c r="E38" s="924"/>
      <c r="F38" s="924">
        <v>30000000</v>
      </c>
      <c r="G38" s="924"/>
      <c r="H38" s="924"/>
      <c r="I38" s="924"/>
      <c r="J38" s="924"/>
      <c r="K38" s="924"/>
      <c r="L38" s="924"/>
      <c r="M38" s="924"/>
      <c r="N38" s="924"/>
      <c r="O38" s="924"/>
      <c r="P38" s="924"/>
      <c r="Q38" s="924"/>
      <c r="R38" s="924"/>
      <c r="S38" s="924"/>
      <c r="T38" s="924"/>
      <c r="U38" s="924"/>
      <c r="V38" s="924">
        <v>31500000</v>
      </c>
      <c r="W38" s="924"/>
      <c r="X38" s="924"/>
      <c r="Y38" s="1526">
        <v>31500000</v>
      </c>
      <c r="Z38" s="42">
        <v>33075000</v>
      </c>
      <c r="AA38" s="924"/>
      <c r="AB38" s="924"/>
      <c r="AC38" s="1526">
        <v>33075000</v>
      </c>
      <c r="AD38" s="42">
        <v>34728750</v>
      </c>
      <c r="AE38" s="924"/>
      <c r="AF38" s="924"/>
      <c r="AG38" s="1526">
        <v>34728750</v>
      </c>
    </row>
    <row r="39" spans="1:33" s="54" customFormat="1" x14ac:dyDescent="0.25">
      <c r="A39" s="922">
        <v>35</v>
      </c>
      <c r="B39" s="923" t="s">
        <v>1796</v>
      </c>
      <c r="C39" s="924">
        <v>5174318000</v>
      </c>
      <c r="D39" s="924">
        <v>5174318000</v>
      </c>
      <c r="E39" s="924"/>
      <c r="F39" s="924"/>
      <c r="G39" s="924"/>
      <c r="H39" s="924"/>
      <c r="I39" s="924"/>
      <c r="J39" s="924"/>
      <c r="K39" s="924"/>
      <c r="L39" s="924"/>
      <c r="M39" s="924"/>
      <c r="N39" s="924"/>
      <c r="O39" s="924"/>
      <c r="P39" s="924"/>
      <c r="Q39" s="924"/>
      <c r="R39" s="924"/>
      <c r="S39" s="924"/>
      <c r="T39" s="924"/>
      <c r="U39" s="924"/>
      <c r="V39" s="924">
        <v>5433033900</v>
      </c>
      <c r="W39" s="924">
        <v>5433033900</v>
      </c>
      <c r="X39" s="924"/>
      <c r="Y39" s="925"/>
      <c r="Z39" s="42">
        <v>5704685595</v>
      </c>
      <c r="AA39" s="924">
        <v>5704685595</v>
      </c>
      <c r="AB39" s="924"/>
      <c r="AC39" s="925"/>
      <c r="AD39" s="42">
        <v>5989919874.75</v>
      </c>
      <c r="AE39" s="924">
        <v>5989919874.75</v>
      </c>
      <c r="AF39" s="924"/>
      <c r="AG39" s="925"/>
    </row>
    <row r="40" spans="1:33" s="54" customFormat="1" x14ac:dyDescent="0.25">
      <c r="A40" s="922">
        <v>179</v>
      </c>
      <c r="B40" s="923" t="s">
        <v>1797</v>
      </c>
      <c r="C40" s="924">
        <v>1108110000</v>
      </c>
      <c r="D40" s="924"/>
      <c r="E40" s="924">
        <v>1108110000</v>
      </c>
      <c r="F40" s="924"/>
      <c r="G40" s="924"/>
      <c r="H40" s="924">
        <v>23283758000</v>
      </c>
      <c r="I40" s="924"/>
      <c r="J40" s="924"/>
      <c r="K40" s="924"/>
      <c r="L40" s="924"/>
      <c r="M40" s="924"/>
      <c r="N40" s="924"/>
      <c r="O40" s="924"/>
      <c r="P40" s="924"/>
      <c r="Q40" s="924"/>
      <c r="R40" s="924"/>
      <c r="S40" s="924"/>
      <c r="T40" s="924"/>
      <c r="U40" s="924"/>
      <c r="V40" s="924">
        <v>1163515500</v>
      </c>
      <c r="W40" s="924"/>
      <c r="X40" s="1251">
        <v>1163515500</v>
      </c>
      <c r="Y40" s="924"/>
      <c r="Z40" s="42">
        <v>1221691275</v>
      </c>
      <c r="AA40" s="924"/>
      <c r="AB40" s="1251">
        <v>1221691275</v>
      </c>
      <c r="AC40" s="924"/>
      <c r="AD40" s="42">
        <v>1282775838.75</v>
      </c>
      <c r="AE40" s="924"/>
      <c r="AF40" s="1251">
        <v>1282775838.75</v>
      </c>
      <c r="AG40" s="924"/>
    </row>
    <row r="41" spans="1:33" s="54" customFormat="1" x14ac:dyDescent="0.25">
      <c r="A41" s="922">
        <v>205</v>
      </c>
      <c r="B41" s="923" t="s">
        <v>1798</v>
      </c>
      <c r="C41" s="924">
        <v>673000</v>
      </c>
      <c r="D41" s="924"/>
      <c r="E41" s="924">
        <v>673000</v>
      </c>
      <c r="F41" s="924"/>
      <c r="G41" s="924"/>
      <c r="H41" s="924"/>
      <c r="I41" s="924"/>
      <c r="J41" s="924"/>
      <c r="K41" s="924"/>
      <c r="L41" s="924"/>
      <c r="M41" s="924"/>
      <c r="N41" s="924"/>
      <c r="O41" s="924"/>
      <c r="P41" s="924"/>
      <c r="Q41" s="924"/>
      <c r="R41" s="924"/>
      <c r="S41" s="924"/>
      <c r="T41" s="924"/>
      <c r="U41" s="924"/>
      <c r="V41" s="924">
        <v>706650</v>
      </c>
      <c r="W41" s="924"/>
      <c r="X41" s="1251">
        <v>706650</v>
      </c>
      <c r="Y41" s="924"/>
      <c r="Z41" s="42">
        <v>741982.5</v>
      </c>
      <c r="AA41" s="924"/>
      <c r="AB41" s="1251">
        <v>741982.5</v>
      </c>
      <c r="AC41" s="924"/>
      <c r="AD41" s="42">
        <v>779081.625</v>
      </c>
      <c r="AE41" s="924"/>
      <c r="AF41" s="1251">
        <v>779081.625</v>
      </c>
      <c r="AG41" s="924"/>
    </row>
    <row r="42" spans="1:33" x14ac:dyDescent="0.25">
      <c r="A42" s="922">
        <v>20</v>
      </c>
      <c r="B42" s="923" t="s">
        <v>1080</v>
      </c>
      <c r="C42" s="924">
        <v>17001330000</v>
      </c>
      <c r="D42" s="924"/>
      <c r="E42" s="924"/>
      <c r="F42" s="924">
        <v>17001330000</v>
      </c>
      <c r="G42" s="924"/>
      <c r="H42" s="924"/>
      <c r="I42" s="924"/>
      <c r="J42" s="924"/>
      <c r="K42" s="924"/>
      <c r="L42" s="924"/>
      <c r="M42" s="924"/>
      <c r="N42" s="924"/>
      <c r="O42" s="924"/>
      <c r="P42" s="924"/>
      <c r="Q42" s="924"/>
      <c r="R42" s="924"/>
      <c r="S42" s="924"/>
      <c r="T42" s="924"/>
      <c r="U42" s="924"/>
      <c r="V42" s="924">
        <v>17851396500</v>
      </c>
      <c r="W42" s="924"/>
      <c r="X42" s="924"/>
      <c r="Y42" s="1527">
        <v>17851396500</v>
      </c>
      <c r="Z42" s="42">
        <v>18743966325</v>
      </c>
      <c r="AA42" s="924"/>
      <c r="AB42" s="924"/>
      <c r="AC42" s="1527">
        <v>18743966325</v>
      </c>
      <c r="AD42" s="42">
        <v>19681164641.25</v>
      </c>
      <c r="AE42" s="924"/>
      <c r="AF42" s="924"/>
      <c r="AG42" s="1527">
        <v>19681164641.25</v>
      </c>
    </row>
    <row r="43" spans="1:33" s="54" customFormat="1" x14ac:dyDescent="0.25">
      <c r="A43" s="922">
        <v>18</v>
      </c>
      <c r="B43" s="923" t="s">
        <v>1085</v>
      </c>
      <c r="C43" s="924">
        <v>681193000</v>
      </c>
      <c r="D43" s="924"/>
      <c r="E43" s="924">
        <v>681193000</v>
      </c>
      <c r="F43" s="924"/>
      <c r="G43" s="924"/>
      <c r="H43" s="924"/>
      <c r="I43" s="924"/>
      <c r="J43" s="924"/>
      <c r="K43" s="924"/>
      <c r="L43" s="924"/>
      <c r="M43" s="924"/>
      <c r="N43" s="924"/>
      <c r="O43" s="924"/>
      <c r="P43" s="924"/>
      <c r="Q43" s="924"/>
      <c r="R43" s="924"/>
      <c r="S43" s="924"/>
      <c r="T43" s="924"/>
      <c r="U43" s="924"/>
      <c r="V43" s="924">
        <v>715252650</v>
      </c>
      <c r="W43" s="924"/>
      <c r="X43" s="924">
        <v>715252650</v>
      </c>
      <c r="Y43" s="924"/>
      <c r="Z43" s="42">
        <v>751015282.5</v>
      </c>
      <c r="AA43" s="924"/>
      <c r="AB43" s="924">
        <v>751015282.5</v>
      </c>
      <c r="AC43" s="924"/>
      <c r="AD43" s="42">
        <v>788566046.625</v>
      </c>
      <c r="AE43" s="924"/>
      <c r="AF43" s="924">
        <v>788566046.625</v>
      </c>
      <c r="AG43" s="924"/>
    </row>
    <row r="44" spans="1:33" s="54" customFormat="1" ht="25.5" x14ac:dyDescent="0.25">
      <c r="A44" s="922">
        <v>56</v>
      </c>
      <c r="B44" s="923" t="s">
        <v>1799</v>
      </c>
      <c r="C44" s="924">
        <v>500000000</v>
      </c>
      <c r="D44" s="924">
        <v>500000000</v>
      </c>
      <c r="E44" s="924"/>
      <c r="F44" s="924"/>
      <c r="G44" s="924"/>
      <c r="H44" s="924"/>
      <c r="I44" s="924"/>
      <c r="J44" s="924"/>
      <c r="K44" s="924"/>
      <c r="L44" s="924"/>
      <c r="M44" s="924"/>
      <c r="N44" s="924"/>
      <c r="O44" s="924"/>
      <c r="P44" s="924"/>
      <c r="Q44" s="924"/>
      <c r="R44" s="924"/>
      <c r="S44" s="924"/>
      <c r="T44" s="924"/>
      <c r="U44" s="924"/>
      <c r="V44" s="924">
        <v>550000000</v>
      </c>
      <c r="W44" s="924">
        <v>550000000</v>
      </c>
      <c r="X44" s="924"/>
      <c r="Y44" s="924"/>
      <c r="Z44" s="42">
        <v>605000000</v>
      </c>
      <c r="AA44" s="924">
        <v>605000000</v>
      </c>
      <c r="AB44" s="924"/>
      <c r="AC44" s="924"/>
      <c r="AD44" s="42">
        <v>665500000</v>
      </c>
      <c r="AE44" s="924">
        <v>665500000</v>
      </c>
      <c r="AF44" s="924"/>
      <c r="AG44" s="924"/>
    </row>
    <row r="45" spans="1:33" x14ac:dyDescent="0.25">
      <c r="A45" s="922">
        <v>23</v>
      </c>
      <c r="B45" s="923" t="s">
        <v>1800</v>
      </c>
      <c r="C45" s="924">
        <v>697956000</v>
      </c>
      <c r="D45" s="924">
        <v>697956000</v>
      </c>
      <c r="E45" s="924"/>
      <c r="F45" s="924"/>
      <c r="G45" s="924"/>
      <c r="H45" s="924"/>
      <c r="I45" s="924"/>
      <c r="J45" s="924"/>
      <c r="K45" s="924"/>
      <c r="L45" s="924"/>
      <c r="M45" s="924"/>
      <c r="N45" s="924"/>
      <c r="O45" s="924"/>
      <c r="P45" s="924"/>
      <c r="Q45" s="924"/>
      <c r="R45" s="924"/>
      <c r="S45" s="924"/>
      <c r="T45" s="924"/>
      <c r="U45" s="924"/>
      <c r="V45" s="924"/>
      <c r="W45" s="924">
        <v>0</v>
      </c>
      <c r="X45" s="924"/>
      <c r="Y45" s="925"/>
      <c r="Z45" s="42">
        <v>0</v>
      </c>
      <c r="AA45" s="924">
        <v>0</v>
      </c>
      <c r="AB45" s="924"/>
      <c r="AC45" s="925"/>
      <c r="AD45" s="42">
        <v>0</v>
      </c>
      <c r="AE45" s="924">
        <v>0</v>
      </c>
      <c r="AF45" s="924"/>
      <c r="AG45" s="925"/>
    </row>
    <row r="46" spans="1:33" x14ac:dyDescent="0.25">
      <c r="A46" s="930">
        <v>23</v>
      </c>
      <c r="B46" s="923" t="s">
        <v>1801</v>
      </c>
      <c r="C46" s="924">
        <v>2871110000</v>
      </c>
      <c r="D46" s="924">
        <v>2871110000</v>
      </c>
      <c r="E46" s="924"/>
      <c r="F46" s="924"/>
      <c r="G46" s="924"/>
      <c r="H46" s="924"/>
      <c r="I46" s="924"/>
      <c r="J46" s="924"/>
      <c r="K46" s="924"/>
      <c r="L46" s="924"/>
      <c r="M46" s="924"/>
      <c r="N46" s="924"/>
      <c r="O46" s="924"/>
      <c r="P46" s="924"/>
      <c r="Q46" s="924"/>
      <c r="R46" s="924"/>
      <c r="S46" s="924"/>
      <c r="T46" s="924"/>
      <c r="U46" s="924"/>
      <c r="V46" s="924">
        <v>3569066000</v>
      </c>
      <c r="W46" s="929">
        <v>3569066000</v>
      </c>
      <c r="X46" s="929"/>
      <c r="Y46" s="925"/>
      <c r="Z46" s="42">
        <v>3747519300</v>
      </c>
      <c r="AA46" s="929">
        <v>3747519300</v>
      </c>
      <c r="AB46" s="929"/>
      <c r="AC46" s="925"/>
      <c r="AD46" s="42">
        <v>3934895265</v>
      </c>
      <c r="AE46" s="929">
        <v>3934895265</v>
      </c>
      <c r="AF46" s="929"/>
      <c r="AG46" s="925"/>
    </row>
    <row r="47" spans="1:33" x14ac:dyDescent="0.25">
      <c r="A47" s="930">
        <v>20</v>
      </c>
      <c r="B47" s="923" t="s">
        <v>3263</v>
      </c>
      <c r="C47" s="924">
        <v>217044000</v>
      </c>
      <c r="D47" s="924"/>
      <c r="E47" s="924"/>
      <c r="F47" s="924"/>
      <c r="G47" s="924"/>
      <c r="H47" s="924"/>
      <c r="I47" s="924"/>
      <c r="J47" s="924"/>
      <c r="K47" s="924"/>
      <c r="L47" s="924"/>
      <c r="M47" s="924"/>
      <c r="N47" s="924"/>
      <c r="O47" s="924"/>
      <c r="P47" s="924"/>
      <c r="Q47" s="924"/>
      <c r="R47" s="924"/>
      <c r="S47" s="924"/>
      <c r="T47" s="924"/>
      <c r="U47" s="924"/>
      <c r="V47" s="924">
        <v>227896200</v>
      </c>
      <c r="W47" s="929"/>
      <c r="X47" s="929"/>
      <c r="Y47" s="1526">
        <v>227896200</v>
      </c>
      <c r="Z47" s="42">
        <v>239291010</v>
      </c>
      <c r="AA47" s="929"/>
      <c r="AB47" s="929"/>
      <c r="AC47" s="1526">
        <v>239291010</v>
      </c>
      <c r="AD47" s="42">
        <v>251255560.5</v>
      </c>
      <c r="AE47" s="929"/>
      <c r="AF47" s="929"/>
      <c r="AG47" s="1526">
        <v>251255560.5</v>
      </c>
    </row>
    <row r="48" spans="1:33" x14ac:dyDescent="0.25">
      <c r="A48" s="930">
        <v>20</v>
      </c>
      <c r="B48" s="923" t="s">
        <v>3264</v>
      </c>
      <c r="C48" s="924">
        <v>1000000</v>
      </c>
      <c r="D48" s="924"/>
      <c r="E48" s="924"/>
      <c r="F48" s="924"/>
      <c r="G48" s="924"/>
      <c r="H48" s="924"/>
      <c r="I48" s="924"/>
      <c r="J48" s="924"/>
      <c r="K48" s="924"/>
      <c r="L48" s="924"/>
      <c r="M48" s="924"/>
      <c r="N48" s="924"/>
      <c r="O48" s="924"/>
      <c r="P48" s="924"/>
      <c r="Q48" s="924"/>
      <c r="R48" s="924"/>
      <c r="S48" s="924"/>
      <c r="T48" s="924"/>
      <c r="U48" s="924"/>
      <c r="V48" s="924">
        <v>1050000</v>
      </c>
      <c r="W48" s="929"/>
      <c r="X48" s="929"/>
      <c r="Y48" s="1526">
        <v>1050000</v>
      </c>
      <c r="Z48" s="42">
        <v>1102500</v>
      </c>
      <c r="AA48" s="929"/>
      <c r="AB48" s="929"/>
      <c r="AC48" s="1526">
        <v>1102500</v>
      </c>
      <c r="AD48" s="42">
        <v>1157625</v>
      </c>
      <c r="AE48" s="929"/>
      <c r="AF48" s="929"/>
      <c r="AG48" s="1526">
        <v>1157625</v>
      </c>
    </row>
    <row r="49" spans="1:33" x14ac:dyDescent="0.25">
      <c r="A49" s="930">
        <v>20</v>
      </c>
      <c r="B49" s="923" t="s">
        <v>4348</v>
      </c>
      <c r="C49" s="924"/>
      <c r="D49" s="924"/>
      <c r="E49" s="924"/>
      <c r="F49" s="924"/>
      <c r="G49" s="924"/>
      <c r="H49" s="924"/>
      <c r="I49" s="924"/>
      <c r="J49" s="924"/>
      <c r="K49" s="924"/>
      <c r="L49" s="924"/>
      <c r="M49" s="924"/>
      <c r="N49" s="924"/>
      <c r="O49" s="924"/>
      <c r="P49" s="924"/>
      <c r="Q49" s="924"/>
      <c r="R49" s="924"/>
      <c r="S49" s="924"/>
      <c r="T49" s="924"/>
      <c r="U49" s="924"/>
      <c r="V49" s="924">
        <v>119823900</v>
      </c>
      <c r="W49" s="929"/>
      <c r="X49" s="929"/>
      <c r="Y49" s="1526">
        <v>119823900</v>
      </c>
      <c r="Z49" s="42">
        <v>125815095</v>
      </c>
      <c r="AA49" s="929"/>
      <c r="AB49" s="929"/>
      <c r="AC49" s="1526">
        <v>125815095</v>
      </c>
      <c r="AD49" s="42">
        <v>132105849.75</v>
      </c>
      <c r="AE49" s="929"/>
      <c r="AF49" s="929"/>
      <c r="AG49" s="1526">
        <v>132105849.75</v>
      </c>
    </row>
    <row r="50" spans="1:33" x14ac:dyDescent="0.25">
      <c r="A50" s="930">
        <v>20</v>
      </c>
      <c r="B50" s="923" t="s">
        <v>3265</v>
      </c>
      <c r="C50" s="924">
        <v>1000000</v>
      </c>
      <c r="D50" s="924"/>
      <c r="E50" s="924"/>
      <c r="F50" s="924"/>
      <c r="G50" s="924"/>
      <c r="H50" s="924"/>
      <c r="I50" s="924"/>
      <c r="J50" s="924"/>
      <c r="K50" s="924"/>
      <c r="L50" s="924"/>
      <c r="M50" s="924"/>
      <c r="N50" s="924"/>
      <c r="O50" s="924"/>
      <c r="P50" s="924"/>
      <c r="Q50" s="924"/>
      <c r="R50" s="924"/>
      <c r="S50" s="924"/>
      <c r="T50" s="924"/>
      <c r="U50" s="924"/>
      <c r="V50" s="924">
        <v>1050000</v>
      </c>
      <c r="W50" s="929"/>
      <c r="X50" s="929"/>
      <c r="Y50" s="1526">
        <v>1050000</v>
      </c>
      <c r="Z50" s="42">
        <v>1102500</v>
      </c>
      <c r="AA50" s="929"/>
      <c r="AB50" s="929"/>
      <c r="AC50" s="1526">
        <v>1102500</v>
      </c>
      <c r="AD50" s="42">
        <v>1157625</v>
      </c>
      <c r="AE50" s="929"/>
      <c r="AF50" s="929"/>
      <c r="AG50" s="1526">
        <v>1157625</v>
      </c>
    </row>
    <row r="51" spans="1:33" x14ac:dyDescent="0.25">
      <c r="A51" s="930">
        <v>20</v>
      </c>
      <c r="B51" s="923" t="s">
        <v>3266</v>
      </c>
      <c r="C51" s="924">
        <v>77643000</v>
      </c>
      <c r="D51" s="924"/>
      <c r="E51" s="924"/>
      <c r="F51" s="924"/>
      <c r="G51" s="924"/>
      <c r="H51" s="924"/>
      <c r="I51" s="924"/>
      <c r="J51" s="924"/>
      <c r="K51" s="924"/>
      <c r="L51" s="924"/>
      <c r="M51" s="924"/>
      <c r="N51" s="924"/>
      <c r="O51" s="924"/>
      <c r="P51" s="924"/>
      <c r="Q51" s="924"/>
      <c r="R51" s="924"/>
      <c r="S51" s="924"/>
      <c r="T51" s="924"/>
      <c r="U51" s="924"/>
      <c r="V51" s="924">
        <v>81525150</v>
      </c>
      <c r="W51" s="929"/>
      <c r="X51" s="929"/>
      <c r="Y51" s="1526">
        <v>81525150</v>
      </c>
      <c r="Z51" s="42">
        <v>85601407.5</v>
      </c>
      <c r="AA51" s="929"/>
      <c r="AB51" s="929"/>
      <c r="AC51" s="1526">
        <v>85601407.5</v>
      </c>
      <c r="AD51" s="42">
        <v>89881477.875</v>
      </c>
      <c r="AE51" s="929"/>
      <c r="AF51" s="929"/>
      <c r="AG51" s="1526">
        <v>89881477.875</v>
      </c>
    </row>
    <row r="52" spans="1:33" ht="12.75" customHeight="1" x14ac:dyDescent="0.25">
      <c r="A52" s="930">
        <v>47</v>
      </c>
      <c r="B52" s="921" t="s">
        <v>1093</v>
      </c>
      <c r="C52" s="924">
        <v>103859000</v>
      </c>
      <c r="D52" s="924">
        <v>103859000</v>
      </c>
      <c r="E52" s="924"/>
      <c r="F52" s="924"/>
      <c r="G52" s="924"/>
      <c r="H52" s="924"/>
      <c r="I52" s="924"/>
      <c r="J52" s="924"/>
      <c r="K52" s="924"/>
      <c r="L52" s="924"/>
      <c r="M52" s="924"/>
      <c r="N52" s="924"/>
      <c r="O52" s="924"/>
      <c r="P52" s="924"/>
      <c r="Q52" s="924"/>
      <c r="R52" s="924"/>
      <c r="S52" s="924"/>
      <c r="T52" s="924"/>
      <c r="U52" s="924"/>
      <c r="V52" s="924">
        <v>109051950</v>
      </c>
      <c r="W52" s="929">
        <v>109051950</v>
      </c>
      <c r="X52" s="929"/>
      <c r="Y52" s="925"/>
      <c r="Z52" s="42">
        <v>114504547.5</v>
      </c>
      <c r="AA52" s="929">
        <v>114504547.5</v>
      </c>
      <c r="AB52" s="929"/>
      <c r="AC52" s="925"/>
      <c r="AD52" s="42">
        <v>120229774.875</v>
      </c>
      <c r="AE52" s="929">
        <v>120229774.875</v>
      </c>
      <c r="AF52" s="929"/>
      <c r="AG52" s="925"/>
    </row>
    <row r="53" spans="1:33" s="54" customFormat="1" ht="21" customHeight="1" x14ac:dyDescent="0.25">
      <c r="A53" s="1667" t="s">
        <v>1802</v>
      </c>
      <c r="B53" s="1668"/>
      <c r="C53" s="1008">
        <f>SUM(C7:C52)</f>
        <v>201608584000</v>
      </c>
      <c r="D53" s="1008">
        <f>SUM(D7:D52)</f>
        <v>26549508000</v>
      </c>
      <c r="E53" s="1008">
        <f t="shared" ref="E53:F53" si="0">SUM(E7:E52)</f>
        <v>45348901000</v>
      </c>
      <c r="F53" s="1008">
        <f t="shared" si="0"/>
        <v>129413488000</v>
      </c>
      <c r="G53" s="1518"/>
      <c r="I53" s="919"/>
      <c r="V53" s="1151">
        <v>219460463820</v>
      </c>
      <c r="W53" s="1151">
        <v>30004290676</v>
      </c>
      <c r="X53" s="1151">
        <v>51321720114</v>
      </c>
      <c r="Y53" s="1151">
        <v>138134453030</v>
      </c>
      <c r="Z53" s="1151">
        <v>239822864504.39996</v>
      </c>
      <c r="AA53" s="1151">
        <v>34243307389.839996</v>
      </c>
      <c r="AB53" s="1151">
        <v>58262021577.059998</v>
      </c>
      <c r="AC53" s="1151">
        <v>147317535537.5</v>
      </c>
      <c r="AD53" s="1151">
        <v>262914016717.60596</v>
      </c>
      <c r="AE53" s="1151">
        <v>39208070235.911591</v>
      </c>
      <c r="AF53" s="1151">
        <v>66343519976.903397</v>
      </c>
      <c r="AG53" s="1151">
        <v>157362426504.79102</v>
      </c>
    </row>
    <row r="54" spans="1:33" x14ac:dyDescent="0.25">
      <c r="A54" s="934"/>
      <c r="B54" s="931"/>
      <c r="H54" s="1150"/>
    </row>
    <row r="55" spans="1:33" ht="25.5" x14ac:dyDescent="0.25">
      <c r="A55" s="922">
        <v>50</v>
      </c>
      <c r="B55" s="923" t="s">
        <v>1160</v>
      </c>
      <c r="C55" s="924">
        <v>200000000</v>
      </c>
      <c r="D55" s="924"/>
      <c r="E55" s="924">
        <v>200000000</v>
      </c>
      <c r="F55" s="924"/>
      <c r="G55" s="924"/>
      <c r="H55" s="924" t="s">
        <v>1794</v>
      </c>
      <c r="I55" s="924"/>
      <c r="J55" s="924"/>
      <c r="K55" s="924"/>
      <c r="L55" s="924"/>
      <c r="M55" s="924"/>
      <c r="N55" s="924"/>
      <c r="O55" s="924"/>
      <c r="P55" s="924"/>
      <c r="Q55" s="924"/>
      <c r="R55" s="924"/>
      <c r="S55" s="924"/>
      <c r="T55" s="924"/>
      <c r="U55" s="924"/>
      <c r="V55" s="924">
        <v>210000000</v>
      </c>
      <c r="W55" s="924"/>
      <c r="X55" s="924">
        <v>210000000</v>
      </c>
      <c r="Y55" s="924"/>
      <c r="Z55" s="42">
        <v>220500000</v>
      </c>
      <c r="AA55" s="924"/>
      <c r="AB55" s="924">
        <v>220500000</v>
      </c>
      <c r="AC55" s="924"/>
      <c r="AD55" s="42">
        <v>231525000</v>
      </c>
      <c r="AE55" s="924"/>
      <c r="AF55" s="924">
        <v>231525000</v>
      </c>
      <c r="AG55" s="924"/>
    </row>
    <row r="56" spans="1:33" x14ac:dyDescent="0.25">
      <c r="A56" s="923">
        <v>135</v>
      </c>
      <c r="B56" s="923" t="s">
        <v>1803</v>
      </c>
      <c r="C56" s="924">
        <v>9000000000</v>
      </c>
      <c r="D56" s="924"/>
      <c r="E56" s="924">
        <v>9000000000</v>
      </c>
      <c r="F56" s="924"/>
      <c r="G56" s="924"/>
      <c r="H56" s="924"/>
      <c r="I56" s="924"/>
      <c r="J56" s="924"/>
      <c r="K56" s="924"/>
      <c r="L56" s="924"/>
      <c r="M56" s="924"/>
      <c r="N56" s="924"/>
      <c r="O56" s="924"/>
      <c r="P56" s="924"/>
      <c r="Q56" s="924"/>
      <c r="R56" s="924"/>
      <c r="S56" s="924"/>
      <c r="T56" s="924"/>
      <c r="U56" s="924"/>
      <c r="V56" s="924">
        <v>9450000000</v>
      </c>
      <c r="W56" s="927"/>
      <c r="X56" s="924">
        <v>9450000000</v>
      </c>
      <c r="Y56" s="925"/>
      <c r="Z56" s="42">
        <v>9922500000</v>
      </c>
      <c r="AA56" s="927"/>
      <c r="AB56" s="924">
        <v>9922500000</v>
      </c>
      <c r="AC56" s="925"/>
      <c r="AD56" s="42">
        <v>10418625000</v>
      </c>
      <c r="AE56" s="927"/>
      <c r="AF56" s="924">
        <v>10418625000</v>
      </c>
      <c r="AG56" s="925"/>
    </row>
    <row r="57" spans="1:33" s="1653" customFormat="1" x14ac:dyDescent="0.25">
      <c r="A57" s="1896">
        <f>+'[12] Verdad Verdadera 24-27'!A57</f>
        <v>88</v>
      </c>
      <c r="B57" s="1896" t="str">
        <f>+'[12] Verdad Verdadera 24-27'!B57</f>
        <v xml:space="preserve">Superávit Recurso Ordinario </v>
      </c>
      <c r="C57" s="1896">
        <f>+'[12] Verdad Verdadera 24-27'!C57</f>
        <v>11773807973.99</v>
      </c>
      <c r="D57" s="924">
        <f>+C57</f>
        <v>11773807973.99</v>
      </c>
      <c r="E57" s="924"/>
      <c r="F57" s="924"/>
      <c r="G57" s="924"/>
      <c r="H57" s="924"/>
      <c r="I57" s="924"/>
      <c r="J57" s="924"/>
      <c r="K57" s="924"/>
      <c r="L57" s="924"/>
      <c r="M57" s="924"/>
      <c r="N57" s="924"/>
      <c r="O57" s="924"/>
      <c r="P57" s="924"/>
      <c r="Q57" s="924"/>
      <c r="R57" s="924"/>
      <c r="S57" s="924"/>
      <c r="T57" s="924"/>
      <c r="U57" s="924"/>
      <c r="V57" s="924"/>
      <c r="W57" s="927"/>
      <c r="X57" s="924"/>
      <c r="Y57" s="925"/>
      <c r="AA57" s="927"/>
      <c r="AB57" s="924"/>
      <c r="AC57" s="925"/>
      <c r="AE57" s="927"/>
      <c r="AF57" s="924"/>
      <c r="AG57" s="925"/>
    </row>
    <row r="58" spans="1:33" s="1653" customFormat="1" x14ac:dyDescent="0.25">
      <c r="A58" s="1896">
        <f>+'[12] Verdad Verdadera 24-27'!A58</f>
        <v>82</v>
      </c>
      <c r="B58" s="1896" t="str">
        <f>+'[12] Verdad Verdadera 24-27'!B58</f>
        <v>Superávit Estampilla Pro-Desarrollo</v>
      </c>
      <c r="C58" s="1896">
        <f>+'[12] Verdad Verdadera 24-27'!C58</f>
        <v>5801575548.9700003</v>
      </c>
      <c r="D58" s="924">
        <f t="shared" ref="D58:D60" si="1">+C58</f>
        <v>5801575548.9700003</v>
      </c>
      <c r="E58" s="924"/>
      <c r="F58" s="924"/>
      <c r="G58" s="924"/>
      <c r="H58" s="924"/>
      <c r="I58" s="924"/>
      <c r="J58" s="924"/>
      <c r="K58" s="924"/>
      <c r="L58" s="924"/>
      <c r="M58" s="924"/>
      <c r="N58" s="924"/>
      <c r="O58" s="924"/>
      <c r="P58" s="924"/>
      <c r="Q58" s="924"/>
      <c r="R58" s="924"/>
      <c r="S58" s="924"/>
      <c r="T58" s="924"/>
      <c r="U58" s="924"/>
      <c r="V58" s="924"/>
      <c r="W58" s="927"/>
      <c r="X58" s="924"/>
      <c r="Y58" s="925"/>
      <c r="AA58" s="927"/>
      <c r="AB58" s="924"/>
      <c r="AC58" s="925"/>
      <c r="AE58" s="927"/>
      <c r="AF58" s="924"/>
      <c r="AG58" s="925"/>
    </row>
    <row r="59" spans="1:33" s="1653" customFormat="1" x14ac:dyDescent="0.25">
      <c r="A59" s="1896">
        <f>+'[12] Verdad Verdadera 24-27'!A59</f>
        <v>89</v>
      </c>
      <c r="B59" s="1896" t="str">
        <f>+'[12] Verdad Verdadera 24-27'!B59</f>
        <v xml:space="preserve">Superávit Sobretasa ACPM  </v>
      </c>
      <c r="C59" s="1896">
        <f>+'[12] Verdad Verdadera 24-27'!C59</f>
        <v>893732107.30999994</v>
      </c>
      <c r="D59" s="924">
        <f t="shared" si="1"/>
        <v>893732107.30999994</v>
      </c>
      <c r="E59" s="924"/>
      <c r="F59" s="924"/>
      <c r="G59" s="924"/>
      <c r="H59" s="924"/>
      <c r="I59" s="924"/>
      <c r="J59" s="924"/>
      <c r="K59" s="924"/>
      <c r="L59" s="924"/>
      <c r="M59" s="924"/>
      <c r="N59" s="924"/>
      <c r="O59" s="924"/>
      <c r="P59" s="924"/>
      <c r="Q59" s="924"/>
      <c r="R59" s="924"/>
      <c r="S59" s="924"/>
      <c r="T59" s="924"/>
      <c r="U59" s="924"/>
      <c r="V59" s="924"/>
      <c r="W59" s="927"/>
      <c r="X59" s="924"/>
      <c r="Y59" s="925"/>
      <c r="AA59" s="927"/>
      <c r="AB59" s="924"/>
      <c r="AC59" s="925"/>
      <c r="AE59" s="927"/>
      <c r="AF59" s="924"/>
      <c r="AG59" s="925"/>
    </row>
    <row r="60" spans="1:33" s="1653" customFormat="1" ht="25.5" x14ac:dyDescent="0.25">
      <c r="A60" s="1896">
        <f>+'[12] Verdad Verdadera 24-27'!A60</f>
        <v>91</v>
      </c>
      <c r="B60" s="1896" t="str">
        <f>+'[12] Verdad Verdadera 24-27'!B60</f>
        <v xml:space="preserve">Superávit Recurso Destinado del Monopolio </v>
      </c>
      <c r="C60" s="1896">
        <f>+'[12] Verdad Verdadera 24-27'!C60</f>
        <v>127380177</v>
      </c>
      <c r="D60" s="924">
        <f t="shared" si="1"/>
        <v>127380177</v>
      </c>
      <c r="E60" s="924"/>
      <c r="F60" s="924"/>
      <c r="G60" s="924"/>
      <c r="H60" s="924"/>
      <c r="I60" s="924"/>
      <c r="J60" s="924"/>
      <c r="K60" s="924"/>
      <c r="L60" s="924"/>
      <c r="M60" s="924"/>
      <c r="N60" s="924"/>
      <c r="O60" s="924"/>
      <c r="P60" s="924"/>
      <c r="Q60" s="924"/>
      <c r="R60" s="924"/>
      <c r="S60" s="924"/>
      <c r="T60" s="924"/>
      <c r="U60" s="924"/>
      <c r="V60" s="924"/>
      <c r="W60" s="927"/>
      <c r="X60" s="924"/>
      <c r="Y60" s="925"/>
      <c r="AA60" s="927"/>
      <c r="AB60" s="924"/>
      <c r="AC60" s="925"/>
      <c r="AE60" s="927"/>
      <c r="AF60" s="924"/>
      <c r="AG60" s="925"/>
    </row>
    <row r="61" spans="1:33" s="1653" customFormat="1" ht="25.5" x14ac:dyDescent="0.25">
      <c r="A61" s="1896">
        <f>+'[12] Verdad Verdadera 24-27'!A63</f>
        <v>208</v>
      </c>
      <c r="B61" s="1896" t="str">
        <f>+'[12] Verdad Verdadera 24-27'!B63</f>
        <v>Superávit Impuesto al Consumo 3% Monopolio Indeportes</v>
      </c>
      <c r="C61" s="1896">
        <f>+'[12] Verdad Verdadera 24-27'!C63</f>
        <v>19100484.77</v>
      </c>
      <c r="D61" s="924"/>
      <c r="E61" s="924">
        <f>+C61</f>
        <v>19100484.77</v>
      </c>
      <c r="F61" s="924"/>
      <c r="G61" s="924"/>
      <c r="H61" s="924"/>
      <c r="I61" s="924"/>
      <c r="J61" s="924"/>
      <c r="K61" s="924"/>
      <c r="L61" s="924"/>
      <c r="M61" s="924"/>
      <c r="N61" s="924"/>
      <c r="O61" s="924"/>
      <c r="P61" s="924"/>
      <c r="Q61" s="924"/>
      <c r="R61" s="924"/>
      <c r="S61" s="924"/>
      <c r="T61" s="924"/>
      <c r="U61" s="924"/>
      <c r="V61" s="924"/>
      <c r="W61" s="927"/>
      <c r="X61" s="924"/>
      <c r="Y61" s="925"/>
      <c r="AA61" s="927"/>
      <c r="AB61" s="924"/>
      <c r="AC61" s="925"/>
      <c r="AE61" s="927"/>
      <c r="AF61" s="924"/>
      <c r="AG61" s="925"/>
    </row>
    <row r="62" spans="1:33" s="1653" customFormat="1" x14ac:dyDescent="0.25">
      <c r="A62" s="1896">
        <f>+'[12] Verdad Verdadera 24-27'!A64</f>
        <v>260</v>
      </c>
      <c r="B62" s="1896" t="str">
        <f>+'[12] Verdad Verdadera 24-27'!B64</f>
        <v>Superávit Estampilla Pro Hospital</v>
      </c>
      <c r="C62" s="1896">
        <f>+'[12] Verdad Verdadera 24-27'!C64</f>
        <v>1272506149.01</v>
      </c>
      <c r="D62" s="924"/>
      <c r="E62" s="924">
        <f>+C62</f>
        <v>1272506149.01</v>
      </c>
      <c r="F62" s="924"/>
      <c r="G62" s="924"/>
      <c r="H62" s="924"/>
      <c r="I62" s="924"/>
      <c r="J62" s="924"/>
      <c r="K62" s="924"/>
      <c r="L62" s="924"/>
      <c r="M62" s="924"/>
      <c r="N62" s="924"/>
      <c r="O62" s="924"/>
      <c r="P62" s="924"/>
      <c r="Q62" s="924"/>
      <c r="R62" s="924"/>
      <c r="S62" s="924"/>
      <c r="T62" s="924"/>
      <c r="U62" s="924"/>
      <c r="V62" s="924"/>
      <c r="W62" s="927"/>
      <c r="X62" s="924"/>
      <c r="Y62" s="925"/>
      <c r="AA62" s="927"/>
      <c r="AB62" s="924"/>
      <c r="AC62" s="925"/>
      <c r="AE62" s="927"/>
      <c r="AF62" s="924"/>
      <c r="AG62" s="925"/>
    </row>
    <row r="63" spans="1:33" s="1653" customFormat="1" ht="25.5" x14ac:dyDescent="0.25">
      <c r="A63" s="1896">
        <f>+'[12] Verdad Verdadera 24-27'!A65</f>
        <v>261</v>
      </c>
      <c r="B63" s="1896" t="str">
        <f>+'[12] Verdad Verdadera 24-27'!B65</f>
        <v>Suparávit Registro Pago Cuotas Partes Pensionales</v>
      </c>
      <c r="C63" s="1896">
        <f>+'[12] Verdad Verdadera 24-27'!C65</f>
        <v>99155383.659999996</v>
      </c>
      <c r="D63" s="924"/>
      <c r="E63" s="924">
        <f>+C63</f>
        <v>99155383.659999996</v>
      </c>
      <c r="F63" s="924"/>
      <c r="G63" s="924"/>
      <c r="H63" s="924"/>
      <c r="I63" s="924"/>
      <c r="J63" s="924"/>
      <c r="K63" s="924"/>
      <c r="L63" s="924"/>
      <c r="M63" s="924"/>
      <c r="N63" s="924"/>
      <c r="O63" s="924"/>
      <c r="P63" s="924"/>
      <c r="Q63" s="924"/>
      <c r="R63" s="924"/>
      <c r="S63" s="924"/>
      <c r="T63" s="924"/>
      <c r="U63" s="924"/>
      <c r="V63" s="924"/>
      <c r="W63" s="927"/>
      <c r="X63" s="924"/>
      <c r="Y63" s="925"/>
      <c r="AA63" s="927"/>
      <c r="AB63" s="924"/>
      <c r="AC63" s="925"/>
      <c r="AE63" s="927"/>
      <c r="AF63" s="924"/>
      <c r="AG63" s="925"/>
    </row>
    <row r="64" spans="1:33" s="1653" customFormat="1" x14ac:dyDescent="0.25">
      <c r="A64" s="1896">
        <f>+'[12] Verdad Verdadera 24-27'!A66</f>
        <v>93</v>
      </c>
      <c r="B64" s="1896" t="str">
        <f>+'[12] Verdad Verdadera 24-27'!B66</f>
        <v xml:space="preserve">Superávit IVA Telefonia Movil </v>
      </c>
      <c r="C64" s="1896">
        <f>+'[12] Verdad Verdadera 24-27'!C66</f>
        <v>1009422.3</v>
      </c>
      <c r="D64" s="924">
        <f>+C64</f>
        <v>1009422.3</v>
      </c>
      <c r="E64" s="924"/>
      <c r="F64" s="924"/>
      <c r="G64" s="924"/>
      <c r="H64" s="924"/>
      <c r="I64" s="924"/>
      <c r="J64" s="924"/>
      <c r="K64" s="924"/>
      <c r="L64" s="924"/>
      <c r="M64" s="924"/>
      <c r="N64" s="924"/>
      <c r="O64" s="924"/>
      <c r="P64" s="924"/>
      <c r="Q64" s="924"/>
      <c r="R64" s="924"/>
      <c r="S64" s="924"/>
      <c r="T64" s="924"/>
      <c r="U64" s="924"/>
      <c r="V64" s="924"/>
      <c r="W64" s="927"/>
      <c r="X64" s="924"/>
      <c r="Y64" s="925"/>
      <c r="AA64" s="927"/>
      <c r="AB64" s="924"/>
      <c r="AC64" s="925"/>
      <c r="AE64" s="927"/>
      <c r="AF64" s="924"/>
      <c r="AG64" s="925"/>
    </row>
    <row r="65" spans="1:33" s="1653" customFormat="1" ht="25.5" x14ac:dyDescent="0.25">
      <c r="A65" s="1896">
        <f>+'[12] Verdad Verdadera 24-27'!A67</f>
        <v>186</v>
      </c>
      <c r="B65" s="1896" t="str">
        <f>+'[12] Verdad Verdadera 24-27'!B67</f>
        <v>Superávit Extraccíon Material Rïos, Minas y Otros</v>
      </c>
      <c r="C65" s="1896">
        <f>+'[12] Verdad Verdadera 24-27'!C67</f>
        <v>150448.76</v>
      </c>
      <c r="D65" s="924">
        <f>+C65</f>
        <v>150448.76</v>
      </c>
      <c r="E65" s="924"/>
      <c r="F65" s="924"/>
      <c r="G65" s="924"/>
      <c r="H65" s="924"/>
      <c r="I65" s="924"/>
      <c r="J65" s="924"/>
      <c r="K65" s="924"/>
      <c r="L65" s="924"/>
      <c r="M65" s="924"/>
      <c r="N65" s="924"/>
      <c r="O65" s="924"/>
      <c r="P65" s="924"/>
      <c r="Q65" s="924"/>
      <c r="R65" s="924"/>
      <c r="S65" s="924"/>
      <c r="T65" s="924"/>
      <c r="U65" s="924"/>
      <c r="V65" s="924"/>
      <c r="W65" s="927"/>
      <c r="X65" s="924"/>
      <c r="Y65" s="925"/>
      <c r="AA65" s="927"/>
      <c r="AB65" s="924"/>
      <c r="AC65" s="925"/>
      <c r="AE65" s="927"/>
      <c r="AF65" s="924"/>
      <c r="AG65" s="925"/>
    </row>
    <row r="66" spans="1:33" s="1653" customFormat="1" x14ac:dyDescent="0.25">
      <c r="A66" s="1896">
        <f>+'[12] Verdad Verdadera 24-27'!A68</f>
        <v>227</v>
      </c>
      <c r="B66" s="1896" t="str">
        <f>+'[12] Verdad Verdadera 24-27'!B68</f>
        <v xml:space="preserve">Superávit Convenio Invias Colombia Rural </v>
      </c>
      <c r="C66" s="1896">
        <f>+'[12] Verdad Verdadera 24-27'!C68</f>
        <v>1056276477</v>
      </c>
      <c r="D66" s="924">
        <f>+C66</f>
        <v>1056276477</v>
      </c>
      <c r="E66" s="924"/>
      <c r="F66" s="924"/>
      <c r="G66" s="924"/>
      <c r="H66" s="924"/>
      <c r="I66" s="924"/>
      <c r="J66" s="924"/>
      <c r="K66" s="924"/>
      <c r="L66" s="924"/>
      <c r="M66" s="924"/>
      <c r="N66" s="924"/>
      <c r="O66" s="924"/>
      <c r="P66" s="924"/>
      <c r="Q66" s="924"/>
      <c r="R66" s="924"/>
      <c r="S66" s="924"/>
      <c r="T66" s="924"/>
      <c r="U66" s="924"/>
      <c r="V66" s="924"/>
      <c r="W66" s="927"/>
      <c r="X66" s="924"/>
      <c r="Y66" s="925"/>
      <c r="AA66" s="927"/>
      <c r="AB66" s="924"/>
      <c r="AC66" s="925"/>
      <c r="AE66" s="927"/>
      <c r="AF66" s="924"/>
      <c r="AG66" s="925"/>
    </row>
    <row r="67" spans="1:33" s="1653" customFormat="1" ht="25.5" x14ac:dyDescent="0.25">
      <c r="A67" s="1896">
        <f>+'[12] Verdad Verdadera 24-27'!A69</f>
        <v>209</v>
      </c>
      <c r="B67" s="1896" t="str">
        <f>+'[12] Verdad Verdadera 24-27'!B69</f>
        <v>Superávit estampilla Pro-Desarrollo (20%) Pensiones</v>
      </c>
      <c r="C67" s="1896">
        <f>+'[12] Verdad Verdadera 24-27'!C69</f>
        <v>858879624.53999996</v>
      </c>
      <c r="D67" s="924"/>
      <c r="E67" s="924">
        <f t="shared" ref="E67:E72" si="2">+C67</f>
        <v>858879624.53999996</v>
      </c>
      <c r="F67" s="924"/>
      <c r="G67" s="924"/>
      <c r="H67" s="924"/>
      <c r="I67" s="924"/>
      <c r="J67" s="924"/>
      <c r="K67" s="924"/>
      <c r="L67" s="924"/>
      <c r="M67" s="924"/>
      <c r="N67" s="924"/>
      <c r="O67" s="924"/>
      <c r="P67" s="924"/>
      <c r="Q67" s="924"/>
      <c r="R67" s="924"/>
      <c r="S67" s="924"/>
      <c r="T67" s="924"/>
      <c r="U67" s="924"/>
      <c r="V67" s="924"/>
      <c r="W67" s="927"/>
      <c r="X67" s="924"/>
      <c r="Y67" s="925"/>
      <c r="AA67" s="927"/>
      <c r="AB67" s="924"/>
      <c r="AC67" s="925"/>
      <c r="AE67" s="927"/>
      <c r="AF67" s="924"/>
      <c r="AG67" s="925"/>
    </row>
    <row r="68" spans="1:33" s="1653" customFormat="1" ht="25.5" x14ac:dyDescent="0.25">
      <c r="A68" s="1896">
        <f>+'[12] Verdad Verdadera 24-27'!A70</f>
        <v>210</v>
      </c>
      <c r="B68" s="1896" t="str">
        <f>+'[12] Verdad Verdadera 24-27'!B70</f>
        <v>Superávit estampilla Pro-Desarrollo (30%) Proyecta</v>
      </c>
      <c r="C68" s="1896">
        <f>+'[12] Verdad Verdadera 24-27'!C70</f>
        <v>1186021823.6099999</v>
      </c>
      <c r="D68" s="924"/>
      <c r="E68" s="924">
        <f t="shared" si="2"/>
        <v>1186021823.6099999</v>
      </c>
      <c r="F68" s="924"/>
      <c r="G68" s="924"/>
      <c r="H68" s="924"/>
      <c r="I68" s="924"/>
      <c r="J68" s="924"/>
      <c r="K68" s="924"/>
      <c r="L68" s="924"/>
      <c r="M68" s="924"/>
      <c r="N68" s="924"/>
      <c r="O68" s="924"/>
      <c r="P68" s="924"/>
      <c r="Q68" s="924"/>
      <c r="R68" s="924"/>
      <c r="S68" s="924"/>
      <c r="T68" s="924"/>
      <c r="U68" s="924"/>
      <c r="V68" s="924"/>
      <c r="W68" s="927"/>
      <c r="X68" s="924"/>
      <c r="Y68" s="925"/>
      <c r="AA68" s="927"/>
      <c r="AB68" s="924"/>
      <c r="AC68" s="925"/>
      <c r="AE68" s="927"/>
      <c r="AF68" s="924"/>
      <c r="AG68" s="925"/>
    </row>
    <row r="69" spans="1:33" s="1653" customFormat="1" ht="25.5" x14ac:dyDescent="0.25">
      <c r="A69" s="1896">
        <f>+'[12] Verdad Verdadera 24-27'!A71</f>
        <v>211</v>
      </c>
      <c r="B69" s="1896" t="str">
        <f>+'[12] Verdad Verdadera 24-27'!B71</f>
        <v>Superávit estampilla Procultura 20% Pensiones</v>
      </c>
      <c r="C69" s="1896">
        <f>+'[12] Verdad Verdadera 24-27'!C71</f>
        <v>259959549.18000001</v>
      </c>
      <c r="D69" s="924"/>
      <c r="E69" s="924">
        <f t="shared" si="2"/>
        <v>259959549.18000001</v>
      </c>
      <c r="F69" s="924"/>
      <c r="G69" s="924"/>
      <c r="H69" s="924"/>
      <c r="I69" s="924"/>
      <c r="J69" s="924"/>
      <c r="K69" s="924"/>
      <c r="L69" s="924"/>
      <c r="M69" s="924"/>
      <c r="N69" s="924"/>
      <c r="O69" s="924"/>
      <c r="P69" s="924"/>
      <c r="Q69" s="924"/>
      <c r="R69" s="924"/>
      <c r="S69" s="924"/>
      <c r="T69" s="924"/>
      <c r="U69" s="924"/>
      <c r="V69" s="924"/>
      <c r="W69" s="927"/>
      <c r="X69" s="924"/>
      <c r="Y69" s="925"/>
      <c r="AA69" s="927"/>
      <c r="AB69" s="924"/>
      <c r="AC69" s="925"/>
      <c r="AE69" s="927"/>
      <c r="AF69" s="924"/>
      <c r="AG69" s="925"/>
    </row>
    <row r="70" spans="1:33" s="1653" customFormat="1" ht="25.5" x14ac:dyDescent="0.25">
      <c r="A70" s="1896">
        <f>+'[12] Verdad Verdadera 24-27'!A72</f>
        <v>216</v>
      </c>
      <c r="B70" s="1896" t="str">
        <f>+'[12] Verdad Verdadera 24-27'!B72</f>
        <v>Superávit estampilla Pro-adulto mayor (20%) Pensión</v>
      </c>
      <c r="C70" s="1896">
        <f>+'[12] Verdad Verdadera 24-27'!C72</f>
        <v>233490607.13999999</v>
      </c>
      <c r="D70" s="924"/>
      <c r="E70" s="924">
        <f t="shared" si="2"/>
        <v>233490607.13999999</v>
      </c>
      <c r="F70" s="924"/>
      <c r="G70" s="924"/>
      <c r="H70" s="924"/>
      <c r="I70" s="924"/>
      <c r="J70" s="924"/>
      <c r="K70" s="924"/>
      <c r="L70" s="924"/>
      <c r="M70" s="924"/>
      <c r="N70" s="924"/>
      <c r="O70" s="924"/>
      <c r="P70" s="924"/>
      <c r="Q70" s="924"/>
      <c r="R70" s="924"/>
      <c r="S70" s="924"/>
      <c r="T70" s="924"/>
      <c r="U70" s="924"/>
      <c r="V70" s="924"/>
      <c r="W70" s="927"/>
      <c r="X70" s="924"/>
      <c r="Y70" s="925"/>
      <c r="AA70" s="927"/>
      <c r="AB70" s="924"/>
      <c r="AC70" s="925"/>
      <c r="AE70" s="927"/>
      <c r="AF70" s="924"/>
      <c r="AG70" s="925"/>
    </row>
    <row r="71" spans="1:33" s="1653" customFormat="1" x14ac:dyDescent="0.25">
      <c r="A71" s="1896">
        <f>+'[12] Verdad Verdadera 24-27'!A73</f>
        <v>122</v>
      </c>
      <c r="B71" s="1896" t="str">
        <f>+'[12] Verdad Verdadera 24-27'!B73</f>
        <v>Superávit Desahorro FONPET</v>
      </c>
      <c r="C71" s="1896">
        <f>+'[12] Verdad Verdadera 24-27'!C73</f>
        <v>6547110040.8100004</v>
      </c>
      <c r="D71" s="924"/>
      <c r="E71" s="924">
        <f t="shared" si="2"/>
        <v>6547110040.8100004</v>
      </c>
      <c r="F71" s="924"/>
      <c r="G71" s="924"/>
      <c r="H71" s="924"/>
      <c r="I71" s="924"/>
      <c r="J71" s="924"/>
      <c r="K71" s="924"/>
      <c r="L71" s="924"/>
      <c r="M71" s="924"/>
      <c r="N71" s="924"/>
      <c r="O71" s="924"/>
      <c r="P71" s="924"/>
      <c r="Q71" s="924"/>
      <c r="R71" s="924"/>
      <c r="S71" s="924"/>
      <c r="T71" s="924"/>
      <c r="U71" s="924"/>
      <c r="V71" s="924"/>
      <c r="W71" s="927"/>
      <c r="X71" s="924"/>
      <c r="Y71" s="925"/>
      <c r="AA71" s="927"/>
      <c r="AB71" s="924"/>
      <c r="AC71" s="925"/>
      <c r="AE71" s="927"/>
      <c r="AF71" s="924"/>
      <c r="AG71" s="925"/>
    </row>
    <row r="72" spans="1:33" s="1653" customFormat="1" x14ac:dyDescent="0.25">
      <c r="A72" s="1896">
        <f>+'[12] Verdad Verdadera 24-27'!A74</f>
        <v>129</v>
      </c>
      <c r="B72" s="1896" t="str">
        <f>+'[12] Verdad Verdadera 24-27'!B74</f>
        <v>Superávit Impuesto al Registro Proyecta</v>
      </c>
      <c r="C72" s="1896">
        <f>+'[12] Verdad Verdadera 24-27'!C74</f>
        <v>51004314.18</v>
      </c>
      <c r="D72" s="924"/>
      <c r="E72" s="924">
        <f t="shared" si="2"/>
        <v>51004314.18</v>
      </c>
      <c r="F72" s="924"/>
      <c r="G72" s="924"/>
      <c r="H72" s="924"/>
      <c r="I72" s="924"/>
      <c r="J72" s="924"/>
      <c r="K72" s="924"/>
      <c r="L72" s="924"/>
      <c r="M72" s="924"/>
      <c r="N72" s="924"/>
      <c r="O72" s="924"/>
      <c r="P72" s="924"/>
      <c r="Q72" s="924"/>
      <c r="R72" s="924"/>
      <c r="S72" s="924"/>
      <c r="T72" s="924"/>
      <c r="U72" s="924"/>
      <c r="V72" s="924"/>
      <c r="W72" s="927"/>
      <c r="X72" s="924"/>
      <c r="Y72" s="925"/>
      <c r="AA72" s="927"/>
      <c r="AB72" s="924"/>
      <c r="AC72" s="925"/>
      <c r="AE72" s="927"/>
      <c r="AF72" s="924"/>
      <c r="AG72" s="925"/>
    </row>
    <row r="73" spans="1:33" s="1653" customFormat="1" ht="25.5" x14ac:dyDescent="0.25">
      <c r="A73" s="1896">
        <f>+'[12] Verdad Verdadera 24-27'!A75</f>
        <v>213</v>
      </c>
      <c r="B73" s="1896" t="str">
        <f>+'[12] Verdad Verdadera 24-27'!B75</f>
        <v>Superávit estampilla Procultura 10% Bibliotecas</v>
      </c>
      <c r="C73" s="1896">
        <f>+'[12] Verdad Verdadera 24-27'!C75</f>
        <v>181500232.59</v>
      </c>
      <c r="D73" s="924">
        <f>+C73</f>
        <v>181500232.59</v>
      </c>
      <c r="E73" s="924"/>
      <c r="F73" s="924"/>
      <c r="G73" s="924"/>
      <c r="H73" s="924"/>
      <c r="I73" s="924"/>
      <c r="J73" s="924"/>
      <c r="K73" s="924"/>
      <c r="L73" s="924"/>
      <c r="M73" s="924"/>
      <c r="N73" s="924"/>
      <c r="O73" s="924"/>
      <c r="P73" s="924"/>
      <c r="Q73" s="924"/>
      <c r="R73" s="924"/>
      <c r="S73" s="924"/>
      <c r="T73" s="924"/>
      <c r="U73" s="924"/>
      <c r="V73" s="924"/>
      <c r="W73" s="927"/>
      <c r="X73" s="924"/>
      <c r="Y73" s="925"/>
      <c r="AA73" s="927"/>
      <c r="AB73" s="924"/>
      <c r="AC73" s="925"/>
      <c r="AE73" s="927"/>
      <c r="AF73" s="924"/>
      <c r="AG73" s="925"/>
    </row>
    <row r="74" spans="1:33" s="1653" customFormat="1" ht="25.5" x14ac:dyDescent="0.25">
      <c r="A74" s="1896">
        <f>+'[12] Verdad Verdadera 24-27'!A76</f>
        <v>212</v>
      </c>
      <c r="B74" s="1896" t="str">
        <f>+'[12] Verdad Verdadera 24-27'!B76</f>
        <v>Superávit estampilla Procultura 10% Seguridad Social</v>
      </c>
      <c r="C74" s="1896">
        <f>+'[12] Verdad Verdadera 24-27'!C76</f>
        <v>139198689.56999999</v>
      </c>
      <c r="D74" s="924">
        <f>+C74</f>
        <v>139198689.56999999</v>
      </c>
      <c r="E74" s="924"/>
      <c r="F74" s="924"/>
      <c r="G74" s="924"/>
      <c r="H74" s="924"/>
      <c r="I74" s="924"/>
      <c r="J74" s="924"/>
      <c r="K74" s="924"/>
      <c r="L74" s="924"/>
      <c r="M74" s="924"/>
      <c r="N74" s="924"/>
      <c r="O74" s="924"/>
      <c r="P74" s="924"/>
      <c r="Q74" s="924"/>
      <c r="R74" s="924"/>
      <c r="S74" s="924"/>
      <c r="T74" s="924"/>
      <c r="U74" s="924"/>
      <c r="V74" s="924"/>
      <c r="W74" s="927"/>
      <c r="X74" s="924"/>
      <c r="Y74" s="925"/>
      <c r="AA74" s="927"/>
      <c r="AB74" s="924"/>
      <c r="AC74" s="925"/>
      <c r="AE74" s="927"/>
      <c r="AF74" s="924"/>
      <c r="AG74" s="925"/>
    </row>
    <row r="75" spans="1:33" s="1653" customFormat="1" ht="25.5" x14ac:dyDescent="0.25">
      <c r="A75" s="1896">
        <f>+'[12] Verdad Verdadera 24-27'!A77</f>
        <v>214</v>
      </c>
      <c r="B75" s="1896" t="str">
        <f>+'[12] Verdad Verdadera 24-27'!B77</f>
        <v>Superávit estampilla Procultura 50% Concertación</v>
      </c>
      <c r="C75" s="1896">
        <f>+'[12] Verdad Verdadera 24-27'!C77</f>
        <v>630416665.33000004</v>
      </c>
      <c r="D75" s="924">
        <f>+C75</f>
        <v>630416665.33000004</v>
      </c>
      <c r="E75" s="924"/>
      <c r="F75" s="924"/>
      <c r="G75" s="924"/>
      <c r="H75" s="924"/>
      <c r="I75" s="924"/>
      <c r="J75" s="924"/>
      <c r="K75" s="924"/>
      <c r="L75" s="924"/>
      <c r="M75" s="924"/>
      <c r="N75" s="924"/>
      <c r="O75" s="924"/>
      <c r="P75" s="924"/>
      <c r="Q75" s="924"/>
      <c r="R75" s="924"/>
      <c r="S75" s="924"/>
      <c r="T75" s="924"/>
      <c r="U75" s="924"/>
      <c r="V75" s="924"/>
      <c r="W75" s="927"/>
      <c r="X75" s="924"/>
      <c r="Y75" s="925"/>
      <c r="AA75" s="927"/>
      <c r="AB75" s="924"/>
      <c r="AC75" s="925"/>
      <c r="AE75" s="927"/>
      <c r="AF75" s="924"/>
      <c r="AG75" s="925"/>
    </row>
    <row r="76" spans="1:33" s="1653" customFormat="1" ht="25.5" x14ac:dyDescent="0.25">
      <c r="A76" s="1896">
        <f>+'[12] Verdad Verdadera 24-27'!A78</f>
        <v>215</v>
      </c>
      <c r="B76" s="1896" t="str">
        <f>+'[12] Verdad Verdadera 24-27'!B78</f>
        <v>Superávit estampilla Procultura 10% Estimulos</v>
      </c>
      <c r="C76" s="1896">
        <f>+'[12] Verdad Verdadera 24-27'!C78</f>
        <v>121310717.40000001</v>
      </c>
      <c r="D76" s="924">
        <f>+C76</f>
        <v>121310717.40000001</v>
      </c>
      <c r="E76" s="924"/>
      <c r="F76" s="924"/>
      <c r="G76" s="924"/>
      <c r="H76" s="924"/>
      <c r="I76" s="924"/>
      <c r="J76" s="924"/>
      <c r="K76" s="924"/>
      <c r="L76" s="924"/>
      <c r="M76" s="924"/>
      <c r="N76" s="924"/>
      <c r="O76" s="924"/>
      <c r="P76" s="924"/>
      <c r="Q76" s="924"/>
      <c r="R76" s="924"/>
      <c r="S76" s="924"/>
      <c r="T76" s="924"/>
      <c r="U76" s="924"/>
      <c r="V76" s="924"/>
      <c r="W76" s="927"/>
      <c r="X76" s="924"/>
      <c r="Y76" s="925"/>
      <c r="AA76" s="927"/>
      <c r="AB76" s="924"/>
      <c r="AC76" s="925"/>
      <c r="AE76" s="927"/>
      <c r="AF76" s="924"/>
      <c r="AG76" s="925"/>
    </row>
    <row r="77" spans="1:33" s="1653" customFormat="1" ht="25.5" x14ac:dyDescent="0.25">
      <c r="A77" s="1896">
        <f>+'[12] Verdad Verdadera 24-27'!A79</f>
        <v>228</v>
      </c>
      <c r="B77" s="1896" t="str">
        <f>+'[12] Verdad Verdadera 24-27'!B79</f>
        <v>Superávit convenio invias 1609 de 2020 vías terciarias</v>
      </c>
      <c r="C77" s="1896">
        <f>+'[12] Verdad Verdadera 24-27'!C79</f>
        <v>9069171774.3999996</v>
      </c>
      <c r="D77" s="924">
        <f>+C77</f>
        <v>9069171774.3999996</v>
      </c>
      <c r="E77" s="924"/>
      <c r="F77" s="924"/>
      <c r="G77" s="924"/>
      <c r="H77" s="924"/>
      <c r="I77" s="924"/>
      <c r="J77" s="924"/>
      <c r="K77" s="924"/>
      <c r="L77" s="924"/>
      <c r="M77" s="924"/>
      <c r="N77" s="924"/>
      <c r="O77" s="924"/>
      <c r="P77" s="924"/>
      <c r="Q77" s="924"/>
      <c r="R77" s="924"/>
      <c r="S77" s="924"/>
      <c r="T77" s="924"/>
      <c r="U77" s="924"/>
      <c r="V77" s="924"/>
      <c r="W77" s="927"/>
      <c r="X77" s="924"/>
      <c r="Y77" s="925"/>
      <c r="AA77" s="927"/>
      <c r="AB77" s="924"/>
      <c r="AC77" s="925"/>
      <c r="AE77" s="927"/>
      <c r="AF77" s="924"/>
      <c r="AG77" s="925"/>
    </row>
    <row r="78" spans="1:33" s="1653" customFormat="1" ht="25.5" x14ac:dyDescent="0.25">
      <c r="A78" s="1896">
        <f>+'[12] Verdad Verdadera 24-27'!A80</f>
        <v>231</v>
      </c>
      <c r="B78" s="1896" t="str">
        <f>+'[12] Verdad Verdadera 24-27'!B80</f>
        <v xml:space="preserve">Superávit Monopolio Deporte Alcohol Potable </v>
      </c>
      <c r="C78" s="1896">
        <f>+'[12] Verdad Verdadera 24-27'!C80</f>
        <v>137394165.75</v>
      </c>
      <c r="D78" s="924"/>
      <c r="E78" s="924">
        <f>+C78</f>
        <v>137394165.75</v>
      </c>
      <c r="F78" s="924"/>
      <c r="G78" s="924"/>
      <c r="H78" s="924"/>
      <c r="I78" s="924"/>
      <c r="J78" s="924"/>
      <c r="K78" s="924"/>
      <c r="L78" s="924"/>
      <c r="M78" s="924"/>
      <c r="N78" s="924"/>
      <c r="O78" s="924"/>
      <c r="P78" s="924"/>
      <c r="Q78" s="924"/>
      <c r="R78" s="924"/>
      <c r="S78" s="924"/>
      <c r="T78" s="924"/>
      <c r="U78" s="924"/>
      <c r="V78" s="924"/>
      <c r="W78" s="927"/>
      <c r="X78" s="924"/>
      <c r="Y78" s="925"/>
      <c r="AA78" s="927"/>
      <c r="AB78" s="924"/>
      <c r="AC78" s="925"/>
      <c r="AE78" s="927"/>
      <c r="AF78" s="924"/>
      <c r="AG78" s="925"/>
    </row>
    <row r="79" spans="1:33" s="1653" customFormat="1" ht="25.5" x14ac:dyDescent="0.25">
      <c r="A79" s="1896">
        <f>+'[12] Verdad Verdadera 24-27'!A81</f>
        <v>259</v>
      </c>
      <c r="B79" s="1896" t="str">
        <f>+'[12] Verdad Verdadera 24-27'!B81</f>
        <v xml:space="preserve">Superávit Monopolio Deporte Alcohol Potable </v>
      </c>
      <c r="C79" s="1896">
        <f>+'[12] Verdad Verdadera 24-27'!C81</f>
        <v>692888</v>
      </c>
      <c r="D79" s="924"/>
      <c r="E79" s="924">
        <f>+C79</f>
        <v>692888</v>
      </c>
      <c r="F79" s="924"/>
      <c r="G79" s="924"/>
      <c r="H79" s="924"/>
      <c r="I79" s="924"/>
      <c r="J79" s="924"/>
      <c r="K79" s="924"/>
      <c r="L79" s="924"/>
      <c r="M79" s="924"/>
      <c r="N79" s="924"/>
      <c r="O79" s="924"/>
      <c r="P79" s="924"/>
      <c r="Q79" s="924"/>
      <c r="R79" s="924"/>
      <c r="S79" s="924"/>
      <c r="T79" s="924"/>
      <c r="U79" s="924"/>
      <c r="V79" s="924"/>
      <c r="W79" s="927"/>
      <c r="X79" s="924"/>
      <c r="Y79" s="925"/>
      <c r="AA79" s="927"/>
      <c r="AB79" s="924"/>
      <c r="AC79" s="925"/>
      <c r="AE79" s="927"/>
      <c r="AF79" s="924"/>
      <c r="AG79" s="925"/>
    </row>
    <row r="80" spans="1:33" s="1653" customFormat="1" ht="25.5" x14ac:dyDescent="0.25">
      <c r="A80" s="1896">
        <f>+'[12] Verdad Verdadera 24-27'!A82</f>
        <v>264</v>
      </c>
      <c r="B80" s="1896" t="str">
        <f>+'[12] Verdad Verdadera 24-27'!B82</f>
        <v xml:space="preserve">SUPERAVIT CONVENIO 047/22 RESGUARDO INDIGENA KARABIJUA </v>
      </c>
      <c r="C80" s="1896">
        <f>+'[12] Verdad Verdadera 24-27'!C82</f>
        <v>6822431</v>
      </c>
      <c r="D80" s="924">
        <f>+C80</f>
        <v>6822431</v>
      </c>
      <c r="E80" s="924"/>
      <c r="F80" s="924"/>
      <c r="G80" s="924"/>
      <c r="H80" s="924"/>
      <c r="I80" s="924"/>
      <c r="J80" s="924"/>
      <c r="K80" s="924"/>
      <c r="L80" s="924"/>
      <c r="M80" s="924"/>
      <c r="N80" s="924"/>
      <c r="O80" s="924"/>
      <c r="P80" s="924"/>
      <c r="Q80" s="924"/>
      <c r="R80" s="924"/>
      <c r="S80" s="924"/>
      <c r="T80" s="924"/>
      <c r="U80" s="924"/>
      <c r="V80" s="924"/>
      <c r="W80" s="927"/>
      <c r="X80" s="924"/>
      <c r="Y80" s="925"/>
      <c r="AA80" s="927"/>
      <c r="AB80" s="924"/>
      <c r="AC80" s="925"/>
      <c r="AE80" s="927"/>
      <c r="AF80" s="924"/>
      <c r="AG80" s="925"/>
    </row>
    <row r="81" spans="1:33" s="1652" customFormat="1" x14ac:dyDescent="0.25">
      <c r="A81" s="1896">
        <f>+'[12] Verdad Verdadera 24-27'!A83</f>
        <v>262</v>
      </c>
      <c r="B81" s="1896" t="str">
        <f>+'[12] Verdad Verdadera 24-27'!B83</f>
        <v xml:space="preserve">Superávit Tasa Pro Deporte </v>
      </c>
      <c r="C81" s="1896">
        <f>+'[12] Verdad Verdadera 24-27'!C83</f>
        <v>1872632021.74</v>
      </c>
      <c r="D81" s="924"/>
      <c r="E81" s="924">
        <f>+C81</f>
        <v>1872632021.74</v>
      </c>
      <c r="F81" s="924"/>
      <c r="G81" s="924"/>
      <c r="H81" s="924"/>
      <c r="I81" s="924"/>
      <c r="J81" s="924"/>
      <c r="K81" s="924"/>
      <c r="L81" s="924"/>
      <c r="M81" s="924"/>
      <c r="N81" s="924"/>
      <c r="O81" s="924"/>
      <c r="P81" s="924"/>
      <c r="Q81" s="924"/>
      <c r="R81" s="924"/>
      <c r="S81" s="924"/>
      <c r="T81" s="924"/>
      <c r="U81" s="924"/>
      <c r="V81" s="924"/>
      <c r="W81" s="927"/>
      <c r="X81" s="924"/>
      <c r="Y81" s="925"/>
      <c r="AA81" s="927"/>
      <c r="AB81" s="924"/>
      <c r="AC81" s="925"/>
      <c r="AE81" s="927"/>
      <c r="AF81" s="924"/>
      <c r="AG81" s="925"/>
    </row>
    <row r="82" spans="1:33" s="1652" customFormat="1" hidden="1" x14ac:dyDescent="0.25">
      <c r="A82" s="923"/>
      <c r="B82" s="923"/>
      <c r="C82" s="924"/>
      <c r="D82" s="924">
        <f t="shared" ref="D82" si="3">+C82</f>
        <v>0</v>
      </c>
      <c r="E82" s="924"/>
      <c r="F82" s="924"/>
      <c r="G82" s="924"/>
      <c r="H82" s="924"/>
      <c r="I82" s="924"/>
      <c r="J82" s="924"/>
      <c r="K82" s="924"/>
      <c r="L82" s="924"/>
      <c r="M82" s="924"/>
      <c r="N82" s="924"/>
      <c r="O82" s="924"/>
      <c r="P82" s="924"/>
      <c r="Q82" s="924"/>
      <c r="R82" s="924"/>
      <c r="S82" s="924"/>
      <c r="T82" s="924"/>
      <c r="U82" s="924"/>
      <c r="V82" s="924"/>
      <c r="W82" s="927"/>
      <c r="X82" s="924"/>
      <c r="Y82" s="925"/>
      <c r="AA82" s="927"/>
      <c r="AB82" s="924"/>
      <c r="AC82" s="925"/>
      <c r="AE82" s="927"/>
      <c r="AF82" s="924"/>
      <c r="AG82" s="925"/>
    </row>
    <row r="83" spans="1:33" x14ac:dyDescent="0.25">
      <c r="A83" s="923">
        <v>20</v>
      </c>
      <c r="B83" s="923" t="s">
        <v>606</v>
      </c>
      <c r="C83" s="924">
        <v>10000000</v>
      </c>
      <c r="D83" s="924"/>
      <c r="E83" s="924"/>
      <c r="F83" s="924">
        <v>10000000</v>
      </c>
      <c r="G83" s="924"/>
      <c r="H83" s="924"/>
      <c r="I83" s="924"/>
      <c r="J83" s="924"/>
      <c r="K83" s="924"/>
      <c r="L83" s="924"/>
      <c r="M83" s="924"/>
      <c r="N83" s="924"/>
      <c r="O83" s="924"/>
      <c r="P83" s="924"/>
      <c r="Q83" s="924"/>
      <c r="R83" s="924"/>
      <c r="S83" s="924"/>
      <c r="T83" s="924"/>
      <c r="U83" s="924"/>
      <c r="V83" s="924">
        <v>10500000</v>
      </c>
      <c r="W83" s="924"/>
      <c r="X83" s="924"/>
      <c r="Y83" s="924">
        <v>10500000</v>
      </c>
      <c r="Z83" s="42">
        <v>11025000</v>
      </c>
      <c r="AA83" s="924"/>
      <c r="AB83" s="924"/>
      <c r="AC83" s="924">
        <v>11025000</v>
      </c>
      <c r="AD83" s="42">
        <v>11576250</v>
      </c>
      <c r="AE83" s="924"/>
      <c r="AF83" s="924"/>
      <c r="AG83" s="924">
        <v>11576250</v>
      </c>
    </row>
    <row r="84" spans="1:33" ht="25.5" x14ac:dyDescent="0.25">
      <c r="A84" s="922">
        <v>20</v>
      </c>
      <c r="B84" s="923" t="s">
        <v>1804</v>
      </c>
      <c r="C84" s="924">
        <v>300000000</v>
      </c>
      <c r="D84" s="924"/>
      <c r="E84" s="924"/>
      <c r="F84" s="924">
        <v>300000000</v>
      </c>
      <c r="G84" s="924"/>
      <c r="H84" s="924"/>
      <c r="I84" s="924"/>
      <c r="J84" s="924"/>
      <c r="K84" s="924"/>
      <c r="L84" s="924"/>
      <c r="M84" s="924"/>
      <c r="N84" s="924"/>
      <c r="O84" s="924"/>
      <c r="P84" s="924"/>
      <c r="Q84" s="924"/>
      <c r="R84" s="924"/>
      <c r="S84" s="924"/>
      <c r="T84" s="924"/>
      <c r="U84" s="924"/>
      <c r="V84" s="924">
        <v>306000000</v>
      </c>
      <c r="W84" s="924"/>
      <c r="X84" s="924"/>
      <c r="Y84" s="1527">
        <v>306000000</v>
      </c>
      <c r="Z84" s="42">
        <v>321300000</v>
      </c>
      <c r="AA84" s="924"/>
      <c r="AB84" s="924"/>
      <c r="AC84" s="1527">
        <v>321300000</v>
      </c>
      <c r="AD84" s="42">
        <v>337365000</v>
      </c>
      <c r="AE84" s="924"/>
      <c r="AF84" s="924"/>
      <c r="AG84" s="1527">
        <v>337365000</v>
      </c>
    </row>
    <row r="85" spans="1:33" ht="25.5" x14ac:dyDescent="0.25">
      <c r="A85" s="922">
        <v>4</v>
      </c>
      <c r="B85" s="923" t="s">
        <v>1805</v>
      </c>
      <c r="C85" s="924">
        <v>20000000</v>
      </c>
      <c r="D85" s="924">
        <v>20000000</v>
      </c>
      <c r="E85" s="924"/>
      <c r="F85" s="924"/>
      <c r="G85" s="924"/>
      <c r="H85" s="924"/>
      <c r="I85" s="924"/>
      <c r="J85" s="924"/>
      <c r="K85" s="924"/>
      <c r="L85" s="924"/>
      <c r="M85" s="924"/>
      <c r="N85" s="924"/>
      <c r="O85" s="924"/>
      <c r="P85" s="924"/>
      <c r="Q85" s="924"/>
      <c r="R85" s="924"/>
      <c r="S85" s="924"/>
      <c r="T85" s="924"/>
      <c r="U85" s="924"/>
      <c r="V85" s="924">
        <v>20400000</v>
      </c>
      <c r="W85" s="924">
        <v>20400000</v>
      </c>
      <c r="X85" s="924"/>
      <c r="Y85" s="924"/>
      <c r="Z85" s="42">
        <v>21420000</v>
      </c>
      <c r="AA85" s="924">
        <v>21420000</v>
      </c>
      <c r="AB85" s="924"/>
      <c r="AC85" s="924"/>
      <c r="AD85" s="42">
        <v>22491000</v>
      </c>
      <c r="AE85" s="924">
        <v>22491000</v>
      </c>
      <c r="AF85" s="924"/>
      <c r="AG85" s="924"/>
    </row>
    <row r="86" spans="1:33" ht="25.5" x14ac:dyDescent="0.25">
      <c r="A86" s="922">
        <v>176</v>
      </c>
      <c r="B86" s="923" t="s">
        <v>1806</v>
      </c>
      <c r="C86" s="924">
        <v>5000000</v>
      </c>
      <c r="D86" s="924"/>
      <c r="E86" s="924">
        <v>5000000</v>
      </c>
      <c r="F86" s="924"/>
      <c r="G86" s="924"/>
      <c r="H86" s="924"/>
      <c r="I86" s="924"/>
      <c r="J86" s="924"/>
      <c r="K86" s="924"/>
      <c r="L86" s="924"/>
      <c r="M86" s="924"/>
      <c r="N86" s="924"/>
      <c r="O86" s="924"/>
      <c r="P86" s="924"/>
      <c r="Q86" s="924"/>
      <c r="R86" s="924"/>
      <c r="S86" s="924"/>
      <c r="T86" s="924"/>
      <c r="U86" s="924"/>
      <c r="V86" s="924">
        <v>5100000</v>
      </c>
      <c r="W86" s="924"/>
      <c r="X86" s="924">
        <v>5100000</v>
      </c>
      <c r="Y86" s="924"/>
      <c r="Z86" s="42">
        <v>5355000</v>
      </c>
      <c r="AA86" s="924"/>
      <c r="AB86" s="924">
        <v>5355000</v>
      </c>
      <c r="AC86" s="924"/>
      <c r="AD86" s="42">
        <v>5622750</v>
      </c>
      <c r="AE86" s="924"/>
      <c r="AF86" s="924">
        <v>5622750</v>
      </c>
      <c r="AG86" s="924"/>
    </row>
    <row r="87" spans="1:33" ht="25.5" x14ac:dyDescent="0.25">
      <c r="A87" s="922">
        <v>5</v>
      </c>
      <c r="B87" s="923" t="s">
        <v>1807</v>
      </c>
      <c r="C87" s="924">
        <v>2000000</v>
      </c>
      <c r="D87" s="924"/>
      <c r="E87" s="924">
        <v>2000000</v>
      </c>
      <c r="F87" s="924"/>
      <c r="G87" s="924"/>
      <c r="H87" s="924"/>
      <c r="I87" s="924"/>
      <c r="J87" s="924"/>
      <c r="K87" s="924"/>
      <c r="L87" s="924"/>
      <c r="M87" s="924"/>
      <c r="N87" s="924"/>
      <c r="O87" s="924"/>
      <c r="P87" s="924"/>
      <c r="Q87" s="924"/>
      <c r="R87" s="924"/>
      <c r="S87" s="924"/>
      <c r="T87" s="924"/>
      <c r="U87" s="924"/>
      <c r="V87" s="924">
        <v>2040000</v>
      </c>
      <c r="W87" s="924"/>
      <c r="X87" s="924">
        <v>2040000</v>
      </c>
      <c r="Y87" s="924"/>
      <c r="Z87" s="42">
        <v>2142000</v>
      </c>
      <c r="AA87" s="924"/>
      <c r="AB87" s="924">
        <v>2142000</v>
      </c>
      <c r="AC87" s="924"/>
      <c r="AD87" s="42">
        <v>2249100</v>
      </c>
      <c r="AE87" s="924"/>
      <c r="AF87" s="924">
        <v>2249100</v>
      </c>
      <c r="AG87" s="924"/>
    </row>
    <row r="88" spans="1:33" ht="25.5" x14ac:dyDescent="0.25">
      <c r="A88" s="922">
        <v>33</v>
      </c>
      <c r="B88" s="923" t="s">
        <v>1808</v>
      </c>
      <c r="C88" s="924">
        <v>1000000</v>
      </c>
      <c r="D88" s="924">
        <v>1000000</v>
      </c>
      <c r="E88" s="924"/>
      <c r="F88" s="924"/>
      <c r="G88" s="924"/>
      <c r="H88" s="924"/>
      <c r="I88" s="924"/>
      <c r="J88" s="924"/>
      <c r="K88" s="924"/>
      <c r="L88" s="924"/>
      <c r="M88" s="924"/>
      <c r="N88" s="924"/>
      <c r="O88" s="924"/>
      <c r="P88" s="924"/>
      <c r="Q88" s="924"/>
      <c r="R88" s="924"/>
      <c r="S88" s="924"/>
      <c r="T88" s="924"/>
      <c r="U88" s="924"/>
      <c r="V88" s="924">
        <v>1020000</v>
      </c>
      <c r="W88" s="924">
        <v>1020000</v>
      </c>
      <c r="X88" s="924"/>
      <c r="Y88" s="924"/>
      <c r="Z88" s="42">
        <v>1071000</v>
      </c>
      <c r="AA88" s="924">
        <v>1071000</v>
      </c>
      <c r="AB88" s="924"/>
      <c r="AC88" s="924"/>
      <c r="AD88" s="42">
        <v>1124550</v>
      </c>
      <c r="AE88" s="924">
        <v>1124550</v>
      </c>
      <c r="AF88" s="924"/>
      <c r="AG88" s="924"/>
    </row>
    <row r="89" spans="1:33" ht="25.5" x14ac:dyDescent="0.25">
      <c r="A89" s="922">
        <v>34</v>
      </c>
      <c r="B89" s="923" t="s">
        <v>1809</v>
      </c>
      <c r="C89" s="924">
        <v>1000000</v>
      </c>
      <c r="D89" s="924">
        <v>1000000</v>
      </c>
      <c r="E89" s="924"/>
      <c r="F89" s="924"/>
      <c r="G89" s="924"/>
      <c r="H89" s="924"/>
      <c r="I89" s="924"/>
      <c r="J89" s="924"/>
      <c r="K89" s="924"/>
      <c r="L89" s="924"/>
      <c r="M89" s="924"/>
      <c r="N89" s="924"/>
      <c r="O89" s="924"/>
      <c r="P89" s="924"/>
      <c r="Q89" s="924"/>
      <c r="R89" s="924"/>
      <c r="S89" s="924"/>
      <c r="T89" s="924"/>
      <c r="U89" s="924"/>
      <c r="V89" s="924">
        <v>1020000</v>
      </c>
      <c r="W89" s="924">
        <v>1020000</v>
      </c>
      <c r="X89" s="924"/>
      <c r="Y89" s="924"/>
      <c r="Z89" s="42">
        <v>1071000</v>
      </c>
      <c r="AA89" s="924">
        <v>1071000</v>
      </c>
      <c r="AB89" s="924"/>
      <c r="AC89" s="924"/>
      <c r="AD89" s="42">
        <v>1124550</v>
      </c>
      <c r="AE89" s="924">
        <v>1124550</v>
      </c>
      <c r="AF89" s="924"/>
      <c r="AG89" s="924"/>
    </row>
    <row r="90" spans="1:33" ht="25.5" x14ac:dyDescent="0.25">
      <c r="A90" s="922">
        <v>39</v>
      </c>
      <c r="B90" s="923" t="s">
        <v>1810</v>
      </c>
      <c r="C90" s="924">
        <v>5000000</v>
      </c>
      <c r="D90" s="924">
        <v>5000000</v>
      </c>
      <c r="E90" s="924"/>
      <c r="F90" s="924"/>
      <c r="G90" s="924"/>
      <c r="H90" s="924"/>
      <c r="I90" s="924"/>
      <c r="J90" s="924"/>
      <c r="K90" s="924"/>
      <c r="L90" s="924"/>
      <c r="M90" s="924"/>
      <c r="N90" s="924"/>
      <c r="O90" s="924"/>
      <c r="P90" s="924"/>
      <c r="Q90" s="924"/>
      <c r="R90" s="924"/>
      <c r="S90" s="924"/>
      <c r="T90" s="924"/>
      <c r="U90" s="924"/>
      <c r="V90" s="924">
        <v>5100000</v>
      </c>
      <c r="W90" s="924">
        <v>5100000</v>
      </c>
      <c r="X90" s="924"/>
      <c r="Y90" s="924"/>
      <c r="Z90" s="42">
        <v>5355000</v>
      </c>
      <c r="AA90" s="924">
        <v>5355000</v>
      </c>
      <c r="AB90" s="924"/>
      <c r="AC90" s="924"/>
      <c r="AD90" s="42">
        <v>5622750</v>
      </c>
      <c r="AE90" s="924">
        <v>5622750</v>
      </c>
      <c r="AF90" s="924"/>
      <c r="AG90" s="924"/>
    </row>
    <row r="91" spans="1:33" ht="25.5" x14ac:dyDescent="0.25">
      <c r="A91" s="922">
        <v>41</v>
      </c>
      <c r="B91" s="923" t="s">
        <v>1811</v>
      </c>
      <c r="C91" s="924">
        <v>1000000</v>
      </c>
      <c r="D91" s="924">
        <v>1000000</v>
      </c>
      <c r="E91" s="924"/>
      <c r="F91" s="924"/>
      <c r="G91" s="924"/>
      <c r="H91" s="924"/>
      <c r="I91" s="924"/>
      <c r="J91" s="924"/>
      <c r="K91" s="924"/>
      <c r="L91" s="924"/>
      <c r="M91" s="924"/>
      <c r="N91" s="924"/>
      <c r="O91" s="924"/>
      <c r="P91" s="924"/>
      <c r="Q91" s="924"/>
      <c r="R91" s="924"/>
      <c r="S91" s="924"/>
      <c r="T91" s="924"/>
      <c r="U91" s="924"/>
      <c r="V91" s="924">
        <v>1020000</v>
      </c>
      <c r="W91" s="924">
        <v>1020000</v>
      </c>
      <c r="X91" s="924"/>
      <c r="Y91" s="924"/>
      <c r="Z91" s="42">
        <v>1071000</v>
      </c>
      <c r="AA91" s="924">
        <v>1071000</v>
      </c>
      <c r="AB91" s="924"/>
      <c r="AC91" s="924"/>
      <c r="AD91" s="42">
        <v>1124550</v>
      </c>
      <c r="AE91" s="924">
        <v>1124550</v>
      </c>
      <c r="AF91" s="924"/>
      <c r="AG91" s="924"/>
    </row>
    <row r="92" spans="1:33" ht="25.5" x14ac:dyDescent="0.25">
      <c r="A92" s="922">
        <v>6</v>
      </c>
      <c r="B92" s="923" t="s">
        <v>1812</v>
      </c>
      <c r="C92" s="924">
        <v>20000000</v>
      </c>
      <c r="D92" s="924">
        <v>20000000</v>
      </c>
      <c r="E92" s="924"/>
      <c r="F92" s="924"/>
      <c r="G92" s="924"/>
      <c r="H92" s="924"/>
      <c r="I92" s="924"/>
      <c r="J92" s="924"/>
      <c r="K92" s="924"/>
      <c r="L92" s="924"/>
      <c r="M92" s="924"/>
      <c r="N92" s="924"/>
      <c r="O92" s="924"/>
      <c r="P92" s="924"/>
      <c r="Q92" s="924"/>
      <c r="R92" s="924"/>
      <c r="S92" s="924"/>
      <c r="T92" s="924"/>
      <c r="U92" s="924"/>
      <c r="V92" s="924">
        <v>20400000</v>
      </c>
      <c r="W92" s="924">
        <v>20400000</v>
      </c>
      <c r="X92" s="924"/>
      <c r="Y92" s="924"/>
      <c r="Z92" s="42">
        <v>21420000</v>
      </c>
      <c r="AA92" s="924">
        <v>21420000</v>
      </c>
      <c r="AB92" s="924"/>
      <c r="AC92" s="924"/>
      <c r="AD92" s="42">
        <v>22491000</v>
      </c>
      <c r="AE92" s="924">
        <v>22491000</v>
      </c>
      <c r="AF92" s="924"/>
      <c r="AG92" s="924"/>
    </row>
    <row r="93" spans="1:33" ht="25.5" x14ac:dyDescent="0.25">
      <c r="A93" s="922">
        <v>178</v>
      </c>
      <c r="B93" s="923" t="s">
        <v>1813</v>
      </c>
      <c r="C93" s="924">
        <v>5000000</v>
      </c>
      <c r="D93" s="924"/>
      <c r="E93" s="924">
        <v>5000000</v>
      </c>
      <c r="F93" s="924"/>
      <c r="G93" s="924"/>
      <c r="H93" s="924"/>
      <c r="I93" s="924"/>
      <c r="J93" s="924"/>
      <c r="K93" s="924"/>
      <c r="L93" s="924"/>
      <c r="M93" s="924"/>
      <c r="N93" s="924"/>
      <c r="O93" s="924"/>
      <c r="P93" s="924"/>
      <c r="Q93" s="924"/>
      <c r="R93" s="924"/>
      <c r="S93" s="924"/>
      <c r="T93" s="924"/>
      <c r="U93" s="924"/>
      <c r="V93" s="924">
        <v>5100000</v>
      </c>
      <c r="W93" s="924"/>
      <c r="X93" s="924">
        <v>5100000</v>
      </c>
      <c r="Y93" s="924"/>
      <c r="Z93" s="42">
        <v>5355000</v>
      </c>
      <c r="AA93" s="924"/>
      <c r="AB93" s="924">
        <v>5355000</v>
      </c>
      <c r="AC93" s="924"/>
      <c r="AD93" s="42">
        <v>5622750</v>
      </c>
      <c r="AE93" s="924"/>
      <c r="AF93" s="924">
        <v>5622750</v>
      </c>
      <c r="AG93" s="924"/>
    </row>
    <row r="94" spans="1:33" ht="25.5" x14ac:dyDescent="0.25">
      <c r="A94" s="922">
        <v>42</v>
      </c>
      <c r="B94" s="923" t="s">
        <v>1814</v>
      </c>
      <c r="C94" s="924">
        <v>30000000</v>
      </c>
      <c r="D94" s="924">
        <v>30000000</v>
      </c>
      <c r="E94" s="924"/>
      <c r="F94" s="924"/>
      <c r="G94" s="924"/>
      <c r="H94" s="924"/>
      <c r="I94" s="924"/>
      <c r="J94" s="924"/>
      <c r="K94" s="924"/>
      <c r="L94" s="924"/>
      <c r="M94" s="924"/>
      <c r="N94" s="924"/>
      <c r="O94" s="924"/>
      <c r="P94" s="924"/>
      <c r="Q94" s="924"/>
      <c r="R94" s="924"/>
      <c r="S94" s="924"/>
      <c r="T94" s="924"/>
      <c r="U94" s="924"/>
      <c r="V94" s="924">
        <v>30600000</v>
      </c>
      <c r="W94" s="924">
        <v>30600000</v>
      </c>
      <c r="X94" s="924"/>
      <c r="Y94" s="924"/>
      <c r="Z94" s="42">
        <v>32130000</v>
      </c>
      <c r="AA94" s="924">
        <v>32130000</v>
      </c>
      <c r="AB94" s="924"/>
      <c r="AC94" s="924"/>
      <c r="AD94" s="42">
        <v>33736500</v>
      </c>
      <c r="AE94" s="924">
        <v>33736500</v>
      </c>
      <c r="AF94" s="924"/>
      <c r="AG94" s="924"/>
    </row>
    <row r="95" spans="1:33" ht="25.5" x14ac:dyDescent="0.25">
      <c r="A95" s="922">
        <v>27</v>
      </c>
      <c r="B95" s="923" t="s">
        <v>1815</v>
      </c>
      <c r="C95" s="924">
        <v>7000000</v>
      </c>
      <c r="D95" s="924">
        <v>7000000</v>
      </c>
      <c r="E95" s="924"/>
      <c r="F95" s="924"/>
      <c r="G95" s="924"/>
      <c r="H95" s="924"/>
      <c r="I95" s="924"/>
      <c r="J95" s="924"/>
      <c r="K95" s="924"/>
      <c r="L95" s="924"/>
      <c r="M95" s="924"/>
      <c r="N95" s="924"/>
      <c r="O95" s="924"/>
      <c r="P95" s="924"/>
      <c r="Q95" s="924"/>
      <c r="R95" s="924"/>
      <c r="S95" s="924"/>
      <c r="T95" s="924"/>
      <c r="U95" s="924"/>
      <c r="V95" s="924">
        <v>7140000</v>
      </c>
      <c r="W95" s="924">
        <v>7140000</v>
      </c>
      <c r="X95" s="924"/>
      <c r="Y95" s="924"/>
      <c r="Z95" s="42">
        <v>7497000</v>
      </c>
      <c r="AA95" s="924">
        <v>7497000</v>
      </c>
      <c r="AB95" s="924"/>
      <c r="AC95" s="924"/>
      <c r="AD95" s="42">
        <v>7871850</v>
      </c>
      <c r="AE95" s="924">
        <v>7871850</v>
      </c>
      <c r="AF95" s="924"/>
      <c r="AG95" s="924"/>
    </row>
    <row r="96" spans="1:33" ht="25.5" x14ac:dyDescent="0.25">
      <c r="A96" s="922">
        <v>136</v>
      </c>
      <c r="B96" s="923" t="s">
        <v>1816</v>
      </c>
      <c r="C96" s="924">
        <v>10000000</v>
      </c>
      <c r="D96" s="924"/>
      <c r="E96" s="924">
        <v>10000000</v>
      </c>
      <c r="F96" s="924"/>
      <c r="G96" s="924"/>
      <c r="H96" s="924"/>
      <c r="I96" s="924"/>
      <c r="J96" s="924"/>
      <c r="K96" s="924"/>
      <c r="L96" s="924"/>
      <c r="M96" s="924"/>
      <c r="N96" s="924"/>
      <c r="O96" s="924"/>
      <c r="P96" s="924"/>
      <c r="Q96" s="924"/>
      <c r="R96" s="924"/>
      <c r="S96" s="924"/>
      <c r="T96" s="924"/>
      <c r="U96" s="924"/>
      <c r="V96" s="924">
        <v>10200000</v>
      </c>
      <c r="W96" s="924"/>
      <c r="X96" s="924">
        <v>10200000</v>
      </c>
      <c r="Y96" s="924"/>
      <c r="Z96" s="42">
        <v>10710000</v>
      </c>
      <c r="AA96" s="924"/>
      <c r="AB96" s="924">
        <v>10710000</v>
      </c>
      <c r="AC96" s="924"/>
      <c r="AD96" s="42">
        <v>11245500</v>
      </c>
      <c r="AE96" s="924"/>
      <c r="AF96" s="924">
        <v>11245500</v>
      </c>
      <c r="AG96" s="924"/>
    </row>
    <row r="97" spans="1:33" ht="12.75" customHeight="1" x14ac:dyDescent="0.25">
      <c r="A97" s="922">
        <v>157</v>
      </c>
      <c r="B97" s="923" t="s">
        <v>4444</v>
      </c>
      <c r="C97" s="924"/>
      <c r="D97" s="924"/>
      <c r="E97" s="924"/>
      <c r="F97" s="924"/>
      <c r="G97" s="924"/>
      <c r="H97" s="924"/>
      <c r="I97" s="924"/>
      <c r="J97" s="924"/>
      <c r="K97" s="924"/>
      <c r="L97" s="924"/>
      <c r="M97" s="924"/>
      <c r="N97" s="924"/>
      <c r="O97" s="924"/>
      <c r="P97" s="924"/>
      <c r="Q97" s="924"/>
      <c r="R97" s="924"/>
      <c r="S97" s="924"/>
      <c r="T97" s="924"/>
      <c r="U97" s="924"/>
      <c r="V97" s="924">
        <v>15000000000</v>
      </c>
      <c r="W97" s="924">
        <v>15000000000</v>
      </c>
      <c r="X97" s="924"/>
      <c r="Y97" s="924"/>
      <c r="Z97" s="42">
        <v>30000000000</v>
      </c>
      <c r="AA97" s="924">
        <v>30000000000</v>
      </c>
      <c r="AB97" s="924"/>
      <c r="AC97" s="924"/>
      <c r="AD97" s="42">
        <v>15000000000</v>
      </c>
      <c r="AE97" s="42">
        <v>15000000000</v>
      </c>
      <c r="AF97" s="924"/>
      <c r="AG97" s="924"/>
    </row>
    <row r="98" spans="1:33" ht="25.5" x14ac:dyDescent="0.25">
      <c r="A98" s="922">
        <v>20</v>
      </c>
      <c r="B98" s="923" t="s">
        <v>1184</v>
      </c>
      <c r="C98" s="924">
        <v>200000000</v>
      </c>
      <c r="D98" s="924"/>
      <c r="E98" s="924"/>
      <c r="F98" s="924">
        <v>200000000</v>
      </c>
      <c r="G98" s="924"/>
      <c r="H98" s="924"/>
      <c r="I98" s="924"/>
      <c r="J98" s="924"/>
      <c r="K98" s="924"/>
      <c r="L98" s="924"/>
      <c r="M98" s="924"/>
      <c r="N98" s="924"/>
      <c r="O98" s="924"/>
      <c r="P98" s="924"/>
      <c r="Q98" s="924"/>
      <c r="R98" s="924"/>
      <c r="S98" s="924"/>
      <c r="T98" s="924"/>
      <c r="U98" s="924"/>
      <c r="V98" s="924">
        <v>210000000</v>
      </c>
      <c r="W98" s="924"/>
      <c r="X98" s="924"/>
      <c r="Y98" s="1527">
        <v>210000000</v>
      </c>
      <c r="Z98" s="42">
        <v>220500000</v>
      </c>
      <c r="AA98" s="924"/>
      <c r="AB98" s="924"/>
      <c r="AC98" s="1527">
        <v>220500000</v>
      </c>
      <c r="AD98" s="42">
        <v>231525000</v>
      </c>
      <c r="AE98" s="924"/>
      <c r="AF98" s="924"/>
      <c r="AG98" s="1527">
        <v>231525000</v>
      </c>
    </row>
    <row r="99" spans="1:33" ht="21" customHeight="1" x14ac:dyDescent="0.25">
      <c r="A99" s="1667" t="s">
        <v>1817</v>
      </c>
      <c r="B99" s="1668"/>
      <c r="C99" s="1009">
        <f>SUM(C55:C98)</f>
        <v>52157299718.009995</v>
      </c>
      <c r="D99" s="1009">
        <f>SUM(D55:D98)</f>
        <v>29887352665.620003</v>
      </c>
      <c r="E99" s="1009">
        <f>SUM(E55:E98)</f>
        <v>21759947052.390003</v>
      </c>
      <c r="F99" s="1009">
        <f>SUM(F55:F98)</f>
        <v>510000000</v>
      </c>
      <c r="V99" s="1009">
        <v>25295640000</v>
      </c>
      <c r="W99" s="1155">
        <v>15086700000</v>
      </c>
      <c r="X99" s="1155">
        <v>9682440000</v>
      </c>
      <c r="Y99" s="1155">
        <v>526500000</v>
      </c>
      <c r="Z99" s="1009">
        <v>40810422000</v>
      </c>
      <c r="AA99" s="1155">
        <v>30091035000</v>
      </c>
      <c r="AB99" s="1155">
        <v>10166562000</v>
      </c>
      <c r="AC99" s="1155">
        <v>552825000</v>
      </c>
      <c r="AD99" s="1009">
        <v>26350943100</v>
      </c>
      <c r="AE99" s="1155">
        <v>15095586750</v>
      </c>
      <c r="AF99" s="1155">
        <v>10674890100</v>
      </c>
      <c r="AG99" s="1155">
        <v>580466250</v>
      </c>
    </row>
    <row r="100" spans="1:33" x14ac:dyDescent="0.25">
      <c r="B100" s="382"/>
      <c r="C100" s="915"/>
      <c r="D100" s="1156"/>
      <c r="E100" s="1156"/>
      <c r="F100" s="1156"/>
    </row>
    <row r="101" spans="1:33" s="54" customFormat="1" ht="12.75" customHeight="1" x14ac:dyDescent="0.25">
      <c r="A101" s="42"/>
      <c r="B101" s="1674" t="s">
        <v>953</v>
      </c>
      <c r="C101" s="1674"/>
      <c r="G101" s="1518"/>
      <c r="I101" s="919"/>
      <c r="V101" s="42"/>
      <c r="W101" s="42"/>
      <c r="X101" s="42"/>
      <c r="Y101" s="42"/>
      <c r="Z101" s="42"/>
      <c r="AA101" s="42"/>
      <c r="AB101" s="42"/>
      <c r="AC101" s="42"/>
      <c r="AD101" s="42"/>
    </row>
    <row r="102" spans="1:33" s="54" customFormat="1" ht="6.75" customHeight="1" x14ac:dyDescent="0.25">
      <c r="A102" s="42"/>
      <c r="B102" s="42"/>
      <c r="C102" s="42"/>
      <c r="D102" s="42"/>
      <c r="G102" s="1518"/>
      <c r="I102" s="919"/>
      <c r="V102" s="42"/>
      <c r="W102" s="42"/>
      <c r="X102" s="42"/>
      <c r="Y102" s="42"/>
      <c r="Z102" s="42"/>
      <c r="AA102" s="42"/>
      <c r="AB102" s="42"/>
      <c r="AC102" s="42"/>
      <c r="AD102" s="42"/>
    </row>
    <row r="103" spans="1:33" ht="28.5" customHeight="1" x14ac:dyDescent="0.25">
      <c r="B103" s="1675" t="s">
        <v>1100</v>
      </c>
      <c r="C103" s="1683"/>
      <c r="D103" s="1156"/>
      <c r="E103" s="1156"/>
      <c r="F103" s="1156"/>
    </row>
    <row r="104" spans="1:33" ht="25.5" x14ac:dyDescent="0.25">
      <c r="A104" s="922">
        <v>25</v>
      </c>
      <c r="B104" s="923" t="s">
        <v>1101</v>
      </c>
      <c r="C104" s="1254">
        <v>173431997000</v>
      </c>
      <c r="D104" s="924">
        <v>173431997000</v>
      </c>
      <c r="E104" s="924"/>
      <c r="F104" s="924"/>
      <c r="V104" s="42">
        <v>183144188832</v>
      </c>
      <c r="W104" s="924">
        <v>183144188832</v>
      </c>
      <c r="X104" s="924"/>
      <c r="Y104" s="924"/>
      <c r="Z104" s="42">
        <v>192301398273.60001</v>
      </c>
      <c r="AA104" s="924">
        <v>192301398273.60001</v>
      </c>
      <c r="AB104" s="924"/>
      <c r="AC104" s="924"/>
      <c r="AD104" s="42">
        <v>201916468187.28003</v>
      </c>
      <c r="AE104" s="924">
        <v>201916468187.28003</v>
      </c>
    </row>
    <row r="105" spans="1:33" s="54" customFormat="1" ht="25.5" x14ac:dyDescent="0.25">
      <c r="A105" s="922">
        <v>26</v>
      </c>
      <c r="B105" s="923" t="s">
        <v>1102</v>
      </c>
      <c r="C105" s="1254">
        <v>33454400000</v>
      </c>
      <c r="D105" s="924">
        <v>33454400000</v>
      </c>
      <c r="E105" s="924"/>
      <c r="F105" s="924"/>
      <c r="G105" s="1518"/>
      <c r="I105" s="919"/>
      <c r="V105" s="42">
        <v>35327846400</v>
      </c>
      <c r="W105" s="924">
        <v>35327846400</v>
      </c>
      <c r="X105" s="924"/>
      <c r="Y105" s="924"/>
      <c r="Z105" s="42">
        <v>37094238720</v>
      </c>
      <c r="AA105" s="924">
        <v>37094238720</v>
      </c>
      <c r="AB105" s="924"/>
      <c r="AC105" s="924"/>
      <c r="AD105" s="42">
        <v>38948950656</v>
      </c>
      <c r="AE105" s="924">
        <v>38948950656</v>
      </c>
    </row>
    <row r="106" spans="1:33" s="54" customFormat="1" ht="15" x14ac:dyDescent="0.25">
      <c r="A106" s="922">
        <v>9</v>
      </c>
      <c r="B106" s="923" t="s">
        <v>1363</v>
      </c>
      <c r="C106" s="1254">
        <v>139116291.99000001</v>
      </c>
      <c r="D106" s="924">
        <v>139116291.99000001</v>
      </c>
      <c r="E106" s="924"/>
      <c r="F106" s="924"/>
      <c r="G106" s="1518"/>
      <c r="I106" s="919"/>
      <c r="V106" s="1653"/>
      <c r="W106" s="924"/>
      <c r="X106" s="924"/>
      <c r="Y106" s="924"/>
      <c r="Z106" s="1653"/>
      <c r="AA106" s="924"/>
      <c r="AB106" s="924"/>
      <c r="AC106" s="924"/>
      <c r="AD106" s="1653"/>
      <c r="AE106" s="924"/>
    </row>
    <row r="107" spans="1:33" s="54" customFormat="1" ht="25.5" x14ac:dyDescent="0.25">
      <c r="A107" s="922">
        <v>91</v>
      </c>
      <c r="B107" s="923" t="s">
        <v>1309</v>
      </c>
      <c r="C107" s="1254">
        <v>571452029.11000001</v>
      </c>
      <c r="D107" s="924">
        <v>571452029.11000001</v>
      </c>
      <c r="E107" s="924"/>
      <c r="F107" s="924"/>
      <c r="G107" s="1518"/>
      <c r="I107" s="919"/>
      <c r="V107" s="1653"/>
      <c r="W107" s="924"/>
      <c r="X107" s="924"/>
      <c r="Y107" s="924"/>
      <c r="Z107" s="1653"/>
      <c r="AA107" s="924"/>
      <c r="AB107" s="924"/>
      <c r="AC107" s="924"/>
      <c r="AD107" s="1653"/>
      <c r="AE107" s="924"/>
    </row>
    <row r="108" spans="1:33" s="54" customFormat="1" ht="15" x14ac:dyDescent="0.25">
      <c r="A108" s="922">
        <v>137</v>
      </c>
      <c r="B108" s="923" t="s">
        <v>1365</v>
      </c>
      <c r="C108" s="1254">
        <v>3373562039.04</v>
      </c>
      <c r="D108" s="924">
        <v>3373562039.04</v>
      </c>
      <c r="E108" s="924"/>
      <c r="F108" s="924"/>
      <c r="G108" s="1518"/>
      <c r="I108" s="919"/>
      <c r="V108" s="1653"/>
      <c r="W108" s="924"/>
      <c r="X108" s="924"/>
      <c r="Y108" s="924"/>
      <c r="Z108" s="1653"/>
      <c r="AA108" s="924"/>
      <c r="AB108" s="924"/>
      <c r="AC108" s="924"/>
      <c r="AD108" s="1653"/>
      <c r="AE108" s="924"/>
    </row>
    <row r="109" spans="1:33" s="54" customFormat="1" ht="25.5" x14ac:dyDescent="0.25">
      <c r="A109" s="922">
        <v>189</v>
      </c>
      <c r="B109" s="923" t="s">
        <v>1369</v>
      </c>
      <c r="C109" s="1254">
        <v>489152310.42000002</v>
      </c>
      <c r="D109" s="924">
        <v>489152310.42000002</v>
      </c>
      <c r="E109" s="924"/>
      <c r="F109" s="924"/>
      <c r="G109" s="1518"/>
      <c r="I109" s="919"/>
      <c r="V109" s="1653"/>
      <c r="W109" s="924"/>
      <c r="X109" s="924"/>
      <c r="Y109" s="924"/>
      <c r="Z109" s="1653"/>
      <c r="AA109" s="924"/>
      <c r="AB109" s="924"/>
      <c r="AC109" s="924"/>
      <c r="AD109" s="1653"/>
      <c r="AE109" s="924"/>
    </row>
    <row r="110" spans="1:33" ht="15" x14ac:dyDescent="0.25">
      <c r="A110" s="922">
        <v>25</v>
      </c>
      <c r="B110" s="923" t="s">
        <v>1105</v>
      </c>
      <c r="C110" s="1254">
        <v>684320000</v>
      </c>
      <c r="D110" s="924">
        <v>684320000</v>
      </c>
      <c r="E110" s="924"/>
      <c r="F110" s="924"/>
      <c r="V110" s="42">
        <v>722641920</v>
      </c>
      <c r="W110" s="924">
        <v>722641920</v>
      </c>
      <c r="X110" s="924"/>
      <c r="Y110" s="924"/>
      <c r="Z110" s="42">
        <v>758774016</v>
      </c>
      <c r="AA110" s="924">
        <v>758774016</v>
      </c>
      <c r="AB110" s="924"/>
      <c r="AC110" s="924"/>
      <c r="AD110" s="42">
        <v>796712716.80000007</v>
      </c>
      <c r="AE110" s="924">
        <v>796712716.80000007</v>
      </c>
    </row>
    <row r="111" spans="1:33" ht="15" x14ac:dyDescent="0.25">
      <c r="A111" s="922">
        <v>25</v>
      </c>
      <c r="B111" s="923" t="s">
        <v>1106</v>
      </c>
      <c r="C111" s="1254">
        <v>1559043000</v>
      </c>
      <c r="D111" s="924">
        <v>1559043000</v>
      </c>
      <c r="E111" s="924"/>
      <c r="F111" s="924"/>
      <c r="V111" s="42">
        <v>1646349408</v>
      </c>
      <c r="W111" s="924">
        <v>1646349408</v>
      </c>
      <c r="X111" s="924"/>
      <c r="Y111" s="924"/>
      <c r="Z111" s="42">
        <v>1728666878.4000001</v>
      </c>
      <c r="AA111" s="924">
        <v>1728666878.4000001</v>
      </c>
      <c r="AB111" s="924"/>
      <c r="AC111" s="924"/>
      <c r="AD111" s="42">
        <v>1815100222.3200002</v>
      </c>
      <c r="AE111" s="924">
        <v>1815100222.3200002</v>
      </c>
    </row>
    <row r="112" spans="1:33" ht="15" x14ac:dyDescent="0.25">
      <c r="A112" s="922">
        <v>81</v>
      </c>
      <c r="B112" s="923" t="s">
        <v>1107</v>
      </c>
      <c r="C112" s="1254">
        <v>9901551000</v>
      </c>
      <c r="D112" s="924">
        <v>9901551000</v>
      </c>
      <c r="E112" s="924"/>
      <c r="F112" s="924"/>
      <c r="V112" s="42">
        <v>10456037856</v>
      </c>
      <c r="W112" s="924">
        <v>10456037856</v>
      </c>
      <c r="X112" s="924"/>
      <c r="Y112" s="924"/>
      <c r="Z112" s="42">
        <v>10978839748.800001</v>
      </c>
      <c r="AA112" s="924">
        <v>10978839748.800001</v>
      </c>
      <c r="AB112" s="924"/>
      <c r="AC112" s="924"/>
      <c r="AD112" s="42">
        <v>11527781736.240002</v>
      </c>
      <c r="AE112" s="924">
        <v>11527781736.240002</v>
      </c>
    </row>
    <row r="113" spans="1:31" s="54" customFormat="1" ht="25.5" x14ac:dyDescent="0.25">
      <c r="A113" s="922">
        <v>21</v>
      </c>
      <c r="B113" s="923" t="s">
        <v>1113</v>
      </c>
      <c r="C113" s="1254">
        <v>248000000</v>
      </c>
      <c r="D113" s="924">
        <v>248000000</v>
      </c>
      <c r="E113" s="924"/>
      <c r="F113" s="924"/>
      <c r="G113" s="1518"/>
      <c r="I113" s="919"/>
      <c r="M113" s="53">
        <v>4000000</v>
      </c>
      <c r="V113" s="42">
        <v>252960000</v>
      </c>
      <c r="W113" s="924">
        <v>252960000</v>
      </c>
      <c r="X113" s="924"/>
      <c r="Y113" s="924"/>
      <c r="Z113" s="42">
        <v>265608000</v>
      </c>
      <c r="AA113" s="924">
        <v>265608000</v>
      </c>
      <c r="AB113" s="924"/>
      <c r="AC113" s="924"/>
      <c r="AD113" s="42">
        <v>278888400</v>
      </c>
      <c r="AE113" s="924">
        <v>278888400</v>
      </c>
    </row>
    <row r="114" spans="1:31" s="54" customFormat="1" ht="25.5" x14ac:dyDescent="0.25">
      <c r="A114" s="922">
        <v>81</v>
      </c>
      <c r="B114" s="923" t="s">
        <v>1818</v>
      </c>
      <c r="C114" s="1254">
        <v>10000000</v>
      </c>
      <c r="D114" s="924">
        <v>10000000</v>
      </c>
      <c r="E114" s="924"/>
      <c r="F114" s="924"/>
      <c r="G114" s="1518"/>
      <c r="I114" s="919"/>
      <c r="M114" s="53">
        <v>8226708</v>
      </c>
      <c r="V114" s="42">
        <v>10200000</v>
      </c>
      <c r="W114" s="924">
        <v>10200000</v>
      </c>
      <c r="X114" s="924"/>
      <c r="Y114" s="924"/>
      <c r="Z114" s="42">
        <v>10710000</v>
      </c>
      <c r="AA114" s="924">
        <v>10710000</v>
      </c>
      <c r="AB114" s="924"/>
      <c r="AC114" s="924"/>
      <c r="AD114" s="42">
        <v>11245500</v>
      </c>
      <c r="AE114" s="924">
        <v>11245500</v>
      </c>
    </row>
    <row r="115" spans="1:31" s="54" customFormat="1" ht="15" x14ac:dyDescent="0.25">
      <c r="A115" s="922">
        <v>9</v>
      </c>
      <c r="B115" s="923" t="s">
        <v>606</v>
      </c>
      <c r="C115" s="1254">
        <v>0</v>
      </c>
      <c r="D115" s="924">
        <v>0</v>
      </c>
      <c r="E115" s="924"/>
      <c r="F115" s="924"/>
      <c r="G115" s="1518"/>
      <c r="I115" s="919"/>
      <c r="M115" s="53">
        <v>93990000</v>
      </c>
      <c r="V115" s="42"/>
      <c r="W115" s="924">
        <v>0</v>
      </c>
      <c r="X115" s="924"/>
      <c r="Y115" s="924"/>
      <c r="Z115" s="42"/>
      <c r="AA115" s="924">
        <v>0</v>
      </c>
      <c r="AB115" s="924"/>
      <c r="AC115" s="924"/>
      <c r="AD115" s="42"/>
      <c r="AE115" s="924">
        <v>0</v>
      </c>
    </row>
    <row r="116" spans="1:31" s="54" customFormat="1" ht="31.5" customHeight="1" x14ac:dyDescent="0.25">
      <c r="A116" s="922"/>
      <c r="B116" s="1157" t="s">
        <v>1819</v>
      </c>
      <c r="C116" s="1009">
        <f>SUM(C104:C115)</f>
        <v>223862593670.56</v>
      </c>
      <c r="D116" s="1009">
        <f>SUM(D104:D115)</f>
        <v>223862593670.56</v>
      </c>
      <c r="E116" s="924"/>
      <c r="F116" s="924"/>
      <c r="G116" s="1518"/>
      <c r="I116" s="919"/>
      <c r="V116" s="1009">
        <v>231560224416</v>
      </c>
      <c r="W116" s="42"/>
      <c r="X116" s="42"/>
      <c r="Y116" s="42"/>
      <c r="Z116" s="1009">
        <v>243138235636.79999</v>
      </c>
      <c r="AA116" s="42"/>
      <c r="AB116" s="42"/>
      <c r="AC116" s="42"/>
      <c r="AD116" s="1009">
        <v>255295147418.64001</v>
      </c>
    </row>
    <row r="117" spans="1:31" s="54" customFormat="1" x14ac:dyDescent="0.25">
      <c r="A117" s="922"/>
      <c r="B117" s="924"/>
      <c r="C117" s="924"/>
      <c r="D117" s="924"/>
      <c r="E117" s="924"/>
      <c r="F117" s="924"/>
      <c r="G117" s="1518"/>
      <c r="I117" s="919"/>
      <c r="V117" s="42"/>
      <c r="W117" s="42"/>
      <c r="X117" s="42"/>
      <c r="Y117" s="42"/>
      <c r="Z117" s="42"/>
      <c r="AA117" s="42"/>
      <c r="AB117" s="42"/>
      <c r="AC117" s="42"/>
      <c r="AD117" s="42"/>
    </row>
    <row r="118" spans="1:31" s="54" customFormat="1" ht="25.5" customHeight="1" x14ac:dyDescent="0.25">
      <c r="A118" s="922"/>
      <c r="B118" s="1667" t="s">
        <v>1116</v>
      </c>
      <c r="C118" s="1668"/>
      <c r="D118" s="924"/>
      <c r="E118" s="924"/>
      <c r="F118" s="924"/>
      <c r="G118" s="1518"/>
      <c r="I118" s="919"/>
      <c r="V118" s="42"/>
      <c r="W118" s="42"/>
      <c r="X118" s="42"/>
      <c r="Y118" s="42"/>
      <c r="Z118" s="42"/>
      <c r="AA118" s="42"/>
      <c r="AB118" s="42"/>
      <c r="AC118" s="42"/>
      <c r="AD118" s="42"/>
    </row>
    <row r="119" spans="1:31" s="54" customFormat="1" ht="25.5" x14ac:dyDescent="0.25">
      <c r="A119" s="922">
        <v>61</v>
      </c>
      <c r="B119" s="923" t="s">
        <v>1119</v>
      </c>
      <c r="C119" s="1254">
        <v>5409655000</v>
      </c>
      <c r="D119" s="924">
        <v>5409655000</v>
      </c>
      <c r="E119" s="924"/>
      <c r="F119" s="924"/>
      <c r="G119" s="1518"/>
      <c r="I119" s="919"/>
      <c r="V119" s="42">
        <v>5680137750</v>
      </c>
      <c r="W119" s="924">
        <v>5680137750</v>
      </c>
      <c r="X119" s="924"/>
      <c r="Y119" s="924"/>
      <c r="Z119" s="42">
        <v>5964144637.5</v>
      </c>
      <c r="AA119" s="924">
        <v>5964144637.5</v>
      </c>
      <c r="AB119" s="42"/>
      <c r="AC119" s="42"/>
      <c r="AD119" s="42">
        <v>6262351869.375</v>
      </c>
      <c r="AE119" s="924">
        <v>6262351869.375</v>
      </c>
    </row>
    <row r="120" spans="1:31" s="54" customFormat="1" ht="25.5" x14ac:dyDescent="0.25">
      <c r="A120" s="922">
        <v>171</v>
      </c>
      <c r="B120" s="923" t="s">
        <v>1820</v>
      </c>
      <c r="C120" s="1254">
        <v>2148092000</v>
      </c>
      <c r="D120" s="924">
        <v>2148092000</v>
      </c>
      <c r="E120" s="924"/>
      <c r="F120" s="924"/>
      <c r="G120" s="1518"/>
      <c r="I120" s="919"/>
      <c r="V120" s="42">
        <v>2255496600</v>
      </c>
      <c r="W120" s="924">
        <v>2255496600</v>
      </c>
      <c r="X120" s="924"/>
      <c r="Y120" s="924"/>
      <c r="Z120" s="42">
        <v>2368271430</v>
      </c>
      <c r="AA120" s="924">
        <v>2368271430</v>
      </c>
      <c r="AB120" s="42"/>
      <c r="AC120" s="42"/>
      <c r="AD120" s="42">
        <v>2486685001.5</v>
      </c>
      <c r="AE120" s="924">
        <v>2486685001.5</v>
      </c>
    </row>
    <row r="121" spans="1:31" s="54" customFormat="1" ht="25.5" x14ac:dyDescent="0.25">
      <c r="A121" s="922">
        <v>61</v>
      </c>
      <c r="B121" s="923" t="s">
        <v>1888</v>
      </c>
      <c r="C121" s="1254">
        <v>3000000</v>
      </c>
      <c r="D121" s="924">
        <v>3000000</v>
      </c>
      <c r="E121" s="924"/>
      <c r="F121" s="924"/>
      <c r="G121" s="1518"/>
      <c r="I121" s="919"/>
      <c r="V121" s="42">
        <v>3150000</v>
      </c>
      <c r="W121" s="924">
        <v>3150000</v>
      </c>
      <c r="X121" s="924"/>
      <c r="Y121" s="924"/>
      <c r="Z121" s="42">
        <v>3307500</v>
      </c>
      <c r="AA121" s="924">
        <v>3307500</v>
      </c>
      <c r="AB121" s="42"/>
      <c r="AC121" s="42"/>
      <c r="AD121" s="42">
        <v>3472875</v>
      </c>
      <c r="AE121" s="924">
        <v>3472875</v>
      </c>
    </row>
    <row r="122" spans="1:31" s="54" customFormat="1" ht="25.5" x14ac:dyDescent="0.25">
      <c r="A122" s="922">
        <v>171</v>
      </c>
      <c r="B122" s="923" t="s">
        <v>1889</v>
      </c>
      <c r="C122" s="1254">
        <v>1000000</v>
      </c>
      <c r="D122" s="924">
        <v>1000000</v>
      </c>
      <c r="E122" s="924"/>
      <c r="F122" s="924"/>
      <c r="G122" s="1518"/>
      <c r="I122" s="919"/>
      <c r="V122" s="42">
        <v>1050000</v>
      </c>
      <c r="W122" s="924">
        <v>1050000</v>
      </c>
      <c r="X122" s="924"/>
      <c r="Y122" s="924"/>
      <c r="Z122" s="42">
        <v>1102500</v>
      </c>
      <c r="AA122" s="924">
        <v>1102500</v>
      </c>
      <c r="AB122" s="42"/>
      <c r="AC122" s="42"/>
      <c r="AD122" s="42">
        <v>1157625</v>
      </c>
      <c r="AE122" s="924">
        <v>1157625</v>
      </c>
    </row>
    <row r="123" spans="1:31" s="54" customFormat="1" ht="25.5" x14ac:dyDescent="0.25">
      <c r="A123" s="922"/>
      <c r="B123" s="923" t="s">
        <v>1890</v>
      </c>
      <c r="C123" s="1254">
        <v>1000000</v>
      </c>
      <c r="D123" s="924">
        <v>1000000</v>
      </c>
      <c r="E123" s="924"/>
      <c r="F123" s="924"/>
      <c r="G123" s="1518"/>
      <c r="I123" s="919"/>
      <c r="V123" s="42">
        <v>1050000</v>
      </c>
      <c r="W123" s="924">
        <v>1050000</v>
      </c>
      <c r="X123" s="924"/>
      <c r="Y123" s="924"/>
      <c r="Z123" s="42">
        <v>1102500</v>
      </c>
      <c r="AA123" s="924">
        <v>1102500</v>
      </c>
      <c r="AB123" s="42"/>
      <c r="AC123" s="42"/>
      <c r="AD123" s="42">
        <v>1157625</v>
      </c>
      <c r="AE123" s="924">
        <v>1157625</v>
      </c>
    </row>
    <row r="124" spans="1:31" s="54" customFormat="1" ht="25.5" x14ac:dyDescent="0.25">
      <c r="A124" s="922"/>
      <c r="B124" s="923" t="s">
        <v>1891</v>
      </c>
      <c r="C124" s="1254">
        <v>2000000</v>
      </c>
      <c r="D124" s="924">
        <v>2000000</v>
      </c>
      <c r="E124" s="924"/>
      <c r="F124" s="924"/>
      <c r="G124" s="1518"/>
      <c r="I124" s="919"/>
      <c r="V124" s="42">
        <v>2100000</v>
      </c>
      <c r="W124" s="924">
        <v>2100000</v>
      </c>
      <c r="X124" s="924"/>
      <c r="Y124" s="924"/>
      <c r="Z124" s="42">
        <v>2205000</v>
      </c>
      <c r="AA124" s="924">
        <v>2205000</v>
      </c>
      <c r="AB124" s="42"/>
      <c r="AC124" s="42"/>
      <c r="AD124" s="42">
        <v>2315250</v>
      </c>
      <c r="AE124" s="924">
        <v>2315250</v>
      </c>
    </row>
    <row r="125" spans="1:31" s="54" customFormat="1" ht="15" x14ac:dyDescent="0.25">
      <c r="A125" s="922"/>
      <c r="B125" s="923" t="s">
        <v>1126</v>
      </c>
      <c r="C125" s="1254">
        <v>13674983000</v>
      </c>
      <c r="D125" s="924">
        <v>13674983000</v>
      </c>
      <c r="E125" s="924"/>
      <c r="F125" s="924"/>
      <c r="G125" s="1523">
        <v>36958741000</v>
      </c>
      <c r="H125" s="1265">
        <v>5174223740.000001</v>
      </c>
      <c r="I125" s="1292">
        <v>-94259.999999046326</v>
      </c>
      <c r="J125" s="53"/>
      <c r="K125" s="53"/>
      <c r="L125" s="53">
        <v>63</v>
      </c>
      <c r="M125" s="53"/>
      <c r="V125" s="42">
        <v>14358732150</v>
      </c>
      <c r="W125" s="924">
        <v>14358732150</v>
      </c>
      <c r="X125" s="924"/>
      <c r="Y125" s="924"/>
      <c r="Z125" s="42">
        <v>15076668757.5</v>
      </c>
      <c r="AA125" s="924">
        <v>15076668757.5</v>
      </c>
      <c r="AB125" s="42"/>
      <c r="AC125" s="42"/>
      <c r="AD125" s="42">
        <v>15830502195.375</v>
      </c>
      <c r="AE125" s="924">
        <v>15830502195.375</v>
      </c>
    </row>
    <row r="126" spans="1:31" s="54" customFormat="1" ht="15" x14ac:dyDescent="0.25">
      <c r="A126" s="922"/>
      <c r="B126" s="923" t="s">
        <v>1127</v>
      </c>
      <c r="C126" s="1254">
        <v>4294347000</v>
      </c>
      <c r="D126" s="924">
        <v>4294347000</v>
      </c>
      <c r="E126" s="924"/>
      <c r="F126" s="924"/>
      <c r="G126" s="1523"/>
      <c r="H126" s="1265">
        <v>1108762230</v>
      </c>
      <c r="I126" s="1293">
        <v>652230</v>
      </c>
      <c r="J126" s="53"/>
      <c r="K126" s="53"/>
      <c r="L126" s="53">
        <v>37</v>
      </c>
      <c r="M126" s="53"/>
      <c r="V126" s="42">
        <v>4509064350</v>
      </c>
      <c r="W126" s="924">
        <v>4509064350</v>
      </c>
      <c r="X126" s="924"/>
      <c r="Y126" s="924"/>
      <c r="Z126" s="42">
        <v>4734517567.5</v>
      </c>
      <c r="AA126" s="924">
        <v>4734517567.5</v>
      </c>
      <c r="AB126" s="42"/>
      <c r="AC126" s="42"/>
      <c r="AD126" s="42">
        <v>4971243445.875</v>
      </c>
      <c r="AE126" s="924">
        <v>4971243445.875</v>
      </c>
    </row>
    <row r="127" spans="1:31" s="54" customFormat="1" ht="15" x14ac:dyDescent="0.25">
      <c r="A127" s="922"/>
      <c r="B127" s="923" t="s">
        <v>1128</v>
      </c>
      <c r="C127" s="1254">
        <v>6555523000</v>
      </c>
      <c r="D127" s="924">
        <v>6555523000</v>
      </c>
      <c r="E127" s="924"/>
      <c r="F127" s="924"/>
      <c r="G127" s="1523"/>
      <c r="H127" s="1265">
        <v>17001020860</v>
      </c>
      <c r="I127" s="1293">
        <v>-309140</v>
      </c>
      <c r="J127" s="53"/>
      <c r="K127" s="53"/>
      <c r="L127" s="53"/>
      <c r="M127" s="53"/>
      <c r="V127" s="42">
        <v>6883299150</v>
      </c>
      <c r="W127" s="924">
        <v>6883299150</v>
      </c>
      <c r="X127" s="924"/>
      <c r="Y127" s="924"/>
      <c r="Z127" s="42">
        <v>7227464107.5</v>
      </c>
      <c r="AA127" s="924">
        <v>7227464107.5</v>
      </c>
      <c r="AB127" s="42"/>
      <c r="AC127" s="42"/>
      <c r="AD127" s="42">
        <v>7588837312.875</v>
      </c>
      <c r="AE127" s="924">
        <v>7588837312.875</v>
      </c>
    </row>
    <row r="128" spans="1:31" s="54" customFormat="1" ht="15" x14ac:dyDescent="0.25">
      <c r="A128" s="922"/>
      <c r="B128" s="923" t="s">
        <v>1129</v>
      </c>
      <c r="C128" s="1254">
        <v>1039156000</v>
      </c>
      <c r="D128" s="924">
        <v>1039156000</v>
      </c>
      <c r="E128" s="924"/>
      <c r="F128" s="924"/>
      <c r="G128" s="1523"/>
      <c r="H128" s="1265"/>
      <c r="I128" s="1293"/>
      <c r="J128" s="53"/>
      <c r="K128" s="53"/>
      <c r="L128" s="53"/>
      <c r="M128" s="53"/>
      <c r="V128" s="42">
        <v>1091113800</v>
      </c>
      <c r="W128" s="924">
        <v>1091113800</v>
      </c>
      <c r="X128" s="924"/>
      <c r="Y128" s="924"/>
      <c r="Z128" s="42">
        <v>1145669490</v>
      </c>
      <c r="AA128" s="924">
        <v>1145669490</v>
      </c>
      <c r="AB128" s="42"/>
      <c r="AC128" s="42"/>
      <c r="AD128" s="42">
        <v>1202952964.5</v>
      </c>
      <c r="AE128" s="924">
        <v>1202952964.5</v>
      </c>
    </row>
    <row r="129" spans="1:31" ht="15.75" customHeight="1" x14ac:dyDescent="0.25">
      <c r="A129" s="922"/>
      <c r="B129" s="923" t="s">
        <v>1130</v>
      </c>
      <c r="C129" s="1254">
        <v>32160000</v>
      </c>
      <c r="D129" s="924">
        <v>32160000</v>
      </c>
      <c r="E129" s="924"/>
      <c r="F129" s="924"/>
      <c r="G129" s="1523"/>
      <c r="H129" s="1265"/>
      <c r="I129" s="1294"/>
      <c r="J129" s="41"/>
      <c r="K129" s="41"/>
      <c r="L129" s="41"/>
      <c r="M129" s="41"/>
      <c r="V129" s="42">
        <v>33768000</v>
      </c>
      <c r="W129" s="924">
        <v>33768000</v>
      </c>
      <c r="X129" s="924"/>
      <c r="Y129" s="924"/>
      <c r="Z129" s="42">
        <v>35456400</v>
      </c>
      <c r="AA129" s="924">
        <v>35456400</v>
      </c>
      <c r="AD129" s="42">
        <v>37229220</v>
      </c>
      <c r="AE129" s="924">
        <v>37229220</v>
      </c>
    </row>
    <row r="130" spans="1:31" s="54" customFormat="1" ht="25.5" x14ac:dyDescent="0.25">
      <c r="A130" s="922"/>
      <c r="B130" s="923" t="s">
        <v>1132</v>
      </c>
      <c r="C130" s="1254">
        <v>2874685000</v>
      </c>
      <c r="D130" s="924">
        <v>2874685000</v>
      </c>
      <c r="E130" s="924"/>
      <c r="F130" s="924"/>
      <c r="G130" s="1523"/>
      <c r="H130" s="1265"/>
      <c r="I130" s="1293"/>
      <c r="J130" s="53"/>
      <c r="K130" s="53"/>
      <c r="L130" s="53"/>
      <c r="M130" s="53"/>
      <c r="V130" s="42">
        <v>3018419250</v>
      </c>
      <c r="W130" s="924">
        <v>3018419250</v>
      </c>
      <c r="X130" s="924"/>
      <c r="Y130" s="924"/>
      <c r="Z130" s="42">
        <v>3169340212.5</v>
      </c>
      <c r="AA130" s="924">
        <v>3169340212.5</v>
      </c>
      <c r="AB130" s="42"/>
      <c r="AC130" s="42"/>
      <c r="AD130" s="42">
        <v>3327807223.125</v>
      </c>
      <c r="AE130" s="924">
        <v>3327807223.125</v>
      </c>
    </row>
    <row r="131" spans="1:31" ht="15" x14ac:dyDescent="0.25">
      <c r="A131" s="922"/>
      <c r="B131" s="923" t="s">
        <v>1133</v>
      </c>
      <c r="C131" s="1254">
        <v>935708000</v>
      </c>
      <c r="D131" s="924">
        <v>935708000</v>
      </c>
      <c r="E131" s="924"/>
      <c r="F131" s="924"/>
      <c r="G131" s="1523"/>
      <c r="H131" s="1265"/>
      <c r="I131" s="1294"/>
      <c r="J131" s="41"/>
      <c r="K131" s="41"/>
      <c r="L131" s="41"/>
      <c r="M131" s="41"/>
      <c r="V131" s="42">
        <v>982493400</v>
      </c>
      <c r="W131" s="924">
        <v>982493400</v>
      </c>
      <c r="X131" s="924"/>
      <c r="Y131" s="924"/>
      <c r="Z131" s="42">
        <v>1031618070</v>
      </c>
      <c r="AA131" s="924">
        <v>1031618070</v>
      </c>
      <c r="AD131" s="42">
        <v>1083198973.5</v>
      </c>
      <c r="AE131" s="924">
        <v>1083198973.5</v>
      </c>
    </row>
    <row r="132" spans="1:31" s="1653" customFormat="1" ht="25.5" x14ac:dyDescent="0.25">
      <c r="A132" s="922"/>
      <c r="B132" s="923" t="s">
        <v>1309</v>
      </c>
      <c r="C132" s="1254">
        <v>600000000</v>
      </c>
      <c r="D132" s="924">
        <v>600000000</v>
      </c>
      <c r="E132" s="924"/>
      <c r="F132" s="924"/>
      <c r="G132" s="1523"/>
      <c r="H132" s="1265"/>
      <c r="I132" s="1294"/>
      <c r="J132" s="41"/>
      <c r="K132" s="41"/>
      <c r="L132" s="41"/>
      <c r="M132" s="41"/>
      <c r="W132" s="924"/>
      <c r="X132" s="924"/>
      <c r="Y132" s="924"/>
      <c r="AA132" s="924"/>
      <c r="AE132" s="924"/>
    </row>
    <row r="133" spans="1:31" s="1653" customFormat="1" ht="15" x14ac:dyDescent="0.25">
      <c r="A133" s="922"/>
      <c r="B133" s="923" t="s">
        <v>1449</v>
      </c>
      <c r="C133" s="1254">
        <v>747899508.20000005</v>
      </c>
      <c r="D133" s="924">
        <v>747899508.20000005</v>
      </c>
      <c r="E133" s="924"/>
      <c r="F133" s="924"/>
      <c r="G133" s="1523"/>
      <c r="H133" s="1265"/>
      <c r="I133" s="1294"/>
      <c r="J133" s="41"/>
      <c r="K133" s="41"/>
      <c r="L133" s="41"/>
      <c r="M133" s="41"/>
      <c r="W133" s="924"/>
      <c r="X133" s="924"/>
      <c r="Y133" s="924"/>
      <c r="AA133" s="924"/>
      <c r="AE133" s="924"/>
    </row>
    <row r="134" spans="1:31" s="1653" customFormat="1" ht="15" x14ac:dyDescent="0.25">
      <c r="A134" s="922"/>
      <c r="B134" s="923" t="s">
        <v>1455</v>
      </c>
      <c r="C134" s="1254">
        <v>33471834.84</v>
      </c>
      <c r="D134" s="924">
        <v>33471834.84</v>
      </c>
      <c r="E134" s="924"/>
      <c r="F134" s="924"/>
      <c r="G134" s="1523"/>
      <c r="H134" s="1265"/>
      <c r="I134" s="1294"/>
      <c r="J134" s="41"/>
      <c r="K134" s="41"/>
      <c r="L134" s="41"/>
      <c r="M134" s="41"/>
      <c r="W134" s="924"/>
      <c r="X134" s="924"/>
      <c r="Y134" s="924"/>
      <c r="AA134" s="924"/>
      <c r="AE134" s="924"/>
    </row>
    <row r="135" spans="1:31" s="1653" customFormat="1" ht="25.5" x14ac:dyDescent="0.25">
      <c r="A135" s="922"/>
      <c r="B135" s="923" t="s">
        <v>1457</v>
      </c>
      <c r="C135" s="1254">
        <v>2168924867.9899998</v>
      </c>
      <c r="D135" s="924">
        <v>2168924867.9899998</v>
      </c>
      <c r="E135" s="924"/>
      <c r="F135" s="924"/>
      <c r="G135" s="1523"/>
      <c r="H135" s="1265"/>
      <c r="I135" s="1294"/>
      <c r="J135" s="41"/>
      <c r="K135" s="41"/>
      <c r="L135" s="41"/>
      <c r="M135" s="41"/>
      <c r="W135" s="924"/>
      <c r="X135" s="924"/>
      <c r="Y135" s="924"/>
      <c r="AA135" s="924"/>
      <c r="AE135" s="924"/>
    </row>
    <row r="136" spans="1:31" ht="15" x14ac:dyDescent="0.25">
      <c r="A136" s="922"/>
      <c r="B136" s="923" t="s">
        <v>1137</v>
      </c>
      <c r="C136" s="1254">
        <v>2710326000</v>
      </c>
      <c r="D136" s="924">
        <v>2710326000</v>
      </c>
      <c r="E136" s="924"/>
      <c r="F136" s="924"/>
      <c r="G136" s="1523"/>
      <c r="H136" s="1265"/>
      <c r="I136" s="1294"/>
      <c r="J136" s="41"/>
      <c r="K136" s="41"/>
      <c r="L136" s="41"/>
      <c r="M136" s="41"/>
      <c r="V136" s="42">
        <v>2845842300</v>
      </c>
      <c r="W136" s="924">
        <v>2845842300</v>
      </c>
      <c r="X136" s="924"/>
      <c r="Y136" s="924"/>
      <c r="Z136" s="42">
        <v>2988134415</v>
      </c>
      <c r="AA136" s="924">
        <v>2988134415</v>
      </c>
      <c r="AD136" s="42">
        <v>3137541135.75</v>
      </c>
      <c r="AE136" s="924">
        <v>3137541135.75</v>
      </c>
    </row>
    <row r="137" spans="1:31" s="54" customFormat="1" ht="15" x14ac:dyDescent="0.25">
      <c r="A137" s="922"/>
      <c r="B137" s="923" t="s">
        <v>1138</v>
      </c>
      <c r="C137" s="1254">
        <v>1496247000</v>
      </c>
      <c r="D137" s="924">
        <v>1496247000</v>
      </c>
      <c r="E137" s="924"/>
      <c r="F137" s="924"/>
      <c r="G137" s="1523"/>
      <c r="H137" s="1265"/>
      <c r="I137" s="1293"/>
      <c r="J137" s="53"/>
      <c r="K137" s="53"/>
      <c r="L137" s="53"/>
      <c r="M137" s="53"/>
      <c r="V137" s="42">
        <v>1571059350</v>
      </c>
      <c r="W137" s="924">
        <v>1571059350</v>
      </c>
      <c r="X137" s="924"/>
      <c r="Y137" s="924"/>
      <c r="Z137" s="42">
        <v>1649612317.5</v>
      </c>
      <c r="AA137" s="924">
        <v>1649612317.5</v>
      </c>
      <c r="AB137" s="42"/>
      <c r="AC137" s="42"/>
      <c r="AD137" s="42">
        <v>1732092933.375</v>
      </c>
      <c r="AE137" s="924">
        <v>1732092933.375</v>
      </c>
    </row>
    <row r="138" spans="1:31" ht="15" x14ac:dyDescent="0.25">
      <c r="A138" s="922"/>
      <c r="B138" s="923" t="s">
        <v>1139</v>
      </c>
      <c r="C138" s="1254">
        <v>300000000</v>
      </c>
      <c r="D138" s="924">
        <v>300000000</v>
      </c>
      <c r="E138" s="924"/>
      <c r="F138" s="924"/>
      <c r="H138" s="41"/>
      <c r="I138" s="1294"/>
      <c r="J138" s="41"/>
      <c r="K138" s="41"/>
      <c r="L138" s="41"/>
      <c r="M138" s="41"/>
      <c r="V138" s="42">
        <v>315000000</v>
      </c>
      <c r="W138" s="924">
        <v>315000000</v>
      </c>
      <c r="X138" s="924"/>
      <c r="Y138" s="924"/>
      <c r="Z138" s="42">
        <v>330750000</v>
      </c>
      <c r="AA138" s="924">
        <v>330750000</v>
      </c>
      <c r="AD138" s="42">
        <v>347287500</v>
      </c>
      <c r="AE138" s="924">
        <v>347287500</v>
      </c>
    </row>
    <row r="139" spans="1:31" s="54" customFormat="1" ht="15" x14ac:dyDescent="0.25">
      <c r="A139" s="922"/>
      <c r="B139" s="923" t="s">
        <v>1141</v>
      </c>
      <c r="C139" s="1254">
        <v>15500000000</v>
      </c>
      <c r="D139" s="924">
        <v>15500000000</v>
      </c>
      <c r="E139" s="924"/>
      <c r="F139" s="924"/>
      <c r="G139" s="1518"/>
      <c r="H139" s="53"/>
      <c r="I139" s="1293"/>
      <c r="J139" s="53"/>
      <c r="K139" s="53"/>
      <c r="L139" s="53"/>
      <c r="M139" s="53"/>
      <c r="V139" s="42">
        <v>16275000000</v>
      </c>
      <c r="W139" s="924">
        <v>16275000000</v>
      </c>
      <c r="X139" s="924"/>
      <c r="Y139" s="924"/>
      <c r="Z139" s="42">
        <v>17088750000</v>
      </c>
      <c r="AA139" s="924">
        <v>17088750000</v>
      </c>
      <c r="AB139" s="42"/>
      <c r="AC139" s="42"/>
      <c r="AD139" s="42">
        <v>17943187500</v>
      </c>
      <c r="AE139" s="924">
        <v>17943187500</v>
      </c>
    </row>
    <row r="140" spans="1:31" s="54" customFormat="1" ht="15" x14ac:dyDescent="0.25">
      <c r="A140" s="922"/>
      <c r="B140" s="923" t="s">
        <v>1821</v>
      </c>
      <c r="C140" s="1254">
        <v>5061794000</v>
      </c>
      <c r="D140" s="924">
        <v>5061794000</v>
      </c>
      <c r="E140" s="924"/>
      <c r="F140" s="924"/>
      <c r="G140" s="1518"/>
      <c r="H140" s="53"/>
      <c r="I140" s="1293"/>
      <c r="J140" s="53"/>
      <c r="K140" s="53"/>
      <c r="L140" s="53"/>
      <c r="M140" s="53"/>
      <c r="V140" s="42">
        <v>5314883700</v>
      </c>
      <c r="W140" s="924">
        <v>5314883700</v>
      </c>
      <c r="X140" s="924"/>
      <c r="Y140" s="924"/>
      <c r="Z140" s="42">
        <v>5580627885</v>
      </c>
      <c r="AA140" s="924">
        <v>5580627885</v>
      </c>
      <c r="AB140" s="42"/>
      <c r="AC140" s="42"/>
      <c r="AD140" s="42">
        <v>5859659279.25</v>
      </c>
      <c r="AE140" s="924">
        <v>5859659279.25</v>
      </c>
    </row>
    <row r="141" spans="1:31" s="54" customFormat="1" ht="15" x14ac:dyDescent="0.25">
      <c r="A141" s="922" t="s">
        <v>226</v>
      </c>
      <c r="B141" s="923" t="s">
        <v>1143</v>
      </c>
      <c r="C141" s="1254">
        <v>2166183000</v>
      </c>
      <c r="D141" s="924">
        <v>2166183000</v>
      </c>
      <c r="E141" s="924"/>
      <c r="F141" s="924"/>
      <c r="G141" s="1518"/>
      <c r="H141" s="53"/>
      <c r="I141" s="1293"/>
      <c r="J141" s="53"/>
      <c r="K141" s="53"/>
      <c r="L141" s="53"/>
      <c r="M141" s="53"/>
      <c r="V141" s="42">
        <v>2274492150</v>
      </c>
      <c r="W141" s="924">
        <v>2274492150</v>
      </c>
      <c r="X141" s="924"/>
      <c r="Y141" s="924"/>
      <c r="Z141" s="42">
        <v>2388216757.5</v>
      </c>
      <c r="AA141" s="924">
        <v>2388216757.5</v>
      </c>
      <c r="AB141" s="42"/>
      <c r="AC141" s="42"/>
      <c r="AD141" s="42">
        <v>2507627595.375</v>
      </c>
      <c r="AE141" s="924">
        <v>2507627595.375</v>
      </c>
    </row>
    <row r="142" spans="1:31" s="54" customFormat="1" ht="25.5" x14ac:dyDescent="0.25">
      <c r="A142" s="922"/>
      <c r="B142" s="923" t="s">
        <v>3015</v>
      </c>
      <c r="C142" s="1254">
        <v>2874685000</v>
      </c>
      <c r="D142" s="924">
        <v>2874685000</v>
      </c>
      <c r="E142" s="924"/>
      <c r="F142" s="924"/>
      <c r="G142" s="1518"/>
      <c r="H142" s="53"/>
      <c r="I142" s="1293"/>
      <c r="J142" s="53"/>
      <c r="K142" s="53"/>
      <c r="L142" s="53"/>
      <c r="M142" s="53"/>
      <c r="V142" s="42">
        <v>3018419250</v>
      </c>
      <c r="W142" s="924">
        <v>3018419250</v>
      </c>
      <c r="X142" s="924"/>
      <c r="Y142" s="924"/>
      <c r="Z142" s="42">
        <v>3169340212.5</v>
      </c>
      <c r="AA142" s="924">
        <v>3169340212.5</v>
      </c>
      <c r="AB142" s="42"/>
      <c r="AC142" s="42"/>
      <c r="AD142" s="42">
        <v>3327807223.125</v>
      </c>
      <c r="AE142" s="924">
        <v>3327807223.125</v>
      </c>
    </row>
    <row r="143" spans="1:31" s="54" customFormat="1" ht="15" x14ac:dyDescent="0.25">
      <c r="A143" s="930"/>
      <c r="B143" s="1046" t="s">
        <v>1146</v>
      </c>
      <c r="C143" s="1254">
        <v>3963289000</v>
      </c>
      <c r="D143" s="929">
        <v>3963289000</v>
      </c>
      <c r="E143" s="929"/>
      <c r="F143" s="929"/>
      <c r="G143" s="1518"/>
      <c r="H143" s="53"/>
      <c r="I143" s="1293"/>
      <c r="J143" s="53"/>
      <c r="K143" s="53"/>
      <c r="L143" s="53"/>
      <c r="M143" s="53"/>
      <c r="V143" s="42">
        <v>4161453450</v>
      </c>
      <c r="W143" s="929">
        <v>4161453450</v>
      </c>
      <c r="X143" s="929"/>
      <c r="Y143" s="929"/>
      <c r="Z143" s="42">
        <v>4369526122.5</v>
      </c>
      <c r="AA143" s="929">
        <v>4369526122.5</v>
      </c>
      <c r="AB143" s="42"/>
      <c r="AC143" s="42"/>
      <c r="AD143" s="42">
        <v>4588002428.625</v>
      </c>
      <c r="AE143" s="929">
        <v>4588002428.625</v>
      </c>
    </row>
    <row r="144" spans="1:31" s="54" customFormat="1" ht="18.75" customHeight="1" x14ac:dyDescent="0.25">
      <c r="A144" s="42"/>
      <c r="B144" s="1157" t="s">
        <v>1822</v>
      </c>
      <c r="C144" s="1009">
        <f>SUM(C119:C143)</f>
        <v>74594129211.029999</v>
      </c>
      <c r="D144" s="1009">
        <f>SUM(D119:D143)</f>
        <v>74594129211.029999</v>
      </c>
      <c r="E144" s="42"/>
      <c r="F144" s="42"/>
      <c r="G144" s="1518">
        <v>290333144000</v>
      </c>
      <c r="H144" s="53"/>
      <c r="I144" s="1293"/>
      <c r="J144" s="53"/>
      <c r="K144" s="53"/>
      <c r="L144" s="53"/>
      <c r="M144" s="53"/>
      <c r="V144" s="1009">
        <v>74596024650</v>
      </c>
      <c r="W144" s="42"/>
      <c r="X144" s="42"/>
      <c r="Y144" s="42"/>
      <c r="Z144" s="1009">
        <v>78325825882.5</v>
      </c>
      <c r="AA144" s="42"/>
      <c r="AB144" s="42"/>
      <c r="AC144" s="42"/>
      <c r="AD144" s="1009">
        <v>82242117176.625</v>
      </c>
    </row>
    <row r="145" spans="1:33" s="54" customFormat="1" x14ac:dyDescent="0.25">
      <c r="A145" s="42"/>
      <c r="B145" s="42"/>
      <c r="C145" s="42"/>
      <c r="D145" s="42"/>
      <c r="E145" s="42"/>
      <c r="F145" s="42"/>
      <c r="G145" s="1518"/>
      <c r="H145" s="53"/>
      <c r="I145" s="1293"/>
      <c r="J145" s="53"/>
      <c r="K145" s="53"/>
      <c r="L145" s="53"/>
      <c r="M145" s="53"/>
      <c r="V145" s="42"/>
      <c r="W145" s="42"/>
      <c r="X145" s="42"/>
      <c r="Y145" s="42"/>
      <c r="Z145" s="42"/>
      <c r="AA145" s="42"/>
      <c r="AB145" s="42"/>
      <c r="AC145" s="42"/>
      <c r="AD145" s="42"/>
    </row>
    <row r="146" spans="1:33" s="54" customFormat="1" ht="25.5" customHeight="1" x14ac:dyDescent="0.25">
      <c r="A146" s="42"/>
      <c r="B146" s="1667" t="s">
        <v>1065</v>
      </c>
      <c r="C146" s="1668"/>
      <c r="D146" s="42"/>
      <c r="E146" s="42"/>
      <c r="G146" s="1518"/>
      <c r="H146" s="53"/>
      <c r="I146" s="1293"/>
      <c r="J146" s="53"/>
      <c r="K146" s="53"/>
      <c r="L146" s="53"/>
      <c r="M146" s="53"/>
      <c r="V146" s="42"/>
      <c r="W146" s="42"/>
      <c r="X146" s="42"/>
      <c r="Y146" s="42"/>
      <c r="Z146" s="42"/>
      <c r="AA146" s="42"/>
      <c r="AB146" s="42"/>
      <c r="AC146" s="42"/>
      <c r="AD146" s="42"/>
    </row>
    <row r="147" spans="1:33" s="54" customFormat="1" ht="25.5" x14ac:dyDescent="0.25">
      <c r="A147" s="933">
        <v>27</v>
      </c>
      <c r="B147" s="923" t="s">
        <v>1066</v>
      </c>
      <c r="C147" s="1254">
        <v>4052617000</v>
      </c>
      <c r="D147" s="924">
        <v>4052617000</v>
      </c>
      <c r="E147" s="935"/>
      <c r="F147" s="935"/>
      <c r="G147" s="1518"/>
      <c r="I147" s="919"/>
      <c r="V147" s="42">
        <v>4255247850</v>
      </c>
      <c r="W147" s="924">
        <v>4255247850</v>
      </c>
      <c r="X147" s="935"/>
      <c r="Y147" s="935"/>
      <c r="Z147" s="42">
        <v>4468010242.5</v>
      </c>
      <c r="AA147" s="924">
        <v>4468010242.5</v>
      </c>
      <c r="AB147" s="42"/>
      <c r="AC147" s="42"/>
      <c r="AD147" s="42">
        <v>4691410754.625</v>
      </c>
      <c r="AE147" s="924">
        <v>4691410754.625</v>
      </c>
    </row>
    <row r="148" spans="1:33" s="54" customFormat="1" ht="15" x14ac:dyDescent="0.25">
      <c r="A148" s="936">
        <v>90</v>
      </c>
      <c r="B148" s="1897" t="s">
        <v>1317</v>
      </c>
      <c r="C148" s="1254">
        <v>45473661.210000001</v>
      </c>
      <c r="D148" s="1655">
        <v>45473661.210000001</v>
      </c>
      <c r="E148" s="1655"/>
      <c r="F148" s="1655"/>
      <c r="G148" s="1518"/>
      <c r="I148" s="919"/>
      <c r="V148" s="1653"/>
      <c r="W148" s="1655"/>
      <c r="X148" s="1655"/>
      <c r="Y148" s="1655"/>
      <c r="Z148" s="1653"/>
      <c r="AA148" s="1655"/>
      <c r="AB148" s="1653"/>
      <c r="AC148" s="1653"/>
      <c r="AD148" s="1653"/>
      <c r="AE148" s="1655"/>
    </row>
    <row r="149" spans="1:33" s="54" customFormat="1" ht="25.5" x14ac:dyDescent="0.25">
      <c r="A149" s="936"/>
      <c r="B149" s="1157" t="s">
        <v>1823</v>
      </c>
      <c r="C149" s="1009">
        <f>SUM(C147:C148)</f>
        <v>4098090661.21</v>
      </c>
      <c r="D149" s="1009">
        <f>SUM(D147:D148)</f>
        <v>4098090661.21</v>
      </c>
      <c r="E149" s="42"/>
      <c r="F149" s="42"/>
      <c r="G149" s="1518"/>
      <c r="I149" s="919"/>
      <c r="V149" s="1009">
        <v>4255247850</v>
      </c>
      <c r="W149" s="42"/>
      <c r="X149" s="42"/>
      <c r="Y149" s="42"/>
      <c r="Z149" s="1009">
        <v>4468010242.5</v>
      </c>
      <c r="AA149" s="42"/>
      <c r="AB149" s="42"/>
      <c r="AC149" s="42"/>
      <c r="AD149" s="1009">
        <v>4691410754.625</v>
      </c>
    </row>
    <row r="150" spans="1:33" s="54" customFormat="1" x14ac:dyDescent="0.25">
      <c r="A150" s="936"/>
      <c r="B150" s="936"/>
      <c r="C150" s="936"/>
      <c r="D150" s="42"/>
      <c r="E150" s="42"/>
      <c r="F150" s="42"/>
      <c r="G150" s="1518"/>
      <c r="I150" s="919"/>
      <c r="V150" s="42"/>
      <c r="W150" s="42"/>
      <c r="X150" s="42"/>
      <c r="Y150" s="42"/>
      <c r="Z150" s="42"/>
      <c r="AA150" s="42"/>
      <c r="AB150" s="42"/>
      <c r="AC150" s="42"/>
      <c r="AD150" s="42"/>
    </row>
    <row r="151" spans="1:33" s="54" customFormat="1" x14ac:dyDescent="0.25">
      <c r="A151" s="936"/>
      <c r="B151" s="1667" t="s">
        <v>961</v>
      </c>
      <c r="C151" s="1668"/>
      <c r="D151" s="924"/>
      <c r="E151" s="924"/>
      <c r="F151" s="924"/>
      <c r="G151" s="1518"/>
      <c r="I151" s="919"/>
      <c r="V151" s="42"/>
      <c r="W151" s="924"/>
      <c r="X151" s="924"/>
      <c r="Y151" s="924"/>
      <c r="Z151" s="42"/>
      <c r="AA151" s="42"/>
      <c r="AB151" s="42"/>
      <c r="AC151" s="42"/>
      <c r="AD151" s="42"/>
    </row>
    <row r="152" spans="1:33" s="54" customFormat="1" ht="25.5" x14ac:dyDescent="0.25">
      <c r="A152" s="923"/>
      <c r="B152" s="923" t="s">
        <v>1149</v>
      </c>
      <c r="C152" s="1254">
        <v>2461968000</v>
      </c>
      <c r="D152" s="924">
        <v>2461968000</v>
      </c>
      <c r="E152" s="924"/>
      <c r="F152" s="924"/>
      <c r="G152" s="1518"/>
      <c r="I152" s="919"/>
      <c r="V152" s="42">
        <v>2929741920</v>
      </c>
      <c r="W152" s="924">
        <v>2929741920</v>
      </c>
      <c r="X152" s="924"/>
      <c r="Y152" s="924"/>
      <c r="Z152" s="42">
        <v>3076229016</v>
      </c>
      <c r="AA152" s="924">
        <v>3076229016</v>
      </c>
      <c r="AB152" s="42"/>
      <c r="AC152" s="42"/>
      <c r="AD152" s="42">
        <v>3230040466.8000002</v>
      </c>
      <c r="AE152" s="924">
        <v>3230040466.8000002</v>
      </c>
    </row>
    <row r="153" spans="1:33" s="54" customFormat="1" ht="15" x14ac:dyDescent="0.25">
      <c r="A153" s="923">
        <v>92</v>
      </c>
      <c r="B153" s="1897" t="s">
        <v>1311</v>
      </c>
      <c r="C153" s="1254">
        <v>5836387658.2600002</v>
      </c>
      <c r="D153" s="924">
        <v>5836387658.2600002</v>
      </c>
      <c r="E153" s="924"/>
      <c r="F153" s="924"/>
      <c r="G153" s="1518"/>
      <c r="I153" s="919"/>
      <c r="V153" s="1653"/>
      <c r="W153" s="1655"/>
      <c r="X153" s="1655"/>
      <c r="Y153" s="1655"/>
      <c r="Z153" s="1653"/>
      <c r="AA153" s="1655"/>
      <c r="AB153" s="1653"/>
      <c r="AC153" s="1653"/>
      <c r="AD153" s="1653"/>
      <c r="AE153" s="1655"/>
    </row>
    <row r="154" spans="1:33" s="54" customFormat="1" ht="21" customHeight="1" x14ac:dyDescent="0.25">
      <c r="A154" s="923"/>
      <c r="B154" s="1157" t="s">
        <v>1824</v>
      </c>
      <c r="C154" s="1009">
        <f>SUM(C152:C153)</f>
        <v>8298355658.2600002</v>
      </c>
      <c r="D154" s="1009">
        <f>SUM(D152:D153)</f>
        <v>8298355658.2600002</v>
      </c>
      <c r="E154" s="924"/>
      <c r="F154" s="924"/>
      <c r="G154" s="1518"/>
      <c r="I154" s="919"/>
      <c r="V154" s="1009">
        <v>2929741920</v>
      </c>
      <c r="W154" s="42"/>
      <c r="X154" s="42"/>
      <c r="Y154" s="42"/>
      <c r="Z154" s="1009">
        <v>3076229016</v>
      </c>
      <c r="AA154" s="42"/>
      <c r="AB154" s="42"/>
      <c r="AC154" s="42"/>
      <c r="AD154" s="1009">
        <v>3230040466.8000002</v>
      </c>
    </row>
    <row r="155" spans="1:33" s="54" customFormat="1" x14ac:dyDescent="0.25">
      <c r="A155" s="42"/>
      <c r="B155" s="42"/>
      <c r="C155" s="42"/>
      <c r="E155" s="924"/>
      <c r="F155" s="924"/>
      <c r="G155" s="1518"/>
      <c r="I155" s="919"/>
      <c r="V155" s="42"/>
      <c r="W155" s="42"/>
      <c r="X155" s="42"/>
      <c r="Y155" s="42"/>
      <c r="Z155" s="42"/>
      <c r="AA155" s="42"/>
      <c r="AB155" s="42"/>
      <c r="AC155" s="42"/>
      <c r="AD155" s="42"/>
    </row>
    <row r="156" spans="1:33" s="54" customFormat="1" ht="24" customHeight="1" x14ac:dyDescent="0.25">
      <c r="A156" s="1677" t="s">
        <v>1825</v>
      </c>
      <c r="B156" s="1678"/>
      <c r="C156" s="1009">
        <f>+C154+C149+C144+C116</f>
        <v>310853169201.06</v>
      </c>
      <c r="D156" s="1009">
        <f>+D154+D149+D144+D116</f>
        <v>310853169201.06</v>
      </c>
      <c r="E156" s="924"/>
      <c r="F156" s="1517"/>
      <c r="G156" s="1518"/>
      <c r="I156" s="919"/>
      <c r="V156" s="1009">
        <v>313341238836</v>
      </c>
      <c r="W156" s="1009">
        <v>313341238836</v>
      </c>
      <c r="X156" s="42"/>
      <c r="Y156" s="42"/>
      <c r="Z156" s="1009">
        <v>329008300777.79999</v>
      </c>
      <c r="AA156" s="1009">
        <v>329008300777.79999</v>
      </c>
      <c r="AB156" s="42"/>
      <c r="AC156" s="42"/>
      <c r="AD156" s="1009">
        <v>345458715816.69</v>
      </c>
      <c r="AE156" s="1009">
        <v>345458715816.69</v>
      </c>
    </row>
    <row r="157" spans="1:33" s="54" customFormat="1" x14ac:dyDescent="0.25">
      <c r="A157" s="88"/>
      <c r="B157" s="88"/>
      <c r="C157" s="88"/>
      <c r="D157" s="88"/>
      <c r="E157" s="88"/>
      <c r="F157" s="88"/>
      <c r="G157" s="1518"/>
      <c r="I157" s="919"/>
      <c r="V157" s="42"/>
      <c r="W157" s="42"/>
      <c r="X157" s="42"/>
      <c r="Y157" s="42"/>
      <c r="Z157" s="42"/>
      <c r="AA157" s="42"/>
      <c r="AB157" s="42"/>
      <c r="AC157" s="42"/>
      <c r="AD157" s="42"/>
    </row>
    <row r="158" spans="1:33" s="54" customFormat="1" ht="36" customHeight="1" x14ac:dyDescent="0.25">
      <c r="A158" s="1677" t="s">
        <v>1826</v>
      </c>
      <c r="B158" s="1678"/>
      <c r="C158" s="1009">
        <f>+C156+C99+C53</f>
        <v>564619052919.07007</v>
      </c>
      <c r="D158" s="1009">
        <f>+D156+D99+D53</f>
        <v>367290029866.67999</v>
      </c>
      <c r="E158" s="1009">
        <f>+E156+E99+E53</f>
        <v>67108848052.389999</v>
      </c>
      <c r="F158" s="1009">
        <f>+F156+F99+F53</f>
        <v>129923488000</v>
      </c>
      <c r="G158" s="1518">
        <v>508273313000</v>
      </c>
      <c r="H158" s="54">
        <v>0</v>
      </c>
      <c r="I158" s="919"/>
      <c r="M158" s="1680" t="s">
        <v>3251</v>
      </c>
      <c r="N158" s="1680"/>
      <c r="O158" s="1680"/>
      <c r="P158" s="1680"/>
      <c r="V158" s="1009">
        <v>558097342656</v>
      </c>
      <c r="W158" s="1155">
        <v>358432229512</v>
      </c>
      <c r="X158" s="1155">
        <v>61004160114</v>
      </c>
      <c r="Y158" s="1155">
        <v>138660953030</v>
      </c>
      <c r="Z158" s="1155">
        <v>609641587282.19995</v>
      </c>
      <c r="AA158" s="1155">
        <v>393342643167.64001</v>
      </c>
      <c r="AB158" s="1155">
        <v>68428583577.059998</v>
      </c>
      <c r="AC158" s="1155">
        <v>147870360537.5</v>
      </c>
      <c r="AD158" s="1155">
        <v>634723675634.2959</v>
      </c>
      <c r="AE158" s="1155">
        <v>399762372802.60156</v>
      </c>
      <c r="AF158" s="1155">
        <v>77018410076.903397</v>
      </c>
      <c r="AG158" s="1155">
        <v>157942892754.79102</v>
      </c>
    </row>
    <row r="159" spans="1:33" s="54" customFormat="1" x14ac:dyDescent="0.25">
      <c r="A159" s="42"/>
      <c r="B159" s="1706"/>
      <c r="C159" s="1706"/>
      <c r="D159" s="73"/>
      <c r="E159" s="73"/>
      <c r="F159" s="74"/>
      <c r="G159" s="1518"/>
      <c r="I159" s="919"/>
      <c r="M159" s="53">
        <v>1</v>
      </c>
      <c r="N159" s="53">
        <v>6876540</v>
      </c>
      <c r="O159" s="53">
        <v>6876540</v>
      </c>
      <c r="P159" s="53">
        <v>12102710.4</v>
      </c>
      <c r="V159" s="42"/>
      <c r="W159" s="42"/>
      <c r="X159" s="42"/>
      <c r="Y159" s="42"/>
      <c r="Z159" s="42"/>
      <c r="AA159" s="42"/>
      <c r="AB159" s="42"/>
      <c r="AC159" s="42"/>
      <c r="AD159" s="42"/>
    </row>
    <row r="160" spans="1:33" s="54" customFormat="1" ht="15" x14ac:dyDescent="0.25">
      <c r="A160" s="42"/>
      <c r="B160" s="972" t="s">
        <v>1827</v>
      </c>
      <c r="C160" s="1255">
        <v>1299234880</v>
      </c>
      <c r="E160" s="654"/>
      <c r="F160" s="70">
        <v>507273313000</v>
      </c>
      <c r="G160" s="1518">
        <v>1000000000</v>
      </c>
      <c r="I160" s="919"/>
      <c r="M160" s="53">
        <v>1</v>
      </c>
      <c r="N160" s="53">
        <v>6642271.2000000002</v>
      </c>
      <c r="O160" s="53">
        <v>6642271.2000000002</v>
      </c>
      <c r="P160" s="53">
        <v>11690397.312000001</v>
      </c>
      <c r="V160" s="972" t="s">
        <v>1827</v>
      </c>
      <c r="W160" s="1255">
        <v>1381344530</v>
      </c>
      <c r="X160" s="42"/>
      <c r="Y160" s="42"/>
      <c r="Z160" s="972" t="s">
        <v>1827</v>
      </c>
      <c r="AA160" s="1255">
        <v>1473175355</v>
      </c>
      <c r="AB160" s="42"/>
      <c r="AC160" s="42"/>
      <c r="AD160" s="972" t="s">
        <v>1827</v>
      </c>
      <c r="AE160" s="1255">
        <v>1573624265</v>
      </c>
    </row>
    <row r="161" spans="1:32" s="54" customFormat="1" ht="30" x14ac:dyDescent="0.25">
      <c r="A161" s="42"/>
      <c r="B161" s="973" t="s">
        <v>1828</v>
      </c>
      <c r="C161" s="1255">
        <v>1299234880</v>
      </c>
      <c r="E161" s="53">
        <v>5168301321</v>
      </c>
      <c r="F161" s="1532">
        <v>129710175000</v>
      </c>
      <c r="G161" s="1518"/>
      <c r="I161" s="919"/>
      <c r="M161" s="53">
        <v>3</v>
      </c>
      <c r="N161" s="53">
        <v>5747372.3999999994</v>
      </c>
      <c r="O161" s="53">
        <v>17242117.199999999</v>
      </c>
      <c r="P161" s="53">
        <v>30346126.272</v>
      </c>
      <c r="V161" s="973" t="s">
        <v>1828</v>
      </c>
      <c r="W161" s="1255">
        <v>1381344530</v>
      </c>
      <c r="X161" s="42"/>
      <c r="Y161" s="42"/>
      <c r="Z161" s="973" t="s">
        <v>1828</v>
      </c>
      <c r="AA161" s="1255">
        <v>1473175355</v>
      </c>
      <c r="AB161" s="42"/>
      <c r="AC161" s="42"/>
      <c r="AD161" s="973" t="s">
        <v>1828</v>
      </c>
      <c r="AE161" s="1255">
        <v>1573624265</v>
      </c>
    </row>
    <row r="162" spans="1:32" s="54" customFormat="1" ht="30" x14ac:dyDescent="0.25">
      <c r="A162" s="42"/>
      <c r="B162" s="972" t="s">
        <v>1829</v>
      </c>
      <c r="C162" s="1255">
        <v>909464416</v>
      </c>
      <c r="E162" s="53">
        <v>8523050371</v>
      </c>
      <c r="F162" s="70"/>
      <c r="G162" s="1518"/>
      <c r="I162" s="919"/>
      <c r="M162" s="53">
        <v>1</v>
      </c>
      <c r="N162" s="53">
        <v>7800000</v>
      </c>
      <c r="O162" s="53">
        <v>7800000</v>
      </c>
      <c r="P162" s="53">
        <v>13728000</v>
      </c>
      <c r="V162" s="972" t="s">
        <v>1829</v>
      </c>
      <c r="W162" s="1255">
        <v>966941171</v>
      </c>
      <c r="X162" s="42"/>
      <c r="Y162" s="42"/>
      <c r="Z162" s="972" t="s">
        <v>1829</v>
      </c>
      <c r="AA162" s="1255">
        <v>1031222749</v>
      </c>
      <c r="AB162" s="42"/>
      <c r="AC162" s="42"/>
      <c r="AD162" s="972" t="s">
        <v>1829</v>
      </c>
      <c r="AE162" s="1255">
        <v>1101536986</v>
      </c>
    </row>
    <row r="163" spans="1:32" s="54" customFormat="1" ht="15" x14ac:dyDescent="0.25">
      <c r="A163" s="42"/>
      <c r="B163" s="973" t="s">
        <v>1830</v>
      </c>
      <c r="C163" s="1256">
        <v>1953000000</v>
      </c>
      <c r="E163" s="53">
        <v>521964664692</v>
      </c>
      <c r="F163" s="1533"/>
      <c r="G163" s="1518"/>
      <c r="I163" s="919"/>
      <c r="M163" s="53">
        <v>1</v>
      </c>
      <c r="N163" s="53">
        <v>4266829.2</v>
      </c>
      <c r="O163" s="53">
        <v>4266829.2</v>
      </c>
      <c r="P163" s="53">
        <v>7509619.392</v>
      </c>
      <c r="V163" s="973" t="s">
        <v>1830</v>
      </c>
      <c r="W163" s="1256">
        <v>2050650000</v>
      </c>
      <c r="X163" s="42"/>
      <c r="Y163" s="42"/>
      <c r="Z163" s="973" t="s">
        <v>1830</v>
      </c>
      <c r="AA163" s="1256">
        <v>2153182500</v>
      </c>
      <c r="AB163" s="42"/>
      <c r="AC163" s="42"/>
      <c r="AD163" s="973" t="s">
        <v>1830</v>
      </c>
      <c r="AE163" s="1256">
        <v>2260841625</v>
      </c>
    </row>
    <row r="164" spans="1:32" s="54" customFormat="1" ht="30" x14ac:dyDescent="0.25">
      <c r="A164" s="42"/>
      <c r="B164" s="972" t="s">
        <v>1831</v>
      </c>
      <c r="C164" s="1255">
        <v>12941348800</v>
      </c>
      <c r="F164" s="74"/>
      <c r="G164" s="1518"/>
      <c r="I164" s="919"/>
      <c r="M164" s="53"/>
      <c r="N164" s="53"/>
      <c r="O164" s="53"/>
      <c r="P164" s="53">
        <v>75376853.376000002</v>
      </c>
      <c r="V164" s="972" t="s">
        <v>1831</v>
      </c>
      <c r="W164" s="1255">
        <v>13813445303</v>
      </c>
      <c r="X164" s="42"/>
      <c r="Y164" s="42"/>
      <c r="Z164" s="972" t="s">
        <v>1831</v>
      </c>
      <c r="AA164" s="1255">
        <v>14731753554</v>
      </c>
      <c r="AB164" s="42"/>
      <c r="AC164" s="42"/>
      <c r="AD164" s="972" t="s">
        <v>1831</v>
      </c>
      <c r="AE164" s="1255">
        <v>15736242650</v>
      </c>
    </row>
    <row r="165" spans="1:32" x14ac:dyDescent="0.25">
      <c r="B165" s="1702"/>
      <c r="C165" s="1703"/>
      <c r="D165" s="1163"/>
      <c r="E165" s="411"/>
      <c r="F165" s="77"/>
      <c r="K165" s="54"/>
      <c r="L165" s="54"/>
      <c r="M165" s="41"/>
      <c r="N165" s="41"/>
      <c r="O165" s="41"/>
      <c r="P165" s="41">
        <v>979899093.88800001</v>
      </c>
    </row>
    <row r="166" spans="1:32" ht="22.5" customHeight="1" x14ac:dyDescent="0.25">
      <c r="B166" s="1160" t="s">
        <v>970</v>
      </c>
      <c r="C166" s="1010" t="s">
        <v>971</v>
      </c>
      <c r="D166" s="1010" t="s">
        <v>956</v>
      </c>
      <c r="E166" s="411"/>
      <c r="F166" s="124"/>
      <c r="K166" s="54"/>
      <c r="L166" s="54"/>
      <c r="M166" s="41"/>
      <c r="N166" s="41"/>
      <c r="O166" s="41"/>
      <c r="P166" s="41"/>
      <c r="V166" s="1160" t="s">
        <v>970</v>
      </c>
      <c r="W166" s="1010" t="s">
        <v>971</v>
      </c>
      <c r="X166" s="1010" t="s">
        <v>956</v>
      </c>
      <c r="Z166" s="1160" t="s">
        <v>970</v>
      </c>
      <c r="AA166" s="1010" t="s">
        <v>971</v>
      </c>
      <c r="AB166" s="1010" t="s">
        <v>956</v>
      </c>
      <c r="AD166" s="1160" t="s">
        <v>970</v>
      </c>
      <c r="AE166" s="1010" t="s">
        <v>971</v>
      </c>
      <c r="AF166" s="1010" t="s">
        <v>956</v>
      </c>
    </row>
    <row r="167" spans="1:32" ht="15" x14ac:dyDescent="0.25">
      <c r="B167" s="921" t="s">
        <v>972</v>
      </c>
      <c r="C167" s="1257">
        <v>111521205024</v>
      </c>
      <c r="D167" s="956">
        <v>1</v>
      </c>
      <c r="E167" s="411"/>
      <c r="F167" s="41">
        <v>4136377362.6750007</v>
      </c>
      <c r="K167" s="54"/>
      <c r="L167" s="54"/>
      <c r="V167" s="921" t="s">
        <v>972</v>
      </c>
      <c r="W167" s="1257">
        <v>119067227496</v>
      </c>
      <c r="X167" s="956">
        <v>1</v>
      </c>
      <c r="Z167" s="921" t="s">
        <v>972</v>
      </c>
      <c r="AA167" s="1257">
        <v>127007851024.5</v>
      </c>
      <c r="AB167" s="956">
        <v>1</v>
      </c>
      <c r="AD167" s="921" t="s">
        <v>972</v>
      </c>
      <c r="AE167" s="1257">
        <v>135697022963.79102</v>
      </c>
      <c r="AF167" s="956">
        <v>1</v>
      </c>
    </row>
    <row r="168" spans="1:32" ht="25.5" x14ac:dyDescent="0.25">
      <c r="B168" s="921" t="s">
        <v>973</v>
      </c>
      <c r="C168" s="1257">
        <v>78064843516.799988</v>
      </c>
      <c r="D168" s="956">
        <v>0.69999999999999984</v>
      </c>
      <c r="E168" s="411"/>
      <c r="F168" s="41">
        <v>18870000.000000954</v>
      </c>
      <c r="G168" s="1519">
        <v>18870000.000000004</v>
      </c>
      <c r="K168" s="54"/>
      <c r="L168" s="54"/>
      <c r="V168" s="921" t="s">
        <v>973</v>
      </c>
      <c r="W168" s="1257">
        <v>83347059247.199997</v>
      </c>
      <c r="X168" s="956">
        <v>0.7</v>
      </c>
      <c r="Z168" s="921" t="s">
        <v>973</v>
      </c>
      <c r="AA168" s="1257">
        <v>88905495717.149994</v>
      </c>
      <c r="AB168" s="956">
        <v>0.7</v>
      </c>
      <c r="AD168" s="921" t="s">
        <v>973</v>
      </c>
      <c r="AE168" s="1257">
        <v>94987916074.653702</v>
      </c>
      <c r="AF168" s="956">
        <v>0.7</v>
      </c>
    </row>
    <row r="169" spans="1:32" ht="25.5" x14ac:dyDescent="0.25">
      <c r="B169" s="937" t="s">
        <v>974</v>
      </c>
      <c r="C169" s="1258">
        <v>33456361507.200012</v>
      </c>
      <c r="D169" s="957">
        <v>0.3000000000000001</v>
      </c>
      <c r="E169" s="411"/>
      <c r="F169" s="41"/>
      <c r="K169" s="54"/>
      <c r="L169" s="54"/>
      <c r="V169" s="937" t="s">
        <v>974</v>
      </c>
      <c r="W169" s="1258">
        <v>35720168248.800003</v>
      </c>
      <c r="X169" s="957">
        <v>0.30000000000000004</v>
      </c>
      <c r="Z169" s="937" t="s">
        <v>974</v>
      </c>
      <c r="AA169" s="1258">
        <v>38102355307.350006</v>
      </c>
      <c r="AB169" s="957">
        <v>0.30000000000000004</v>
      </c>
      <c r="AD169" s="937" t="s">
        <v>974</v>
      </c>
      <c r="AE169" s="1258">
        <v>40709106889.137314</v>
      </c>
      <c r="AF169" s="957">
        <v>0.30000000000000004</v>
      </c>
    </row>
    <row r="170" spans="1:32" x14ac:dyDescent="0.25">
      <c r="B170" s="1662"/>
      <c r="C170" s="1663"/>
      <c r="D170" s="1164"/>
      <c r="E170" s="73"/>
      <c r="F170" s="74"/>
      <c r="K170" s="54"/>
      <c r="L170" s="54"/>
    </row>
    <row r="171" spans="1:32" ht="22.5" customHeight="1" x14ac:dyDescent="0.25">
      <c r="B171" s="1704" t="s">
        <v>1832</v>
      </c>
      <c r="C171" s="1705"/>
      <c r="D171" s="73"/>
      <c r="E171" s="73"/>
      <c r="F171" s="74"/>
      <c r="K171" s="54"/>
      <c r="L171" s="54"/>
      <c r="V171" s="1673" t="s">
        <v>1832</v>
      </c>
      <c r="W171" s="1673"/>
      <c r="Z171" s="1673" t="s">
        <v>1832</v>
      </c>
      <c r="AA171" s="1673"/>
      <c r="AD171" s="1673" t="s">
        <v>1832</v>
      </c>
      <c r="AE171" s="1673"/>
    </row>
    <row r="172" spans="1:32" ht="15" x14ac:dyDescent="0.25">
      <c r="B172" s="921" t="s">
        <v>1833</v>
      </c>
      <c r="C172" s="1259">
        <v>8365020586.5060005</v>
      </c>
      <c r="D172" s="411"/>
      <c r="E172" s="1165"/>
      <c r="F172" s="74"/>
      <c r="K172" s="54"/>
      <c r="L172" s="54"/>
      <c r="V172" s="921" t="s">
        <v>1833</v>
      </c>
      <c r="W172" s="1259">
        <v>8413383493</v>
      </c>
      <c r="Z172" s="921" t="s">
        <v>1833</v>
      </c>
      <c r="AA172" s="1259">
        <v>12933937740</v>
      </c>
      <c r="AD172" s="921" t="s">
        <v>1833</v>
      </c>
      <c r="AE172" s="1259">
        <v>15537160628</v>
      </c>
    </row>
    <row r="173" spans="1:32" ht="15" x14ac:dyDescent="0.25">
      <c r="B173" s="921" t="s">
        <v>1835</v>
      </c>
      <c r="C173" s="1259">
        <v>4668913388</v>
      </c>
      <c r="D173" s="411"/>
      <c r="E173" s="1165"/>
      <c r="F173" s="74"/>
      <c r="K173" s="54"/>
      <c r="L173" s="54"/>
      <c r="V173" s="921" t="s">
        <v>1835</v>
      </c>
      <c r="W173" s="1259">
        <v>5004907154.7475014</v>
      </c>
      <c r="Z173" s="921" t="s">
        <v>1835</v>
      </c>
      <c r="AA173" s="1259">
        <v>5505397870.2222509</v>
      </c>
      <c r="AD173" s="921" t="s">
        <v>1835</v>
      </c>
      <c r="AE173" s="1259">
        <v>6055937657.2444754</v>
      </c>
    </row>
    <row r="174" spans="1:32" ht="15" x14ac:dyDescent="0.25">
      <c r="B174" s="937" t="s">
        <v>1837</v>
      </c>
      <c r="C174" s="970">
        <v>4107414585.888</v>
      </c>
      <c r="D174" s="1166"/>
      <c r="E174" s="1166"/>
      <c r="F174" s="74"/>
      <c r="V174" s="937" t="s">
        <v>1837</v>
      </c>
      <c r="W174" s="970">
        <v>4386006917.3520002</v>
      </c>
      <c r="Z174" s="937" t="s">
        <v>1837</v>
      </c>
      <c r="AA174" s="970">
        <v>4678835962.9064999</v>
      </c>
      <c r="AD174" s="937" t="s">
        <v>1837</v>
      </c>
      <c r="AE174" s="970">
        <v>4999312598.4102669</v>
      </c>
    </row>
    <row r="175" spans="1:32" ht="15" x14ac:dyDescent="0.25">
      <c r="B175" s="921" t="s">
        <v>1841</v>
      </c>
      <c r="C175" s="970">
        <v>27388676551.006027</v>
      </c>
      <c r="D175" s="411"/>
      <c r="E175" s="85"/>
      <c r="F175" s="74"/>
      <c r="V175" s="921" t="s">
        <v>1841</v>
      </c>
      <c r="W175" s="970">
        <v>35580986813.500504</v>
      </c>
      <c r="Z175" s="921" t="s">
        <v>1841</v>
      </c>
      <c r="AA175" s="970">
        <v>35336411307.873756</v>
      </c>
      <c r="AD175" s="921" t="s">
        <v>1841</v>
      </c>
      <c r="AE175" s="970">
        <v>37536351374.739403</v>
      </c>
    </row>
    <row r="176" spans="1:32" x14ac:dyDescent="0.25">
      <c r="B176" s="1167" t="s">
        <v>1773</v>
      </c>
      <c r="C176" s="1011">
        <v>44530025111.400024</v>
      </c>
      <c r="D176" s="411"/>
      <c r="E176" s="411"/>
      <c r="F176" s="422"/>
      <c r="V176" s="1167" t="s">
        <v>1773</v>
      </c>
      <c r="W176" s="1011">
        <v>53385284378.600006</v>
      </c>
      <c r="Z176" s="1167" t="s">
        <v>1773</v>
      </c>
      <c r="AA176" s="1011">
        <v>58454582881.00251</v>
      </c>
      <c r="AD176" s="1167" t="s">
        <v>1773</v>
      </c>
      <c r="AE176" s="1011">
        <v>64128762258.39415</v>
      </c>
    </row>
    <row r="177" spans="2:32" x14ac:dyDescent="0.25">
      <c r="B177" s="1669"/>
      <c r="C177" s="1669"/>
      <c r="D177" s="73"/>
      <c r="E177" s="73"/>
      <c r="F177" s="74"/>
    </row>
    <row r="178" spans="2:32" ht="24.75" customHeight="1" x14ac:dyDescent="0.25">
      <c r="B178" s="1670" t="s">
        <v>1842</v>
      </c>
      <c r="C178" s="1670"/>
      <c r="D178" s="124"/>
      <c r="E178" s="124"/>
      <c r="F178" s="124"/>
      <c r="V178" s="1670" t="s">
        <v>1842</v>
      </c>
      <c r="W178" s="1670"/>
      <c r="X178" s="124"/>
      <c r="Z178" s="1670" t="s">
        <v>1842</v>
      </c>
      <c r="AA178" s="1670"/>
      <c r="AB178" s="124"/>
      <c r="AD178" s="1670" t="s">
        <v>1842</v>
      </c>
      <c r="AE178" s="1670"/>
      <c r="AF178" s="124"/>
    </row>
    <row r="179" spans="2:32" ht="15" customHeight="1" x14ac:dyDescent="0.25">
      <c r="B179" s="940" t="s">
        <v>1843</v>
      </c>
      <c r="C179" s="1260">
        <v>4668913387</v>
      </c>
      <c r="D179" s="73"/>
      <c r="E179" s="73"/>
      <c r="F179" s="74"/>
      <c r="V179" s="940" t="s">
        <v>1843</v>
      </c>
      <c r="W179" s="1260">
        <v>5004907154.7475014</v>
      </c>
      <c r="X179" s="73"/>
      <c r="Z179" s="940" t="s">
        <v>1843</v>
      </c>
      <c r="AA179" s="1260">
        <v>5505397870.2222509</v>
      </c>
      <c r="AB179" s="73"/>
      <c r="AD179" s="940" t="s">
        <v>1843</v>
      </c>
      <c r="AE179" s="1260">
        <v>6055937657.2444754</v>
      </c>
      <c r="AF179" s="73"/>
    </row>
    <row r="180" spans="2:32" ht="15" customHeight="1" x14ac:dyDescent="0.25">
      <c r="B180" s="937" t="s">
        <v>1844</v>
      </c>
      <c r="C180" s="1258">
        <v>4107414585.888</v>
      </c>
      <c r="D180" s="411"/>
      <c r="E180" s="411"/>
      <c r="F180" s="74"/>
      <c r="V180" s="937" t="s">
        <v>1844</v>
      </c>
      <c r="W180" s="1258">
        <v>4386006917.3520002</v>
      </c>
      <c r="X180" s="411"/>
      <c r="Z180" s="937" t="s">
        <v>1844</v>
      </c>
      <c r="AA180" s="1258">
        <v>4678835962.9064999</v>
      </c>
      <c r="AB180" s="411"/>
      <c r="AD180" s="937" t="s">
        <v>1844</v>
      </c>
      <c r="AE180" s="1258">
        <v>4999312598.4102669</v>
      </c>
      <c r="AF180" s="411"/>
    </row>
    <row r="181" spans="2:32" ht="26.25" customHeight="1" x14ac:dyDescent="0.25">
      <c r="B181" s="921" t="s">
        <v>1845</v>
      </c>
      <c r="C181" s="1257">
        <v>681193000</v>
      </c>
      <c r="D181" s="1168"/>
      <c r="E181" s="411"/>
      <c r="F181" s="74"/>
      <c r="V181" s="921" t="s">
        <v>1845</v>
      </c>
      <c r="W181" s="1257">
        <v>715252650</v>
      </c>
      <c r="X181" s="1168"/>
      <c r="Z181" s="921" t="s">
        <v>1845</v>
      </c>
      <c r="AA181" s="1257">
        <v>751015282.5</v>
      </c>
      <c r="AB181" s="1168"/>
      <c r="AD181" s="921" t="s">
        <v>1845</v>
      </c>
      <c r="AE181" s="1257">
        <v>788566046.625</v>
      </c>
      <c r="AF181" s="1168"/>
    </row>
    <row r="182" spans="2:32" ht="26.25" customHeight="1" x14ac:dyDescent="0.25">
      <c r="B182" s="1004" t="s">
        <v>3221</v>
      </c>
      <c r="C182" s="1270">
        <v>3661054473.3200002</v>
      </c>
      <c r="D182" s="73"/>
      <c r="E182" s="411"/>
      <c r="F182" s="74"/>
      <c r="V182" s="1004" t="s">
        <v>4441</v>
      </c>
      <c r="W182" s="1270">
        <v>3701108420.6500001</v>
      </c>
      <c r="X182" s="73"/>
      <c r="Z182" s="1004" t="s">
        <v>4442</v>
      </c>
      <c r="AA182" s="1270">
        <v>3098391711.9099998</v>
      </c>
      <c r="AB182" s="73"/>
      <c r="AD182" s="1004" t="s">
        <v>4443</v>
      </c>
      <c r="AE182" s="1270">
        <v>2428140452.23</v>
      </c>
      <c r="AF182" s="73"/>
    </row>
    <row r="183" spans="2:32" ht="26.25" customHeight="1" x14ac:dyDescent="0.25">
      <c r="B183" s="937" t="s">
        <v>1847</v>
      </c>
      <c r="C183" s="1271">
        <v>51886509235</v>
      </c>
      <c r="D183" s="411"/>
      <c r="E183" s="411"/>
      <c r="F183" s="74"/>
      <c r="G183" s="1524"/>
      <c r="V183" s="937" t="s">
        <v>1847</v>
      </c>
      <c r="W183" s="1271">
        <v>54480834696.75</v>
      </c>
      <c r="X183" s="411"/>
      <c r="Z183" s="937" t="s">
        <v>1847</v>
      </c>
      <c r="AA183" s="1271">
        <v>57204876431.587502</v>
      </c>
      <c r="AB183" s="411"/>
      <c r="AD183" s="937" t="s">
        <v>1847</v>
      </c>
      <c r="AE183" s="1271">
        <v>60065120253.166878</v>
      </c>
      <c r="AF183" s="411"/>
    </row>
    <row r="184" spans="2:32" ht="26.25" customHeight="1" x14ac:dyDescent="0.25">
      <c r="B184" s="1002" t="s">
        <v>4440</v>
      </c>
      <c r="C184" s="1270">
        <v>7000000000</v>
      </c>
      <c r="D184" s="411"/>
      <c r="E184" s="411"/>
      <c r="F184" s="74"/>
      <c r="G184" s="1525"/>
      <c r="V184" s="1002" t="s">
        <v>4440</v>
      </c>
      <c r="W184" s="1270">
        <v>5000000000</v>
      </c>
      <c r="X184" s="411"/>
      <c r="Z184" s="1002" t="s">
        <v>4440</v>
      </c>
      <c r="AA184" s="1270">
        <v>5500000000</v>
      </c>
      <c r="AB184" s="411"/>
      <c r="AD184" s="1002" t="s">
        <v>4440</v>
      </c>
      <c r="AE184" s="1270">
        <v>6050000000.000001</v>
      </c>
      <c r="AF184" s="411"/>
    </row>
    <row r="185" spans="2:32" ht="15" customHeight="1" x14ac:dyDescent="0.25">
      <c r="B185" s="1002" t="s">
        <v>1848</v>
      </c>
      <c r="C185" s="1272">
        <v>2742303205</v>
      </c>
      <c r="D185" s="1169"/>
      <c r="E185" s="423"/>
      <c r="F185" s="74"/>
      <c r="V185" s="1002" t="s">
        <v>1848</v>
      </c>
      <c r="W185" s="1272">
        <v>2500000000</v>
      </c>
      <c r="X185" s="1169"/>
      <c r="Z185" s="1002" t="s">
        <v>1848</v>
      </c>
      <c r="AA185" s="1270">
        <v>2750000000</v>
      </c>
      <c r="AB185" s="1169"/>
      <c r="AD185" s="1002" t="s">
        <v>1848</v>
      </c>
      <c r="AE185" s="1270">
        <v>3025000000.0000005</v>
      </c>
      <c r="AF185" s="1169"/>
    </row>
    <row r="186" spans="2:32" ht="15.75" customHeight="1" x14ac:dyDescent="0.25">
      <c r="B186" s="1004" t="s">
        <v>1849</v>
      </c>
      <c r="C186" s="1262">
        <v>10015793400</v>
      </c>
      <c r="D186" s="411"/>
      <c r="E186" s="423"/>
      <c r="F186" s="74"/>
      <c r="V186" s="1004" t="s">
        <v>1849</v>
      </c>
      <c r="W186" s="1262">
        <v>10516583070</v>
      </c>
      <c r="X186" s="411"/>
      <c r="Z186" s="1004" t="s">
        <v>1849</v>
      </c>
      <c r="AA186" s="1262">
        <v>11042412223.5</v>
      </c>
      <c r="AB186" s="411"/>
      <c r="AD186" s="1004" t="s">
        <v>1849</v>
      </c>
      <c r="AE186" s="1262">
        <v>11594532834.675001</v>
      </c>
      <c r="AF186" s="411"/>
    </row>
    <row r="187" spans="2:32" ht="25.5" x14ac:dyDescent="0.25">
      <c r="B187" s="921" t="s">
        <v>1850</v>
      </c>
      <c r="C187" s="1263">
        <v>25968006000</v>
      </c>
      <c r="D187" s="1170"/>
      <c r="E187" s="423"/>
      <c r="F187" s="74"/>
      <c r="V187" s="921" t="s">
        <v>1850</v>
      </c>
      <c r="W187" s="1263">
        <v>28070251792</v>
      </c>
      <c r="X187" s="1170"/>
      <c r="Y187" s="423"/>
      <c r="Z187" s="921" t="s">
        <v>1850</v>
      </c>
      <c r="AA187" s="1263">
        <v>30423414805.279999</v>
      </c>
      <c r="AB187" s="1170"/>
      <c r="AD187" s="921" t="s">
        <v>1850</v>
      </c>
      <c r="AE187" s="1263">
        <v>33064414250.207199</v>
      </c>
      <c r="AF187" s="1170"/>
    </row>
    <row r="188" spans="2:32" ht="15" customHeight="1" x14ac:dyDescent="0.25">
      <c r="B188" s="937" t="s">
        <v>1851</v>
      </c>
      <c r="C188" s="1261">
        <v>4161699296</v>
      </c>
      <c r="D188" s="1171"/>
      <c r="E188" s="413"/>
      <c r="F188" s="74"/>
      <c r="V188" s="937" t="s">
        <v>1851</v>
      </c>
      <c r="W188" s="1261">
        <v>18212381004</v>
      </c>
      <c r="X188" s="1171"/>
      <c r="Z188" s="937" t="s">
        <v>1851</v>
      </c>
      <c r="AA188" s="1261">
        <v>19389334158</v>
      </c>
      <c r="AB188" s="1171"/>
      <c r="AD188" s="937" t="s">
        <v>1851</v>
      </c>
      <c r="AE188" s="1261">
        <v>20672245526</v>
      </c>
      <c r="AF188" s="1171"/>
    </row>
    <row r="189" spans="2:32" s="1653" customFormat="1" ht="15" customHeight="1" x14ac:dyDescent="0.25">
      <c r="B189" s="937" t="s">
        <v>4458</v>
      </c>
      <c r="C189" s="1898">
        <v>12537947052.390001</v>
      </c>
      <c r="D189" s="1170"/>
      <c r="E189" s="413"/>
      <c r="F189" s="74"/>
      <c r="G189" s="1519"/>
      <c r="I189" s="648"/>
      <c r="V189" s="937"/>
      <c r="W189" s="1898"/>
      <c r="X189" s="1170"/>
      <c r="Z189" s="937"/>
      <c r="AA189" s="1898"/>
      <c r="AB189" s="1170"/>
      <c r="AD189" s="937"/>
      <c r="AE189" s="1898"/>
      <c r="AF189" s="1170"/>
    </row>
    <row r="190" spans="2:32" ht="15" customHeight="1" x14ac:dyDescent="0.25">
      <c r="B190" s="921" t="s">
        <v>1852</v>
      </c>
      <c r="C190" s="1263">
        <v>22166765000</v>
      </c>
      <c r="D190" s="1170"/>
      <c r="E190" s="85"/>
      <c r="F190" s="74"/>
      <c r="H190" s="1150"/>
      <c r="V190" s="921" t="s">
        <v>1852</v>
      </c>
      <c r="W190" s="1263">
        <v>32218655672</v>
      </c>
      <c r="X190" s="1170"/>
      <c r="Z190" s="921" t="s">
        <v>1852</v>
      </c>
      <c r="AA190" s="1263">
        <v>37254153489.279999</v>
      </c>
      <c r="AB190" s="1170"/>
      <c r="AD190" s="921" t="s">
        <v>1852</v>
      </c>
      <c r="AE190" s="1263">
        <v>43165429780.071198</v>
      </c>
      <c r="AF190" s="1170"/>
    </row>
    <row r="191" spans="2:32" ht="25.5" x14ac:dyDescent="0.25">
      <c r="B191" s="1172" t="s">
        <v>1853</v>
      </c>
      <c r="C191" s="1012">
        <f>SUM(C179:C190)</f>
        <v>149597598634.59802</v>
      </c>
      <c r="D191" s="381"/>
      <c r="E191" s="87"/>
      <c r="F191" s="88"/>
      <c r="V191" s="1172" t="s">
        <v>1853</v>
      </c>
      <c r="W191" s="1012">
        <v>164805981377.49948</v>
      </c>
      <c r="X191" s="381"/>
      <c r="Z191" s="1172" t="s">
        <v>1853</v>
      </c>
      <c r="AA191" s="1012">
        <v>177597831935.18625</v>
      </c>
      <c r="AB191" s="381"/>
      <c r="AD191" s="1172" t="s">
        <v>1853</v>
      </c>
      <c r="AE191" s="1012">
        <v>191908699398.63004</v>
      </c>
      <c r="AF191" s="381"/>
    </row>
    <row r="192" spans="2:32" x14ac:dyDescent="0.25">
      <c r="B192" s="1663"/>
      <c r="C192" s="1663"/>
      <c r="D192" s="73"/>
      <c r="E192" s="73"/>
      <c r="F192" s="74"/>
      <c r="V192" s="1671"/>
      <c r="W192" s="1671"/>
      <c r="X192" s="73"/>
      <c r="Z192" s="1671"/>
      <c r="AA192" s="1671"/>
      <c r="AB192" s="73"/>
      <c r="AD192" s="1671"/>
      <c r="AE192" s="1671"/>
      <c r="AF192" s="73"/>
    </row>
    <row r="193" spans="1:32" x14ac:dyDescent="0.25">
      <c r="B193" s="1172" t="s">
        <v>1854</v>
      </c>
      <c r="C193" s="1012">
        <v>11236130586.506001</v>
      </c>
      <c r="D193" s="87"/>
      <c r="E193" s="87"/>
      <c r="F193" s="88"/>
      <c r="V193" s="1172" t="s">
        <v>1854</v>
      </c>
      <c r="W193" s="1012">
        <v>11982449493</v>
      </c>
      <c r="X193" s="87"/>
      <c r="Z193" s="1172" t="s">
        <v>1854</v>
      </c>
      <c r="AA193" s="1012">
        <v>16681457040</v>
      </c>
      <c r="AB193" s="87"/>
      <c r="AD193" s="1172" t="s">
        <v>1854</v>
      </c>
      <c r="AE193" s="1012">
        <v>19472055893</v>
      </c>
      <c r="AF193" s="87"/>
    </row>
    <row r="194" spans="1:32" ht="15" x14ac:dyDescent="0.25">
      <c r="B194" s="937" t="s">
        <v>1855</v>
      </c>
      <c r="C194" s="1258">
        <v>2871110000</v>
      </c>
      <c r="D194" s="87"/>
      <c r="E194" s="409"/>
      <c r="F194" s="88"/>
      <c r="V194" s="937" t="s">
        <v>1855</v>
      </c>
      <c r="W194" s="1258">
        <v>3569066000</v>
      </c>
      <c r="X194" s="87"/>
      <c r="Z194" s="937" t="s">
        <v>1855</v>
      </c>
      <c r="AA194" s="1258">
        <v>3747519300</v>
      </c>
      <c r="AB194" s="87"/>
      <c r="AD194" s="937" t="s">
        <v>1855</v>
      </c>
      <c r="AE194" s="1258">
        <v>3934895265</v>
      </c>
      <c r="AF194" s="87"/>
    </row>
    <row r="195" spans="1:32" ht="15" x14ac:dyDescent="0.25">
      <c r="B195" s="921" t="s">
        <v>1856</v>
      </c>
      <c r="C195" s="1260">
        <v>8365020586.5060005</v>
      </c>
      <c r="D195" s="87"/>
      <c r="E195" s="87"/>
      <c r="F195" s="88"/>
      <c r="V195" s="921" t="s">
        <v>1856</v>
      </c>
      <c r="W195" s="1260">
        <v>8413383493</v>
      </c>
      <c r="X195" s="87"/>
      <c r="Z195" s="921" t="s">
        <v>1856</v>
      </c>
      <c r="AA195" s="1260">
        <v>12933937740</v>
      </c>
      <c r="AB195" s="87"/>
      <c r="AD195" s="921" t="s">
        <v>1856</v>
      </c>
      <c r="AE195" s="1260">
        <v>15537160628</v>
      </c>
      <c r="AF195" s="87"/>
    </row>
    <row r="196" spans="1:32" x14ac:dyDescent="0.25">
      <c r="B196" s="1172" t="s">
        <v>1857</v>
      </c>
      <c r="D196" s="73"/>
      <c r="E196" s="73"/>
      <c r="F196" s="74"/>
      <c r="V196" s="1172" t="s">
        <v>1857</v>
      </c>
      <c r="X196" s="73"/>
      <c r="Z196" s="1172" t="s">
        <v>1857</v>
      </c>
      <c r="AB196" s="73"/>
      <c r="AD196" s="1172" t="s">
        <v>1857</v>
      </c>
      <c r="AF196" s="73"/>
    </row>
    <row r="197" spans="1:32" ht="25.5" x14ac:dyDescent="0.25">
      <c r="B197" s="942" t="s">
        <v>1858</v>
      </c>
      <c r="C197" s="943">
        <f>+'[12]FYU 2024-2027 definitivo'!$C$196</f>
        <v>30685911431.009998</v>
      </c>
      <c r="D197" s="411"/>
      <c r="E197" s="73"/>
      <c r="F197" s="74"/>
      <c r="V197" s="942" t="s">
        <v>1858</v>
      </c>
      <c r="W197" s="943">
        <v>36962331343.500504</v>
      </c>
      <c r="X197" s="411"/>
      <c r="Z197" s="942" t="s">
        <v>1858</v>
      </c>
      <c r="AA197" s="943">
        <v>36809586662.873756</v>
      </c>
      <c r="AB197" s="411"/>
      <c r="AD197" s="942" t="s">
        <v>1858</v>
      </c>
      <c r="AE197" s="943">
        <v>39109975639.739403</v>
      </c>
      <c r="AF197" s="411"/>
    </row>
    <row r="198" spans="1:32" x14ac:dyDescent="0.25">
      <c r="A198" s="941"/>
      <c r="B198" s="77" t="s">
        <v>1859</v>
      </c>
      <c r="C198" s="943">
        <f>+'[12]FYU 2024-2027 definitivo'!$C$197</f>
        <v>354403126466.67004</v>
      </c>
      <c r="D198" s="411"/>
      <c r="E198" s="73"/>
      <c r="F198" s="74"/>
      <c r="V198" s="77" t="s">
        <v>1859</v>
      </c>
      <c r="W198" s="943">
        <v>48706914446</v>
      </c>
      <c r="X198" s="411"/>
      <c r="Z198" s="77" t="s">
        <v>1859</v>
      </c>
      <c r="AA198" s="943">
        <v>68131062348.339996</v>
      </c>
      <c r="AB198" s="411"/>
      <c r="AD198" s="77" t="s">
        <v>1859</v>
      </c>
      <c r="AE198" s="943">
        <v>58290212942.336594</v>
      </c>
      <c r="AF198" s="411"/>
    </row>
    <row r="199" spans="1:32" ht="15" x14ac:dyDescent="0.25">
      <c r="B199" s="942" t="s">
        <v>1860</v>
      </c>
      <c r="C199" s="944"/>
      <c r="D199" s="411"/>
      <c r="E199" s="413"/>
      <c r="F199" s="74"/>
      <c r="V199" s="942" t="s">
        <v>1860</v>
      </c>
      <c r="W199" s="944">
        <v>295639665996</v>
      </c>
      <c r="X199" s="411"/>
      <c r="Z199" s="942" t="s">
        <v>1860</v>
      </c>
      <c r="AA199" s="944">
        <v>310421649295.79999</v>
      </c>
      <c r="AB199" s="411"/>
      <c r="AD199" s="942" t="s">
        <v>1860</v>
      </c>
      <c r="AE199" s="944">
        <v>325942731760.59003</v>
      </c>
      <c r="AF199" s="411"/>
    </row>
    <row r="200" spans="1:32" s="1652" customFormat="1" ht="15" x14ac:dyDescent="0.25">
      <c r="B200" s="942" t="s">
        <v>4459</v>
      </c>
      <c r="C200" s="944">
        <f>+'[12]FYU 2024-2027 definitivo'!$C$198</f>
        <v>18696285800</v>
      </c>
      <c r="D200" s="411"/>
      <c r="E200" s="413"/>
      <c r="F200" s="74"/>
      <c r="G200" s="1519"/>
      <c r="I200" s="648"/>
      <c r="V200" s="942"/>
      <c r="W200" s="944"/>
      <c r="X200" s="411"/>
      <c r="Z200" s="942"/>
      <c r="AA200" s="944"/>
      <c r="AB200" s="411"/>
      <c r="AD200" s="942"/>
      <c r="AE200" s="944"/>
      <c r="AF200" s="411"/>
    </row>
    <row r="201" spans="1:32" x14ac:dyDescent="0.25">
      <c r="B201" s="1172" t="s">
        <v>1861</v>
      </c>
      <c r="C201" s="1012">
        <f>SUM(C197:C200)</f>
        <v>403785323697.68005</v>
      </c>
      <c r="D201" s="409"/>
      <c r="E201" s="409"/>
      <c r="F201" s="88"/>
      <c r="V201" s="1172" t="s">
        <v>1861</v>
      </c>
      <c r="W201" s="1012">
        <v>381308911785.50049</v>
      </c>
      <c r="X201" s="409"/>
      <c r="Z201" s="1172" t="s">
        <v>1861</v>
      </c>
      <c r="AA201" s="1012">
        <v>415362298307.01379</v>
      </c>
      <c r="AB201" s="409"/>
      <c r="AD201" s="1172" t="s">
        <v>1861</v>
      </c>
      <c r="AE201" s="1012">
        <v>423342920342.66602</v>
      </c>
      <c r="AF201" s="409"/>
    </row>
    <row r="202" spans="1:32" x14ac:dyDescent="0.25">
      <c r="B202" s="1672"/>
      <c r="C202" s="1672"/>
      <c r="D202" s="409"/>
      <c r="E202" s="1173"/>
      <c r="F202" s="88"/>
      <c r="V202" s="1672"/>
      <c r="W202" s="1672"/>
      <c r="X202" s="409"/>
      <c r="Z202" s="1672"/>
      <c r="AA202" s="1672"/>
      <c r="AB202" s="409"/>
      <c r="AD202" s="1672"/>
      <c r="AE202" s="1672"/>
      <c r="AF202" s="409"/>
    </row>
    <row r="203" spans="1:32" x14ac:dyDescent="0.25">
      <c r="B203" s="1172" t="s">
        <v>1862</v>
      </c>
      <c r="C203" s="1012">
        <f>+C201+C193+C191</f>
        <v>564619052918.78406</v>
      </c>
      <c r="D203" s="409">
        <v>0</v>
      </c>
      <c r="E203" s="1528"/>
      <c r="F203" s="651"/>
      <c r="G203" s="1519">
        <v>227850000</v>
      </c>
      <c r="V203" s="1172" t="s">
        <v>1862</v>
      </c>
      <c r="W203" s="1012">
        <v>558097342656</v>
      </c>
      <c r="X203" s="409">
        <v>0</v>
      </c>
      <c r="Z203" s="1172" t="s">
        <v>1862</v>
      </c>
      <c r="AA203" s="1012">
        <v>609641587282.20007</v>
      </c>
      <c r="AB203" s="409">
        <v>0</v>
      </c>
      <c r="AD203" s="1172" t="s">
        <v>1862</v>
      </c>
      <c r="AE203" s="1012">
        <v>634723675634.29602</v>
      </c>
      <c r="AF203" s="409">
        <v>0</v>
      </c>
    </row>
    <row r="204" spans="1:32" ht="12.75" customHeight="1" x14ac:dyDescent="0.25">
      <c r="B204" s="77"/>
      <c r="C204" s="88"/>
      <c r="D204" s="411"/>
      <c r="E204" s="411"/>
      <c r="F204" s="74"/>
      <c r="V204" s="77"/>
      <c r="W204" s="88"/>
      <c r="X204" s="411"/>
      <c r="Z204" s="77"/>
      <c r="AA204" s="88"/>
      <c r="AB204" s="411"/>
      <c r="AD204" s="77"/>
      <c r="AE204" s="88"/>
      <c r="AF204" s="411"/>
    </row>
    <row r="205" spans="1:32" x14ac:dyDescent="0.25">
      <c r="C205" s="433"/>
      <c r="V205" s="95"/>
      <c r="W205" s="433"/>
      <c r="Z205" s="95"/>
      <c r="AA205" s="433"/>
      <c r="AD205" s="95"/>
      <c r="AE205" s="433"/>
    </row>
    <row r="206" spans="1:32" ht="12.75" customHeight="1" x14ac:dyDescent="0.25">
      <c r="B206" s="1666" t="s">
        <v>3222</v>
      </c>
      <c r="C206" s="1666"/>
      <c r="D206" s="1666"/>
      <c r="V206" s="1666" t="s">
        <v>4445</v>
      </c>
      <c r="W206" s="1666"/>
      <c r="X206" s="1666"/>
      <c r="Z206" s="1666" t="s">
        <v>4446</v>
      </c>
      <c r="AA206" s="1666"/>
      <c r="AB206" s="1666"/>
      <c r="AD206" s="1666" t="s">
        <v>4447</v>
      </c>
      <c r="AE206" s="1666"/>
      <c r="AF206" s="1666"/>
    </row>
    <row r="207" spans="1:32" x14ac:dyDescent="0.25">
      <c r="B207" s="1160" t="s">
        <v>970</v>
      </c>
      <c r="C207" s="1010" t="s">
        <v>971</v>
      </c>
      <c r="D207" s="1010" t="s">
        <v>956</v>
      </c>
      <c r="V207" s="1160" t="s">
        <v>970</v>
      </c>
      <c r="W207" s="1010" t="s">
        <v>971</v>
      </c>
      <c r="X207" s="1010" t="s">
        <v>956</v>
      </c>
      <c r="Z207" s="1160" t="s">
        <v>970</v>
      </c>
      <c r="AA207" s="1010" t="s">
        <v>971</v>
      </c>
      <c r="AB207" s="1010" t="s">
        <v>956</v>
      </c>
      <c r="AD207" s="1160" t="s">
        <v>970</v>
      </c>
      <c r="AE207" s="1010" t="s">
        <v>971</v>
      </c>
      <c r="AF207" s="1010" t="s">
        <v>956</v>
      </c>
    </row>
    <row r="208" spans="1:32" ht="15" x14ac:dyDescent="0.25">
      <c r="B208" s="921" t="s">
        <v>972</v>
      </c>
      <c r="C208" s="1257">
        <v>111521205024</v>
      </c>
      <c r="D208" s="956">
        <v>1</v>
      </c>
      <c r="V208" s="921" t="s">
        <v>972</v>
      </c>
      <c r="W208" s="1257">
        <v>119067227496</v>
      </c>
      <c r="X208" s="956">
        <v>1</v>
      </c>
      <c r="Z208" s="921" t="s">
        <v>972</v>
      </c>
      <c r="AA208" s="1257">
        <v>127007851024.5</v>
      </c>
      <c r="AB208" s="956">
        <v>1</v>
      </c>
      <c r="AD208" s="921" t="s">
        <v>972</v>
      </c>
      <c r="AE208" s="1257">
        <v>135697022963.79102</v>
      </c>
      <c r="AF208" s="956">
        <v>1</v>
      </c>
    </row>
    <row r="209" spans="2:32" ht="25.5" x14ac:dyDescent="0.25">
      <c r="B209" s="921" t="s">
        <v>973</v>
      </c>
      <c r="C209" s="1257">
        <v>67287866912.599998</v>
      </c>
      <c r="D209" s="956">
        <v>0.60336387952514736</v>
      </c>
      <c r="V209" s="921" t="s">
        <v>973</v>
      </c>
      <c r="W209" s="1257">
        <v>65681943117.400002</v>
      </c>
      <c r="X209" s="956">
        <v>0.58752664040598224</v>
      </c>
      <c r="Z209" s="921" t="s">
        <v>973</v>
      </c>
      <c r="AA209" s="1257">
        <v>68553268143.497498</v>
      </c>
      <c r="AB209" s="956">
        <v>0.61321071529824556</v>
      </c>
      <c r="AD209" s="921" t="s">
        <v>973</v>
      </c>
      <c r="AE209" s="1257">
        <v>71568260705.396881</v>
      </c>
      <c r="AF209" s="956">
        <v>0.64017989992750646</v>
      </c>
    </row>
    <row r="210" spans="2:32" ht="25.5" x14ac:dyDescent="0.25">
      <c r="B210" s="937" t="s">
        <v>974</v>
      </c>
      <c r="C210" s="1258">
        <v>44530025111.400024</v>
      </c>
      <c r="D210" s="957">
        <v>0.39929648448308025</v>
      </c>
      <c r="V210" s="937" t="s">
        <v>974</v>
      </c>
      <c r="W210" s="1258">
        <v>53385284378.600006</v>
      </c>
      <c r="X210" s="957">
        <v>0.47753271735603936</v>
      </c>
      <c r="Z210" s="937" t="s">
        <v>974</v>
      </c>
      <c r="AA210" s="1258">
        <v>58454582881.00251</v>
      </c>
      <c r="AB210" s="957">
        <v>0.52287772051783854</v>
      </c>
      <c r="AD210" s="937" t="s">
        <v>974</v>
      </c>
      <c r="AE210" s="1258">
        <v>64128762258.39415</v>
      </c>
      <c r="AF210" s="957">
        <v>0.57363339838658101</v>
      </c>
    </row>
    <row r="213" spans="2:32" ht="12.75" customHeight="1" x14ac:dyDescent="0.25"/>
    <row r="216" spans="2:32" x14ac:dyDescent="0.25">
      <c r="B216" s="1273"/>
      <c r="C216" s="41"/>
    </row>
    <row r="217" spans="2:32" x14ac:dyDescent="0.25">
      <c r="B217" s="1273" t="s">
        <v>3252</v>
      </c>
      <c r="C217" s="41">
        <v>51886509235</v>
      </c>
    </row>
    <row r="218" spans="2:32" x14ac:dyDescent="0.25">
      <c r="B218" s="1273" t="s">
        <v>3253</v>
      </c>
      <c r="C218" s="41">
        <v>5863258961.6000004</v>
      </c>
    </row>
    <row r="219" spans="2:32" x14ac:dyDescent="0.25">
      <c r="B219" s="1273" t="s">
        <v>3254</v>
      </c>
      <c r="C219" s="41">
        <v>7000000000</v>
      </c>
    </row>
    <row r="220" spans="2:32" x14ac:dyDescent="0.25">
      <c r="B220" s="1273" t="s">
        <v>3255</v>
      </c>
      <c r="C220" s="41">
        <v>2538098716</v>
      </c>
    </row>
    <row r="221" spans="2:32" x14ac:dyDescent="0.25">
      <c r="B221" s="1273" t="s">
        <v>3256</v>
      </c>
      <c r="C221" s="41">
        <v>4117507362.6749997</v>
      </c>
    </row>
    <row r="222" spans="2:32" x14ac:dyDescent="0.25">
      <c r="B222" s="1273" t="s">
        <v>3257</v>
      </c>
      <c r="C222" s="41">
        <v>4668913388</v>
      </c>
    </row>
    <row r="223" spans="2:32" x14ac:dyDescent="0.25">
      <c r="B223" s="1273" t="s">
        <v>3258</v>
      </c>
      <c r="C223" s="41">
        <v>17129090475</v>
      </c>
    </row>
    <row r="224" spans="2:32" x14ac:dyDescent="0.25">
      <c r="B224" s="1273" t="s">
        <v>3259</v>
      </c>
      <c r="C224" s="41">
        <v>93203378138.274994</v>
      </c>
    </row>
    <row r="225" spans="2:3" x14ac:dyDescent="0.25">
      <c r="B225" s="1273" t="s">
        <v>3260</v>
      </c>
      <c r="C225" s="41">
        <v>8365020586.5060005</v>
      </c>
    </row>
    <row r="226" spans="2:3" x14ac:dyDescent="0.25">
      <c r="B226" s="1273" t="s">
        <v>3261</v>
      </c>
      <c r="C226" s="41">
        <v>101568398724.78099</v>
      </c>
    </row>
    <row r="227" spans="2:3" x14ac:dyDescent="0.25">
      <c r="B227" s="1273" t="s">
        <v>3262</v>
      </c>
      <c r="C227" s="41">
        <v>-28651776275.219009</v>
      </c>
    </row>
    <row r="228" spans="2:3" x14ac:dyDescent="0.25">
      <c r="B228" s="1273"/>
      <c r="C228" s="41">
        <v>28651776275.219002</v>
      </c>
    </row>
  </sheetData>
  <autoFilter ref="A6:D53" xr:uid="{00000000-0009-0000-0000-000004000000}"/>
  <mergeCells count="50">
    <mergeCell ref="A2:F2"/>
    <mergeCell ref="V2:Y2"/>
    <mergeCell ref="Z2:AC2"/>
    <mergeCell ref="AD2:AG2"/>
    <mergeCell ref="A3:F3"/>
    <mergeCell ref="V3:Y3"/>
    <mergeCell ref="Z3:AC3"/>
    <mergeCell ref="AD3:AG3"/>
    <mergeCell ref="A4:F4"/>
    <mergeCell ref="V4:Y4"/>
    <mergeCell ref="Z4:AC4"/>
    <mergeCell ref="AD4:AG4"/>
    <mergeCell ref="A5:F5"/>
    <mergeCell ref="V5:Y5"/>
    <mergeCell ref="Z5:AC5"/>
    <mergeCell ref="AD5:AG5"/>
    <mergeCell ref="B159:C159"/>
    <mergeCell ref="A53:B53"/>
    <mergeCell ref="A99:B99"/>
    <mergeCell ref="B101:C101"/>
    <mergeCell ref="B103:C103"/>
    <mergeCell ref="B118:C118"/>
    <mergeCell ref="B146:C146"/>
    <mergeCell ref="B151:C151"/>
    <mergeCell ref="A156:B156"/>
    <mergeCell ref="A158:B158"/>
    <mergeCell ref="M158:P158"/>
    <mergeCell ref="B192:C192"/>
    <mergeCell ref="V192:W192"/>
    <mergeCell ref="Z192:AA192"/>
    <mergeCell ref="AD192:AE192"/>
    <mergeCell ref="B165:C165"/>
    <mergeCell ref="B170:C170"/>
    <mergeCell ref="B171:C171"/>
    <mergeCell ref="V171:W171"/>
    <mergeCell ref="Z171:AA171"/>
    <mergeCell ref="AD171:AE171"/>
    <mergeCell ref="B177:C177"/>
    <mergeCell ref="B178:C178"/>
    <mergeCell ref="V178:W178"/>
    <mergeCell ref="Z178:AA178"/>
    <mergeCell ref="AD178:AE178"/>
    <mergeCell ref="B202:C202"/>
    <mergeCell ref="V202:W202"/>
    <mergeCell ref="Z202:AA202"/>
    <mergeCell ref="AD202:AE202"/>
    <mergeCell ref="B206:D206"/>
    <mergeCell ref="V206:X206"/>
    <mergeCell ref="Z206:AB206"/>
    <mergeCell ref="AD206:AF20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733C-4088-4506-8BEB-A5A76844859B}">
  <sheetPr filterMode="1">
    <tabColor rgb="FF00B050"/>
  </sheetPr>
  <dimension ref="A2:T188"/>
  <sheetViews>
    <sheetView topLeftCell="A65" zoomScale="150" zoomScaleNormal="150" workbookViewId="0">
      <selection activeCell="A9" sqref="A9"/>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customWidth="1"/>
    <col min="5" max="5" width="27" style="42" customWidth="1"/>
    <col min="6" max="6" width="19.140625" style="42" bestFit="1" customWidth="1"/>
    <col min="7" max="7" width="16.140625" style="1519" customWidth="1"/>
    <col min="8" max="8" width="27.28515625" style="42" customWidth="1"/>
    <col min="9" max="9" width="19.28515625" style="648" bestFit="1" customWidth="1"/>
    <col min="10" max="10" width="14.140625" style="42" bestFit="1" customWidth="1"/>
    <col min="11" max="11" width="25.140625" style="42" customWidth="1"/>
    <col min="12" max="12" width="15.140625" style="42" bestFit="1" customWidth="1"/>
    <col min="13" max="14" width="11.42578125" style="42"/>
    <col min="15" max="15" width="13.140625" style="42" bestFit="1" customWidth="1"/>
    <col min="16" max="16" width="13.5703125" style="42" bestFit="1" customWidth="1"/>
    <col min="17" max="17" width="11.42578125" style="42"/>
    <col min="18" max="19" width="13.140625" style="42" bestFit="1" customWidth="1"/>
    <col min="20"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3" width="11.42578125" style="42"/>
    <col min="16384" max="16384" width="11.42578125" style="42" customWidth="1"/>
  </cols>
  <sheetData>
    <row r="2" spans="1:10" ht="15" customHeight="1" x14ac:dyDescent="0.25">
      <c r="A2" s="1664" t="s">
        <v>1767</v>
      </c>
      <c r="B2" s="1664"/>
      <c r="C2" s="1664"/>
      <c r="D2" s="1664"/>
      <c r="E2" s="1664"/>
      <c r="F2" s="1665"/>
      <c r="G2" s="1520"/>
    </row>
    <row r="3" spans="1:10" ht="15" customHeight="1" x14ac:dyDescent="0.25">
      <c r="A3" s="1664" t="s">
        <v>1768</v>
      </c>
      <c r="B3" s="1664"/>
      <c r="C3" s="1664"/>
      <c r="D3" s="1664"/>
      <c r="E3" s="1664"/>
      <c r="F3" s="1665"/>
      <c r="G3" s="1520"/>
    </row>
    <row r="4" spans="1:10" ht="15" customHeight="1" x14ac:dyDescent="0.25">
      <c r="A4" s="1664" t="s">
        <v>1769</v>
      </c>
      <c r="B4" s="1664"/>
      <c r="C4" s="1664"/>
      <c r="D4" s="1664"/>
      <c r="E4" s="1664"/>
      <c r="F4" s="1665"/>
      <c r="G4" s="1520"/>
    </row>
    <row r="5" spans="1:10" ht="15" customHeight="1" x14ac:dyDescent="0.25">
      <c r="A5" s="1664" t="s">
        <v>3219</v>
      </c>
      <c r="B5" s="1664"/>
      <c r="C5" s="1664"/>
      <c r="D5" s="1664"/>
      <c r="E5" s="1664"/>
      <c r="F5" s="1665"/>
      <c r="G5" s="1520"/>
    </row>
    <row r="6" spans="1:10" s="95" customFormat="1" ht="25.5" customHeight="1" x14ac:dyDescent="0.25">
      <c r="A6" s="1147" t="s">
        <v>1771</v>
      </c>
      <c r="B6" s="1148" t="s">
        <v>1772</v>
      </c>
      <c r="C6" s="1007" t="s">
        <v>1773</v>
      </c>
      <c r="D6" s="1007" t="s">
        <v>1774</v>
      </c>
      <c r="E6" s="1149" t="s">
        <v>1775</v>
      </c>
      <c r="F6" s="1007" t="s">
        <v>1776</v>
      </c>
      <c r="G6" s="1521"/>
      <c r="I6" s="1291"/>
    </row>
    <row r="7" spans="1:10" ht="25.5" hidden="1" x14ac:dyDescent="0.25">
      <c r="A7" s="1006">
        <v>20</v>
      </c>
      <c r="B7" s="923" t="s">
        <v>1023</v>
      </c>
      <c r="C7" s="1254">
        <f>MROUND('F Y U 2024 Presupuesto'!C7,1000)</f>
        <v>32803406000</v>
      </c>
      <c r="D7" s="924"/>
      <c r="E7" s="924"/>
      <c r="F7" s="1526">
        <f>+C7</f>
        <v>32803406000</v>
      </c>
      <c r="G7" s="1520"/>
    </row>
    <row r="8" spans="1:10" ht="25.5" hidden="1" x14ac:dyDescent="0.25">
      <c r="A8" s="933">
        <v>20</v>
      </c>
      <c r="B8" s="923" t="s">
        <v>1157</v>
      </c>
      <c r="C8" s="1254">
        <f>MROUND('F Y U 2024 Presupuesto'!C8,1000)</f>
        <v>1478804000</v>
      </c>
      <c r="D8" s="924"/>
      <c r="E8" s="924"/>
      <c r="F8" s="1526">
        <f>+C8</f>
        <v>1478804000</v>
      </c>
      <c r="G8" s="1682" t="s">
        <v>1777</v>
      </c>
    </row>
    <row r="9" spans="1:10" ht="25.5" x14ac:dyDescent="0.25">
      <c r="A9" s="922">
        <v>20</v>
      </c>
      <c r="B9" s="923" t="s">
        <v>1158</v>
      </c>
      <c r="C9" s="1254">
        <f>MROUND('F Y U 2024 Presupuesto'!C9,1000)</f>
        <v>7607895000</v>
      </c>
      <c r="D9" s="924"/>
      <c r="E9" s="924"/>
      <c r="F9" s="1527">
        <f>+C9</f>
        <v>7607895000</v>
      </c>
      <c r="G9" s="1682"/>
      <c r="H9" s="42">
        <f>+C10+C11+C12+C13+C14</f>
        <v>28774686000</v>
      </c>
      <c r="I9" s="648">
        <f>+H9*0.04</f>
        <v>1150987440</v>
      </c>
      <c r="J9" s="42">
        <f>+C12</f>
        <v>1150987000</v>
      </c>
    </row>
    <row r="10" spans="1:10" ht="15" hidden="1" x14ac:dyDescent="0.25">
      <c r="A10" s="922">
        <v>20</v>
      </c>
      <c r="B10" s="923" t="s">
        <v>1779</v>
      </c>
      <c r="C10" s="1254">
        <f>MROUND('F Y U 2024 Presupuesto'!C10,1000)</f>
        <v>17264812000</v>
      </c>
      <c r="D10" s="927"/>
      <c r="E10" s="924"/>
      <c r="F10" s="1527">
        <f>+C10</f>
        <v>17264812000</v>
      </c>
      <c r="I10" s="648">
        <f>+H9*0.06</f>
        <v>1726481160</v>
      </c>
      <c r="J10" s="42">
        <f>+C13</f>
        <v>1726481000</v>
      </c>
    </row>
    <row r="11" spans="1:10" ht="15" hidden="1" x14ac:dyDescent="0.25">
      <c r="A11" s="922">
        <v>1</v>
      </c>
      <c r="B11" s="923" t="s">
        <v>1780</v>
      </c>
      <c r="C11" s="1254">
        <f>MROUND('F Y U 2024 Presupuesto'!C11,1000)</f>
        <v>5754937000</v>
      </c>
      <c r="D11" s="927"/>
      <c r="E11" s="1251">
        <f>+C11</f>
        <v>5754937000</v>
      </c>
      <c r="F11" s="925"/>
      <c r="G11" s="1146"/>
      <c r="I11" s="648">
        <f>+H9*0.1</f>
        <v>2877468600</v>
      </c>
      <c r="J11" s="42">
        <f>+C14</f>
        <v>2877469000</v>
      </c>
    </row>
    <row r="12" spans="1:10" ht="15" hidden="1" x14ac:dyDescent="0.25">
      <c r="A12" s="922">
        <v>52</v>
      </c>
      <c r="B12" s="923" t="s">
        <v>1028</v>
      </c>
      <c r="C12" s="1254">
        <f>MROUND('F Y U 2024 Presupuesto'!C12,1000)</f>
        <v>1150987000</v>
      </c>
      <c r="D12" s="924">
        <f>+C12</f>
        <v>1150987000</v>
      </c>
      <c r="E12" s="924"/>
      <c r="F12" s="925"/>
      <c r="G12" s="1146"/>
      <c r="I12" s="648">
        <f>+H9*0.2</f>
        <v>5754937200</v>
      </c>
      <c r="J12" s="42">
        <f>+C11</f>
        <v>5754937000</v>
      </c>
    </row>
    <row r="13" spans="1:10" ht="15" hidden="1" x14ac:dyDescent="0.25">
      <c r="A13" s="922">
        <v>53</v>
      </c>
      <c r="B13" s="923" t="s">
        <v>1781</v>
      </c>
      <c r="C13" s="1254">
        <f>MROUND('F Y U 2024 Presupuesto'!C13,1000)</f>
        <v>1726481000</v>
      </c>
      <c r="D13" s="924"/>
      <c r="E13" s="1251">
        <f>+C13</f>
        <v>1726481000</v>
      </c>
      <c r="F13" s="924"/>
      <c r="G13" s="42"/>
    </row>
    <row r="14" spans="1:10" ht="25.5" hidden="1" x14ac:dyDescent="0.25">
      <c r="A14" s="922">
        <v>13</v>
      </c>
      <c r="B14" s="923" t="s">
        <v>1030</v>
      </c>
      <c r="C14" s="1254">
        <f>MROUND('F Y U 2024 Presupuesto'!C14,1000)</f>
        <v>2877469000</v>
      </c>
      <c r="D14" s="924"/>
      <c r="E14" s="924">
        <f>+C14</f>
        <v>2877469000</v>
      </c>
      <c r="F14" s="925"/>
      <c r="G14" s="1146"/>
    </row>
    <row r="15" spans="1:10" ht="25.5" hidden="1" x14ac:dyDescent="0.25">
      <c r="A15" s="922">
        <v>145</v>
      </c>
      <c r="B15" s="923" t="s">
        <v>3237</v>
      </c>
      <c r="C15" s="1254">
        <f>MROUND('F Y U 2024 Presupuesto'!C15,1000)</f>
        <v>233083000</v>
      </c>
      <c r="D15" s="924"/>
      <c r="E15" s="1251">
        <f>+C15</f>
        <v>233083000</v>
      </c>
      <c r="F15" s="925"/>
      <c r="G15" s="1146"/>
    </row>
    <row r="16" spans="1:10" ht="15" hidden="1" x14ac:dyDescent="0.25">
      <c r="A16" s="922">
        <v>20</v>
      </c>
      <c r="B16" s="923" t="s">
        <v>3238</v>
      </c>
      <c r="C16" s="1254">
        <f>MROUND('F Y U 2024 Presupuesto'!C16,1000)</f>
        <v>4661652000</v>
      </c>
      <c r="D16" s="924"/>
      <c r="E16" s="924"/>
      <c r="F16" s="1526">
        <f>+C16</f>
        <v>4661652000</v>
      </c>
      <c r="G16" s="1520"/>
    </row>
    <row r="17" spans="1:20" ht="15" hidden="1" x14ac:dyDescent="0.25">
      <c r="A17" s="922">
        <v>20</v>
      </c>
      <c r="B17" s="923" t="s">
        <v>3240</v>
      </c>
      <c r="C17" s="1254">
        <f>MROUND('F Y U 2024 Presupuesto'!C17,1000)</f>
        <v>21471737000</v>
      </c>
      <c r="D17" s="924"/>
      <c r="E17" s="924"/>
      <c r="F17" s="1526">
        <f>+C17</f>
        <v>21471737000</v>
      </c>
      <c r="G17" s="1520"/>
    </row>
    <row r="18" spans="1:20" ht="25.5" hidden="1" x14ac:dyDescent="0.25">
      <c r="A18" s="922">
        <v>20</v>
      </c>
      <c r="B18" s="923" t="s">
        <v>1788</v>
      </c>
      <c r="C18" s="1254">
        <f>MROUND('F Y U 2024 Presupuesto'!C18,1000)</f>
        <v>14173023000</v>
      </c>
      <c r="D18" s="924"/>
      <c r="E18" s="924"/>
      <c r="F18" s="1526">
        <f>+C18</f>
        <v>14173023000</v>
      </c>
      <c r="G18" s="1520"/>
    </row>
    <row r="19" spans="1:20" ht="25.5" hidden="1" x14ac:dyDescent="0.25">
      <c r="A19" s="922">
        <v>20</v>
      </c>
      <c r="B19" s="923" t="s">
        <v>1045</v>
      </c>
      <c r="C19" s="1254">
        <f>MROUND('F Y U 2024 Presupuesto'!C19,1000)</f>
        <v>763018000</v>
      </c>
      <c r="D19" s="924"/>
      <c r="E19" s="924"/>
      <c r="F19" s="1526">
        <f>+C19</f>
        <v>763018000</v>
      </c>
      <c r="G19" s="1520"/>
      <c r="J19" s="41">
        <f>1296000000+1627500000+3158923248</f>
        <v>6082423248</v>
      </c>
    </row>
    <row r="20" spans="1:20" ht="26.25" hidden="1" customHeight="1" x14ac:dyDescent="0.25">
      <c r="A20" s="922">
        <v>20</v>
      </c>
      <c r="B20" s="923" t="s">
        <v>1047</v>
      </c>
      <c r="C20" s="1254">
        <f>MROUND('F Y U 2024 Presupuesto'!C20,1000)</f>
        <v>11867811000</v>
      </c>
      <c r="D20" s="924"/>
      <c r="E20" s="924"/>
      <c r="F20" s="1527">
        <f>+C20</f>
        <v>11867811000</v>
      </c>
    </row>
    <row r="21" spans="1:20" ht="15" hidden="1" x14ac:dyDescent="0.25">
      <c r="A21" s="922">
        <v>4</v>
      </c>
      <c r="B21" s="923" t="s">
        <v>1050</v>
      </c>
      <c r="C21" s="1254">
        <f>MROUND('F Y U 2024 Presupuesto'!C21,1000)</f>
        <v>7519723000</v>
      </c>
      <c r="D21" s="927">
        <f>+C21</f>
        <v>7519723000</v>
      </c>
      <c r="E21" s="924"/>
      <c r="F21" s="924"/>
      <c r="G21" s="42"/>
      <c r="H21" s="42">
        <f>+C21+C22+C23</f>
        <v>15039446000</v>
      </c>
      <c r="K21" s="42">
        <f t="shared" ref="K21:K25" si="0">MROUND(H21,1000)</f>
        <v>15039446000</v>
      </c>
      <c r="L21" s="42">
        <f>+H21-K21</f>
        <v>0</v>
      </c>
    </row>
    <row r="22" spans="1:20" ht="25.5" hidden="1" x14ac:dyDescent="0.25">
      <c r="A22" s="922">
        <v>176</v>
      </c>
      <c r="B22" s="923" t="s">
        <v>1051</v>
      </c>
      <c r="C22" s="1254">
        <f>MROUND('F Y U 2024 Presupuesto'!C22,1000)</f>
        <v>3010114000</v>
      </c>
      <c r="D22" s="924"/>
      <c r="E22" s="924">
        <f>+C22</f>
        <v>3010114000</v>
      </c>
      <c r="F22" s="925"/>
      <c r="G22" s="1146"/>
      <c r="H22" s="42">
        <f>+H21*0.5</f>
        <v>7519723000</v>
      </c>
      <c r="I22" s="648">
        <f>+C21</f>
        <v>7519723000</v>
      </c>
      <c r="J22" s="42">
        <f>+I22-H22</f>
        <v>0</v>
      </c>
      <c r="K22" s="42">
        <f t="shared" si="0"/>
        <v>7519723000</v>
      </c>
      <c r="L22" s="42">
        <f>+I22-K22</f>
        <v>0</v>
      </c>
    </row>
    <row r="23" spans="1:20" ht="25.5" hidden="1" x14ac:dyDescent="0.25">
      <c r="A23" s="922">
        <v>177</v>
      </c>
      <c r="B23" s="923" t="s">
        <v>1789</v>
      </c>
      <c r="C23" s="1254">
        <f>MROUND('F Y U 2024 Presupuesto'!C23,1000)</f>
        <v>4509609000</v>
      </c>
      <c r="D23" s="927"/>
      <c r="E23" s="1251">
        <f>+C23</f>
        <v>4509609000</v>
      </c>
      <c r="F23" s="924"/>
      <c r="G23" s="42"/>
      <c r="H23" s="42">
        <f>+H21*0.2</f>
        <v>3007889200</v>
      </c>
      <c r="I23" s="648">
        <f>+C22</f>
        <v>3010114000</v>
      </c>
      <c r="J23" s="42">
        <f t="shared" ref="J23:J24" si="1">+I23-H23</f>
        <v>2224800</v>
      </c>
      <c r="K23" s="42">
        <f t="shared" si="0"/>
        <v>3007889000</v>
      </c>
      <c r="L23" s="42">
        <f t="shared" ref="L23:L30" si="2">+I23-K23</f>
        <v>2225000</v>
      </c>
    </row>
    <row r="24" spans="1:20" ht="15" hidden="1" x14ac:dyDescent="0.25">
      <c r="A24" s="922">
        <v>5</v>
      </c>
      <c r="B24" s="923" t="s">
        <v>1054</v>
      </c>
      <c r="C24" s="1254">
        <f>MROUND('F Y U 2024 Presupuesto'!C24,1000)</f>
        <v>633364000</v>
      </c>
      <c r="D24" s="924"/>
      <c r="E24" s="924">
        <f>+C24</f>
        <v>633364000</v>
      </c>
      <c r="F24" s="924"/>
      <c r="G24" s="42"/>
      <c r="H24" s="42">
        <f>+H21*0.3</f>
        <v>4511833800</v>
      </c>
      <c r="I24" s="648">
        <f>+C23</f>
        <v>4509609000</v>
      </c>
      <c r="J24" s="42">
        <f t="shared" si="1"/>
        <v>-2224800</v>
      </c>
      <c r="K24" s="42">
        <f t="shared" si="0"/>
        <v>4511834000</v>
      </c>
      <c r="L24" s="42">
        <f t="shared" si="2"/>
        <v>-2225000</v>
      </c>
    </row>
    <row r="25" spans="1:20" ht="25.5" hidden="1" x14ac:dyDescent="0.25">
      <c r="A25" s="922">
        <v>33</v>
      </c>
      <c r="B25" s="923" t="s">
        <v>1055</v>
      </c>
      <c r="C25" s="1254">
        <f>MROUND('F Y U 2024 Presupuesto'!C25,1000)</f>
        <v>316682000</v>
      </c>
      <c r="D25" s="924">
        <f>+C25</f>
        <v>316682000</v>
      </c>
      <c r="E25" s="924"/>
      <c r="F25" s="925"/>
      <c r="G25" s="1146"/>
      <c r="H25" s="42">
        <f>+C24+C25+C26+C27+C28</f>
        <v>3166821000</v>
      </c>
      <c r="K25" s="42">
        <f t="shared" si="0"/>
        <v>3166821000</v>
      </c>
    </row>
    <row r="26" spans="1:20" ht="15" hidden="1" x14ac:dyDescent="0.25">
      <c r="A26" s="922">
        <v>34</v>
      </c>
      <c r="B26" s="923" t="s">
        <v>1056</v>
      </c>
      <c r="C26" s="1254">
        <f>MROUND('F Y U 2024 Presupuesto'!C26,1000)</f>
        <v>316816000</v>
      </c>
      <c r="D26" s="924">
        <f>+C26</f>
        <v>316816000</v>
      </c>
      <c r="E26" s="924"/>
      <c r="F26" s="925"/>
      <c r="G26" s="1146"/>
      <c r="H26" s="42">
        <f>+H25*0.1</f>
        <v>316682100</v>
      </c>
      <c r="I26" s="648">
        <f>+C25</f>
        <v>316682000</v>
      </c>
      <c r="J26" s="42">
        <f>+H26-I26</f>
        <v>100</v>
      </c>
      <c r="K26" s="42">
        <f>MROUND(H26,1000)</f>
        <v>316682000</v>
      </c>
      <c r="L26" s="42">
        <f t="shared" si="2"/>
        <v>0</v>
      </c>
    </row>
    <row r="27" spans="1:20" ht="25.5" hidden="1" x14ac:dyDescent="0.25">
      <c r="A27" s="922">
        <v>39</v>
      </c>
      <c r="B27" s="923" t="s">
        <v>1057</v>
      </c>
      <c r="C27" s="1254">
        <f>MROUND('F Y U 2024 Presupuesto'!C27,1000)</f>
        <v>1583277000</v>
      </c>
      <c r="D27" s="924">
        <f>+C27</f>
        <v>1583277000</v>
      </c>
      <c r="E27" s="924"/>
      <c r="F27" s="924"/>
      <c r="G27" s="42"/>
      <c r="H27" s="42">
        <f>+H25*0.1</f>
        <v>316682100</v>
      </c>
      <c r="I27" s="648">
        <f>+C26</f>
        <v>316816000</v>
      </c>
      <c r="J27" s="42">
        <f t="shared" ref="J27:J30" si="3">+H27-I27</f>
        <v>-133900</v>
      </c>
      <c r="K27" s="42">
        <f t="shared" ref="K27:K33" si="4">MROUND(H27,1000)</f>
        <v>316682000</v>
      </c>
      <c r="L27" s="42">
        <f t="shared" si="2"/>
        <v>134000</v>
      </c>
    </row>
    <row r="28" spans="1:20" ht="15" hidden="1" x14ac:dyDescent="0.25">
      <c r="A28" s="922">
        <v>41</v>
      </c>
      <c r="B28" s="923" t="s">
        <v>1058</v>
      </c>
      <c r="C28" s="1254">
        <f>MROUND('F Y U 2024 Presupuesto'!C28,1000)</f>
        <v>316682000</v>
      </c>
      <c r="D28" s="927">
        <f>+C28</f>
        <v>316682000</v>
      </c>
      <c r="E28" s="924"/>
      <c r="F28" s="925"/>
      <c r="G28" s="1146"/>
      <c r="H28" s="42">
        <f>+H25*0.1</f>
        <v>316682100</v>
      </c>
      <c r="I28" s="648">
        <f>+C28</f>
        <v>316682000</v>
      </c>
      <c r="J28" s="42">
        <f t="shared" si="3"/>
        <v>100</v>
      </c>
      <c r="K28" s="42">
        <f t="shared" si="4"/>
        <v>316682000</v>
      </c>
      <c r="L28" s="42">
        <f t="shared" si="2"/>
        <v>0</v>
      </c>
    </row>
    <row r="29" spans="1:20" ht="15" hidden="1" x14ac:dyDescent="0.25">
      <c r="A29" s="922">
        <v>6</v>
      </c>
      <c r="B29" s="923" t="s">
        <v>1060</v>
      </c>
      <c r="C29" s="1254">
        <f>MROUND('F Y U 2024 Presupuesto'!C29,1000)</f>
        <v>5998098000</v>
      </c>
      <c r="D29" s="924">
        <f>+C29</f>
        <v>5998098000</v>
      </c>
      <c r="E29" s="924"/>
      <c r="F29" s="924"/>
      <c r="G29" s="42"/>
      <c r="H29" s="42">
        <f>+H25*0.2</f>
        <v>633364200</v>
      </c>
      <c r="I29" s="648">
        <f>+C24</f>
        <v>633364000</v>
      </c>
      <c r="J29" s="42">
        <f t="shared" si="3"/>
        <v>200</v>
      </c>
      <c r="K29" s="42">
        <f t="shared" si="4"/>
        <v>633364000</v>
      </c>
      <c r="L29" s="42">
        <f t="shared" si="2"/>
        <v>0</v>
      </c>
    </row>
    <row r="30" spans="1:20" ht="25.5" hidden="1" x14ac:dyDescent="0.25">
      <c r="A30" s="922">
        <v>178</v>
      </c>
      <c r="B30" s="923" t="s">
        <v>1061</v>
      </c>
      <c r="C30" s="1254">
        <f>MROUND('F Y U 2024 Presupuesto'!C30,1000)</f>
        <v>1498529000</v>
      </c>
      <c r="D30" s="924"/>
      <c r="E30" s="924">
        <f>+C30</f>
        <v>1498529000</v>
      </c>
      <c r="F30" s="925"/>
      <c r="G30" s="1146"/>
      <c r="H30" s="42">
        <f>+H25*0.5</f>
        <v>1583410500</v>
      </c>
      <c r="I30" s="648">
        <f>+C27</f>
        <v>1583277000</v>
      </c>
      <c r="J30" s="42">
        <f t="shared" si="3"/>
        <v>133500</v>
      </c>
      <c r="K30" s="42">
        <f t="shared" si="4"/>
        <v>1583411000</v>
      </c>
      <c r="L30" s="42">
        <f t="shared" si="2"/>
        <v>-134000</v>
      </c>
      <c r="O30" s="42">
        <f>MROUND(O31,1000)</f>
        <v>7497623000</v>
      </c>
      <c r="R30" s="1295">
        <v>5998098000</v>
      </c>
      <c r="S30" s="42">
        <f>MROUND((O30*0.8),1000)</f>
        <v>5998098000</v>
      </c>
    </row>
    <row r="31" spans="1:20" s="54" customFormat="1" ht="15" hidden="1" x14ac:dyDescent="0.25">
      <c r="A31" s="922">
        <v>8</v>
      </c>
      <c r="B31" s="923" t="s">
        <v>1790</v>
      </c>
      <c r="C31" s="1254">
        <f>MROUND('F Y U 2024 Presupuesto'!C31,1000)</f>
        <v>12506483000</v>
      </c>
      <c r="D31" s="927"/>
      <c r="E31" s="1251">
        <f>+C31</f>
        <v>12506483000</v>
      </c>
      <c r="F31" s="925"/>
      <c r="G31" s="1146"/>
      <c r="H31" s="54">
        <f>+C29+C30</f>
        <v>7496627000</v>
      </c>
      <c r="I31" s="919"/>
      <c r="K31" s="42">
        <f t="shared" si="4"/>
        <v>7496627000</v>
      </c>
      <c r="L31" s="54">
        <f>+C29</f>
        <v>5998098000</v>
      </c>
      <c r="M31" s="54">
        <f>+K33-L31</f>
        <v>-796000</v>
      </c>
      <c r="O31" s="54">
        <f>+L31/80*100</f>
        <v>7497622500</v>
      </c>
      <c r="P31" s="54">
        <f>+K31-O31</f>
        <v>-995500</v>
      </c>
      <c r="R31" s="1296">
        <v>1498529000</v>
      </c>
      <c r="S31" s="42">
        <f>MROUND((O31*0.2),1000)</f>
        <v>1499525000</v>
      </c>
      <c r="T31" s="54">
        <f>+R31-S31</f>
        <v>-996000</v>
      </c>
    </row>
    <row r="32" spans="1:20" ht="15" hidden="1" x14ac:dyDescent="0.25">
      <c r="A32" s="922">
        <v>20</v>
      </c>
      <c r="B32" s="923" t="s">
        <v>1068</v>
      </c>
      <c r="C32" s="1254">
        <f>MROUND('F Y U 2024 Presupuesto'!C32,1000)</f>
        <v>40000000</v>
      </c>
      <c r="D32" s="924"/>
      <c r="E32" s="924"/>
      <c r="F32" s="1526">
        <f>+C32</f>
        <v>40000000</v>
      </c>
      <c r="G32" s="1520"/>
      <c r="H32" s="42">
        <f>+H31*0.2</f>
        <v>1499325400</v>
      </c>
      <c r="K32" s="42">
        <f t="shared" si="4"/>
        <v>1499325000</v>
      </c>
      <c r="L32" s="42">
        <f>+C30</f>
        <v>1498529000</v>
      </c>
      <c r="M32" s="42">
        <f>+K32-L32</f>
        <v>796000</v>
      </c>
      <c r="O32" s="42">
        <f>+O31*0.8</f>
        <v>5998098000</v>
      </c>
      <c r="S32" s="42">
        <f>+S30+S31</f>
        <v>7497623000</v>
      </c>
    </row>
    <row r="33" spans="1:15" ht="15" hidden="1" x14ac:dyDescent="0.25">
      <c r="A33" s="922">
        <v>190</v>
      </c>
      <c r="B33" s="923" t="s">
        <v>1064</v>
      </c>
      <c r="C33" s="1254">
        <f>MROUND('F Y U 2024 Presupuesto'!C33,1000)</f>
        <v>2082326000</v>
      </c>
      <c r="D33" s="924"/>
      <c r="E33" s="1251">
        <f>+C33</f>
        <v>2082326000</v>
      </c>
      <c r="F33" s="925"/>
      <c r="G33" s="1146"/>
      <c r="H33" s="42">
        <f>+H31*0.8</f>
        <v>5997301600</v>
      </c>
      <c r="K33" s="42">
        <f t="shared" si="4"/>
        <v>5997302000</v>
      </c>
      <c r="M33" s="42">
        <f>+K33-L31</f>
        <v>-796000</v>
      </c>
      <c r="O33" s="42">
        <f>+O31*0.2</f>
        <v>1499524500</v>
      </c>
    </row>
    <row r="34" spans="1:15" ht="15" hidden="1" x14ac:dyDescent="0.25">
      <c r="A34" s="922">
        <v>20</v>
      </c>
      <c r="B34" s="923" t="s">
        <v>1069</v>
      </c>
      <c r="C34" s="1254">
        <f>MROUND('F Y U 2024 Presupuesto'!C34,1000)</f>
        <v>210000000</v>
      </c>
      <c r="D34" s="924"/>
      <c r="E34" s="924"/>
      <c r="F34" s="1526">
        <f>+C34</f>
        <v>210000000</v>
      </c>
      <c r="G34" s="1520"/>
    </row>
    <row r="35" spans="1:15" ht="15" hidden="1" x14ac:dyDescent="0.25">
      <c r="A35" s="922">
        <v>20</v>
      </c>
      <c r="B35" s="923" t="s">
        <v>1070</v>
      </c>
      <c r="C35" s="1254">
        <f>MROUND('F Y U 2024 Presupuesto'!C35,1000)</f>
        <v>40000000</v>
      </c>
      <c r="D35" s="924"/>
      <c r="E35" s="924"/>
      <c r="F35" s="1526">
        <f>+C35</f>
        <v>40000000</v>
      </c>
      <c r="G35" s="1520" t="s">
        <v>1792</v>
      </c>
    </row>
    <row r="36" spans="1:15" ht="15" hidden="1" x14ac:dyDescent="0.25">
      <c r="A36" s="922">
        <v>49</v>
      </c>
      <c r="B36" s="923" t="s">
        <v>1793</v>
      </c>
      <c r="C36" s="1254">
        <f>MROUND('F Y U 2024 Presupuesto'!C36,1000)</f>
        <v>726530000</v>
      </c>
      <c r="D36" s="924"/>
      <c r="E36" s="924">
        <f>+C36</f>
        <v>726530000</v>
      </c>
      <c r="F36" s="925"/>
      <c r="G36" s="1146"/>
      <c r="H36" s="1001" t="s">
        <v>1794</v>
      </c>
    </row>
    <row r="37" spans="1:15" ht="15" hidden="1" x14ac:dyDescent="0.25">
      <c r="A37" s="922">
        <v>133</v>
      </c>
      <c r="B37" s="923" t="s">
        <v>1795</v>
      </c>
      <c r="C37" s="1254">
        <f>MROUND('F Y U 2024 Presupuesto'!C37,1000)</f>
        <v>8000000000</v>
      </c>
      <c r="D37" s="924"/>
      <c r="E37" s="924">
        <f>C37</f>
        <v>8000000000</v>
      </c>
      <c r="F37" s="925">
        <v>0</v>
      </c>
      <c r="G37" s="1146"/>
    </row>
    <row r="38" spans="1:15" ht="15" hidden="1" x14ac:dyDescent="0.25">
      <c r="A38" s="922">
        <v>20</v>
      </c>
      <c r="B38" s="923" t="s">
        <v>1072</v>
      </c>
      <c r="C38" s="1254">
        <f>MROUND('F Y U 2024 Presupuesto'!C38,1000)</f>
        <v>30000000</v>
      </c>
      <c r="D38" s="924"/>
      <c r="E38" s="924"/>
      <c r="F38" s="1526">
        <f>+C38</f>
        <v>30000000</v>
      </c>
      <c r="G38" s="1520"/>
    </row>
    <row r="39" spans="1:15" s="54" customFormat="1" ht="15" hidden="1" x14ac:dyDescent="0.25">
      <c r="A39" s="922">
        <v>35</v>
      </c>
      <c r="B39" s="923" t="s">
        <v>1796</v>
      </c>
      <c r="C39" s="1254">
        <f>MROUND('F Y U 2024 Presupuesto'!C39,1000)</f>
        <v>5174318000</v>
      </c>
      <c r="D39" s="924">
        <f>+C39</f>
        <v>5174318000</v>
      </c>
      <c r="E39" s="924"/>
      <c r="F39" s="925"/>
      <c r="G39" s="1146"/>
      <c r="I39" s="919"/>
    </row>
    <row r="40" spans="1:15" s="54" customFormat="1" ht="15" hidden="1" x14ac:dyDescent="0.25">
      <c r="A40" s="922">
        <v>179</v>
      </c>
      <c r="B40" s="923" t="s">
        <v>1797</v>
      </c>
      <c r="C40" s="1254">
        <f>MROUND('F Y U 2024 Presupuesto'!C40,1000)</f>
        <v>1108110000</v>
      </c>
      <c r="D40" s="924"/>
      <c r="E40" s="1251">
        <f>+C40</f>
        <v>1108110000</v>
      </c>
      <c r="F40" s="924"/>
      <c r="G40" s="1150"/>
      <c r="H40" s="54">
        <f>+C39+C40+C42</f>
        <v>23283758000</v>
      </c>
      <c r="I40" s="919"/>
    </row>
    <row r="41" spans="1:15" s="54" customFormat="1" ht="15" hidden="1" x14ac:dyDescent="0.25">
      <c r="A41" s="922">
        <v>205</v>
      </c>
      <c r="B41" s="923" t="s">
        <v>1798</v>
      </c>
      <c r="C41" s="1254">
        <f>MROUND('F Y U 2024 Presupuesto'!C41,1000)</f>
        <v>673000</v>
      </c>
      <c r="D41" s="924"/>
      <c r="E41" s="1251">
        <f>+C41</f>
        <v>673000</v>
      </c>
      <c r="F41" s="924"/>
      <c r="G41" s="1150"/>
      <c r="I41" s="919"/>
    </row>
    <row r="42" spans="1:15" ht="15" hidden="1" x14ac:dyDescent="0.25">
      <c r="A42" s="922">
        <v>20</v>
      </c>
      <c r="B42" s="923" t="s">
        <v>1080</v>
      </c>
      <c r="C42" s="1254">
        <f>MROUND('F Y U 2024 Presupuesto'!C42,1000)</f>
        <v>17001330000</v>
      </c>
      <c r="D42" s="924"/>
      <c r="E42" s="924"/>
      <c r="F42" s="1527">
        <f>+C42</f>
        <v>17001330000</v>
      </c>
      <c r="G42" s="1522"/>
    </row>
    <row r="43" spans="1:15" s="54" customFormat="1" ht="15" hidden="1" x14ac:dyDescent="0.25">
      <c r="A43" s="922">
        <v>18</v>
      </c>
      <c r="B43" s="923" t="s">
        <v>1085</v>
      </c>
      <c r="C43" s="1254">
        <f>MROUND('F Y U 2024 Presupuesto'!C43,1000)</f>
        <v>681193000</v>
      </c>
      <c r="D43" s="924"/>
      <c r="E43" s="924">
        <f>C43</f>
        <v>681193000</v>
      </c>
      <c r="F43" s="924"/>
      <c r="G43" s="1150"/>
      <c r="I43" s="919"/>
    </row>
    <row r="44" spans="1:15" s="54" customFormat="1" ht="25.5" hidden="1" x14ac:dyDescent="0.25">
      <c r="A44" s="922">
        <v>56</v>
      </c>
      <c r="B44" s="923" t="s">
        <v>1799</v>
      </c>
      <c r="C44" s="1254">
        <f>MROUND('F Y U 2024 Presupuesto'!C44,1000)</f>
        <v>500000000</v>
      </c>
      <c r="D44" s="924">
        <f>+C44</f>
        <v>500000000</v>
      </c>
      <c r="E44" s="924"/>
      <c r="F44" s="924"/>
      <c r="G44" s="42"/>
      <c r="I44" s="919"/>
    </row>
    <row r="45" spans="1:15" ht="15" hidden="1" x14ac:dyDescent="0.25">
      <c r="A45" s="922">
        <v>23</v>
      </c>
      <c r="B45" s="923" t="s">
        <v>1800</v>
      </c>
      <c r="C45" s="1254">
        <f>MROUND('F Y U 2024 Presupuesto'!C45,1000)</f>
        <v>697956000</v>
      </c>
      <c r="D45" s="924">
        <f>C45</f>
        <v>697956000</v>
      </c>
      <c r="E45" s="924"/>
      <c r="F45" s="925"/>
      <c r="G45" s="1146"/>
    </row>
    <row r="46" spans="1:15" ht="15" hidden="1" x14ac:dyDescent="0.25">
      <c r="A46" s="930">
        <v>23</v>
      </c>
      <c r="B46" s="923" t="s">
        <v>1801</v>
      </c>
      <c r="C46" s="1254">
        <f>MROUND('F Y U 2024 Presupuesto'!C46,1000)</f>
        <v>2871110000</v>
      </c>
      <c r="D46" s="929">
        <f>C46</f>
        <v>2871110000</v>
      </c>
      <c r="E46" s="929"/>
      <c r="F46" s="925"/>
      <c r="G46" s="1146"/>
    </row>
    <row r="47" spans="1:15" ht="15" x14ac:dyDescent="0.25">
      <c r="A47" s="930">
        <v>20</v>
      </c>
      <c r="B47" s="923" t="s">
        <v>3263</v>
      </c>
      <c r="C47" s="1254">
        <f>MROUND('F Y U 2024 Presupuesto'!C47,1000)</f>
        <v>217044000</v>
      </c>
      <c r="D47" s="929"/>
      <c r="E47" s="929"/>
      <c r="F47" s="1526">
        <f>+C47</f>
        <v>217044000</v>
      </c>
      <c r="G47" s="1146"/>
    </row>
    <row r="48" spans="1:15" ht="15" x14ac:dyDescent="0.25">
      <c r="A48" s="930">
        <v>20</v>
      </c>
      <c r="B48" s="923" t="s">
        <v>3264</v>
      </c>
      <c r="C48" s="1254">
        <f>MROUND('F Y U 2024 Presupuesto'!C48,1000)</f>
        <v>1000000</v>
      </c>
      <c r="D48" s="929"/>
      <c r="E48" s="929"/>
      <c r="F48" s="1526">
        <f>+C48</f>
        <v>1000000</v>
      </c>
      <c r="G48" s="1146"/>
    </row>
    <row r="49" spans="1:9" ht="15" x14ac:dyDescent="0.25">
      <c r="A49" s="930">
        <v>20</v>
      </c>
      <c r="B49" s="923" t="s">
        <v>3265</v>
      </c>
      <c r="C49" s="1254">
        <f>MROUND('F Y U 2024 Presupuesto'!C49,1000)</f>
        <v>1000000</v>
      </c>
      <c r="D49" s="929"/>
      <c r="E49" s="929"/>
      <c r="F49" s="1526">
        <f>+C49</f>
        <v>1000000</v>
      </c>
      <c r="G49" s="1146"/>
    </row>
    <row r="50" spans="1:9" ht="15" x14ac:dyDescent="0.25">
      <c r="A50" s="930">
        <v>20</v>
      </c>
      <c r="B50" s="923" t="s">
        <v>3266</v>
      </c>
      <c r="C50" s="1254">
        <f>MROUND('F Y U 2024 Presupuesto'!C50,1000)</f>
        <v>77643000</v>
      </c>
      <c r="D50" s="929"/>
      <c r="E50" s="929"/>
      <c r="F50" s="1526">
        <f>+C50</f>
        <v>77643000</v>
      </c>
      <c r="G50" s="1146"/>
    </row>
    <row r="51" spans="1:9" ht="15" hidden="1" x14ac:dyDescent="0.25">
      <c r="A51" s="930">
        <v>47</v>
      </c>
      <c r="B51" s="921" t="s">
        <v>1093</v>
      </c>
      <c r="C51" s="1254">
        <f>MROUND('F Y U 2024 Presupuesto'!C51,1000)</f>
        <v>103859000</v>
      </c>
      <c r="D51" s="929">
        <f>+C51</f>
        <v>103859000</v>
      </c>
      <c r="E51" s="929"/>
      <c r="F51" s="925"/>
      <c r="G51" s="1146"/>
    </row>
    <row r="52" spans="1:9" s="54" customFormat="1" ht="21" hidden="1" customHeight="1" x14ac:dyDescent="0.25">
      <c r="A52" s="1667" t="s">
        <v>1802</v>
      </c>
      <c r="B52" s="1668"/>
      <c r="C52" s="1008">
        <f>SUM(C7:C51)</f>
        <v>201608584000</v>
      </c>
      <c r="D52" s="1151">
        <f>SUM(D7:D51)</f>
        <v>26549508000</v>
      </c>
      <c r="E52" s="1151">
        <f>SUM(E7:E51)</f>
        <v>45348901000</v>
      </c>
      <c r="F52" s="1151">
        <f>SUM(F7:F51)</f>
        <v>129710175000</v>
      </c>
      <c r="G52" s="1518"/>
      <c r="I52" s="919"/>
    </row>
    <row r="53" spans="1:9" x14ac:dyDescent="0.25">
      <c r="A53" s="934"/>
      <c r="B53" s="931"/>
      <c r="C53" s="932"/>
      <c r="D53" s="1152"/>
      <c r="E53" s="1153"/>
      <c r="F53" s="1154"/>
      <c r="H53" s="1150"/>
    </row>
    <row r="54" spans="1:9" ht="25.5" x14ac:dyDescent="0.25">
      <c r="A54" s="922">
        <v>50</v>
      </c>
      <c r="B54" s="923" t="s">
        <v>1160</v>
      </c>
      <c r="C54" s="1254">
        <f>MROUND('F Y U 2024 Presupuesto'!C54,1000)</f>
        <v>200000000</v>
      </c>
      <c r="D54" s="924"/>
      <c r="E54" s="924">
        <f>+C54</f>
        <v>200000000</v>
      </c>
      <c r="F54" s="924"/>
      <c r="H54" s="1001" t="s">
        <v>1794</v>
      </c>
    </row>
    <row r="55" spans="1:9" ht="15" x14ac:dyDescent="0.25">
      <c r="A55" s="922">
        <v>135</v>
      </c>
      <c r="B55" s="923" t="s">
        <v>1803</v>
      </c>
      <c r="C55" s="1254">
        <f>MROUND('F Y U 2024 Presupuesto'!C55,1000)</f>
        <v>9000000000</v>
      </c>
      <c r="D55" s="927"/>
      <c r="E55" s="924">
        <f>+C55</f>
        <v>9000000000</v>
      </c>
      <c r="F55" s="925"/>
      <c r="G55" s="1520"/>
    </row>
    <row r="56" spans="1:9" ht="15" x14ac:dyDescent="0.25">
      <c r="A56" s="922">
        <v>20</v>
      </c>
      <c r="B56" s="923" t="s">
        <v>606</v>
      </c>
      <c r="C56" s="1254">
        <f>MROUND('F Y U 2024 Presupuesto'!C56,1000)</f>
        <v>10000000</v>
      </c>
      <c r="D56" s="924"/>
      <c r="E56" s="924"/>
      <c r="F56" s="924">
        <f>+C56</f>
        <v>10000000</v>
      </c>
    </row>
    <row r="57" spans="1:9" ht="25.5" x14ac:dyDescent="0.25">
      <c r="A57" s="922">
        <v>20</v>
      </c>
      <c r="B57" s="923" t="s">
        <v>1804</v>
      </c>
      <c r="C57" s="1254">
        <f>MROUND('F Y U 2024 Presupuesto'!C57,1000)</f>
        <v>300000000</v>
      </c>
      <c r="D57" s="924"/>
      <c r="E57" s="924"/>
      <c r="F57" s="1527">
        <f>+C57</f>
        <v>300000000</v>
      </c>
    </row>
    <row r="58" spans="1:9" ht="25.5" x14ac:dyDescent="0.25">
      <c r="A58" s="922">
        <v>4</v>
      </c>
      <c r="B58" s="923" t="s">
        <v>1805</v>
      </c>
      <c r="C58" s="1254">
        <f>MROUND('F Y U 2024 Presupuesto'!C58,1000)</f>
        <v>20000000</v>
      </c>
      <c r="D58" s="924">
        <f>+C58</f>
        <v>20000000</v>
      </c>
      <c r="E58" s="924"/>
      <c r="F58" s="924"/>
    </row>
    <row r="59" spans="1:9" ht="25.5" x14ac:dyDescent="0.25">
      <c r="A59" s="922">
        <v>176</v>
      </c>
      <c r="B59" s="923" t="s">
        <v>1806</v>
      </c>
      <c r="C59" s="1254">
        <f>MROUND('F Y U 2024 Presupuesto'!C59,1000)</f>
        <v>5000000</v>
      </c>
      <c r="D59" s="924"/>
      <c r="E59" s="924">
        <f>+C59</f>
        <v>5000000</v>
      </c>
      <c r="F59" s="924"/>
    </row>
    <row r="60" spans="1:9" ht="25.5" x14ac:dyDescent="0.25">
      <c r="A60" s="922">
        <v>5</v>
      </c>
      <c r="B60" s="923" t="s">
        <v>1807</v>
      </c>
      <c r="C60" s="1254">
        <f>MROUND('F Y U 2024 Presupuesto'!C60,1000)</f>
        <v>2000000</v>
      </c>
      <c r="D60" s="924"/>
      <c r="E60" s="924">
        <f>+C60</f>
        <v>2000000</v>
      </c>
      <c r="F60" s="924"/>
    </row>
    <row r="61" spans="1:9" ht="25.5" x14ac:dyDescent="0.25">
      <c r="A61" s="922">
        <v>33</v>
      </c>
      <c r="B61" s="923" t="s">
        <v>1808</v>
      </c>
      <c r="C61" s="1254">
        <f>MROUND('F Y U 2024 Presupuesto'!C61,1000)</f>
        <v>1000000</v>
      </c>
      <c r="D61" s="924">
        <f>+C61</f>
        <v>1000000</v>
      </c>
      <c r="E61" s="924"/>
      <c r="F61" s="924"/>
    </row>
    <row r="62" spans="1:9" ht="25.5" x14ac:dyDescent="0.25">
      <c r="A62" s="922">
        <v>34</v>
      </c>
      <c r="B62" s="923" t="s">
        <v>1809</v>
      </c>
      <c r="C62" s="1254">
        <f>MROUND('F Y U 2024 Presupuesto'!C62,1000)</f>
        <v>1000000</v>
      </c>
      <c r="D62" s="924">
        <f>+C62</f>
        <v>1000000</v>
      </c>
      <c r="E62" s="924"/>
      <c r="F62" s="924"/>
    </row>
    <row r="63" spans="1:9" ht="25.5" x14ac:dyDescent="0.25">
      <c r="A63" s="922">
        <v>39</v>
      </c>
      <c r="B63" s="923" t="s">
        <v>1810</v>
      </c>
      <c r="C63" s="1254">
        <f>MROUND('F Y U 2024 Presupuesto'!C63,1000)</f>
        <v>5000000</v>
      </c>
      <c r="D63" s="924">
        <f>+C63</f>
        <v>5000000</v>
      </c>
      <c r="E63" s="924"/>
      <c r="F63" s="924"/>
    </row>
    <row r="64" spans="1:9" ht="25.5" x14ac:dyDescent="0.25">
      <c r="A64" s="922">
        <v>41</v>
      </c>
      <c r="B64" s="923" t="s">
        <v>1811</v>
      </c>
      <c r="C64" s="1254">
        <f>MROUND('F Y U 2024 Presupuesto'!C64,1000)</f>
        <v>1000000</v>
      </c>
      <c r="D64" s="924">
        <f>+C64</f>
        <v>1000000</v>
      </c>
      <c r="E64" s="924"/>
      <c r="F64" s="924"/>
    </row>
    <row r="65" spans="1:9" ht="25.5" x14ac:dyDescent="0.25">
      <c r="A65" s="922">
        <v>6</v>
      </c>
      <c r="B65" s="923" t="s">
        <v>1812</v>
      </c>
      <c r="C65" s="1254">
        <f>MROUND('F Y U 2024 Presupuesto'!C65,1000)</f>
        <v>20000000</v>
      </c>
      <c r="D65" s="924">
        <f>+C65</f>
        <v>20000000</v>
      </c>
      <c r="E65" s="924"/>
      <c r="F65" s="924"/>
    </row>
    <row r="66" spans="1:9" ht="25.5" x14ac:dyDescent="0.25">
      <c r="A66" s="922">
        <v>178</v>
      </c>
      <c r="B66" s="923" t="s">
        <v>1813</v>
      </c>
      <c r="C66" s="1254">
        <f>MROUND('F Y U 2024 Presupuesto'!C66,1000)</f>
        <v>5000000</v>
      </c>
      <c r="D66" s="924"/>
      <c r="E66" s="924">
        <f>+C66</f>
        <v>5000000</v>
      </c>
      <c r="F66" s="924"/>
    </row>
    <row r="67" spans="1:9" ht="25.5" x14ac:dyDescent="0.25">
      <c r="A67" s="922">
        <v>42</v>
      </c>
      <c r="B67" s="923" t="s">
        <v>1814</v>
      </c>
      <c r="C67" s="1254">
        <f>MROUND('F Y U 2024 Presupuesto'!C67,1000)</f>
        <v>30000000</v>
      </c>
      <c r="D67" s="924">
        <f>+C67</f>
        <v>30000000</v>
      </c>
      <c r="E67" s="924"/>
      <c r="F67" s="924"/>
    </row>
    <row r="68" spans="1:9" ht="25.5" x14ac:dyDescent="0.25">
      <c r="A68" s="922">
        <v>27</v>
      </c>
      <c r="B68" s="923" t="s">
        <v>1815</v>
      </c>
      <c r="C68" s="1254">
        <f>MROUND('F Y U 2024 Presupuesto'!C68,1000)</f>
        <v>7000000</v>
      </c>
      <c r="D68" s="924">
        <f>+C68</f>
        <v>7000000</v>
      </c>
      <c r="E68" s="924"/>
      <c r="F68" s="924"/>
    </row>
    <row r="69" spans="1:9" ht="25.5" x14ac:dyDescent="0.25">
      <c r="A69" s="922">
        <v>136</v>
      </c>
      <c r="B69" s="923" t="s">
        <v>1816</v>
      </c>
      <c r="C69" s="1254">
        <f>MROUND('F Y U 2024 Presupuesto'!C69,1000)</f>
        <v>10000000</v>
      </c>
      <c r="D69" s="924"/>
      <c r="E69" s="924">
        <f>+C69</f>
        <v>10000000</v>
      </c>
      <c r="F69" s="924"/>
    </row>
    <row r="70" spans="1:9" ht="25.5" x14ac:dyDescent="0.25">
      <c r="A70" s="922">
        <v>20</v>
      </c>
      <c r="B70" s="923" t="s">
        <v>1184</v>
      </c>
      <c r="C70" s="1254">
        <f>MROUND('F Y U 2024 Presupuesto'!C70,1000)</f>
        <v>200000000</v>
      </c>
      <c r="D70" s="924"/>
      <c r="E70" s="924"/>
      <c r="F70" s="1527">
        <f>+C70</f>
        <v>200000000</v>
      </c>
    </row>
    <row r="71" spans="1:9" ht="21" customHeight="1" x14ac:dyDescent="0.25">
      <c r="A71" s="1667" t="s">
        <v>1817</v>
      </c>
      <c r="B71" s="1668"/>
      <c r="C71" s="1009">
        <f>SUM(C54:C70)</f>
        <v>9817000000</v>
      </c>
      <c r="D71" s="1155">
        <f>SUM(D54:D70)</f>
        <v>85000000</v>
      </c>
      <c r="E71" s="1155">
        <f>SUM(E54:E70)</f>
        <v>9222000000</v>
      </c>
      <c r="F71" s="1155">
        <f>SUM(F54:F70)</f>
        <v>510000000</v>
      </c>
    </row>
    <row r="72" spans="1:9" x14ac:dyDescent="0.25">
      <c r="B72" s="382"/>
      <c r="C72" s="915"/>
      <c r="D72" s="1156"/>
      <c r="E72" s="1156"/>
      <c r="F72" s="1156"/>
    </row>
    <row r="73" spans="1:9" s="54" customFormat="1" x14ac:dyDescent="0.25">
      <c r="A73" s="42"/>
      <c r="B73" s="1674" t="s">
        <v>953</v>
      </c>
      <c r="C73" s="1674"/>
      <c r="G73" s="1518"/>
      <c r="I73" s="919"/>
    </row>
    <row r="74" spans="1:9" s="54" customFormat="1" ht="6.75" customHeight="1" x14ac:dyDescent="0.25">
      <c r="A74" s="42"/>
      <c r="B74" s="42"/>
      <c r="C74" s="42"/>
      <c r="D74" s="42"/>
      <c r="G74" s="1518"/>
      <c r="I74" s="919"/>
    </row>
    <row r="75" spans="1:9" ht="28.5" customHeight="1" x14ac:dyDescent="0.25">
      <c r="B75" s="1675" t="s">
        <v>1100</v>
      </c>
      <c r="C75" s="1676"/>
      <c r="D75" s="1156"/>
      <c r="E75" s="1156"/>
      <c r="F75" s="1156"/>
    </row>
    <row r="76" spans="1:9" ht="25.5" x14ac:dyDescent="0.25">
      <c r="A76" s="922">
        <v>25</v>
      </c>
      <c r="B76" s="923" t="s">
        <v>1101</v>
      </c>
      <c r="C76" s="1254">
        <f>MROUND('F Y U 2024 Presupuesto'!C76,1000)</f>
        <v>173431997000</v>
      </c>
      <c r="D76" s="924">
        <f t="shared" ref="D76:D83" si="5">+C76</f>
        <v>173431997000</v>
      </c>
      <c r="E76" s="924"/>
      <c r="F76" s="924"/>
    </row>
    <row r="77" spans="1:9" s="54" customFormat="1" ht="25.5" x14ac:dyDescent="0.25">
      <c r="A77" s="922">
        <v>26</v>
      </c>
      <c r="B77" s="923" t="s">
        <v>1102</v>
      </c>
      <c r="C77" s="1254">
        <f>MROUND('F Y U 2024 Presupuesto'!C77,1000)</f>
        <v>33454400000</v>
      </c>
      <c r="D77" s="924">
        <f t="shared" si="5"/>
        <v>33454400000</v>
      </c>
      <c r="E77" s="924"/>
      <c r="F77" s="924"/>
      <c r="G77" s="1518"/>
      <c r="I77" s="919"/>
    </row>
    <row r="78" spans="1:9" ht="15" x14ac:dyDescent="0.25">
      <c r="A78" s="922">
        <v>25</v>
      </c>
      <c r="B78" s="923" t="s">
        <v>1105</v>
      </c>
      <c r="C78" s="1254">
        <f>MROUND('F Y U 2024 Presupuesto'!C78,1000)</f>
        <v>684320000</v>
      </c>
      <c r="D78" s="924">
        <f t="shared" si="5"/>
        <v>684320000</v>
      </c>
      <c r="E78" s="924"/>
      <c r="F78" s="924"/>
    </row>
    <row r="79" spans="1:9" ht="15" x14ac:dyDescent="0.25">
      <c r="A79" s="922">
        <v>25</v>
      </c>
      <c r="B79" s="923" t="s">
        <v>1106</v>
      </c>
      <c r="C79" s="1254">
        <f>MROUND('F Y U 2024 Presupuesto'!C79,1000)</f>
        <v>1559043000</v>
      </c>
      <c r="D79" s="924">
        <f t="shared" si="5"/>
        <v>1559043000</v>
      </c>
      <c r="E79" s="924"/>
      <c r="F79" s="924"/>
    </row>
    <row r="80" spans="1:9" ht="15" x14ac:dyDescent="0.25">
      <c r="A80" s="922">
        <v>81</v>
      </c>
      <c r="B80" s="923" t="s">
        <v>1107</v>
      </c>
      <c r="C80" s="1254">
        <f>MROUND('F Y U 2024 Presupuesto'!C80,1000)</f>
        <v>9901551000</v>
      </c>
      <c r="D80" s="924">
        <f t="shared" si="5"/>
        <v>9901551000</v>
      </c>
      <c r="E80" s="924"/>
      <c r="F80" s="924"/>
    </row>
    <row r="81" spans="1:13" s="54" customFormat="1" ht="25.5" x14ac:dyDescent="0.25">
      <c r="A81" s="922">
        <v>21</v>
      </c>
      <c r="B81" s="923" t="s">
        <v>1113</v>
      </c>
      <c r="C81" s="1254">
        <f>MROUND('F Y U 2024 Presupuesto'!C81,1000)</f>
        <v>248000000</v>
      </c>
      <c r="D81" s="924">
        <f t="shared" si="5"/>
        <v>248000000</v>
      </c>
      <c r="E81" s="924"/>
      <c r="F81" s="924"/>
      <c r="G81" s="1518"/>
      <c r="I81" s="919"/>
      <c r="M81" s="53">
        <v>4000000</v>
      </c>
    </row>
    <row r="82" spans="1:13" s="54" customFormat="1" ht="25.5" x14ac:dyDescent="0.25">
      <c r="A82" s="922">
        <v>81</v>
      </c>
      <c r="B82" s="923" t="s">
        <v>1818</v>
      </c>
      <c r="C82" s="1254">
        <f>MROUND('F Y U 2024 Presupuesto'!C82,1000)</f>
        <v>10000000</v>
      </c>
      <c r="D82" s="924">
        <f t="shared" si="5"/>
        <v>10000000</v>
      </c>
      <c r="E82" s="924"/>
      <c r="F82" s="924"/>
      <c r="G82" s="1518"/>
      <c r="I82" s="919"/>
      <c r="M82" s="53">
        <v>8226708</v>
      </c>
    </row>
    <row r="83" spans="1:13" s="54" customFormat="1" ht="15" x14ac:dyDescent="0.25">
      <c r="A83" s="922">
        <v>9</v>
      </c>
      <c r="B83" s="923" t="s">
        <v>606</v>
      </c>
      <c r="C83" s="1254">
        <v>0</v>
      </c>
      <c r="D83" s="924">
        <f t="shared" si="5"/>
        <v>0</v>
      </c>
      <c r="E83" s="924"/>
      <c r="F83" s="924"/>
      <c r="G83" s="1518"/>
      <c r="I83" s="919"/>
      <c r="M83" s="53">
        <v>93990000</v>
      </c>
    </row>
    <row r="84" spans="1:13" s="54" customFormat="1" ht="31.5" customHeight="1" x14ac:dyDescent="0.25">
      <c r="A84" s="922"/>
      <c r="B84" s="1157" t="s">
        <v>1819</v>
      </c>
      <c r="C84" s="1009">
        <f>SUM(C76:C83)</f>
        <v>219289311000</v>
      </c>
      <c r="D84" s="924"/>
      <c r="E84" s="924"/>
      <c r="F84" s="924"/>
      <c r="G84" s="1518"/>
      <c r="I84" s="919"/>
    </row>
    <row r="85" spans="1:13" s="54" customFormat="1" x14ac:dyDescent="0.25">
      <c r="A85" s="922"/>
      <c r="B85" s="924"/>
      <c r="C85" s="924"/>
      <c r="D85" s="924"/>
      <c r="E85" s="924"/>
      <c r="F85" s="924"/>
      <c r="G85" s="1518"/>
      <c r="I85" s="919"/>
    </row>
    <row r="86" spans="1:13" s="54" customFormat="1" ht="25.5" customHeight="1" x14ac:dyDescent="0.25">
      <c r="A86" s="922"/>
      <c r="B86" s="1667" t="s">
        <v>1116</v>
      </c>
      <c r="C86" s="1668"/>
      <c r="D86" s="924"/>
      <c r="E86" s="924"/>
      <c r="F86" s="924"/>
      <c r="G86" s="1518"/>
      <c r="I86" s="919"/>
    </row>
    <row r="87" spans="1:13" s="54" customFormat="1" ht="25.5" x14ac:dyDescent="0.25">
      <c r="A87" s="922">
        <v>61</v>
      </c>
      <c r="B87" s="923" t="s">
        <v>1119</v>
      </c>
      <c r="C87" s="1254">
        <f>MROUND('F Y U 2024 Presupuesto'!C87,1000)</f>
        <v>5409655000</v>
      </c>
      <c r="D87" s="924">
        <f t="shared" ref="D87:D107" si="6">+C87</f>
        <v>5409655000</v>
      </c>
      <c r="E87" s="924"/>
      <c r="F87" s="924"/>
      <c r="G87" s="1518"/>
      <c r="I87" s="919"/>
    </row>
    <row r="88" spans="1:13" s="54" customFormat="1" ht="25.5" x14ac:dyDescent="0.25">
      <c r="A88" s="922">
        <v>171</v>
      </c>
      <c r="B88" s="923" t="s">
        <v>1820</v>
      </c>
      <c r="C88" s="1254">
        <f>MROUND('F Y U 2024 Presupuesto'!C88,1000)</f>
        <v>2148092000</v>
      </c>
      <c r="D88" s="924">
        <f t="shared" si="6"/>
        <v>2148092000</v>
      </c>
      <c r="E88" s="924"/>
      <c r="F88" s="924"/>
      <c r="G88" s="1518"/>
      <c r="I88" s="919"/>
    </row>
    <row r="89" spans="1:13" s="54" customFormat="1" ht="25.5" x14ac:dyDescent="0.25">
      <c r="A89" s="922">
        <v>61</v>
      </c>
      <c r="B89" s="923" t="str">
        <f>+'[3]Plan Financiero 2021'!A100</f>
        <v>Rendimientos por Operaciones Financieras. (SGP - Salud Pública )</v>
      </c>
      <c r="C89" s="1254">
        <f>MROUND('F Y U 2024 Presupuesto'!C89,1000)</f>
        <v>3000000</v>
      </c>
      <c r="D89" s="924">
        <f t="shared" si="6"/>
        <v>3000000</v>
      </c>
      <c r="E89" s="924"/>
      <c r="F89" s="924"/>
      <c r="G89" s="1518"/>
      <c r="I89" s="919"/>
    </row>
    <row r="90" spans="1:13" s="54" customFormat="1" ht="25.5" x14ac:dyDescent="0.25">
      <c r="A90" s="922">
        <v>171</v>
      </c>
      <c r="B90" s="923" t="str">
        <f>+'[3]Plan Financiero 2021'!A101</f>
        <v>Rendimientos por Operaciones Financieras. (SGP - Oferta)</v>
      </c>
      <c r="C90" s="1254">
        <f>MROUND('F Y U 2024 Presupuesto'!C90,1000)</f>
        <v>1000000</v>
      </c>
      <c r="D90" s="924">
        <f t="shared" si="6"/>
        <v>1000000</v>
      </c>
      <c r="E90" s="924"/>
      <c r="F90" s="924"/>
      <c r="G90" s="1518"/>
      <c r="I90" s="919"/>
    </row>
    <row r="91" spans="1:13" s="54" customFormat="1" ht="25.5" x14ac:dyDescent="0.25">
      <c r="A91" s="922"/>
      <c r="B91" s="923" t="str">
        <f>+'[3]Plan Financiero 2021'!A102</f>
        <v>Rendimientos por Operaciones Financieras. (Fondo Estupefacientes )</v>
      </c>
      <c r="C91" s="1254">
        <f>MROUND('F Y U 2024 Presupuesto'!C91,1000)</f>
        <v>1000000</v>
      </c>
      <c r="D91" s="924">
        <f t="shared" si="6"/>
        <v>1000000</v>
      </c>
      <c r="E91" s="924"/>
      <c r="F91" s="924"/>
      <c r="G91" s="1518"/>
      <c r="I91" s="919"/>
    </row>
    <row r="92" spans="1:13" s="54" customFormat="1" ht="25.5" x14ac:dyDescent="0.25">
      <c r="A92" s="922"/>
      <c r="B92" s="923" t="str">
        <f>+'[3]Plan Financiero 2021'!A103</f>
        <v>Rendimientos por Operaciones Financieras. (Rentas Cedidas )</v>
      </c>
      <c r="C92" s="1254">
        <f>MROUND('F Y U 2024 Presupuesto'!C92,1000)</f>
        <v>2000000</v>
      </c>
      <c r="D92" s="924">
        <f t="shared" si="6"/>
        <v>2000000</v>
      </c>
      <c r="E92" s="924"/>
      <c r="F92" s="924"/>
      <c r="G92" s="1518"/>
      <c r="I92" s="919"/>
    </row>
    <row r="93" spans="1:13" s="54" customFormat="1" ht="15" x14ac:dyDescent="0.25">
      <c r="A93" s="922"/>
      <c r="B93" s="923" t="s">
        <v>1126</v>
      </c>
      <c r="C93" s="1254">
        <f>MROUND('F Y U 2024 Presupuesto'!C93,1000)</f>
        <v>13674983000</v>
      </c>
      <c r="D93" s="924">
        <f t="shared" si="6"/>
        <v>13674983000</v>
      </c>
      <c r="E93" s="924"/>
      <c r="F93" s="924"/>
      <c r="G93" s="1523">
        <f>+D93+C39+C40+C42</f>
        <v>36958741000</v>
      </c>
      <c r="H93" s="1265">
        <f>+G93*14%</f>
        <v>5174223740.000001</v>
      </c>
      <c r="I93" s="1292">
        <f>+H93-C39</f>
        <v>-94259.999999046326</v>
      </c>
      <c r="J93" s="53"/>
      <c r="K93" s="53"/>
      <c r="L93" s="53">
        <f>14+46+3</f>
        <v>63</v>
      </c>
      <c r="M93" s="53"/>
    </row>
    <row r="94" spans="1:13" s="54" customFormat="1" ht="15" x14ac:dyDescent="0.25">
      <c r="A94" s="922"/>
      <c r="B94" s="923" t="s">
        <v>1127</v>
      </c>
      <c r="C94" s="1254">
        <f>MROUND('F Y U 2024 Presupuesto'!C94,1000)</f>
        <v>4294347000</v>
      </c>
      <c r="D94" s="924">
        <f t="shared" si="6"/>
        <v>4294347000</v>
      </c>
      <c r="E94" s="924"/>
      <c r="F94" s="924"/>
      <c r="G94" s="1523"/>
      <c r="H94" s="1265">
        <f>+G93*3%</f>
        <v>1108762230</v>
      </c>
      <c r="I94" s="1293">
        <f>+H94-C40</f>
        <v>652230</v>
      </c>
      <c r="J94" s="53"/>
      <c r="K94" s="53"/>
      <c r="L94" s="53">
        <f>100-L93</f>
        <v>37</v>
      </c>
      <c r="M94" s="53"/>
    </row>
    <row r="95" spans="1:13" s="54" customFormat="1" ht="15" x14ac:dyDescent="0.25">
      <c r="A95" s="922"/>
      <c r="B95" s="923" t="s">
        <v>1128</v>
      </c>
      <c r="C95" s="1254">
        <f>MROUND('F Y U 2024 Presupuesto'!C95,1000)</f>
        <v>6555523000</v>
      </c>
      <c r="D95" s="924">
        <f t="shared" si="6"/>
        <v>6555523000</v>
      </c>
      <c r="E95" s="924"/>
      <c r="F95" s="924"/>
      <c r="G95" s="1523"/>
      <c r="H95" s="1265">
        <f>+G93*46%</f>
        <v>17001020860</v>
      </c>
      <c r="I95" s="1293">
        <f>+H95-C42</f>
        <v>-309140</v>
      </c>
      <c r="J95" s="53"/>
      <c r="K95" s="53"/>
      <c r="L95" s="53"/>
      <c r="M95" s="53"/>
    </row>
    <row r="96" spans="1:13" s="54" customFormat="1" ht="15" x14ac:dyDescent="0.25">
      <c r="A96" s="922"/>
      <c r="B96" s="923" t="s">
        <v>1129</v>
      </c>
      <c r="C96" s="1254">
        <f>MROUND('F Y U 2024 Presupuesto'!C96,1000)</f>
        <v>1039156000</v>
      </c>
      <c r="D96" s="924">
        <f t="shared" si="6"/>
        <v>1039156000</v>
      </c>
      <c r="E96" s="924"/>
      <c r="F96" s="924"/>
      <c r="G96" s="1523"/>
      <c r="H96" s="1265"/>
      <c r="I96" s="1293"/>
      <c r="J96" s="53"/>
      <c r="K96" s="53"/>
      <c r="L96" s="53"/>
      <c r="M96" s="53"/>
    </row>
    <row r="97" spans="1:13" ht="15.75" customHeight="1" x14ac:dyDescent="0.25">
      <c r="A97" s="922"/>
      <c r="B97" s="923" t="s">
        <v>1130</v>
      </c>
      <c r="C97" s="1254">
        <f>MROUND('F Y U 2024 Presupuesto'!C97,1000)</f>
        <v>32160000</v>
      </c>
      <c r="D97" s="924">
        <f t="shared" si="6"/>
        <v>32160000</v>
      </c>
      <c r="E97" s="924"/>
      <c r="F97" s="924"/>
      <c r="G97" s="1523"/>
      <c r="H97" s="1265"/>
      <c r="I97" s="1294"/>
      <c r="J97" s="41"/>
      <c r="K97" s="41"/>
      <c r="L97" s="41"/>
      <c r="M97" s="41"/>
    </row>
    <row r="98" spans="1:13" s="54" customFormat="1" ht="25.5" x14ac:dyDescent="0.25">
      <c r="A98" s="922"/>
      <c r="B98" s="923" t="s">
        <v>1132</v>
      </c>
      <c r="C98" s="1254">
        <f>MROUND('F Y U 2024 Presupuesto'!C98,1000)</f>
        <v>2874685000</v>
      </c>
      <c r="D98" s="924">
        <f t="shared" si="6"/>
        <v>2874685000</v>
      </c>
      <c r="E98" s="924"/>
      <c r="F98" s="924"/>
      <c r="G98" s="1523"/>
      <c r="H98" s="1265"/>
      <c r="I98" s="1293"/>
      <c r="J98" s="53"/>
      <c r="K98" s="53"/>
      <c r="L98" s="53"/>
      <c r="M98" s="53"/>
    </row>
    <row r="99" spans="1:13" ht="15" x14ac:dyDescent="0.25">
      <c r="A99" s="922"/>
      <c r="B99" s="923" t="s">
        <v>1133</v>
      </c>
      <c r="C99" s="1254">
        <f>MROUND('F Y U 2024 Presupuesto'!C99,1000)</f>
        <v>935708000</v>
      </c>
      <c r="D99" s="924">
        <f t="shared" si="6"/>
        <v>935708000</v>
      </c>
      <c r="E99" s="924"/>
      <c r="F99" s="924"/>
      <c r="G99" s="1523"/>
      <c r="H99" s="1265"/>
      <c r="I99" s="1294"/>
      <c r="J99" s="41"/>
      <c r="K99" s="41"/>
      <c r="L99" s="41"/>
      <c r="M99" s="41"/>
    </row>
    <row r="100" spans="1:13" ht="15" x14ac:dyDescent="0.25">
      <c r="A100" s="922"/>
      <c r="B100" s="923" t="s">
        <v>1137</v>
      </c>
      <c r="C100" s="1254">
        <f>MROUND('F Y U 2024 Presupuesto'!C100,1000)</f>
        <v>2710326000</v>
      </c>
      <c r="D100" s="924">
        <f t="shared" si="6"/>
        <v>2710326000</v>
      </c>
      <c r="E100" s="924"/>
      <c r="F100" s="924"/>
      <c r="G100" s="1523"/>
      <c r="H100" s="1265"/>
      <c r="I100" s="1294"/>
      <c r="J100" s="41"/>
      <c r="K100" s="41"/>
      <c r="L100" s="41"/>
      <c r="M100" s="41"/>
    </row>
    <row r="101" spans="1:13" s="54" customFormat="1" ht="15" x14ac:dyDescent="0.25">
      <c r="A101" s="922"/>
      <c r="B101" s="923" t="s">
        <v>1138</v>
      </c>
      <c r="C101" s="1254">
        <f>MROUND('F Y U 2024 Presupuesto'!C101,1000)</f>
        <v>1496247000</v>
      </c>
      <c r="D101" s="924">
        <f t="shared" si="6"/>
        <v>1496247000</v>
      </c>
      <c r="E101" s="924"/>
      <c r="F101" s="924"/>
      <c r="G101" s="1523"/>
      <c r="H101" s="1265"/>
      <c r="I101" s="1293"/>
      <c r="J101" s="53"/>
      <c r="K101" s="53"/>
      <c r="L101" s="53"/>
      <c r="M101" s="53"/>
    </row>
    <row r="102" spans="1:13" ht="15" x14ac:dyDescent="0.25">
      <c r="A102" s="922"/>
      <c r="B102" s="923" t="s">
        <v>1139</v>
      </c>
      <c r="C102" s="1254">
        <f>MROUND('F Y U 2024 Presupuesto'!C102,1000)</f>
        <v>300000000</v>
      </c>
      <c r="D102" s="924">
        <f t="shared" si="6"/>
        <v>300000000</v>
      </c>
      <c r="E102" s="924"/>
      <c r="F102" s="924"/>
      <c r="H102" s="41"/>
      <c r="I102" s="1294"/>
      <c r="J102" s="41"/>
      <c r="K102" s="41"/>
      <c r="L102" s="41"/>
      <c r="M102" s="41"/>
    </row>
    <row r="103" spans="1:13" s="54" customFormat="1" ht="15" x14ac:dyDescent="0.25">
      <c r="A103" s="922"/>
      <c r="B103" s="923" t="s">
        <v>1141</v>
      </c>
      <c r="C103" s="1254">
        <f>MROUND('F Y U 2024 Presupuesto'!C103,1000)</f>
        <v>15500000000</v>
      </c>
      <c r="D103" s="924">
        <f t="shared" si="6"/>
        <v>15500000000</v>
      </c>
      <c r="E103" s="924"/>
      <c r="F103" s="924"/>
      <c r="G103" s="1518"/>
      <c r="H103" s="53"/>
      <c r="I103" s="1293"/>
      <c r="J103" s="53"/>
      <c r="K103" s="53"/>
      <c r="L103" s="53"/>
      <c r="M103" s="53"/>
    </row>
    <row r="104" spans="1:13" s="54" customFormat="1" ht="15" x14ac:dyDescent="0.25">
      <c r="A104" s="922"/>
      <c r="B104" s="923" t="s">
        <v>1821</v>
      </c>
      <c r="C104" s="1254">
        <f>MROUND('F Y U 2024 Presupuesto'!C104,1000)</f>
        <v>5061794000</v>
      </c>
      <c r="D104" s="924">
        <f t="shared" si="6"/>
        <v>5061794000</v>
      </c>
      <c r="E104" s="924"/>
      <c r="F104" s="924"/>
      <c r="G104" s="1518"/>
      <c r="H104" s="53"/>
      <c r="I104" s="1293"/>
      <c r="J104" s="53"/>
      <c r="K104" s="53"/>
      <c r="L104" s="53"/>
      <c r="M104" s="53"/>
    </row>
    <row r="105" spans="1:13" s="54" customFormat="1" ht="15" x14ac:dyDescent="0.25">
      <c r="A105" s="922" t="s">
        <v>226</v>
      </c>
      <c r="B105" s="923" t="s">
        <v>1143</v>
      </c>
      <c r="C105" s="1254">
        <f>MROUND('F Y U 2024 Presupuesto'!C105,1000)</f>
        <v>2166183000</v>
      </c>
      <c r="D105" s="924">
        <f t="shared" si="6"/>
        <v>2166183000</v>
      </c>
      <c r="E105" s="924"/>
      <c r="F105" s="924"/>
      <c r="G105" s="1518"/>
      <c r="H105" s="53"/>
      <c r="I105" s="1293"/>
      <c r="J105" s="53"/>
      <c r="K105" s="53"/>
      <c r="L105" s="53"/>
      <c r="M105" s="53"/>
    </row>
    <row r="106" spans="1:13" s="54" customFormat="1" ht="25.5" x14ac:dyDescent="0.25">
      <c r="A106" s="922"/>
      <c r="B106" s="923" t="str">
        <f>+'[3]Plan Financiero 2021'!A127</f>
        <v>IVA Cedido Sobre Licores, Vinos, Aperitivos y Similares</v>
      </c>
      <c r="C106" s="1254">
        <f>MROUND('F Y U 2024 Presupuesto'!C106,1000)</f>
        <v>2874685000</v>
      </c>
      <c r="D106" s="924">
        <f t="shared" si="6"/>
        <v>2874685000</v>
      </c>
      <c r="E106" s="924"/>
      <c r="F106" s="924"/>
      <c r="G106" s="1518"/>
      <c r="H106" s="53"/>
      <c r="I106" s="1293"/>
      <c r="J106" s="53"/>
      <c r="K106" s="53"/>
      <c r="L106" s="53"/>
      <c r="M106" s="53"/>
    </row>
    <row r="107" spans="1:13" s="54" customFormat="1" ht="15" x14ac:dyDescent="0.25">
      <c r="A107" s="930"/>
      <c r="B107" s="1046" t="s">
        <v>1146</v>
      </c>
      <c r="C107" s="1254">
        <f>MROUND('F Y U 2024 Presupuesto'!C107,1000)</f>
        <v>3963289000</v>
      </c>
      <c r="D107" s="929">
        <f t="shared" si="6"/>
        <v>3963289000</v>
      </c>
      <c r="E107" s="929"/>
      <c r="F107" s="929"/>
      <c r="G107" s="1518"/>
      <c r="H107" s="53"/>
      <c r="I107" s="1293"/>
      <c r="J107" s="53"/>
      <c r="K107" s="53"/>
      <c r="L107" s="53"/>
      <c r="M107" s="53"/>
    </row>
    <row r="108" spans="1:13" s="54" customFormat="1" ht="18.75" customHeight="1" x14ac:dyDescent="0.25">
      <c r="A108" s="42"/>
      <c r="B108" s="1157" t="s">
        <v>1822</v>
      </c>
      <c r="C108" s="1009">
        <f>SUM(C87:C107)</f>
        <v>71043833000</v>
      </c>
      <c r="D108" s="42"/>
      <c r="E108" s="42"/>
      <c r="F108" s="42"/>
      <c r="G108" s="1518">
        <f>+C108+C84</f>
        <v>290333144000</v>
      </c>
      <c r="H108" s="53"/>
      <c r="I108" s="1293"/>
      <c r="J108" s="53"/>
      <c r="K108" s="53"/>
      <c r="L108" s="53"/>
      <c r="M108" s="53"/>
    </row>
    <row r="109" spans="1:13" s="54" customFormat="1" x14ac:dyDescent="0.25">
      <c r="A109" s="42"/>
      <c r="B109" s="42"/>
      <c r="C109" s="42"/>
      <c r="D109" s="42"/>
      <c r="E109" s="42"/>
      <c r="F109" s="42"/>
      <c r="G109" s="1518"/>
      <c r="H109" s="53"/>
      <c r="I109" s="1293"/>
      <c r="J109" s="53"/>
      <c r="K109" s="53"/>
      <c r="L109" s="53"/>
      <c r="M109" s="53"/>
    </row>
    <row r="110" spans="1:13" s="54" customFormat="1" ht="25.5" customHeight="1" x14ac:dyDescent="0.25">
      <c r="A110" s="42"/>
      <c r="B110" s="1667" t="s">
        <v>1065</v>
      </c>
      <c r="C110" s="1668"/>
      <c r="D110" s="42"/>
      <c r="E110" s="42"/>
      <c r="G110" s="1518"/>
      <c r="H110" s="53"/>
      <c r="I110" s="1293"/>
      <c r="J110" s="53"/>
      <c r="K110" s="53"/>
      <c r="L110" s="53"/>
      <c r="M110" s="53"/>
    </row>
    <row r="111" spans="1:13" s="54" customFormat="1" ht="25.5" x14ac:dyDescent="0.25">
      <c r="A111" s="933">
        <v>27</v>
      </c>
      <c r="B111" s="923" t="s">
        <v>1066</v>
      </c>
      <c r="C111" s="1254">
        <f>MROUND('F Y U 2024 Presupuesto'!C111,1000)</f>
        <v>4052617000</v>
      </c>
      <c r="D111" s="924">
        <f>+C111</f>
        <v>4052617000</v>
      </c>
      <c r="E111" s="935"/>
      <c r="F111" s="935"/>
      <c r="G111" s="1518"/>
      <c r="I111" s="919"/>
    </row>
    <row r="112" spans="1:13" s="54" customFormat="1" ht="25.5" x14ac:dyDescent="0.25">
      <c r="A112" s="936"/>
      <c r="B112" s="1157" t="s">
        <v>1823</v>
      </c>
      <c r="C112" s="1009">
        <f>+C111</f>
        <v>4052617000</v>
      </c>
      <c r="D112" s="42"/>
      <c r="E112" s="42"/>
      <c r="F112" s="42"/>
      <c r="G112" s="1518"/>
      <c r="I112" s="919"/>
    </row>
    <row r="113" spans="1:16" s="54" customFormat="1" x14ac:dyDescent="0.25">
      <c r="A113" s="936"/>
      <c r="B113" s="936"/>
      <c r="C113" s="936"/>
      <c r="D113" s="42"/>
      <c r="E113" s="42"/>
      <c r="F113" s="42"/>
      <c r="G113" s="1518"/>
      <c r="I113" s="919"/>
    </row>
    <row r="114" spans="1:16" s="54" customFormat="1" x14ac:dyDescent="0.25">
      <c r="A114" s="936"/>
      <c r="B114" s="1667" t="s">
        <v>961</v>
      </c>
      <c r="C114" s="1668"/>
      <c r="D114" s="924"/>
      <c r="E114" s="924"/>
      <c r="F114" s="924"/>
      <c r="G114" s="1518"/>
      <c r="I114" s="919"/>
    </row>
    <row r="115" spans="1:16" s="54" customFormat="1" ht="25.5" x14ac:dyDescent="0.25">
      <c r="A115" s="923"/>
      <c r="B115" s="923" t="s">
        <v>1149</v>
      </c>
      <c r="C115" s="1254">
        <f>MROUND('F Y U 2024 Presupuesto'!C115,1000)</f>
        <v>2461968000</v>
      </c>
      <c r="D115" s="924">
        <f>+C115</f>
        <v>2461968000</v>
      </c>
      <c r="E115" s="924"/>
      <c r="F115" s="924"/>
      <c r="G115" s="1518"/>
      <c r="I115" s="919"/>
    </row>
    <row r="116" spans="1:16" s="54" customFormat="1" ht="21" customHeight="1" x14ac:dyDescent="0.25">
      <c r="A116" s="923"/>
      <c r="B116" s="1157" t="s">
        <v>1824</v>
      </c>
      <c r="C116" s="1009">
        <f>+C115</f>
        <v>2461968000</v>
      </c>
      <c r="D116" s="924"/>
      <c r="E116" s="924"/>
      <c r="F116" s="924"/>
      <c r="G116" s="1518"/>
      <c r="I116" s="919"/>
    </row>
    <row r="117" spans="1:16" s="54" customFormat="1" x14ac:dyDescent="0.25">
      <c r="A117" s="42"/>
      <c r="B117" s="42"/>
      <c r="C117" s="42"/>
      <c r="E117" s="924"/>
      <c r="F117" s="924"/>
      <c r="G117" s="1518"/>
      <c r="I117" s="919"/>
    </row>
    <row r="118" spans="1:16" s="54" customFormat="1" ht="24" customHeight="1" x14ac:dyDescent="0.25">
      <c r="A118" s="1677" t="s">
        <v>1825</v>
      </c>
      <c r="B118" s="1678"/>
      <c r="C118" s="1009">
        <f>+C84+C108+C112+C116</f>
        <v>296847729000</v>
      </c>
      <c r="D118" s="1009">
        <f>SUM(D75:D116)</f>
        <v>296847729000</v>
      </c>
      <c r="E118" s="924"/>
      <c r="F118" s="1517"/>
      <c r="G118" s="1518"/>
      <c r="I118" s="919"/>
    </row>
    <row r="119" spans="1:16" s="54" customFormat="1" x14ac:dyDescent="0.25">
      <c r="A119" s="88"/>
      <c r="B119" s="88"/>
      <c r="C119" s="88"/>
      <c r="D119" s="88"/>
      <c r="E119" s="88"/>
      <c r="F119" s="88"/>
      <c r="G119" s="1518"/>
      <c r="I119" s="919"/>
    </row>
    <row r="120" spans="1:16" s="54" customFormat="1" ht="36" customHeight="1" x14ac:dyDescent="0.25">
      <c r="A120" s="1677" t="s">
        <v>1826</v>
      </c>
      <c r="B120" s="1678"/>
      <c r="C120" s="1009">
        <f>+C118+C52+C71</f>
        <v>508273313000</v>
      </c>
      <c r="D120" s="1155">
        <f>+D118+D52+D71</f>
        <v>323482237000</v>
      </c>
      <c r="E120" s="1155">
        <f>+E118+E52+E71</f>
        <v>54570901000</v>
      </c>
      <c r="F120" s="1155">
        <f>+F118+F52+F71</f>
        <v>130220175000</v>
      </c>
      <c r="G120" s="1518">
        <f>D120+E120+F120</f>
        <v>508273313000</v>
      </c>
      <c r="H120" s="54">
        <f>C120-G120</f>
        <v>0</v>
      </c>
      <c r="I120" s="919"/>
      <c r="M120" s="1680" t="s">
        <v>3251</v>
      </c>
      <c r="N120" s="1680"/>
      <c r="O120" s="1680"/>
      <c r="P120" s="1680"/>
    </row>
    <row r="121" spans="1:16" s="54" customFormat="1" x14ac:dyDescent="0.25">
      <c r="A121" s="42"/>
      <c r="B121" s="1679"/>
      <c r="C121" s="1679"/>
      <c r="D121" s="73"/>
      <c r="E121" s="73"/>
      <c r="F121" s="74"/>
      <c r="G121" s="1518"/>
      <c r="I121" s="919"/>
      <c r="M121" s="53">
        <v>1</v>
      </c>
      <c r="N121" s="53">
        <f>5730450*1.2</f>
        <v>6876540</v>
      </c>
      <c r="O121" s="53">
        <f>+M121*N121</f>
        <v>6876540</v>
      </c>
      <c r="P121" s="53">
        <f>+O121*1.76</f>
        <v>12102710.4</v>
      </c>
    </row>
    <row r="122" spans="1:16" s="54" customFormat="1" ht="15" x14ac:dyDescent="0.25">
      <c r="A122" s="42"/>
      <c r="B122" s="972" t="s">
        <v>1827</v>
      </c>
      <c r="C122" s="1255">
        <f>+F123*0.01</f>
        <v>1297101750</v>
      </c>
      <c r="E122" s="54">
        <v>508273313000</v>
      </c>
      <c r="F122" s="74">
        <f>157753937382+11236130587+338283245031</f>
        <v>507273313000</v>
      </c>
      <c r="G122" s="1518">
        <f>+E122-F122</f>
        <v>1000000000</v>
      </c>
      <c r="I122" s="919"/>
      <c r="M122" s="53">
        <v>1</v>
      </c>
      <c r="N122" s="53">
        <f>5535226*1.2</f>
        <v>6642271.2000000002</v>
      </c>
      <c r="O122" s="53">
        <f t="shared" ref="O122:O125" si="7">+M122*N122</f>
        <v>6642271.2000000002</v>
      </c>
      <c r="P122" s="53">
        <f t="shared" ref="P122:P125" si="8">+O122*1.76</f>
        <v>11690397.312000001</v>
      </c>
    </row>
    <row r="123" spans="1:16" s="54" customFormat="1" ht="30" x14ac:dyDescent="0.25">
      <c r="A123" s="42"/>
      <c r="B123" s="973" t="s">
        <v>1828</v>
      </c>
      <c r="C123" s="1256">
        <f>ROUND(F123*0.01,0)</f>
        <v>1297101750</v>
      </c>
      <c r="E123" s="54">
        <v>5168301321</v>
      </c>
      <c r="F123" s="1161">
        <f>+F120-F71</f>
        <v>129710175000</v>
      </c>
      <c r="G123" s="1518"/>
      <c r="I123" s="919"/>
      <c r="M123" s="53">
        <v>3</v>
      </c>
      <c r="N123" s="53">
        <f>1.2*4789477</f>
        <v>5747372.3999999994</v>
      </c>
      <c r="O123" s="53">
        <f t="shared" si="7"/>
        <v>17242117.199999999</v>
      </c>
      <c r="P123" s="53">
        <f t="shared" si="8"/>
        <v>30346126.272</v>
      </c>
    </row>
    <row r="124" spans="1:16" s="54" customFormat="1" ht="30" x14ac:dyDescent="0.25">
      <c r="A124" s="42"/>
      <c r="B124" s="972" t="s">
        <v>1829</v>
      </c>
      <c r="C124" s="1255">
        <f>ROUND(F123*0.007,0)</f>
        <v>907971225</v>
      </c>
      <c r="E124" s="54">
        <v>8523050371</v>
      </c>
      <c r="F124" s="74"/>
      <c r="G124" s="1518"/>
      <c r="I124" s="919"/>
      <c r="M124" s="53">
        <v>1</v>
      </c>
      <c r="N124" s="53">
        <f>1.2*6500000</f>
        <v>7800000</v>
      </c>
      <c r="O124" s="53">
        <f t="shared" si="7"/>
        <v>7800000</v>
      </c>
      <c r="P124" s="53">
        <f t="shared" si="8"/>
        <v>13728000</v>
      </c>
    </row>
    <row r="125" spans="1:16" s="54" customFormat="1" ht="15" x14ac:dyDescent="0.25">
      <c r="A125" s="42"/>
      <c r="B125" s="973" t="s">
        <v>1830</v>
      </c>
      <c r="C125" s="1256">
        <f>1.2*1627500000</f>
        <v>1953000000</v>
      </c>
      <c r="E125" s="54">
        <f>SUM(E122:E124)</f>
        <v>521964664692</v>
      </c>
      <c r="F125" s="1162"/>
      <c r="G125" s="1518"/>
      <c r="I125" s="919"/>
      <c r="M125" s="53">
        <v>1</v>
      </c>
      <c r="N125" s="53">
        <f>1.2*3555691</f>
        <v>4266829.2</v>
      </c>
      <c r="O125" s="53">
        <f t="shared" si="7"/>
        <v>4266829.2</v>
      </c>
      <c r="P125" s="53">
        <f t="shared" si="8"/>
        <v>7509619.392</v>
      </c>
    </row>
    <row r="126" spans="1:16" s="54" customFormat="1" ht="15" x14ac:dyDescent="0.25">
      <c r="A126" s="42"/>
      <c r="B126" s="972" t="s">
        <v>1831</v>
      </c>
      <c r="C126" s="1255">
        <f>ROUND(F52*0.1,0)</f>
        <v>12971017500</v>
      </c>
      <c r="F126" s="74"/>
      <c r="G126" s="1518"/>
      <c r="I126" s="919"/>
      <c r="M126" s="53"/>
      <c r="N126" s="53"/>
      <c r="O126" s="53"/>
      <c r="P126" s="53">
        <f>SUM(P121:P125)</f>
        <v>75376853.376000002</v>
      </c>
    </row>
    <row r="127" spans="1:16" x14ac:dyDescent="0.25">
      <c r="B127" s="1660"/>
      <c r="C127" s="1661"/>
      <c r="D127" s="1163"/>
      <c r="E127" s="411"/>
      <c r="F127" s="77"/>
      <c r="K127" s="54"/>
      <c r="L127" s="54"/>
      <c r="M127" s="41"/>
      <c r="N127" s="41"/>
      <c r="O127" s="41"/>
      <c r="P127" s="41">
        <f>+P126*13</f>
        <v>979899093.88800001</v>
      </c>
    </row>
    <row r="128" spans="1:16" ht="22.5" customHeight="1" x14ac:dyDescent="0.25">
      <c r="B128" s="1160" t="s">
        <v>970</v>
      </c>
      <c r="C128" s="1010" t="s">
        <v>971</v>
      </c>
      <c r="D128" s="1010" t="s">
        <v>956</v>
      </c>
      <c r="E128" s="411"/>
      <c r="F128" s="124"/>
      <c r="K128" s="54"/>
      <c r="L128" s="54"/>
      <c r="M128" s="41"/>
      <c r="N128" s="41"/>
      <c r="O128" s="41"/>
      <c r="P128" s="41"/>
    </row>
    <row r="129" spans="2:12" ht="15" x14ac:dyDescent="0.25">
      <c r="B129" s="921" t="s">
        <v>972</v>
      </c>
      <c r="C129" s="1257">
        <f>+F120-C122-C124-C126-C123-C125</f>
        <v>111793982775</v>
      </c>
      <c r="D129" s="956">
        <v>1</v>
      </c>
      <c r="E129" s="411"/>
      <c r="F129" s="41">
        <f>C129*3.7%</f>
        <v>4136377362.6750007</v>
      </c>
      <c r="K129" s="54"/>
      <c r="L129" s="54"/>
    </row>
    <row r="130" spans="2:12" ht="15" x14ac:dyDescent="0.25">
      <c r="B130" s="921" t="s">
        <v>973</v>
      </c>
      <c r="C130" s="1257">
        <f>+(C129*0.7)</f>
        <v>78255787942.5</v>
      </c>
      <c r="D130" s="956">
        <f>+C130/$C$129</f>
        <v>0.7</v>
      </c>
      <c r="E130" s="411"/>
      <c r="F130" s="41">
        <f>F129-C136</f>
        <v>18870000.000000954</v>
      </c>
      <c r="G130" s="1519">
        <f>F71*3.7%</f>
        <v>18870000.000000004</v>
      </c>
      <c r="K130" s="54"/>
      <c r="L130" s="54"/>
    </row>
    <row r="131" spans="2:12" ht="15" x14ac:dyDescent="0.25">
      <c r="B131" s="937" t="s">
        <v>974</v>
      </c>
      <c r="C131" s="1258">
        <f>+C129-C130</f>
        <v>33538194832.5</v>
      </c>
      <c r="D131" s="957">
        <f t="shared" ref="D131" si="9">+C131/$C$129</f>
        <v>0.3</v>
      </c>
      <c r="E131" s="411"/>
      <c r="F131" s="41"/>
      <c r="K131" s="54"/>
      <c r="L131" s="54"/>
    </row>
    <row r="132" spans="2:12" x14ac:dyDescent="0.25">
      <c r="B132" s="1662"/>
      <c r="C132" s="1663"/>
      <c r="D132" s="1164"/>
      <c r="E132" s="73"/>
      <c r="F132" s="74"/>
      <c r="K132" s="54"/>
      <c r="L132" s="54"/>
    </row>
    <row r="133" spans="2:12" ht="22.5" customHeight="1" x14ac:dyDescent="0.25">
      <c r="B133" s="1673" t="s">
        <v>1832</v>
      </c>
      <c r="C133" s="1673"/>
      <c r="D133" s="73"/>
      <c r="E133" s="73"/>
      <c r="F133" s="74"/>
      <c r="K133" s="54"/>
      <c r="L133" s="54"/>
    </row>
    <row r="134" spans="2:12" ht="63.75" x14ac:dyDescent="0.25">
      <c r="B134" s="921" t="s">
        <v>1833</v>
      </c>
      <c r="C134" s="1259">
        <f>11236130586.506-C46</f>
        <v>8365020586.5060005</v>
      </c>
      <c r="D134" s="411"/>
      <c r="E134" s="1165" t="s">
        <v>1834</v>
      </c>
      <c r="F134" s="74"/>
      <c r="K134" s="54"/>
      <c r="L134" s="54"/>
    </row>
    <row r="135" spans="2:12" ht="38.25" x14ac:dyDescent="0.25">
      <c r="B135" s="921" t="s">
        <v>1835</v>
      </c>
      <c r="C135" s="1259">
        <v>4668913388</v>
      </c>
      <c r="D135" s="411"/>
      <c r="E135" s="1165" t="s">
        <v>1836</v>
      </c>
      <c r="F135" s="74"/>
      <c r="K135" s="54"/>
      <c r="L135" s="54"/>
    </row>
    <row r="136" spans="2:12" ht="140.25" x14ac:dyDescent="0.25">
      <c r="B136" s="937" t="s">
        <v>1837</v>
      </c>
      <c r="C136" s="970">
        <f>(F52-C123-C126-C124-C125-C122)*0.037</f>
        <v>4117507362.6749997</v>
      </c>
      <c r="D136" s="1166" t="s">
        <v>1838</v>
      </c>
      <c r="E136" s="1166" t="s">
        <v>1839</v>
      </c>
      <c r="F136" s="74"/>
    </row>
    <row r="137" spans="2:12" ht="15" x14ac:dyDescent="0.25">
      <c r="B137" s="921" t="s">
        <v>1841</v>
      </c>
      <c r="C137" s="970">
        <f>+C122+C124+C125+C126+C129+A102-C134-C135-C136-C144-C145-C146-C147-C150</f>
        <v>27354674525.219002</v>
      </c>
      <c r="D137" s="411"/>
      <c r="E137" s="85"/>
      <c r="F137" s="74"/>
    </row>
    <row r="138" spans="2:12" x14ac:dyDescent="0.25">
      <c r="B138" s="1167" t="s">
        <v>1773</v>
      </c>
      <c r="C138" s="1011">
        <f>+C134+C135+C136+C137</f>
        <v>44506115862.400002</v>
      </c>
      <c r="D138" s="411"/>
      <c r="E138" s="411"/>
      <c r="F138" s="422"/>
    </row>
    <row r="139" spans="2:12" x14ac:dyDescent="0.25">
      <c r="B139" s="1669"/>
      <c r="C139" s="1669"/>
      <c r="D139" s="73"/>
      <c r="E139" s="73"/>
      <c r="F139" s="74"/>
    </row>
    <row r="140" spans="2:12" ht="24.75" customHeight="1" x14ac:dyDescent="0.25">
      <c r="B140" s="1670" t="s">
        <v>1842</v>
      </c>
      <c r="C140" s="1670"/>
      <c r="D140" s="124"/>
      <c r="E140" s="124"/>
      <c r="F140" s="124"/>
    </row>
    <row r="141" spans="2:12" ht="15" customHeight="1" x14ac:dyDescent="0.25">
      <c r="B141" s="940" t="s">
        <v>1843</v>
      </c>
      <c r="C141" s="1260">
        <f>+C135</f>
        <v>4668913388</v>
      </c>
      <c r="D141" s="73"/>
      <c r="E141" s="73"/>
      <c r="F141" s="74"/>
    </row>
    <row r="142" spans="2:12" ht="15" customHeight="1" x14ac:dyDescent="0.25">
      <c r="B142" s="937" t="s">
        <v>1844</v>
      </c>
      <c r="C142" s="1258">
        <f>+C136</f>
        <v>4117507362.6749997</v>
      </c>
      <c r="D142" s="411"/>
      <c r="E142" s="411"/>
      <c r="F142" s="74"/>
    </row>
    <row r="143" spans="2:12" ht="26.25" customHeight="1" x14ac:dyDescent="0.25">
      <c r="B143" s="921" t="s">
        <v>1845</v>
      </c>
      <c r="C143" s="1257">
        <f>+E43</f>
        <v>681193000</v>
      </c>
      <c r="D143" s="1168"/>
      <c r="E143" s="411"/>
      <c r="F143" s="74"/>
    </row>
    <row r="144" spans="2:12" ht="26.25" customHeight="1" x14ac:dyDescent="0.25">
      <c r="B144" s="1004" t="s">
        <v>3221</v>
      </c>
      <c r="C144" s="1270">
        <v>2538098716</v>
      </c>
      <c r="D144" s="73"/>
      <c r="E144" s="411"/>
      <c r="F144" s="74"/>
    </row>
    <row r="145" spans="1:8" ht="26.25" customHeight="1" x14ac:dyDescent="0.25">
      <c r="B145" s="937" t="s">
        <v>1847</v>
      </c>
      <c r="C145" s="1271">
        <f>51589822235+296687000</f>
        <v>51886509235</v>
      </c>
      <c r="D145" s="411"/>
      <c r="E145" s="411"/>
      <c r="F145" s="74"/>
      <c r="G145" s="1524"/>
    </row>
    <row r="146" spans="1:8" ht="26.25" customHeight="1" x14ac:dyDescent="0.25">
      <c r="B146" s="1002" t="s">
        <v>3250</v>
      </c>
      <c r="C146" s="1270">
        <v>7000000000</v>
      </c>
      <c r="D146" s="411"/>
      <c r="E146" s="411"/>
      <c r="F146" s="74"/>
      <c r="G146" s="1525"/>
    </row>
    <row r="147" spans="1:8" ht="15" customHeight="1" x14ac:dyDescent="0.25">
      <c r="B147" s="1002" t="s">
        <v>1848</v>
      </c>
      <c r="C147" s="1272">
        <f>+(1969382468*1.2)+2500000000+1000000000</f>
        <v>5863258961.6000004</v>
      </c>
      <c r="D147" s="1169"/>
      <c r="E147" s="423"/>
      <c r="F147" s="74"/>
    </row>
    <row r="148" spans="1:8" ht="15.75" customHeight="1" x14ac:dyDescent="0.25">
      <c r="B148" s="1004" t="s">
        <v>1849</v>
      </c>
      <c r="C148" s="1262">
        <f>+'Salud 2024 '!F25</f>
        <v>10015793400</v>
      </c>
      <c r="D148" s="411"/>
      <c r="E148" s="423"/>
      <c r="F148" s="74"/>
    </row>
    <row r="149" spans="1:8" ht="25.5" x14ac:dyDescent="0.25">
      <c r="B149" s="921" t="s">
        <v>1850</v>
      </c>
      <c r="C149" s="1263">
        <f>+E14+E22+E24+E30+E55+E59+E60+E66+E69+E37+E36+E54</f>
        <v>25968006000</v>
      </c>
      <c r="D149" s="1170">
        <f>+C150+C147+C146+C145+C144+C142+C141+C156+C158</f>
        <v>130220175000</v>
      </c>
      <c r="E149" s="423"/>
      <c r="F149" s="74"/>
    </row>
    <row r="150" spans="1:8" ht="15" customHeight="1" x14ac:dyDescent="0.25">
      <c r="B150" s="937" t="s">
        <v>1851</v>
      </c>
      <c r="C150" s="1261">
        <f>+C126+C124+C122+C125</f>
        <v>17129090475</v>
      </c>
      <c r="D150" s="1171"/>
      <c r="E150" s="413"/>
      <c r="F150" s="74"/>
    </row>
    <row r="151" spans="1:8" ht="15" customHeight="1" x14ac:dyDescent="0.25">
      <c r="B151" s="921" t="s">
        <v>1852</v>
      </c>
      <c r="C151" s="1263">
        <f>+E11+E15+E23+E31+E33+E40+E13+C41</f>
        <v>27921702000</v>
      </c>
      <c r="D151" s="1170"/>
      <c r="E151" s="85"/>
      <c r="F151" s="74"/>
      <c r="H151" s="1150"/>
    </row>
    <row r="152" spans="1:8" x14ac:dyDescent="0.25">
      <c r="B152" s="1172" t="s">
        <v>1853</v>
      </c>
      <c r="C152" s="1012">
        <f>+C141+C142+C145+C150+C151+C143+C149+C147+C148+C144+C146</f>
        <v>157790072538.27499</v>
      </c>
      <c r="D152" s="381"/>
      <c r="E152" s="87"/>
      <c r="F152" s="88"/>
    </row>
    <row r="153" spans="1:8" x14ac:dyDescent="0.25">
      <c r="B153" s="1671"/>
      <c r="C153" s="1671"/>
      <c r="D153" s="73"/>
      <c r="E153" s="73"/>
      <c r="F153" s="74"/>
    </row>
    <row r="154" spans="1:8" x14ac:dyDescent="0.25">
      <c r="B154" s="1172" t="s">
        <v>1854</v>
      </c>
      <c r="C154" s="1012">
        <f>C156+C155</f>
        <v>11236130586.506001</v>
      </c>
      <c r="D154" s="87"/>
      <c r="E154" s="87"/>
      <c r="F154" s="88"/>
    </row>
    <row r="155" spans="1:8" ht="15" x14ac:dyDescent="0.25">
      <c r="B155" s="937" t="s">
        <v>1855</v>
      </c>
      <c r="C155" s="1258">
        <f>+C46</f>
        <v>2871110000</v>
      </c>
      <c r="D155" s="87"/>
      <c r="E155" s="409"/>
      <c r="F155" s="88"/>
    </row>
    <row r="156" spans="1:8" ht="15" x14ac:dyDescent="0.25">
      <c r="B156" s="921" t="s">
        <v>1856</v>
      </c>
      <c r="C156" s="1260">
        <f>C134</f>
        <v>8365020586.5060005</v>
      </c>
      <c r="D156" s="87"/>
      <c r="E156" s="87"/>
      <c r="F156" s="88"/>
    </row>
    <row r="157" spans="1:8" x14ac:dyDescent="0.25">
      <c r="B157" s="1172" t="s">
        <v>1857</v>
      </c>
      <c r="D157" s="73"/>
      <c r="E157" s="73"/>
      <c r="F157" s="74"/>
    </row>
    <row r="158" spans="1:8" x14ac:dyDescent="0.25">
      <c r="B158" s="942" t="s">
        <v>1858</v>
      </c>
      <c r="C158" s="943">
        <f>+C137+C123</f>
        <v>28651776275.219002</v>
      </c>
      <c r="D158" s="411"/>
      <c r="E158" s="73"/>
      <c r="F158" s="74"/>
    </row>
    <row r="159" spans="1:8" x14ac:dyDescent="0.25">
      <c r="A159" s="941"/>
      <c r="B159" s="77" t="s">
        <v>1859</v>
      </c>
      <c r="C159" s="943">
        <f>+D12+D21+D25+D26+D27+D28+D29+D39+D44+D51+D58+D61+D62+D63+D64+D65+D67+D68+C115+C111+D45</f>
        <v>30277983000</v>
      </c>
      <c r="D159" s="411"/>
      <c r="E159" s="73"/>
      <c r="F159" s="74"/>
    </row>
    <row r="160" spans="1:8" ht="15" x14ac:dyDescent="0.25">
      <c r="B160" s="942" t="s">
        <v>1860</v>
      </c>
      <c r="C160" s="944">
        <f>+D76+D77+D78+D79+D80+D81+D82+D83+D87+D88+D89+D90+D91+D92+D93+D94+D95+D96+D97+D98+D99+D100+D101+D102+D103+D104+D105+D106+D107-C148</f>
        <v>280317350600</v>
      </c>
      <c r="D160" s="411"/>
      <c r="E160" s="413"/>
      <c r="F160" s="74"/>
    </row>
    <row r="161" spans="2:7" x14ac:dyDescent="0.25">
      <c r="B161" s="1172" t="s">
        <v>1861</v>
      </c>
      <c r="C161" s="1012">
        <f>+C160+C159+C158</f>
        <v>339247109875.21899</v>
      </c>
      <c r="D161" s="409"/>
      <c r="E161" s="409"/>
      <c r="F161" s="88"/>
    </row>
    <row r="162" spans="2:7" x14ac:dyDescent="0.25">
      <c r="B162" s="1672"/>
      <c r="C162" s="1672"/>
      <c r="D162" s="409"/>
      <c r="E162" s="1173"/>
      <c r="F162" s="88"/>
    </row>
    <row r="163" spans="2:7" x14ac:dyDescent="0.25">
      <c r="B163" s="1172" t="s">
        <v>1862</v>
      </c>
      <c r="C163" s="1012">
        <f>C161+C154+C152</f>
        <v>508273313000</v>
      </c>
      <c r="D163" s="409">
        <f>+C163-C120</f>
        <v>0</v>
      </c>
      <c r="E163" s="1528">
        <v>10475258063.809999</v>
      </c>
      <c r="F163" s="651">
        <v>5602359746.6099854</v>
      </c>
      <c r="G163" s="1519">
        <v>227850000</v>
      </c>
    </row>
    <row r="164" spans="2:7" x14ac:dyDescent="0.25">
      <c r="B164" s="77"/>
      <c r="C164" s="88"/>
      <c r="D164" s="411"/>
      <c r="E164" s="411"/>
      <c r="F164" s="74"/>
    </row>
    <row r="165" spans="2:7" x14ac:dyDescent="0.25">
      <c r="C165" s="433"/>
    </row>
    <row r="166" spans="2:7" x14ac:dyDescent="0.25">
      <c r="B166" s="1666" t="s">
        <v>3222</v>
      </c>
      <c r="C166" s="1666"/>
      <c r="D166" s="1666"/>
    </row>
    <row r="167" spans="2:7" x14ac:dyDescent="0.25">
      <c r="B167" s="1160" t="s">
        <v>970</v>
      </c>
      <c r="C167" s="1010" t="s">
        <v>971</v>
      </c>
      <c r="D167" s="1010" t="s">
        <v>956</v>
      </c>
    </row>
    <row r="168" spans="2:7" ht="15" x14ac:dyDescent="0.25">
      <c r="B168" s="921" t="s">
        <v>972</v>
      </c>
      <c r="C168" s="1257">
        <f>+C129</f>
        <v>111793982775</v>
      </c>
      <c r="D168" s="956">
        <v>1</v>
      </c>
    </row>
    <row r="169" spans="2:7" ht="15" x14ac:dyDescent="0.25">
      <c r="B169" s="921" t="s">
        <v>973</v>
      </c>
      <c r="C169" s="1257">
        <f>+C145+C147+C144+C146</f>
        <v>67287866912.599998</v>
      </c>
      <c r="D169" s="956">
        <f>+C169/$C$129</f>
        <v>0.601891669322003</v>
      </c>
    </row>
    <row r="170" spans="2:7" ht="15" x14ac:dyDescent="0.25">
      <c r="B170" s="937" t="s">
        <v>974</v>
      </c>
      <c r="C170" s="1258">
        <f>+C134+C135+C136+C137</f>
        <v>44506115862.400002</v>
      </c>
      <c r="D170" s="957">
        <f t="shared" ref="D170" si="10">+C170/$C$129</f>
        <v>0.398108330677997</v>
      </c>
    </row>
    <row r="173" spans="2:7" ht="12.75" customHeight="1" x14ac:dyDescent="0.25"/>
    <row r="176" spans="2:7" x14ac:dyDescent="0.25">
      <c r="B176" s="1273"/>
      <c r="C176" s="41"/>
    </row>
    <row r="177" spans="2:3" x14ac:dyDescent="0.25">
      <c r="B177" s="1273" t="s">
        <v>3252</v>
      </c>
      <c r="C177" s="41">
        <f>+C145</f>
        <v>51886509235</v>
      </c>
    </row>
    <row r="178" spans="2:3" x14ac:dyDescent="0.25">
      <c r="B178" s="1273" t="s">
        <v>3253</v>
      </c>
      <c r="C178" s="41">
        <f>+C147</f>
        <v>5863258961.6000004</v>
      </c>
    </row>
    <row r="179" spans="2:3" x14ac:dyDescent="0.25">
      <c r="B179" s="1273" t="s">
        <v>3254</v>
      </c>
      <c r="C179" s="41">
        <f>+C146</f>
        <v>7000000000</v>
      </c>
    </row>
    <row r="180" spans="2:3" x14ac:dyDescent="0.25">
      <c r="B180" s="1273" t="s">
        <v>3255</v>
      </c>
      <c r="C180" s="41">
        <f>+C144</f>
        <v>2538098716</v>
      </c>
    </row>
    <row r="181" spans="2:3" x14ac:dyDescent="0.25">
      <c r="B181" s="1273" t="s">
        <v>3256</v>
      </c>
      <c r="C181" s="41">
        <f>+C142</f>
        <v>4117507362.6749997</v>
      </c>
    </row>
    <row r="182" spans="2:3" x14ac:dyDescent="0.25">
      <c r="B182" s="1273" t="s">
        <v>3257</v>
      </c>
      <c r="C182" s="41">
        <f>+C135</f>
        <v>4668913388</v>
      </c>
    </row>
    <row r="183" spans="2:3" x14ac:dyDescent="0.25">
      <c r="B183" s="1273" t="s">
        <v>3258</v>
      </c>
      <c r="C183" s="41">
        <f>+C122+C124+C125+C126</f>
        <v>17129090475</v>
      </c>
    </row>
    <row r="184" spans="2:3" x14ac:dyDescent="0.25">
      <c r="B184" s="1273" t="s">
        <v>3259</v>
      </c>
      <c r="C184" s="41">
        <f>SUM(C177:C183)</f>
        <v>93203378138.274994</v>
      </c>
    </row>
    <row r="185" spans="2:3" x14ac:dyDescent="0.25">
      <c r="B185" s="1273" t="s">
        <v>3260</v>
      </c>
      <c r="C185" s="41">
        <f>+C156</f>
        <v>8365020586.5060005</v>
      </c>
    </row>
    <row r="186" spans="2:3" x14ac:dyDescent="0.25">
      <c r="B186" s="1273" t="s">
        <v>3261</v>
      </c>
      <c r="C186" s="41">
        <f>+C184+C185</f>
        <v>101568398724.78099</v>
      </c>
    </row>
    <row r="187" spans="2:3" x14ac:dyDescent="0.25">
      <c r="B187" s="1273" t="s">
        <v>3262</v>
      </c>
      <c r="C187" s="41">
        <f>+C186-F120</f>
        <v>-28651776275.219009</v>
      </c>
    </row>
    <row r="188" spans="2:3" x14ac:dyDescent="0.25">
      <c r="B188" s="1273"/>
      <c r="C188" s="41">
        <f>+C158</f>
        <v>28651776275.219002</v>
      </c>
    </row>
  </sheetData>
  <autoFilter ref="A6:XFC52" xr:uid="{00000000-0009-0000-0000-000004000000}">
    <filterColumn colId="0">
      <filters>
        <filter val="20"/>
      </filters>
    </filterColumn>
    <filterColumn colId="1">
      <filters>
        <filter val="Infraestructura Sanitaria Educativa y Deporteva PROYECTA 30%"/>
        <filter val="Sanciones Administrativas"/>
        <filter val="Sanciones Contractuales"/>
        <filter val="Sanciones Disciplinarias"/>
        <filter val="Sanciones Fiscales"/>
        <filter val="Sanciones Impuesto Vehículos Automotores Vigencia Anterior"/>
      </filters>
    </filterColumn>
  </autoFilter>
  <mergeCells count="24">
    <mergeCell ref="B166:D166"/>
    <mergeCell ref="A118:B118"/>
    <mergeCell ref="A120:B120"/>
    <mergeCell ref="M120:P120"/>
    <mergeCell ref="B121:C121"/>
    <mergeCell ref="B127:C127"/>
    <mergeCell ref="B132:C132"/>
    <mergeCell ref="B133:C133"/>
    <mergeCell ref="B139:C139"/>
    <mergeCell ref="B140:C140"/>
    <mergeCell ref="B153:C153"/>
    <mergeCell ref="B162:C162"/>
    <mergeCell ref="G8:G9"/>
    <mergeCell ref="A52:B52"/>
    <mergeCell ref="B114:C114"/>
    <mergeCell ref="A2:F2"/>
    <mergeCell ref="A3:F3"/>
    <mergeCell ref="A4:F4"/>
    <mergeCell ref="A5:F5"/>
    <mergeCell ref="A71:B71"/>
    <mergeCell ref="B73:C73"/>
    <mergeCell ref="B75:C75"/>
    <mergeCell ref="B86:C86"/>
    <mergeCell ref="B110:C1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B72AB-B04D-45CD-9521-50A79674E52C}">
  <dimension ref="A1:E1"/>
  <sheetViews>
    <sheetView workbookViewId="0">
      <selection activeCell="E28" sqref="E28"/>
    </sheetView>
  </sheetViews>
  <sheetFormatPr baseColWidth="10" defaultRowHeight="15" x14ac:dyDescent="0.25"/>
  <cols>
    <col min="2" max="2" width="21.5703125" bestFit="1" customWidth="1"/>
    <col min="3" max="5" width="18.85546875" bestFit="1" customWidth="1"/>
  </cols>
  <sheetData>
    <row r="1" spans="1:5" x14ac:dyDescent="0.25">
      <c r="A1">
        <v>122001</v>
      </c>
      <c r="B1" s="131">
        <f>+A1*1300000</f>
        <v>158601300000</v>
      </c>
      <c r="C1" s="131">
        <f>+B1*1.08</f>
        <v>171289404000</v>
      </c>
      <c r="D1" s="131">
        <f>+C1*1.05</f>
        <v>179853874200</v>
      </c>
      <c r="E1" s="131">
        <f>+D1*1.05</f>
        <v>188846567910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92D4-F59B-4653-BDFC-1454AE9C038F}">
  <dimension ref="A1:AF50"/>
  <sheetViews>
    <sheetView workbookViewId="0">
      <selection activeCell="A11" sqref="A11"/>
    </sheetView>
  </sheetViews>
  <sheetFormatPr baseColWidth="10" defaultColWidth="11.42578125" defaultRowHeight="12" x14ac:dyDescent="0.2"/>
  <cols>
    <col min="1" max="1" width="34.7109375" style="1544" customWidth="1"/>
    <col min="2" max="2" width="29.28515625" style="1544" customWidth="1"/>
    <col min="3" max="3" width="19.85546875" style="1544" customWidth="1"/>
    <col min="4" max="4" width="19.28515625" style="1544" customWidth="1"/>
    <col min="5" max="5" width="18.42578125" style="1544" customWidth="1"/>
    <col min="6" max="6" width="14.42578125" style="1544" customWidth="1"/>
    <col min="7" max="7" width="17.28515625" style="1544" customWidth="1"/>
    <col min="8" max="8" width="19" style="1544" customWidth="1"/>
    <col min="9" max="9" width="14.42578125" style="1544" customWidth="1"/>
    <col min="10" max="13" width="11.42578125" style="1544"/>
    <col min="14" max="14" width="13.140625" style="1544" customWidth="1"/>
    <col min="15" max="15" width="11.42578125" style="1544"/>
    <col min="16" max="16" width="12.5703125" style="1544" customWidth="1"/>
    <col min="17" max="17" width="11.42578125" style="1544"/>
    <col min="18" max="19" width="13.28515625" style="1544" customWidth="1"/>
    <col min="20" max="20" width="11.42578125" style="1544"/>
    <col min="21" max="21" width="14.7109375" style="1544" customWidth="1"/>
    <col min="22" max="22" width="12.5703125" style="1544" customWidth="1"/>
    <col min="23" max="28" width="11.42578125" style="1544"/>
    <col min="29" max="29" width="15.140625" style="1544" customWidth="1"/>
    <col min="30" max="30" width="14.85546875" style="1544" bestFit="1" customWidth="1"/>
    <col min="31" max="31" width="17.42578125" style="1544" bestFit="1" customWidth="1"/>
    <col min="32" max="32" width="15.85546875" style="1544" bestFit="1" customWidth="1"/>
    <col min="33" max="16384" width="11.42578125" style="1544"/>
  </cols>
  <sheetData>
    <row r="1" spans="1:32" x14ac:dyDescent="0.2">
      <c r="A1" s="1710" t="s">
        <v>4350</v>
      </c>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0"/>
      <c r="Z1" s="1710"/>
      <c r="AA1" s="1710"/>
      <c r="AB1" s="1710"/>
    </row>
    <row r="2" spans="1:32" s="1545" customFormat="1" x14ac:dyDescent="0.2">
      <c r="A2" s="1707" t="s">
        <v>4351</v>
      </c>
      <c r="B2" s="1708"/>
      <c r="C2" s="1708"/>
      <c r="D2" s="1708"/>
      <c r="E2" s="1708"/>
      <c r="F2" s="1708"/>
      <c r="G2" s="1708"/>
      <c r="H2" s="1708"/>
      <c r="I2" s="1708"/>
      <c r="J2" s="1708"/>
      <c r="K2" s="1708"/>
      <c r="L2" s="1708"/>
      <c r="M2" s="1708"/>
      <c r="N2" s="1708"/>
      <c r="O2" s="1708"/>
      <c r="P2" s="1708"/>
      <c r="Q2" s="1708"/>
      <c r="R2" s="1708"/>
      <c r="S2" s="1708"/>
      <c r="T2" s="1708"/>
      <c r="U2" s="1708"/>
      <c r="V2" s="1708"/>
      <c r="W2" s="1708"/>
      <c r="X2" s="1708"/>
      <c r="Y2" s="1708"/>
      <c r="Z2" s="1708"/>
      <c r="AA2" s="1708"/>
      <c r="AB2" s="1709"/>
    </row>
    <row r="3" spans="1:32" ht="48" x14ac:dyDescent="0.2">
      <c r="A3" s="1546" t="s">
        <v>4352</v>
      </c>
      <c r="B3" s="1547" t="s">
        <v>4353</v>
      </c>
      <c r="C3" s="1546" t="s">
        <v>4354</v>
      </c>
      <c r="D3" s="1546" t="s">
        <v>4355</v>
      </c>
      <c r="E3" s="1547" t="s">
        <v>4356</v>
      </c>
      <c r="F3" s="1547" t="s">
        <v>4357</v>
      </c>
      <c r="G3" s="1547" t="s">
        <v>4358</v>
      </c>
      <c r="H3" s="1546" t="s">
        <v>4359</v>
      </c>
      <c r="I3" s="1547" t="s">
        <v>4360</v>
      </c>
      <c r="J3" s="1547" t="s">
        <v>4361</v>
      </c>
      <c r="K3" s="1547" t="s">
        <v>4362</v>
      </c>
      <c r="L3" s="1547" t="s">
        <v>4363</v>
      </c>
      <c r="M3" s="1547" t="s">
        <v>4364</v>
      </c>
      <c r="N3" s="1547" t="s">
        <v>4365</v>
      </c>
      <c r="O3" s="1547" t="s">
        <v>4366</v>
      </c>
      <c r="P3" s="1547" t="s">
        <v>4367</v>
      </c>
      <c r="Q3" s="1547" t="s">
        <v>4368</v>
      </c>
      <c r="R3" s="1547" t="s">
        <v>4369</v>
      </c>
      <c r="S3" s="1547" t="s">
        <v>4370</v>
      </c>
      <c r="T3" s="1547" t="s">
        <v>4371</v>
      </c>
      <c r="U3" s="1547" t="s">
        <v>4372</v>
      </c>
      <c r="V3" s="1547" t="s">
        <v>4373</v>
      </c>
      <c r="W3" s="1547" t="s">
        <v>4374</v>
      </c>
      <c r="X3" s="1547" t="s">
        <v>4375</v>
      </c>
      <c r="Y3" s="1548" t="s">
        <v>4376</v>
      </c>
      <c r="Z3" s="1548" t="s">
        <v>4377</v>
      </c>
      <c r="AA3" s="1548" t="s">
        <v>4378</v>
      </c>
      <c r="AB3" s="1548" t="s">
        <v>4379</v>
      </c>
      <c r="AC3" s="1548" t="s">
        <v>1773</v>
      </c>
    </row>
    <row r="4" spans="1:32" x14ac:dyDescent="0.2">
      <c r="A4" s="1549" t="s">
        <v>226</v>
      </c>
      <c r="B4" s="1549" t="s">
        <v>4380</v>
      </c>
      <c r="C4" s="1550" t="s">
        <v>4381</v>
      </c>
      <c r="D4" s="1551">
        <v>11</v>
      </c>
      <c r="E4" s="1552">
        <f>18*(1300000)</f>
        <v>23400000</v>
      </c>
      <c r="F4" s="1553">
        <v>9</v>
      </c>
      <c r="G4" s="1552">
        <f>+E4*D4</f>
        <v>257400000</v>
      </c>
      <c r="H4" s="1552">
        <f>+G4*F4</f>
        <v>2316600000</v>
      </c>
      <c r="I4" s="1554"/>
      <c r="J4" s="1555"/>
      <c r="K4" s="1555"/>
      <c r="L4" s="1554"/>
      <c r="M4" s="1554"/>
      <c r="N4" s="1554">
        <f>+((E4/30)*22)*11</f>
        <v>188760000</v>
      </c>
      <c r="O4" s="1554"/>
      <c r="P4" s="1555">
        <f>+(E4/2)*11</f>
        <v>128700000</v>
      </c>
      <c r="Q4" s="1555"/>
      <c r="R4" s="1555">
        <f>+G4+(P4/12)</f>
        <v>268125000</v>
      </c>
      <c r="S4" s="1555">
        <f>+G4+((I4+J4+P4+R4+L4+M4)/12)</f>
        <v>290468750</v>
      </c>
      <c r="T4" s="1555">
        <f>+S4*12%</f>
        <v>34856250</v>
      </c>
      <c r="U4" s="1555">
        <f>+((H4/12)+((N4+P4+R4)/12)+((H4/12)*11))*8.5%</f>
        <v>201058893.75</v>
      </c>
      <c r="V4" s="1555">
        <f>+(((H4/12)+(N4+P4+R4)/12)+((H4/12)*11))*13.4%</f>
        <v>316963432.5</v>
      </c>
      <c r="W4" s="1554">
        <f>+(((H4/12)+((N4+P4+R4)/12))+((H4/12)*11))*4%</f>
        <v>94615950</v>
      </c>
      <c r="X4" s="1554">
        <f>+(((H4/12)+((N4+P4+R4)/12))+((H4/12)*11))*3%</f>
        <v>70961962.5</v>
      </c>
      <c r="Y4" s="1554">
        <f>+(((H4/12)+((N4+P4+R4)/12))+(H4/12)*11)*0.5%</f>
        <v>11826993.75</v>
      </c>
      <c r="Z4" s="1554">
        <f>+(((H4/12)+((P4+R4+N4)/12))+(H4/12)*11)*0.5%</f>
        <v>11826993.75</v>
      </c>
      <c r="AA4" s="1554">
        <f>+Y4+Z4</f>
        <v>23653987.5</v>
      </c>
      <c r="AB4" s="1554">
        <f>+(((H4/12)+((N4+P4+R4)/12))+(H4/12)*11)*0.522%</f>
        <v>12347381.475</v>
      </c>
      <c r="AC4" s="1554">
        <f t="shared" ref="AC4" si="0">SUM(H4:AB4)</f>
        <v>3970765595.2249999</v>
      </c>
    </row>
    <row r="5" spans="1:32" x14ac:dyDescent="0.2">
      <c r="A5" s="1556" t="s">
        <v>1773</v>
      </c>
      <c r="B5" s="1556"/>
      <c r="C5" s="1557"/>
      <c r="D5" s="1558">
        <f>SUM(D4:D4)</f>
        <v>11</v>
      </c>
      <c r="E5" s="1559"/>
      <c r="F5" s="1554"/>
      <c r="G5" s="1560"/>
      <c r="H5" s="1561">
        <f t="shared" ref="H5:AC5" si="1">SUM(H4:H4)</f>
        <v>2316600000</v>
      </c>
      <c r="I5" s="1560">
        <f t="shared" si="1"/>
        <v>0</v>
      </c>
      <c r="J5" s="1560">
        <f t="shared" si="1"/>
        <v>0</v>
      </c>
      <c r="K5" s="1560">
        <f t="shared" si="1"/>
        <v>0</v>
      </c>
      <c r="L5" s="1560">
        <f t="shared" si="1"/>
        <v>0</v>
      </c>
      <c r="M5" s="1560">
        <f t="shared" si="1"/>
        <v>0</v>
      </c>
      <c r="N5" s="1561">
        <f t="shared" si="1"/>
        <v>188760000</v>
      </c>
      <c r="O5" s="1560">
        <f t="shared" si="1"/>
        <v>0</v>
      </c>
      <c r="P5" s="1561">
        <f t="shared" si="1"/>
        <v>128700000</v>
      </c>
      <c r="Q5" s="1560">
        <f t="shared" si="1"/>
        <v>0</v>
      </c>
      <c r="R5" s="1561">
        <f t="shared" si="1"/>
        <v>268125000</v>
      </c>
      <c r="S5" s="1561">
        <f t="shared" si="1"/>
        <v>290468750</v>
      </c>
      <c r="T5" s="1561">
        <f t="shared" si="1"/>
        <v>34856250</v>
      </c>
      <c r="U5" s="1561">
        <f t="shared" si="1"/>
        <v>201058893.75</v>
      </c>
      <c r="V5" s="1561">
        <f t="shared" si="1"/>
        <v>316963432.5</v>
      </c>
      <c r="W5" s="1561">
        <f t="shared" si="1"/>
        <v>94615950</v>
      </c>
      <c r="X5" s="1561">
        <f t="shared" si="1"/>
        <v>70961962.5</v>
      </c>
      <c r="Y5" s="1561">
        <f t="shared" si="1"/>
        <v>11826993.75</v>
      </c>
      <c r="Z5" s="1561">
        <f t="shared" si="1"/>
        <v>11826993.75</v>
      </c>
      <c r="AA5" s="1561">
        <f t="shared" si="1"/>
        <v>23653987.5</v>
      </c>
      <c r="AB5" s="1561">
        <f t="shared" si="1"/>
        <v>12347381.475</v>
      </c>
      <c r="AC5" s="1560">
        <f t="shared" si="1"/>
        <v>3970765595.2249999</v>
      </c>
      <c r="AE5" s="1562"/>
      <c r="AF5" s="1562"/>
    </row>
    <row r="6" spans="1:32" x14ac:dyDescent="0.2">
      <c r="A6" s="1563"/>
      <c r="B6" s="1563"/>
      <c r="C6" s="1564"/>
      <c r="D6" s="1565"/>
      <c r="E6" s="1566"/>
      <c r="F6" s="1567"/>
      <c r="G6" s="1568"/>
      <c r="H6" s="1568"/>
      <c r="I6" s="1568"/>
      <c r="J6" s="1568"/>
      <c r="K6" s="1568"/>
      <c r="L6" s="1568"/>
      <c r="M6" s="1568"/>
      <c r="N6" s="1568"/>
      <c r="O6" s="1568"/>
      <c r="P6" s="1568"/>
      <c r="Q6" s="1568"/>
      <c r="R6" s="1568"/>
      <c r="S6" s="1568"/>
      <c r="T6" s="1568"/>
      <c r="U6" s="1568"/>
      <c r="V6" s="1568"/>
      <c r="W6" s="1711"/>
      <c r="X6" s="1711"/>
      <c r="Y6" s="1711"/>
      <c r="Z6" s="1711"/>
      <c r="AA6" s="1711"/>
      <c r="AB6" s="1568"/>
      <c r="AC6" s="1568"/>
      <c r="AE6" s="1569"/>
    </row>
    <row r="7" spans="1:32" x14ac:dyDescent="0.2">
      <c r="A7" s="1570"/>
      <c r="B7" s="1571"/>
      <c r="C7" s="1571"/>
      <c r="D7" s="1572"/>
      <c r="E7" s="1573"/>
      <c r="F7" s="1574"/>
      <c r="G7" s="1573"/>
      <c r="H7" s="1573"/>
      <c r="I7" s="1573"/>
      <c r="J7" s="1573"/>
      <c r="K7" s="1573"/>
      <c r="L7" s="1573"/>
      <c r="M7" s="1573"/>
      <c r="N7" s="1573"/>
      <c r="O7" s="1573"/>
      <c r="P7" s="1573"/>
      <c r="Q7" s="1573"/>
      <c r="R7" s="1573"/>
      <c r="S7" s="1573"/>
      <c r="T7" s="1573"/>
      <c r="U7" s="1573"/>
      <c r="V7" s="1573"/>
      <c r="W7" s="1573"/>
      <c r="X7" s="1573"/>
      <c r="Y7" s="1574"/>
      <c r="Z7" s="1574"/>
      <c r="AA7" s="1574"/>
      <c r="AB7" s="1574"/>
      <c r="AC7" s="1567"/>
      <c r="AD7" s="1575"/>
      <c r="AE7" s="1575"/>
    </row>
    <row r="8" spans="1:32" x14ac:dyDescent="0.2">
      <c r="A8" s="1712"/>
      <c r="B8" s="1712"/>
      <c r="C8" s="1712"/>
      <c r="D8" s="1712"/>
      <c r="E8" s="1712"/>
      <c r="F8" s="1712"/>
      <c r="G8" s="1712"/>
      <c r="H8" s="1712"/>
      <c r="I8" s="1712"/>
      <c r="J8" s="1712"/>
      <c r="K8" s="1712"/>
      <c r="L8" s="1712"/>
      <c r="M8" s="1712"/>
      <c r="N8" s="1712"/>
      <c r="O8" s="1712"/>
      <c r="P8" s="1712"/>
      <c r="Q8" s="1712"/>
      <c r="R8" s="1712"/>
      <c r="S8" s="1712"/>
      <c r="T8" s="1712"/>
      <c r="U8" s="1712"/>
      <c r="V8" s="1712"/>
      <c r="W8" s="1712"/>
      <c r="X8" s="1712"/>
      <c r="Y8" s="1712"/>
      <c r="Z8" s="1712"/>
      <c r="AA8" s="1712"/>
      <c r="AB8" s="1712"/>
      <c r="AC8" s="1712"/>
    </row>
    <row r="9" spans="1:32" x14ac:dyDescent="0.2">
      <c r="A9" s="1713" t="s">
        <v>4382</v>
      </c>
      <c r="B9" s="1714"/>
      <c r="C9" s="1714"/>
      <c r="D9" s="1714"/>
      <c r="E9" s="1714"/>
      <c r="F9" s="1714"/>
      <c r="G9" s="1714"/>
      <c r="H9" s="1714"/>
      <c r="I9" s="1714"/>
      <c r="J9" s="1714"/>
      <c r="K9" s="1714"/>
      <c r="L9" s="1714"/>
      <c r="M9" s="1714"/>
      <c r="N9" s="1714"/>
      <c r="O9" s="1714"/>
      <c r="P9" s="1714"/>
      <c r="Q9" s="1714"/>
      <c r="R9" s="1714"/>
      <c r="S9" s="1714"/>
      <c r="T9" s="1714"/>
      <c r="U9" s="1714"/>
      <c r="V9" s="1714"/>
      <c r="W9" s="1714"/>
      <c r="X9" s="1714"/>
      <c r="Y9" s="1714"/>
      <c r="Z9" s="1714"/>
      <c r="AA9" s="1714"/>
      <c r="AB9" s="1714"/>
      <c r="AC9" s="1715"/>
    </row>
    <row r="10" spans="1:32" ht="48" x14ac:dyDescent="0.2">
      <c r="A10" s="1546" t="s">
        <v>4352</v>
      </c>
      <c r="B10" s="1547" t="s">
        <v>4353</v>
      </c>
      <c r="C10" s="1546" t="s">
        <v>4354</v>
      </c>
      <c r="D10" s="1546" t="s">
        <v>4355</v>
      </c>
      <c r="E10" s="1547" t="s">
        <v>4383</v>
      </c>
      <c r="F10" s="1547" t="s">
        <v>4384</v>
      </c>
      <c r="G10" s="1547" t="s">
        <v>4385</v>
      </c>
      <c r="H10" s="1546" t="s">
        <v>4386</v>
      </c>
      <c r="I10" s="1547" t="s">
        <v>4360</v>
      </c>
      <c r="J10" s="1547" t="s">
        <v>4361</v>
      </c>
      <c r="K10" s="1547"/>
      <c r="L10" s="1547" t="s">
        <v>4387</v>
      </c>
      <c r="M10" s="1547" t="s">
        <v>4364</v>
      </c>
      <c r="N10" s="1547" t="s">
        <v>4365</v>
      </c>
      <c r="O10" s="1547" t="s">
        <v>4366</v>
      </c>
      <c r="P10" s="1547" t="s">
        <v>4367</v>
      </c>
      <c r="Q10" s="1547" t="s">
        <v>4368</v>
      </c>
      <c r="R10" s="1547" t="s">
        <v>4369</v>
      </c>
      <c r="S10" s="1547" t="s">
        <v>4370</v>
      </c>
      <c r="T10" s="1547" t="s">
        <v>4371</v>
      </c>
      <c r="U10" s="1547" t="s">
        <v>4372</v>
      </c>
      <c r="V10" s="1547" t="s">
        <v>4388</v>
      </c>
      <c r="W10" s="1547" t="s">
        <v>4374</v>
      </c>
      <c r="X10" s="1547" t="s">
        <v>4375</v>
      </c>
      <c r="Y10" s="1548" t="s">
        <v>4376</v>
      </c>
      <c r="Z10" s="1548" t="s">
        <v>4377</v>
      </c>
      <c r="AA10" s="1548" t="s">
        <v>4378</v>
      </c>
      <c r="AB10" s="1548" t="s">
        <v>4379</v>
      </c>
      <c r="AC10" s="1548" t="s">
        <v>1773</v>
      </c>
    </row>
    <row r="11" spans="1:32" x14ac:dyDescent="0.2">
      <c r="A11" s="1576"/>
      <c r="B11" s="1576" t="s">
        <v>29</v>
      </c>
      <c r="C11" s="1577" t="s">
        <v>4389</v>
      </c>
      <c r="D11" s="1578">
        <v>1</v>
      </c>
      <c r="E11" s="1552">
        <v>8493342</v>
      </c>
      <c r="F11" s="1553">
        <f>E11*1.1088</f>
        <v>9417417.6096000001</v>
      </c>
      <c r="G11" s="1552">
        <f>+F11*D11</f>
        <v>9417417.6096000001</v>
      </c>
      <c r="H11" s="1552">
        <f>+G11*12</f>
        <v>113009011.3152</v>
      </c>
      <c r="I11" s="1554">
        <f>G11*35%</f>
        <v>3296096.1633599997</v>
      </c>
      <c r="J11" s="1555">
        <f>G11/2</f>
        <v>4708708.8048</v>
      </c>
      <c r="K11" s="1555"/>
      <c r="L11" s="1555">
        <v>0</v>
      </c>
      <c r="M11" s="1555">
        <v>0</v>
      </c>
      <c r="N11" s="1554"/>
      <c r="O11" s="1554">
        <f>+((G11+((I11+J11)/12))/30)*22</f>
        <v>7395288.7728719991</v>
      </c>
      <c r="P11" s="1555">
        <f>G11/2+((I11+J11+L11+M11)/12)</f>
        <v>5375775.8854799997</v>
      </c>
      <c r="Q11" s="1555">
        <f>G11/30*2</f>
        <v>627827.84063999995</v>
      </c>
      <c r="R11" s="1555">
        <f>+G11+((I11+J11+P11+L11+M11)/12)</f>
        <v>10532466.01407</v>
      </c>
      <c r="S11" s="1555">
        <f>+G11+((I11+J11+P11+R11+L11+M11)/12)</f>
        <v>11410171.5152425</v>
      </c>
      <c r="T11" s="1555">
        <f t="shared" ref="T11" si="2">+S11*12%</f>
        <v>1369220.5818290999</v>
      </c>
      <c r="U11" s="1555">
        <f>(H11+I11)*8.5%</f>
        <v>9885934.1356776003</v>
      </c>
      <c r="V11" s="1555">
        <f>(H11+I11)*13%</f>
        <v>15119663.972212801</v>
      </c>
      <c r="W11" s="1554">
        <f>(H11+((I11+J11+M11+P11+L11+N11+R11)/12))*4%</f>
        <v>4600070.6088336995</v>
      </c>
      <c r="X11" s="1554">
        <f>(H11+((+I11+J11+K11+P11+Q11+P11)/12))*3%</f>
        <v>3438730.8009054</v>
      </c>
      <c r="Y11" s="1554">
        <f>(H11+((+I11+J11+K11+R11+P11+Q11)/12))*0.5%</f>
        <v>575270.4210378126</v>
      </c>
      <c r="Z11" s="1554">
        <f>(H11+((+I11+J11+K11+P11+Q11+R11)/12))*0.5%</f>
        <v>575270.4210378126</v>
      </c>
      <c r="AA11" s="1554">
        <f>+Y11+Z11</f>
        <v>1150540.8420756252</v>
      </c>
      <c r="AB11" s="1554">
        <f>(H11+((+I11+ J11+K11+P11+R11+S11)/12))*0.522%</f>
        <v>605272.63906192838</v>
      </c>
      <c r="AC11" s="1554">
        <f>SUM(H11:AB11)</f>
        <v>193675320.73433629</v>
      </c>
    </row>
    <row r="12" spans="1:32" x14ac:dyDescent="0.2">
      <c r="A12" s="1556" t="s">
        <v>1773</v>
      </c>
      <c r="B12" s="1556"/>
      <c r="C12" s="1557"/>
      <c r="D12" s="1558">
        <f t="shared" ref="D12:J12" si="3">SUM(D11:D11)</f>
        <v>1</v>
      </c>
      <c r="E12" s="1579">
        <f t="shared" si="3"/>
        <v>8493342</v>
      </c>
      <c r="F12" s="1579">
        <f t="shared" si="3"/>
        <v>9417417.6096000001</v>
      </c>
      <c r="G12" s="1579">
        <f t="shared" si="3"/>
        <v>9417417.6096000001</v>
      </c>
      <c r="H12" s="1580">
        <f t="shared" si="3"/>
        <v>113009011.3152</v>
      </c>
      <c r="I12" s="1580">
        <f t="shared" si="3"/>
        <v>3296096.1633599997</v>
      </c>
      <c r="J12" s="1580">
        <f t="shared" si="3"/>
        <v>4708708.8048</v>
      </c>
      <c r="K12" s="1579"/>
      <c r="L12" s="1579">
        <f t="shared" ref="L12:AB12" si="4">SUM(L11:L11)</f>
        <v>0</v>
      </c>
      <c r="M12" s="1579">
        <f t="shared" si="4"/>
        <v>0</v>
      </c>
      <c r="N12" s="1580">
        <f t="shared" si="4"/>
        <v>0</v>
      </c>
      <c r="O12" s="1579">
        <f t="shared" si="4"/>
        <v>7395288.7728719991</v>
      </c>
      <c r="P12" s="1580">
        <f t="shared" si="4"/>
        <v>5375775.8854799997</v>
      </c>
      <c r="Q12" s="1579">
        <f t="shared" si="4"/>
        <v>627827.84063999995</v>
      </c>
      <c r="R12" s="1580">
        <f t="shared" si="4"/>
        <v>10532466.01407</v>
      </c>
      <c r="S12" s="1580">
        <f t="shared" si="4"/>
        <v>11410171.5152425</v>
      </c>
      <c r="T12" s="1580">
        <f t="shared" si="4"/>
        <v>1369220.5818290999</v>
      </c>
      <c r="U12" s="1580">
        <f t="shared" si="4"/>
        <v>9885934.1356776003</v>
      </c>
      <c r="V12" s="1580">
        <f t="shared" si="4"/>
        <v>15119663.972212801</v>
      </c>
      <c r="W12" s="1580">
        <f t="shared" si="4"/>
        <v>4600070.6088336995</v>
      </c>
      <c r="X12" s="1580">
        <f t="shared" si="4"/>
        <v>3438730.8009054</v>
      </c>
      <c r="Y12" s="1580">
        <f t="shared" si="4"/>
        <v>575270.4210378126</v>
      </c>
      <c r="Z12" s="1580">
        <f t="shared" si="4"/>
        <v>575270.4210378126</v>
      </c>
      <c r="AA12" s="1580">
        <f t="shared" si="4"/>
        <v>1150540.8420756252</v>
      </c>
      <c r="AB12" s="1580">
        <f t="shared" si="4"/>
        <v>605272.63906192838</v>
      </c>
      <c r="AC12" s="1579">
        <f>SUM(AC11)</f>
        <v>193675320.73433629</v>
      </c>
    </row>
    <row r="13" spans="1:32" x14ac:dyDescent="0.2">
      <c r="A13" s="1570"/>
      <c r="B13" s="1571"/>
      <c r="C13" s="1571"/>
      <c r="D13" s="1572"/>
      <c r="E13" s="1573"/>
      <c r="F13" s="1574"/>
      <c r="G13" s="1574"/>
      <c r="H13" s="1573"/>
      <c r="I13" s="1573"/>
      <c r="J13" s="1573"/>
      <c r="K13" s="1573"/>
      <c r="L13" s="1573"/>
      <c r="M13" s="1573"/>
      <c r="N13" s="1573"/>
      <c r="O13" s="1573"/>
      <c r="P13" s="1573"/>
      <c r="Q13" s="1573"/>
      <c r="R13" s="1573"/>
      <c r="S13" s="1573"/>
      <c r="T13" s="1573"/>
      <c r="U13" s="1573"/>
      <c r="V13" s="1573"/>
      <c r="W13" s="1573"/>
      <c r="X13" s="1573"/>
      <c r="Y13" s="1574"/>
      <c r="Z13" s="1574"/>
      <c r="AA13" s="1574"/>
      <c r="AB13" s="1574"/>
      <c r="AC13" s="1574"/>
    </row>
    <row r="14" spans="1:32" x14ac:dyDescent="0.2">
      <c r="A14" s="1570"/>
      <c r="B14" s="1571">
        <v>2024</v>
      </c>
      <c r="C14" s="1571">
        <v>2025</v>
      </c>
      <c r="D14" s="1572">
        <v>2026</v>
      </c>
      <c r="E14" s="1573">
        <v>2027</v>
      </c>
      <c r="F14" s="1574"/>
      <c r="G14" s="1574"/>
      <c r="H14" s="1573"/>
      <c r="I14" s="1573"/>
      <c r="J14" s="1573"/>
      <c r="K14" s="1573"/>
      <c r="L14" s="1573"/>
      <c r="M14" s="1573"/>
      <c r="N14" s="1573"/>
      <c r="O14" s="1573"/>
      <c r="P14" s="1573"/>
      <c r="Q14" s="1573"/>
      <c r="R14" s="1573"/>
      <c r="S14" s="1573"/>
      <c r="T14" s="1573"/>
      <c r="U14" s="1573"/>
      <c r="V14" s="1573"/>
      <c r="W14" s="1573"/>
      <c r="X14" s="1573"/>
      <c r="Y14" s="1574"/>
      <c r="Z14" s="1574"/>
      <c r="AA14" s="1574"/>
      <c r="AB14" s="1574"/>
      <c r="AC14" s="1574"/>
    </row>
    <row r="15" spans="1:32" ht="24" x14ac:dyDescent="0.2">
      <c r="A15" s="1581" t="s">
        <v>4390</v>
      </c>
      <c r="B15" s="1582">
        <f>+AC5</f>
        <v>3970765595.2249999</v>
      </c>
      <c r="C15" s="1607">
        <v>4367842154.7475014</v>
      </c>
      <c r="D15" s="1608">
        <v>4804626370.2222509</v>
      </c>
      <c r="E15" s="1609">
        <v>5285089007.2444754</v>
      </c>
      <c r="F15" s="1574"/>
      <c r="G15" s="1574"/>
      <c r="H15" s="1573"/>
      <c r="I15" s="1573"/>
      <c r="J15" s="1573"/>
      <c r="K15" s="1573"/>
      <c r="L15" s="1573"/>
      <c r="M15" s="1573"/>
      <c r="N15" s="1573"/>
      <c r="O15" s="1573"/>
      <c r="P15" s="1573"/>
      <c r="Q15" s="1573"/>
      <c r="R15" s="1573"/>
      <c r="S15" s="1573"/>
      <c r="T15" s="1573"/>
      <c r="U15" s="1573"/>
      <c r="V15" s="1573"/>
      <c r="W15" s="1573"/>
      <c r="X15" s="1573"/>
      <c r="Y15" s="1574"/>
      <c r="Z15" s="1574"/>
      <c r="AA15" s="1574"/>
      <c r="AB15" s="1574"/>
      <c r="AC15" s="1574"/>
    </row>
    <row r="16" spans="1:32" ht="24" x14ac:dyDescent="0.2">
      <c r="A16" s="1583" t="s">
        <v>4391</v>
      </c>
      <c r="B16" s="1584">
        <f>+H4*25%</f>
        <v>579150000</v>
      </c>
      <c r="C16" s="1610">
        <v>637065000.00000012</v>
      </c>
      <c r="D16" s="1611">
        <v>700771500.00000012</v>
      </c>
      <c r="E16" s="1612">
        <v>770848650.00000012</v>
      </c>
      <c r="H16" s="1587"/>
      <c r="I16" s="1587"/>
      <c r="J16" s="1587"/>
      <c r="K16" s="1587"/>
      <c r="L16" s="1587"/>
      <c r="M16" s="1587"/>
      <c r="N16" s="1587"/>
      <c r="O16" s="1587"/>
      <c r="P16" s="1587"/>
      <c r="Q16" s="1587"/>
      <c r="R16" s="1587"/>
      <c r="S16" s="1587"/>
      <c r="T16" s="1587"/>
      <c r="U16" s="1587"/>
      <c r="V16" s="1587"/>
      <c r="W16" s="1587"/>
      <c r="X16" s="1587"/>
    </row>
    <row r="17" spans="1:24" ht="24" x14ac:dyDescent="0.2">
      <c r="A17" s="1588" t="s">
        <v>4392</v>
      </c>
      <c r="B17" s="1619">
        <f>+B15+B16</f>
        <v>4549915595.2250004</v>
      </c>
      <c r="C17" s="1619">
        <v>5004907154.7475014</v>
      </c>
      <c r="D17" s="1619">
        <v>5505397870.2222509</v>
      </c>
      <c r="E17" s="1619">
        <v>6055937657.2444754</v>
      </c>
      <c r="H17" s="1587"/>
      <c r="I17" s="1587"/>
      <c r="J17" s="1587"/>
      <c r="K17" s="1587"/>
      <c r="L17" s="1587"/>
      <c r="M17" s="1587"/>
      <c r="N17" s="1587"/>
      <c r="O17" s="1587"/>
      <c r="P17" s="1587"/>
      <c r="Q17" s="1587"/>
      <c r="R17" s="1587"/>
      <c r="S17" s="1587"/>
      <c r="T17" s="1587"/>
      <c r="U17" s="1587"/>
      <c r="V17" s="1587"/>
      <c r="W17" s="1587"/>
      <c r="X17" s="1587"/>
    </row>
    <row r="18" spans="1:24" x14ac:dyDescent="0.2">
      <c r="A18" s="1589"/>
      <c r="B18" s="1590"/>
      <c r="C18" s="1585"/>
      <c r="D18" s="1586"/>
      <c r="E18" s="1587"/>
      <c r="H18" s="1587"/>
      <c r="I18" s="1587"/>
      <c r="J18" s="1587"/>
      <c r="K18" s="1587"/>
      <c r="L18" s="1587"/>
      <c r="M18" s="1587"/>
      <c r="N18" s="1587"/>
      <c r="O18" s="1587"/>
      <c r="P18" s="1587"/>
      <c r="Q18" s="1587"/>
      <c r="R18" s="1587"/>
      <c r="S18" s="1587"/>
      <c r="T18" s="1587"/>
      <c r="U18" s="1587"/>
      <c r="V18" s="1587"/>
      <c r="W18" s="1587"/>
      <c r="X18" s="1587"/>
    </row>
    <row r="19" spans="1:24" x14ac:dyDescent="0.2">
      <c r="I19" s="1591"/>
      <c r="J19" s="1592"/>
    </row>
    <row r="20" spans="1:24" x14ac:dyDescent="0.2">
      <c r="A20" s="1593" t="s">
        <v>223</v>
      </c>
      <c r="B20" s="1593" t="s">
        <v>4393</v>
      </c>
      <c r="C20" s="1594" t="s">
        <v>4394</v>
      </c>
      <c r="D20" s="1595"/>
      <c r="E20" s="1595"/>
      <c r="F20" s="1574"/>
      <c r="I20" s="1591"/>
      <c r="J20" s="1592"/>
    </row>
    <row r="21" spans="1:24" x14ac:dyDescent="0.2">
      <c r="A21" s="1596"/>
      <c r="B21" s="1583" t="s">
        <v>4395</v>
      </c>
      <c r="C21" s="1597"/>
      <c r="D21" s="1574"/>
      <c r="E21" s="1574"/>
      <c r="F21" s="1574"/>
    </row>
    <row r="22" spans="1:24" x14ac:dyDescent="0.2">
      <c r="A22" s="1598" t="s">
        <v>4396</v>
      </c>
      <c r="B22" s="1583" t="s">
        <v>4397</v>
      </c>
      <c r="C22" s="1599">
        <f>+H12</f>
        <v>113009011.3152</v>
      </c>
      <c r="D22" s="1600"/>
      <c r="E22" s="1600"/>
      <c r="F22" s="1600"/>
      <c r="I22" s="1575"/>
    </row>
    <row r="23" spans="1:24" x14ac:dyDescent="0.2">
      <c r="A23" s="1598" t="s">
        <v>4398</v>
      </c>
      <c r="B23" s="1583" t="s">
        <v>4399</v>
      </c>
      <c r="C23" s="1599">
        <f>+J12</f>
        <v>4708708.8048</v>
      </c>
      <c r="D23" s="1600"/>
      <c r="E23" s="1600"/>
      <c r="F23" s="1574"/>
      <c r="I23" s="1575"/>
    </row>
    <row r="24" spans="1:24" ht="24" x14ac:dyDescent="0.2">
      <c r="A24" s="1598" t="s">
        <v>4400</v>
      </c>
      <c r="B24" s="1583" t="s">
        <v>4401</v>
      </c>
      <c r="C24" s="1599">
        <f>+I12</f>
        <v>3296096.1633599997</v>
      </c>
      <c r="D24" s="1600"/>
      <c r="E24" s="1600"/>
      <c r="F24" s="1574"/>
      <c r="I24" s="1575"/>
    </row>
    <row r="25" spans="1:24" x14ac:dyDescent="0.2">
      <c r="A25" s="1598" t="s">
        <v>4402</v>
      </c>
      <c r="B25" s="1583" t="s">
        <v>2490</v>
      </c>
      <c r="C25" s="1599">
        <f>+R5+R12</f>
        <v>278657466.01406997</v>
      </c>
      <c r="D25" s="1600"/>
      <c r="E25" s="1600"/>
      <c r="F25" s="1574"/>
      <c r="I25" s="1575"/>
    </row>
    <row r="26" spans="1:24" x14ac:dyDescent="0.2">
      <c r="A26" s="1598" t="s">
        <v>4403</v>
      </c>
      <c r="B26" s="1583" t="s">
        <v>4404</v>
      </c>
      <c r="C26" s="1599">
        <f>+P5+P12</f>
        <v>134075775.88548</v>
      </c>
      <c r="D26" s="1600"/>
      <c r="E26" s="1600"/>
      <c r="F26" s="1574"/>
      <c r="I26" s="1575"/>
    </row>
    <row r="27" spans="1:24" ht="24" x14ac:dyDescent="0.2">
      <c r="A27" s="1598" t="s">
        <v>4405</v>
      </c>
      <c r="B27" s="1583" t="s">
        <v>4406</v>
      </c>
      <c r="C27" s="1599">
        <v>15000000</v>
      </c>
      <c r="D27" s="1600"/>
      <c r="E27" s="1600"/>
      <c r="F27" s="1574"/>
      <c r="I27" s="1575"/>
    </row>
    <row r="28" spans="1:24" x14ac:dyDescent="0.2">
      <c r="A28" s="1598" t="s">
        <v>4407</v>
      </c>
      <c r="B28" s="1583" t="s">
        <v>4408</v>
      </c>
      <c r="C28" s="1599">
        <f>+H5</f>
        <v>2316600000</v>
      </c>
      <c r="D28" s="1600"/>
      <c r="E28" s="1600"/>
      <c r="F28" s="1574"/>
      <c r="I28" s="1575"/>
    </row>
    <row r="29" spans="1:24" ht="24" x14ac:dyDescent="0.2">
      <c r="A29" s="1598" t="s">
        <v>4409</v>
      </c>
      <c r="B29" s="1583" t="s">
        <v>4410</v>
      </c>
      <c r="C29" s="1599">
        <f>+V5+V12</f>
        <v>332083096.47221279</v>
      </c>
      <c r="D29" s="1600"/>
      <c r="E29" s="1600"/>
      <c r="F29" s="1574"/>
      <c r="I29" s="1575"/>
    </row>
    <row r="30" spans="1:24" ht="24" x14ac:dyDescent="0.2">
      <c r="A30" s="1598" t="s">
        <v>4411</v>
      </c>
      <c r="B30" s="1583" t="s">
        <v>4412</v>
      </c>
      <c r="C30" s="1599">
        <f>+U5+U12</f>
        <v>210944827.88567761</v>
      </c>
      <c r="D30" s="1600"/>
      <c r="E30" s="1600"/>
      <c r="F30" s="1574"/>
      <c r="I30" s="1575"/>
    </row>
    <row r="31" spans="1:24" x14ac:dyDescent="0.2">
      <c r="A31" s="1598" t="s">
        <v>4413</v>
      </c>
      <c r="B31" s="1583" t="s">
        <v>4414</v>
      </c>
      <c r="C31" s="1599">
        <f>+S5+T5+S12+T12</f>
        <v>338104392.09707159</v>
      </c>
      <c r="D31" s="1600"/>
      <c r="E31" s="1600"/>
      <c r="F31" s="1574"/>
      <c r="I31" s="1575"/>
    </row>
    <row r="32" spans="1:24" ht="24" x14ac:dyDescent="0.2">
      <c r="A32" s="1598" t="s">
        <v>4415</v>
      </c>
      <c r="B32" s="1583" t="s">
        <v>4416</v>
      </c>
      <c r="C32" s="1599">
        <f>+W5+W12</f>
        <v>99216020.6088337</v>
      </c>
      <c r="D32" s="1600"/>
      <c r="E32" s="1600"/>
      <c r="F32" s="1574"/>
      <c r="I32" s="1575"/>
    </row>
    <row r="33" spans="1:9" ht="24" x14ac:dyDescent="0.2">
      <c r="A33" s="1598" t="s">
        <v>4417</v>
      </c>
      <c r="B33" s="1583" t="s">
        <v>4418</v>
      </c>
      <c r="C33" s="1599">
        <f>+AB5+AB12</f>
        <v>12952654.114061927</v>
      </c>
      <c r="D33" s="1600"/>
      <c r="E33" s="1600"/>
      <c r="F33" s="1600"/>
      <c r="I33" s="1575"/>
    </row>
    <row r="34" spans="1:9" x14ac:dyDescent="0.2">
      <c r="A34" s="1598" t="s">
        <v>4419</v>
      </c>
      <c r="B34" s="1583" t="s">
        <v>4420</v>
      </c>
      <c r="C34" s="1599">
        <f>+X5+X12</f>
        <v>74400693.300905406</v>
      </c>
      <c r="D34" s="1600"/>
      <c r="E34" s="1600"/>
      <c r="F34" s="1600"/>
      <c r="I34" s="1575"/>
    </row>
    <row r="35" spans="1:9" x14ac:dyDescent="0.2">
      <c r="A35" s="1598" t="s">
        <v>4421</v>
      </c>
      <c r="B35" s="1583" t="s">
        <v>4422</v>
      </c>
      <c r="C35" s="1599">
        <f>+Y5+Y12</f>
        <v>12402264.171037812</v>
      </c>
      <c r="D35" s="1600"/>
      <c r="E35" s="1600"/>
      <c r="F35" s="1574"/>
      <c r="I35" s="1575"/>
    </row>
    <row r="36" spans="1:9" x14ac:dyDescent="0.2">
      <c r="A36" s="1598" t="s">
        <v>4423</v>
      </c>
      <c r="B36" s="1583" t="s">
        <v>4424</v>
      </c>
      <c r="C36" s="1599">
        <f>+Z5+Z12</f>
        <v>12402264.171037812</v>
      </c>
      <c r="D36" s="1600"/>
      <c r="E36" s="1600"/>
      <c r="F36" s="1574"/>
      <c r="I36" s="1575"/>
    </row>
    <row r="37" spans="1:9" ht="24" x14ac:dyDescent="0.2">
      <c r="A37" s="1598" t="s">
        <v>4425</v>
      </c>
      <c r="B37" s="1583" t="s">
        <v>4426</v>
      </c>
      <c r="C37" s="1599">
        <f>+AA5+AA12</f>
        <v>24804528.342075624</v>
      </c>
      <c r="D37" s="1600"/>
      <c r="E37" s="1600"/>
      <c r="F37" s="1574"/>
      <c r="I37" s="1575"/>
    </row>
    <row r="38" spans="1:9" x14ac:dyDescent="0.2">
      <c r="A38" s="1598" t="s">
        <v>4427</v>
      </c>
      <c r="B38" s="1583" t="s">
        <v>2492</v>
      </c>
      <c r="C38" s="1599">
        <f>+N5+N12</f>
        <v>188760000</v>
      </c>
      <c r="D38" s="1600"/>
      <c r="E38" s="1600"/>
      <c r="F38" s="1574"/>
      <c r="I38" s="1575"/>
    </row>
    <row r="39" spans="1:9" x14ac:dyDescent="0.2">
      <c r="A39" s="1598" t="s">
        <v>4428</v>
      </c>
      <c r="B39" s="1583" t="s">
        <v>4429</v>
      </c>
      <c r="C39" s="1599">
        <f>+O12</f>
        <v>7395288.7728719991</v>
      </c>
      <c r="D39" s="1600"/>
      <c r="E39" s="1600"/>
      <c r="F39" s="1574"/>
      <c r="I39" s="1575"/>
    </row>
    <row r="40" spans="1:9" x14ac:dyDescent="0.2">
      <c r="A40" s="1598" t="s">
        <v>4430</v>
      </c>
      <c r="B40" s="1583" t="s">
        <v>4431</v>
      </c>
      <c r="C40" s="1599">
        <f>+Q12</f>
        <v>627827.84063999995</v>
      </c>
      <c r="D40" s="1600"/>
      <c r="E40" s="1600"/>
      <c r="F40" s="1574"/>
      <c r="I40" s="1575"/>
    </row>
    <row r="41" spans="1:9" x14ac:dyDescent="0.2">
      <c r="A41" s="1707" t="s">
        <v>1773</v>
      </c>
      <c r="B41" s="1709"/>
      <c r="C41" s="1601">
        <f>SUM(C22:C40)</f>
        <v>4179440915.9593363</v>
      </c>
      <c r="D41" s="1602"/>
      <c r="E41" s="1602"/>
      <c r="F41" s="1574"/>
    </row>
    <row r="42" spans="1:9" x14ac:dyDescent="0.2">
      <c r="A42" s="1603"/>
      <c r="B42" s="1603"/>
      <c r="C42" s="1604"/>
      <c r="D42" s="1602"/>
      <c r="E42" s="1602"/>
      <c r="F42" s="1574"/>
    </row>
    <row r="43" spans="1:9" x14ac:dyDescent="0.2">
      <c r="A43" s="1707" t="s">
        <v>4432</v>
      </c>
      <c r="B43" s="1708"/>
      <c r="C43" s="1709"/>
      <c r="E43" s="1575"/>
    </row>
    <row r="44" spans="1:9" x14ac:dyDescent="0.2">
      <c r="A44" s="1593" t="s">
        <v>223</v>
      </c>
      <c r="B44" s="1593" t="s">
        <v>4393</v>
      </c>
      <c r="C44" s="1605" t="s">
        <v>4433</v>
      </c>
      <c r="D44" s="1603"/>
      <c r="E44" s="1603"/>
    </row>
    <row r="45" spans="1:9" x14ac:dyDescent="0.2">
      <c r="A45" s="1598" t="s">
        <v>4434</v>
      </c>
      <c r="B45" s="1598" t="s">
        <v>4435</v>
      </c>
      <c r="C45" s="1597">
        <f>+C41</f>
        <v>4179440915.9593363</v>
      </c>
      <c r="D45" s="1575"/>
      <c r="E45" s="1575"/>
    </row>
    <row r="46" spans="1:9" x14ac:dyDescent="0.2">
      <c r="A46" s="1598" t="s">
        <v>4436</v>
      </c>
      <c r="B46" s="1598" t="s">
        <v>4437</v>
      </c>
      <c r="C46" s="1597">
        <v>354874679.26566398</v>
      </c>
      <c r="D46" s="1575"/>
      <c r="E46" s="1575"/>
      <c r="G46" s="1575"/>
      <c r="H46" s="1575"/>
    </row>
    <row r="47" spans="1:9" x14ac:dyDescent="0.2">
      <c r="A47" s="1598" t="s">
        <v>4438</v>
      </c>
      <c r="B47" s="1598" t="s">
        <v>406</v>
      </c>
      <c r="C47" s="1597">
        <f>12*(1300000)</f>
        <v>15600000</v>
      </c>
      <c r="D47" s="1575"/>
      <c r="E47" s="1575"/>
      <c r="H47" s="1575"/>
    </row>
    <row r="48" spans="1:9" x14ac:dyDescent="0.2">
      <c r="A48" s="1598"/>
      <c r="B48" s="1606" t="s">
        <v>1773</v>
      </c>
      <c r="C48" s="1601">
        <f>SUM(C45:C47)</f>
        <v>4549915595.2250004</v>
      </c>
      <c r="D48" s="1604"/>
      <c r="E48" s="1604"/>
      <c r="H48" s="1575"/>
    </row>
    <row r="49" spans="3:4" x14ac:dyDescent="0.2">
      <c r="D49" s="1575"/>
    </row>
    <row r="50" spans="3:4" x14ac:dyDescent="0.2">
      <c r="C50" s="1575"/>
    </row>
  </sheetData>
  <mergeCells count="7">
    <mergeCell ref="A43:C43"/>
    <mergeCell ref="A1:AB1"/>
    <mergeCell ref="A2:AB2"/>
    <mergeCell ref="W6:AA6"/>
    <mergeCell ref="A8:AC8"/>
    <mergeCell ref="A9:AC9"/>
    <mergeCell ref="A41:B41"/>
  </mergeCells>
  <conditionalFormatting sqref="E4 E11">
    <cfRule type="cellIs" dxfId="4" priority="2" operator="lessThan">
      <formula>1390000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6F75-D57E-4FC1-B55C-491F7883201F}">
  <dimension ref="A1:N42"/>
  <sheetViews>
    <sheetView topLeftCell="A14" workbookViewId="0">
      <selection activeCell="A27" sqref="A27"/>
    </sheetView>
  </sheetViews>
  <sheetFormatPr baseColWidth="10" defaultRowHeight="15" x14ac:dyDescent="0.25"/>
  <cols>
    <col min="1" max="1" width="76.5703125" customWidth="1"/>
    <col min="2" max="2" width="16.28515625" bestFit="1" customWidth="1"/>
    <col min="3" max="3" width="18.85546875" style="131" bestFit="1" customWidth="1"/>
    <col min="4" max="4" width="16.28515625" bestFit="1" customWidth="1"/>
    <col min="5" max="6" width="17.85546875" bestFit="1" customWidth="1"/>
    <col min="7" max="14" width="18.85546875" bestFit="1" customWidth="1"/>
  </cols>
  <sheetData>
    <row r="1" spans="1:14" x14ac:dyDescent="0.25">
      <c r="A1" s="1534" t="s">
        <v>2282</v>
      </c>
      <c r="B1" s="1534">
        <v>2024</v>
      </c>
      <c r="C1" s="1534">
        <v>2025</v>
      </c>
      <c r="D1" s="1534">
        <v>2026</v>
      </c>
      <c r="E1" s="1534">
        <v>2027</v>
      </c>
    </row>
    <row r="2" spans="1:14" x14ac:dyDescent="0.25">
      <c r="A2" s="1535" t="s">
        <v>950</v>
      </c>
      <c r="B2" s="1536">
        <f>+' Verdad Verdadera 24-27'!F53</f>
        <v>129710175000</v>
      </c>
      <c r="C2" s="1536">
        <f>+' Verdad Verdadera 24-27'!Y53</f>
        <v>138134453030</v>
      </c>
      <c r="D2" s="1536">
        <f>+' Verdad Verdadera 24-27'!AC53</f>
        <v>147317535537.5</v>
      </c>
      <c r="E2" s="1536">
        <f>+' Verdad Verdadera 24-27'!AG53</f>
        <v>157362426504.79102</v>
      </c>
    </row>
    <row r="3" spans="1:14" x14ac:dyDescent="0.25">
      <c r="A3" s="1535" t="s">
        <v>954</v>
      </c>
      <c r="B3" s="1536">
        <f>+' Verdad Verdadera 24-27'!F105</f>
        <v>510000000</v>
      </c>
      <c r="C3" s="1536">
        <f>+' Verdad Verdadera 24-27'!Y105</f>
        <v>526500000</v>
      </c>
      <c r="D3" s="1536">
        <f>+' Verdad Verdadera 24-27'!AC105</f>
        <v>552825000</v>
      </c>
      <c r="E3" s="1536">
        <f>+' Verdad Verdadera 24-27'!AG105</f>
        <v>580466250</v>
      </c>
    </row>
    <row r="4" spans="1:14" x14ac:dyDescent="0.25">
      <c r="A4" s="1535" t="s">
        <v>2127</v>
      </c>
      <c r="B4" s="1536">
        <f>+' Verdad Verdadera 24-27'!C178+' Verdad Verdadera 24-27'!C179+' Verdad Verdadera 24-27'!C180+' Verdad Verdadera 24-27'!C181+' Verdad Verdadera 24-27'!C184</f>
        <v>84416957387.600006</v>
      </c>
      <c r="C4" s="1536">
        <f>+' Verdad Verdadera 24-27'!W178+' Verdad Verdadera 24-27'!W179+' Verdad Verdadera 24-27'!W180+' Verdad Verdadera 24-27'!W181+' Verdad Verdadera 24-27'!W184</f>
        <v>83894324121.399994</v>
      </c>
      <c r="D4" s="1536">
        <f>+' Verdad Verdadera 24-27'!AA178+' Verdad Verdadera 24-27'!AA179+' Verdad Verdadera 24-27'!AA180+' Verdad Verdadera 24-27'!AA181+' Verdad Verdadera 24-27'!AA184</f>
        <v>87942602301.497498</v>
      </c>
      <c r="E4" s="1536">
        <f>+' Verdad Verdadera 24-27'!AE178+' Verdad Verdadera 24-27'!AE179+' Verdad Verdadera 24-27'!AE180+' Verdad Verdadera 24-27'!AE181+' Verdad Verdadera 24-27'!AE184</f>
        <v>92240506231.396881</v>
      </c>
    </row>
    <row r="5" spans="1:14" x14ac:dyDescent="0.25">
      <c r="A5" s="1535" t="s">
        <v>2162</v>
      </c>
      <c r="B5" s="1536">
        <f>+' Verdad Verdadera 24-27'!C192</f>
        <v>28651776275.219002</v>
      </c>
      <c r="C5" s="1536">
        <f>+' Verdad Verdadera 24-27'!W192</f>
        <v>36962331343.500504</v>
      </c>
      <c r="D5" s="1536">
        <f>+' Verdad Verdadera 24-27'!AA192</f>
        <v>36809586662.873756</v>
      </c>
      <c r="E5" s="1536">
        <f>+' Verdad Verdadera 24-27'!AE192</f>
        <v>39109975639.739403</v>
      </c>
    </row>
    <row r="6" spans="1:14" x14ac:dyDescent="0.25">
      <c r="A6" s="1537" t="s">
        <v>2283</v>
      </c>
      <c r="B6" s="1538">
        <f t="shared" ref="B6:E6" si="0">+B2+B3-B4-B5</f>
        <v>17151441337.180992</v>
      </c>
      <c r="C6" s="1538">
        <f t="shared" si="0"/>
        <v>17804297565.099503</v>
      </c>
      <c r="D6" s="1538">
        <f t="shared" si="0"/>
        <v>23118171573.128746</v>
      </c>
      <c r="E6" s="1538">
        <f t="shared" si="0"/>
        <v>26592410883.654732</v>
      </c>
    </row>
    <row r="7" spans="1:14" x14ac:dyDescent="0.25">
      <c r="A7" s="1534" t="s">
        <v>2284</v>
      </c>
      <c r="B7" s="1539">
        <f>IF(B11&lt;&gt;0,B6/(B11),IF(AND(B11=0,B6&lt;0),0,0))</f>
        <v>2.7257520123005157</v>
      </c>
      <c r="C7" s="1539">
        <f>IF(C11&lt;&gt;0,C6/(C11),IF(AND(C11=0,C6&lt;0),0,0))</f>
        <v>2.2899014004292555</v>
      </c>
      <c r="D7" s="1539">
        <f t="shared" ref="D7:E7" si="1">IF(D11&lt;&gt;0,D6/(D11),IF(AND(D11=0,D6&lt;0),0,0))</f>
        <v>2.1078295228078732</v>
      </c>
      <c r="E7" s="1539">
        <f t="shared" si="1"/>
        <v>2.2271367827526443</v>
      </c>
    </row>
    <row r="8" spans="1:14" x14ac:dyDescent="0.25">
      <c r="A8" s="875"/>
      <c r="B8" s="875" t="str">
        <f>IF(B11=0,"",IF(B7&lt;100%,"INSOSTENIBLE","SOSTENIBLE"))</f>
        <v>SOSTENIBLE</v>
      </c>
      <c r="C8" s="875" t="str">
        <f>IF(C11=0,"",IF(C7&lt;100%,"INSOSTENIBLE","SOSTENIBLE"))</f>
        <v>SOSTENIBLE</v>
      </c>
      <c r="D8" s="875" t="str">
        <f t="shared" ref="D8:E8" si="2">IF(D11=0,"",IF(D7&lt;100%,"INSOSTENIBLE","SOSTENIBLE"))</f>
        <v>SOSTENIBLE</v>
      </c>
      <c r="E8" s="875" t="str">
        <f t="shared" si="2"/>
        <v>SOSTENIBLE</v>
      </c>
    </row>
    <row r="9" spans="1:14" x14ac:dyDescent="0.25">
      <c r="A9" s="1540" t="s">
        <v>2286</v>
      </c>
      <c r="B9" s="1541"/>
    </row>
    <row r="10" spans="1:14" x14ac:dyDescent="0.25">
      <c r="A10" s="1534" t="s">
        <v>2287</v>
      </c>
      <c r="B10" s="1534">
        <f>+B1</f>
        <v>2024</v>
      </c>
      <c r="C10" s="1534">
        <f t="shared" ref="C10:E10" si="3">+C1</f>
        <v>2025</v>
      </c>
      <c r="D10" s="1534">
        <f t="shared" si="3"/>
        <v>2026</v>
      </c>
      <c r="E10" s="1534">
        <f t="shared" si="3"/>
        <v>2027</v>
      </c>
    </row>
    <row r="11" spans="1:14" x14ac:dyDescent="0.25">
      <c r="A11" s="1542" t="s">
        <v>2288</v>
      </c>
      <c r="B11" s="1543">
        <f>+B33</f>
        <v>6292370421</v>
      </c>
      <c r="C11" s="1543">
        <f t="shared" ref="C11:E11" si="4">+C33</f>
        <v>7775137201</v>
      </c>
      <c r="D11" s="1543">
        <f t="shared" si="4"/>
        <v>10967761540</v>
      </c>
      <c r="E11" s="1543">
        <f t="shared" si="4"/>
        <v>11940178569</v>
      </c>
    </row>
    <row r="15" spans="1:14" ht="49.5" x14ac:dyDescent="0.25">
      <c r="A15" s="1622" t="s">
        <v>2290</v>
      </c>
      <c r="B15" s="1622" t="str">
        <f>"Capacidad de endeudamiento (Ley 358/97)       "&amp;[4]Entidad!A25</f>
        <v xml:space="preserve">Capacidad de endeudamiento (Ley 358/97)       </v>
      </c>
      <c r="C15" s="1637">
        <v>2025</v>
      </c>
      <c r="D15" s="1622">
        <f>+C15+1</f>
        <v>2026</v>
      </c>
      <c r="E15" s="1622">
        <v>2027</v>
      </c>
      <c r="F15" s="1622">
        <v>2028</v>
      </c>
      <c r="G15" s="1622">
        <v>2029</v>
      </c>
      <c r="H15" s="1622">
        <v>2030</v>
      </c>
      <c r="I15" s="1622">
        <v>2031</v>
      </c>
      <c r="J15" s="1622">
        <v>2032</v>
      </c>
      <c r="K15" s="1622">
        <v>2033</v>
      </c>
      <c r="L15" s="1622">
        <v>2034</v>
      </c>
      <c r="M15" s="1622">
        <v>2035</v>
      </c>
      <c r="N15" s="1622">
        <v>2036</v>
      </c>
    </row>
    <row r="16" spans="1:14" x14ac:dyDescent="0.25">
      <c r="A16" s="1623" t="s">
        <v>2292</v>
      </c>
      <c r="B16" s="1624">
        <f>B17-B18</f>
        <v>129710175000</v>
      </c>
      <c r="C16" s="1624">
        <f t="shared" ref="C16:N16" si="5">C17-C18</f>
        <v>138134453030</v>
      </c>
      <c r="D16" s="1624">
        <f t="shared" si="5"/>
        <v>147317535537.5</v>
      </c>
      <c r="E16" s="1624">
        <f t="shared" si="5"/>
        <v>157362426504.79102</v>
      </c>
      <c r="F16" s="1624">
        <f t="shared" si="5"/>
        <v>165230547830.03058</v>
      </c>
      <c r="G16" s="1624">
        <f t="shared" si="5"/>
        <v>173492075221.5321</v>
      </c>
      <c r="H16" s="1624">
        <f t="shared" si="5"/>
        <v>182166678982.6087</v>
      </c>
      <c r="I16" s="1624">
        <f t="shared" si="5"/>
        <v>191275012931.73914</v>
      </c>
      <c r="J16" s="1624">
        <f t="shared" si="5"/>
        <v>200838763578.32611</v>
      </c>
      <c r="K16" s="1624">
        <f t="shared" si="5"/>
        <v>210880701757.24243</v>
      </c>
      <c r="L16" s="1624">
        <f t="shared" si="5"/>
        <v>221424736845.10455</v>
      </c>
      <c r="M16" s="1624">
        <f t="shared" si="5"/>
        <v>232495973687.3598</v>
      </c>
      <c r="N16" s="1624">
        <f t="shared" si="5"/>
        <v>244120772371.72781</v>
      </c>
    </row>
    <row r="17" spans="1:14" x14ac:dyDescent="0.25">
      <c r="A17" s="1625" t="s">
        <v>2294</v>
      </c>
      <c r="B17" s="1626">
        <f>+' Verdad Verdadera 24-27'!F53</f>
        <v>129710175000</v>
      </c>
      <c r="C17" s="1626">
        <f>+' Verdad Verdadera 24-27'!Y53</f>
        <v>138134453030</v>
      </c>
      <c r="D17" s="1626">
        <f>+' Verdad Verdadera 24-27'!AC53</f>
        <v>147317535537.5</v>
      </c>
      <c r="E17" s="1626">
        <f>+' Verdad Verdadera 24-27'!AG53</f>
        <v>157362426504.79102</v>
      </c>
      <c r="F17" s="1626">
        <f>+E17*1.05</f>
        <v>165230547830.03058</v>
      </c>
      <c r="G17" s="1626">
        <f t="shared" ref="G17:N17" si="6">+F17*1.05</f>
        <v>173492075221.5321</v>
      </c>
      <c r="H17" s="1626">
        <f t="shared" si="6"/>
        <v>182166678982.6087</v>
      </c>
      <c r="I17" s="1626">
        <f t="shared" si="6"/>
        <v>191275012931.73914</v>
      </c>
      <c r="J17" s="1626">
        <f t="shared" si="6"/>
        <v>200838763578.32611</v>
      </c>
      <c r="K17" s="1626">
        <f t="shared" si="6"/>
        <v>210880701757.24243</v>
      </c>
      <c r="L17" s="1626">
        <f t="shared" si="6"/>
        <v>221424736845.10455</v>
      </c>
      <c r="M17" s="1626">
        <f t="shared" si="6"/>
        <v>232495973687.3598</v>
      </c>
      <c r="N17" s="1626">
        <f t="shared" si="6"/>
        <v>244120772371.72781</v>
      </c>
    </row>
    <row r="18" spans="1:14" x14ac:dyDescent="0.25">
      <c r="A18" s="1625" t="s">
        <v>2296</v>
      </c>
      <c r="B18" s="1626">
        <f>IFERROR(VLOOKUP([4]Entidad!$B$12&amp;"-"&amp;'[4]Capacidad de Endeudamiento'!$A18,[4]DAF_Ley358!$A$2:$G$56,7,FALSE),0)</f>
        <v>0</v>
      </c>
      <c r="C18" s="1627"/>
      <c r="D18" s="1627"/>
      <c r="E18" s="149"/>
      <c r="F18" s="149"/>
      <c r="G18" s="149"/>
      <c r="H18" s="149"/>
      <c r="I18" s="149"/>
      <c r="J18" s="149"/>
      <c r="K18" s="149"/>
      <c r="L18" s="147"/>
      <c r="M18" s="147"/>
      <c r="N18" s="147"/>
    </row>
    <row r="19" spans="1:14" x14ac:dyDescent="0.25">
      <c r="A19" s="1623" t="s">
        <v>2298</v>
      </c>
      <c r="B19" s="1624">
        <f>+' Verdad Verdadera 24-27'!C181+' Verdad Verdadera 24-27'!C180+' Verdad Verdadera 24-27'!C179+' Verdad Verdadera 24-27'!C178+' Verdad Verdadera 24-27'!C184</f>
        <v>84416957387.600006</v>
      </c>
      <c r="C19" s="1624">
        <f>+' Verdad Verdadera 24-27'!W178+' Verdad Verdadera 24-27'!W179+' Verdad Verdadera 24-27'!W180+' Verdad Verdadera 24-27'!W181+' Verdad Verdadera 24-27'!W184</f>
        <v>83894324121.399994</v>
      </c>
      <c r="D19" s="1624">
        <f>+' Verdad Verdadera 24-27'!AA178+' Verdad Verdadera 24-27'!AA179+' Verdad Verdadera 24-27'!AA180+' Verdad Verdadera 24-27'!AA181+' Verdad Verdadera 24-27'!AA184</f>
        <v>87942602301.497498</v>
      </c>
      <c r="E19" s="1624">
        <f>+' Verdad Verdadera 24-27'!AE178+' Verdad Verdadera 24-27'!AE179+' Verdad Verdadera 24-27'!AE180+' Verdad Verdadera 24-27'!AE181+' Verdad Verdadera 24-27'!AE184</f>
        <v>92240506231.396881</v>
      </c>
      <c r="F19" s="1624">
        <f>+E19*1.05</f>
        <v>96852531542.966736</v>
      </c>
      <c r="G19" s="1624">
        <f t="shared" ref="G19:N19" si="7">+F19*1.05</f>
        <v>101695158120.11508</v>
      </c>
      <c r="H19" s="1624">
        <f t="shared" si="7"/>
        <v>106779916026.12083</v>
      </c>
      <c r="I19" s="1624">
        <f t="shared" si="7"/>
        <v>112118911827.42688</v>
      </c>
      <c r="J19" s="1624">
        <f t="shared" si="7"/>
        <v>117724857418.79823</v>
      </c>
      <c r="K19" s="1624">
        <f t="shared" si="7"/>
        <v>123611100289.73814</v>
      </c>
      <c r="L19" s="1624">
        <f t="shared" si="7"/>
        <v>129791655304.22505</v>
      </c>
      <c r="M19" s="1624">
        <f t="shared" si="7"/>
        <v>136281238069.43631</v>
      </c>
      <c r="N19" s="1624">
        <f t="shared" si="7"/>
        <v>143095299972.90814</v>
      </c>
    </row>
    <row r="20" spans="1:14" x14ac:dyDescent="0.25">
      <c r="A20" s="1623" t="s">
        <v>2299</v>
      </c>
      <c r="B20" s="1624">
        <f>B16-B19</f>
        <v>45293217612.399994</v>
      </c>
      <c r="C20" s="1624">
        <f t="shared" ref="C20:N20" si="8">C16-C19</f>
        <v>54240128908.600006</v>
      </c>
      <c r="D20" s="1624">
        <f t="shared" si="8"/>
        <v>59374933236.002502</v>
      </c>
      <c r="E20" s="1624">
        <f t="shared" si="8"/>
        <v>65121920273.394135</v>
      </c>
      <c r="F20" s="1624">
        <f t="shared" si="8"/>
        <v>68378016287.063843</v>
      </c>
      <c r="G20" s="1624">
        <f t="shared" si="8"/>
        <v>71796917101.417023</v>
      </c>
      <c r="H20" s="1624">
        <f t="shared" si="8"/>
        <v>75386762956.487869</v>
      </c>
      <c r="I20" s="1624">
        <f t="shared" si="8"/>
        <v>79156101104.312256</v>
      </c>
      <c r="J20" s="1624">
        <f t="shared" si="8"/>
        <v>83113906159.527878</v>
      </c>
      <c r="K20" s="1624">
        <f t="shared" si="8"/>
        <v>87269601467.504288</v>
      </c>
      <c r="L20" s="1624">
        <f t="shared" si="8"/>
        <v>91633081540.879501</v>
      </c>
      <c r="M20" s="1624">
        <f t="shared" si="8"/>
        <v>96214735617.923492</v>
      </c>
      <c r="N20" s="1624">
        <f t="shared" si="8"/>
        <v>101025472398.81967</v>
      </c>
    </row>
    <row r="21" spans="1:14" x14ac:dyDescent="0.25">
      <c r="A21" s="1623" t="s">
        <v>2300</v>
      </c>
      <c r="B21" s="1628">
        <f t="shared" ref="B21:N21" si="9">B22-B27-B31+B32</f>
        <v>37190393057</v>
      </c>
      <c r="C21" s="1629">
        <f t="shared" si="9"/>
        <v>47983080765</v>
      </c>
      <c r="D21" s="1630">
        <f t="shared" si="9"/>
        <v>72269385265</v>
      </c>
      <c r="E21" s="1630">
        <f t="shared" si="9"/>
        <v>79737507941</v>
      </c>
      <c r="F21" s="1630">
        <f t="shared" si="9"/>
        <v>68785479598</v>
      </c>
      <c r="G21" s="1630">
        <f t="shared" si="9"/>
        <v>56753348532</v>
      </c>
      <c r="H21" s="1630">
        <f t="shared" si="9"/>
        <v>46467854844</v>
      </c>
      <c r="I21" s="1630">
        <f t="shared" si="9"/>
        <v>36182361156</v>
      </c>
      <c r="J21" s="1630">
        <f t="shared" si="9"/>
        <v>25896867468</v>
      </c>
      <c r="K21" s="1630">
        <f t="shared" si="9"/>
        <v>16364565371</v>
      </c>
      <c r="L21" s="1630">
        <f t="shared" si="9"/>
        <v>9091838099</v>
      </c>
      <c r="M21" s="1630">
        <f t="shared" si="9"/>
        <v>3182747190</v>
      </c>
      <c r="N21" s="1630">
        <f t="shared" si="9"/>
        <v>929009</v>
      </c>
    </row>
    <row r="22" spans="1:14" x14ac:dyDescent="0.25">
      <c r="A22" s="1625" t="s">
        <v>2301</v>
      </c>
      <c r="B22" s="1626">
        <f>B23-B24+B25+B26</f>
        <v>39891322141</v>
      </c>
      <c r="C22" s="1626">
        <f t="shared" ref="C22:N22" si="10">C23-C24+C25+C26</f>
        <v>52190393057</v>
      </c>
      <c r="D22" s="1626">
        <f t="shared" si="10"/>
        <v>77983080765</v>
      </c>
      <c r="E22" s="1626">
        <f t="shared" si="10"/>
        <v>87269385265</v>
      </c>
      <c r="F22" s="1626">
        <f t="shared" si="10"/>
        <v>79737507941</v>
      </c>
      <c r="G22" s="1626">
        <f t="shared" si="10"/>
        <v>68785479598</v>
      </c>
      <c r="H22" s="1626">
        <f t="shared" si="10"/>
        <v>56753348532</v>
      </c>
      <c r="I22" s="1626">
        <f t="shared" si="10"/>
        <v>46467854844</v>
      </c>
      <c r="J22" s="1626">
        <f t="shared" si="10"/>
        <v>36182361156</v>
      </c>
      <c r="K22" s="1626">
        <f t="shared" si="10"/>
        <v>25896867468</v>
      </c>
      <c r="L22" s="1626">
        <f t="shared" si="10"/>
        <v>16364565371</v>
      </c>
      <c r="M22" s="1626">
        <f t="shared" si="10"/>
        <v>9091838099</v>
      </c>
      <c r="N22" s="1626">
        <f t="shared" si="10"/>
        <v>3182747190</v>
      </c>
    </row>
    <row r="23" spans="1:14" x14ac:dyDescent="0.25">
      <c r="A23" s="1631" t="s">
        <v>2303</v>
      </c>
      <c r="B23" s="1627">
        <v>29876674454</v>
      </c>
      <c r="C23" s="1628">
        <f>+B21</f>
        <v>37190393057</v>
      </c>
      <c r="D23" s="1629">
        <f t="shared" ref="D23:E23" si="11">+C21</f>
        <v>47983080765</v>
      </c>
      <c r="E23" s="1629">
        <f t="shared" si="11"/>
        <v>72269385265</v>
      </c>
      <c r="F23" s="1629">
        <f t="shared" ref="F23" si="12">+E21</f>
        <v>79737507941</v>
      </c>
      <c r="G23" s="1629">
        <f t="shared" ref="G23" si="13">+F21</f>
        <v>68785479598</v>
      </c>
      <c r="H23" s="1629">
        <f t="shared" ref="H23" si="14">+G21</f>
        <v>56753348532</v>
      </c>
      <c r="I23" s="1629">
        <f t="shared" ref="I23" si="15">+H21</f>
        <v>46467854844</v>
      </c>
      <c r="J23" s="1629">
        <f t="shared" ref="J23" si="16">+I21</f>
        <v>36182361156</v>
      </c>
      <c r="K23" s="1629">
        <f t="shared" ref="K23" si="17">+J21</f>
        <v>25896867468</v>
      </c>
      <c r="L23" s="1629">
        <f t="shared" ref="L23" si="18">+K21</f>
        <v>16364565371</v>
      </c>
      <c r="M23" s="1629">
        <f t="shared" ref="M23" si="19">+L21</f>
        <v>9091838099</v>
      </c>
      <c r="N23" s="1629">
        <f t="shared" ref="N23" si="20">+M21</f>
        <v>3182747190</v>
      </c>
    </row>
    <row r="24" spans="1:14" x14ac:dyDescent="0.25">
      <c r="A24" s="1631" t="s">
        <v>2305</v>
      </c>
      <c r="B24" s="1627">
        <f>IFERROR(VLOOKUP([4]Entidad!$B$12&amp;"-"&amp;'[4]Capacidad de Endeudamiento'!$A24,[4]DAF_Ley358!$A$2:$G$56,7,FALSE),0)</f>
        <v>0</v>
      </c>
      <c r="C24" s="1627"/>
      <c r="D24" s="1627"/>
      <c r="E24" s="149"/>
      <c r="F24" s="149"/>
      <c r="G24" s="149"/>
      <c r="H24" s="149"/>
      <c r="I24" s="149"/>
      <c r="J24" s="149"/>
      <c r="K24" s="149"/>
      <c r="L24" s="147"/>
      <c r="M24" s="147"/>
      <c r="N24" s="147"/>
    </row>
    <row r="25" spans="1:14" x14ac:dyDescent="0.25">
      <c r="A25" s="1631" t="s">
        <v>2306</v>
      </c>
      <c r="B25" s="1627">
        <v>10014647687</v>
      </c>
      <c r="C25" s="1627"/>
      <c r="D25" s="1627"/>
      <c r="E25" s="149"/>
      <c r="F25" s="149"/>
      <c r="G25" s="149"/>
      <c r="H25" s="149"/>
      <c r="I25" s="149"/>
      <c r="J25" s="149"/>
      <c r="K25" s="149"/>
      <c r="L25" s="147"/>
      <c r="M25" s="147"/>
      <c r="N25" s="147"/>
    </row>
    <row r="26" spans="1:14" x14ac:dyDescent="0.25">
      <c r="A26" s="1631" t="s">
        <v>2307</v>
      </c>
      <c r="B26" s="1627"/>
      <c r="C26" s="1627">
        <v>15000000000</v>
      </c>
      <c r="D26" s="1627">
        <v>30000000000</v>
      </c>
      <c r="E26" s="1627">
        <v>15000000000</v>
      </c>
      <c r="F26" s="149"/>
      <c r="G26" s="149"/>
      <c r="H26" s="149"/>
      <c r="I26" s="149"/>
      <c r="J26" s="149"/>
      <c r="K26" s="149"/>
      <c r="L26" s="147"/>
      <c r="M26" s="147"/>
      <c r="N26" s="147"/>
    </row>
    <row r="27" spans="1:14" x14ac:dyDescent="0.25">
      <c r="A27" s="1625" t="s">
        <v>2308</v>
      </c>
      <c r="B27" s="1626">
        <f>B28-B29+B30</f>
        <v>2700929084</v>
      </c>
      <c r="C27" s="1626">
        <f>C28-C29+C30</f>
        <v>4207312292</v>
      </c>
      <c r="D27" s="1626">
        <f t="shared" ref="D27:N27" si="21">D28-D29+D30</f>
        <v>5713695500</v>
      </c>
      <c r="E27" s="1626">
        <f t="shared" si="21"/>
        <v>7531877324</v>
      </c>
      <c r="F27" s="1626">
        <f t="shared" si="21"/>
        <v>10952028343</v>
      </c>
      <c r="G27" s="1626">
        <f t="shared" si="21"/>
        <v>12032131066</v>
      </c>
      <c r="H27" s="1626">
        <f t="shared" si="21"/>
        <v>10285493688</v>
      </c>
      <c r="I27" s="1626">
        <f t="shared" si="21"/>
        <v>10285493688</v>
      </c>
      <c r="J27" s="1626">
        <f t="shared" si="21"/>
        <v>10285493688</v>
      </c>
      <c r="K27" s="1626">
        <f t="shared" si="21"/>
        <v>9532302097</v>
      </c>
      <c r="L27" s="1626">
        <f t="shared" si="21"/>
        <v>7272727272</v>
      </c>
      <c r="M27" s="1626">
        <f t="shared" si="21"/>
        <v>5909090909</v>
      </c>
      <c r="N27" s="1626">
        <f t="shared" si="21"/>
        <v>3181818181</v>
      </c>
    </row>
    <row r="28" spans="1:14" x14ac:dyDescent="0.25">
      <c r="A28" s="1631" t="s">
        <v>2310</v>
      </c>
      <c r="B28" s="1627">
        <v>2700929084</v>
      </c>
      <c r="C28" s="1632">
        <v>4207312292</v>
      </c>
      <c r="D28" s="1632">
        <v>5713695500</v>
      </c>
      <c r="E28" s="1632">
        <f>+D28</f>
        <v>5713695500</v>
      </c>
      <c r="F28" s="1632">
        <v>5497482889</v>
      </c>
      <c r="G28" s="1632">
        <v>4759403794</v>
      </c>
      <c r="H28" s="1632">
        <v>3012766416</v>
      </c>
      <c r="I28" s="1632">
        <f>+H28</f>
        <v>3012766416</v>
      </c>
      <c r="J28" s="1632">
        <f>+I28</f>
        <v>3012766416</v>
      </c>
      <c r="K28" s="1632">
        <v>2259574825</v>
      </c>
      <c r="L28" s="1632"/>
      <c r="M28" s="1632"/>
      <c r="N28" s="1632"/>
    </row>
    <row r="29" spans="1:14" x14ac:dyDescent="0.25">
      <c r="A29" s="1631" t="s">
        <v>2312</v>
      </c>
      <c r="B29" s="1627">
        <f>IFERROR(VLOOKUP([4]Entidad!$B$12&amp;"-"&amp;'[4]Capacidad de Endeudamiento'!$A29,[4]DAF_Ley358!$A$2:$G$56,7,FALSE),0)</f>
        <v>0</v>
      </c>
      <c r="C29" s="1627"/>
      <c r="D29" s="1627"/>
      <c r="E29" s="149"/>
      <c r="F29" s="149"/>
      <c r="G29" s="149"/>
      <c r="H29" s="149"/>
      <c r="I29" s="149"/>
      <c r="J29" s="149"/>
      <c r="K29" s="149"/>
      <c r="L29" s="147"/>
      <c r="M29" s="147"/>
      <c r="N29" s="147"/>
    </row>
    <row r="30" spans="1:14" x14ac:dyDescent="0.25">
      <c r="A30" s="1631" t="s">
        <v>2313</v>
      </c>
      <c r="B30" s="1627"/>
      <c r="C30" s="1627"/>
      <c r="D30" s="1627"/>
      <c r="E30" s="1632">
        <f>1818181818+6</f>
        <v>1818181824</v>
      </c>
      <c r="F30" s="1632">
        <v>5454545454</v>
      </c>
      <c r="G30" s="1632">
        <v>7272727272</v>
      </c>
      <c r="H30" s="1632">
        <v>7272727272</v>
      </c>
      <c r="I30" s="1632">
        <v>7272727272</v>
      </c>
      <c r="J30" s="1632">
        <v>7272727272</v>
      </c>
      <c r="K30" s="1632">
        <v>7272727272</v>
      </c>
      <c r="L30" s="1632">
        <v>7272727272</v>
      </c>
      <c r="M30" s="1632">
        <v>5909090909</v>
      </c>
      <c r="N30" s="1632">
        <v>3181818181</v>
      </c>
    </row>
    <row r="31" spans="1:14" x14ac:dyDescent="0.25">
      <c r="A31" s="1625" t="s">
        <v>2315</v>
      </c>
      <c r="B31" s="1627">
        <f>IFERROR(VLOOKUP([4]Entidad!$B$12&amp;"-"&amp;'[4]Capacidad de Endeudamiento'!$A31,[4]DAF_Ley358!$A$2:$G$56,7,FALSE),0)</f>
        <v>0</v>
      </c>
      <c r="C31" s="1627"/>
      <c r="D31" s="1627"/>
      <c r="E31" s="149"/>
      <c r="F31" s="149"/>
      <c r="G31" s="149"/>
      <c r="H31" s="149"/>
      <c r="I31" s="149"/>
      <c r="J31" s="149"/>
      <c r="K31" s="149"/>
      <c r="L31" s="147"/>
      <c r="M31" s="147"/>
      <c r="N31" s="147"/>
    </row>
    <row r="32" spans="1:14" x14ac:dyDescent="0.25">
      <c r="A32" s="1625" t="s">
        <v>2317</v>
      </c>
      <c r="B32" s="1627">
        <f>IFERROR(VLOOKUP([4]Entidad!$B$12&amp;"-"&amp;'[4]Capacidad de Endeudamiento'!$A32,[4]DAF_Ley358!$A$2:$G$56,7,FALSE),0)</f>
        <v>0</v>
      </c>
      <c r="C32" s="1627"/>
      <c r="D32" s="1627"/>
      <c r="E32" s="149"/>
      <c r="F32" s="149"/>
      <c r="G32" s="149"/>
      <c r="H32" s="149"/>
      <c r="I32" s="149"/>
      <c r="J32" s="149"/>
      <c r="K32" s="149"/>
      <c r="L32" s="147"/>
      <c r="M32" s="147"/>
      <c r="N32" s="147"/>
    </row>
    <row r="33" spans="1:14" x14ac:dyDescent="0.25">
      <c r="A33" s="1623" t="s">
        <v>2318</v>
      </c>
      <c r="B33" s="1626">
        <f>B34-B35+B36</f>
        <v>6292370421</v>
      </c>
      <c r="C33" s="1626">
        <f>C34-C35+C36</f>
        <v>7775137201</v>
      </c>
      <c r="D33" s="1626">
        <f t="shared" ref="D33:N33" si="22">D34-D35+D36</f>
        <v>10967761540</v>
      </c>
      <c r="E33" s="1626">
        <f t="shared" si="22"/>
        <v>11940178569</v>
      </c>
      <c r="F33" s="1626">
        <f t="shared" si="22"/>
        <v>10524237386</v>
      </c>
      <c r="G33" s="1626">
        <f t="shared" si="22"/>
        <v>8835626840</v>
      </c>
      <c r="H33" s="1626">
        <f t="shared" si="22"/>
        <v>7200136229</v>
      </c>
      <c r="I33" s="1626">
        <f t="shared" si="22"/>
        <v>5730396566</v>
      </c>
      <c r="J33" s="1626">
        <f t="shared" si="22"/>
        <v>4260656901</v>
      </c>
      <c r="K33" s="1626">
        <f t="shared" si="22"/>
        <v>2801172647</v>
      </c>
      <c r="L33" s="1626">
        <f t="shared" si="22"/>
        <v>1669861549</v>
      </c>
      <c r="M33" s="1626">
        <f t="shared" si="22"/>
        <v>768747237</v>
      </c>
      <c r="N33" s="1626">
        <f t="shared" si="22"/>
        <v>188368328</v>
      </c>
    </row>
    <row r="34" spans="1:14" x14ac:dyDescent="0.25">
      <c r="A34" s="1631" t="s">
        <v>2320</v>
      </c>
      <c r="B34" s="1627">
        <v>6292370421</v>
      </c>
      <c r="C34" s="1627">
        <v>5759084843</v>
      </c>
      <c r="D34" s="1627">
        <v>4919604466</v>
      </c>
      <c r="E34" s="1632">
        <v>4008336211</v>
      </c>
      <c r="F34" s="1632">
        <v>3101499158</v>
      </c>
      <c r="G34" s="1632">
        <v>2278365635</v>
      </c>
      <c r="H34" s="1632">
        <v>1620354955</v>
      </c>
      <c r="I34" s="1632">
        <v>1128095223</v>
      </c>
      <c r="J34" s="1632">
        <v>635835490</v>
      </c>
      <c r="K34" s="1632">
        <v>153831167</v>
      </c>
      <c r="L34" s="1632"/>
      <c r="M34" s="1632"/>
      <c r="N34" s="1632"/>
    </row>
    <row r="35" spans="1:14" x14ac:dyDescent="0.25">
      <c r="A35" s="1631" t="s">
        <v>2322</v>
      </c>
      <c r="B35" s="1627">
        <f>IFERROR(VLOOKUP([4]Entidad!$B$12&amp;"-"&amp;'[4]Capacidad de Endeudamiento'!$A35,[4]DAF_Ley358!$A$2:$G$56,7,FALSE),0)</f>
        <v>0</v>
      </c>
      <c r="C35" s="1627"/>
      <c r="D35" s="1627"/>
      <c r="E35" s="149"/>
      <c r="F35" s="149"/>
      <c r="G35" s="149"/>
      <c r="H35" s="149"/>
      <c r="I35" s="149"/>
      <c r="J35" s="149"/>
      <c r="K35" s="149"/>
      <c r="L35" s="147"/>
      <c r="M35" s="147"/>
      <c r="N35" s="147"/>
    </row>
    <row r="36" spans="1:14" x14ac:dyDescent="0.25">
      <c r="A36" s="1631" t="s">
        <v>2323</v>
      </c>
      <c r="B36" s="1627"/>
      <c r="C36" s="1627">
        <v>2016052358</v>
      </c>
      <c r="D36" s="1627">
        <v>6048157074</v>
      </c>
      <c r="E36" s="1632">
        <v>7931842358</v>
      </c>
      <c r="F36" s="1632">
        <v>7422738228</v>
      </c>
      <c r="G36" s="1632">
        <v>6557261205</v>
      </c>
      <c r="H36" s="1632">
        <v>5579781274</v>
      </c>
      <c r="I36" s="1632">
        <v>4602301343</v>
      </c>
      <c r="J36" s="1632">
        <v>3624821411</v>
      </c>
      <c r="K36" s="1632">
        <v>2647341480</v>
      </c>
      <c r="L36" s="1632">
        <v>1669861549</v>
      </c>
      <c r="M36" s="1632">
        <v>768747237</v>
      </c>
      <c r="N36" s="1632">
        <v>188368328</v>
      </c>
    </row>
    <row r="37" spans="1:14" x14ac:dyDescent="0.25">
      <c r="A37" s="1623" t="s">
        <v>2324</v>
      </c>
      <c r="B37" s="1633">
        <f>(B33/B20)</f>
        <v>0.13892522440881586</v>
      </c>
      <c r="C37" s="1638">
        <f t="shared" ref="C37:N37" si="23">(C33/C20)</f>
        <v>0.14334658411490644</v>
      </c>
      <c r="D37" s="1633">
        <f t="shared" si="23"/>
        <v>0.18472040206606249</v>
      </c>
      <c r="E37" s="1633">
        <f t="shared" si="23"/>
        <v>0.18335114380646136</v>
      </c>
      <c r="F37" s="1633">
        <f t="shared" si="23"/>
        <v>0.15391258707794711</v>
      </c>
      <c r="G37" s="1633">
        <f t="shared" si="23"/>
        <v>0.12306415368112812</v>
      </c>
      <c r="H37" s="1633">
        <f t="shared" si="23"/>
        <v>9.5509290313417664E-2</v>
      </c>
      <c r="I37" s="1633">
        <f t="shared" si="23"/>
        <v>7.2393618256266293E-2</v>
      </c>
      <c r="J37" s="1633">
        <f t="shared" si="23"/>
        <v>5.1262864397470916E-2</v>
      </c>
      <c r="K37" s="1633">
        <f t="shared" si="23"/>
        <v>3.2097919549260744E-2</v>
      </c>
      <c r="L37" s="1633">
        <f t="shared" si="23"/>
        <v>1.8223348172079518E-2</v>
      </c>
      <c r="M37" s="1633">
        <f t="shared" si="23"/>
        <v>7.989911649840805E-3</v>
      </c>
      <c r="N37" s="1633">
        <f t="shared" si="23"/>
        <v>1.8645627041106595E-3</v>
      </c>
    </row>
    <row r="38" spans="1:14" x14ac:dyDescent="0.25">
      <c r="A38" s="1623" t="s">
        <v>2325</v>
      </c>
      <c r="B38" s="1633">
        <f>B21/B16</f>
        <v>0.28671916491516569</v>
      </c>
      <c r="C38" s="1638">
        <f t="shared" ref="C38:N38" si="24">C21/C16</f>
        <v>0.34736504697042558</v>
      </c>
      <c r="D38" s="1633">
        <f t="shared" si="24"/>
        <v>0.49056879075066845</v>
      </c>
      <c r="E38" s="1633">
        <f t="shared" si="24"/>
        <v>0.50671249619153735</v>
      </c>
      <c r="F38" s="1633">
        <f t="shared" si="24"/>
        <v>0.41630001535041977</v>
      </c>
      <c r="G38" s="1633">
        <f t="shared" si="24"/>
        <v>0.32712357875442799</v>
      </c>
      <c r="H38" s="1633">
        <f t="shared" si="24"/>
        <v>0.25508427284023905</v>
      </c>
      <c r="I38" s="1633">
        <f t="shared" si="24"/>
        <v>0.18916407638101954</v>
      </c>
      <c r="J38" s="1633">
        <f t="shared" si="24"/>
        <v>0.12894357148290425</v>
      </c>
      <c r="K38" s="1633">
        <f t="shared" si="24"/>
        <v>7.7601057065137438E-2</v>
      </c>
      <c r="L38" s="1633">
        <f t="shared" si="24"/>
        <v>4.1060625061779363E-2</v>
      </c>
      <c r="M38" s="1633">
        <f t="shared" si="24"/>
        <v>1.3689472292883142E-2</v>
      </c>
      <c r="N38" s="1633">
        <f t="shared" si="24"/>
        <v>3.8055303158937191E-6</v>
      </c>
    </row>
    <row r="39" spans="1:14" x14ac:dyDescent="0.25">
      <c r="A39" s="1623" t="s">
        <v>2326</v>
      </c>
      <c r="B39" s="1634" t="str">
        <f>IF(B20&lt;0,"AHORRO NEGATIVO",IF(B38&gt;0.8,"ROJO",IF(B37&gt;0.4,"ROJO","VERDE")))</f>
        <v>VERDE</v>
      </c>
      <c r="C39" s="1626" t="str">
        <f t="shared" ref="C39:N39" si="25">IF(C20&lt;0,"AHORRO NEGATIVO",IF(C38&gt;0.8,"ROJO",IF(C37&gt;0.4,"ROJO","VERDE")))</f>
        <v>VERDE</v>
      </c>
      <c r="D39" s="1634" t="str">
        <f t="shared" si="25"/>
        <v>VERDE</v>
      </c>
      <c r="E39" s="1634" t="str">
        <f t="shared" si="25"/>
        <v>VERDE</v>
      </c>
      <c r="F39" s="1634" t="str">
        <f t="shared" si="25"/>
        <v>VERDE</v>
      </c>
      <c r="G39" s="1634" t="str">
        <f t="shared" si="25"/>
        <v>VERDE</v>
      </c>
      <c r="H39" s="1634" t="str">
        <f t="shared" si="25"/>
        <v>VERDE</v>
      </c>
      <c r="I39" s="1634" t="str">
        <f t="shared" si="25"/>
        <v>VERDE</v>
      </c>
      <c r="J39" s="1634" t="str">
        <f t="shared" si="25"/>
        <v>VERDE</v>
      </c>
      <c r="K39" s="1634" t="str">
        <f t="shared" si="25"/>
        <v>VERDE</v>
      </c>
      <c r="L39" s="1634" t="str">
        <f t="shared" si="25"/>
        <v>VERDE</v>
      </c>
      <c r="M39" s="1634" t="str">
        <f t="shared" si="25"/>
        <v>VERDE</v>
      </c>
      <c r="N39" s="1634" t="str">
        <f t="shared" si="25"/>
        <v>VERDE</v>
      </c>
    </row>
    <row r="40" spans="1:14" x14ac:dyDescent="0.25">
      <c r="A40" s="1635" t="s">
        <v>2326</v>
      </c>
      <c r="B40" s="1636">
        <f>IF(B39="VERDE",1,0)</f>
        <v>1</v>
      </c>
      <c r="C40" s="1639">
        <f t="shared" ref="C40:N40" si="26">IF(C39="VERDE",1,0)</f>
        <v>1</v>
      </c>
      <c r="D40" s="1636">
        <f t="shared" si="26"/>
        <v>1</v>
      </c>
      <c r="E40" s="1636">
        <f t="shared" si="26"/>
        <v>1</v>
      </c>
      <c r="F40" s="1636">
        <f t="shared" si="26"/>
        <v>1</v>
      </c>
      <c r="G40" s="1636">
        <f t="shared" si="26"/>
        <v>1</v>
      </c>
      <c r="H40" s="1636">
        <f t="shared" si="26"/>
        <v>1</v>
      </c>
      <c r="I40" s="1636">
        <f t="shared" si="26"/>
        <v>1</v>
      </c>
      <c r="J40" s="1636">
        <f t="shared" si="26"/>
        <v>1</v>
      </c>
      <c r="K40" s="1636">
        <f t="shared" si="26"/>
        <v>1</v>
      </c>
      <c r="L40" s="1636">
        <f t="shared" si="26"/>
        <v>1</v>
      </c>
      <c r="M40" s="1636">
        <f t="shared" si="26"/>
        <v>1</v>
      </c>
      <c r="N40" s="1636">
        <f t="shared" si="26"/>
        <v>1</v>
      </c>
    </row>
    <row r="41" spans="1:14" ht="16.5" x14ac:dyDescent="0.3">
      <c r="A41" s="1620"/>
      <c r="B41" s="1621"/>
      <c r="C41" s="1640"/>
      <c r="D41" s="1621"/>
    </row>
    <row r="42" spans="1:14" ht="16.5" x14ac:dyDescent="0.3">
      <c r="A42" s="870"/>
      <c r="B42" s="870"/>
      <c r="C42" s="1641"/>
      <c r="D42" s="870"/>
    </row>
  </sheetData>
  <conditionalFormatting sqref="B40:N40">
    <cfRule type="cellIs" dxfId="3" priority="1" stopIfTrue="1" operator="equal">
      <formula>1</formula>
    </cfRule>
    <cfRule type="cellIs" dxfId="2" priority="2" stopIfTrue="1" operator="equal">
      <formula>0</formula>
    </cfRule>
  </conditionalFormatting>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EE5D-8EF2-457A-A5F4-CC0E14335340}">
  <sheetPr>
    <tabColor theme="8" tint="-0.249977111117893"/>
  </sheetPr>
  <dimension ref="A2:T188"/>
  <sheetViews>
    <sheetView topLeftCell="B1" zoomScale="150" zoomScaleNormal="150" workbookViewId="0">
      <selection activeCell="B1" sqref="A1:XFD1048576"/>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bestFit="1" customWidth="1"/>
    <col min="5" max="5" width="27" style="42" bestFit="1" customWidth="1"/>
    <col min="6" max="6" width="19.140625" style="42" bestFit="1" customWidth="1"/>
    <col min="7" max="7" width="16.140625" style="42" customWidth="1"/>
    <col min="8" max="8" width="27.28515625" style="41" customWidth="1"/>
    <col min="9" max="9" width="19.28515625" style="1294" bestFit="1" customWidth="1"/>
    <col min="10" max="10" width="14.140625" style="41" bestFit="1" customWidth="1"/>
    <col min="11" max="11" width="25.140625" style="41" customWidth="1"/>
    <col min="12" max="12" width="15.140625" style="41" bestFit="1" customWidth="1"/>
    <col min="13" max="14" width="11.42578125" style="41"/>
    <col min="15" max="15" width="13.140625" style="42" bestFit="1" customWidth="1"/>
    <col min="16" max="16" width="13.5703125" style="42" bestFit="1" customWidth="1"/>
    <col min="17" max="17" width="11.42578125" style="42"/>
    <col min="18" max="19" width="13.140625" style="42" bestFit="1" customWidth="1"/>
    <col min="20"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3" width="11.42578125" style="42"/>
    <col min="16384" max="16384" width="11.42578125" style="42" customWidth="1"/>
  </cols>
  <sheetData>
    <row r="2" spans="1:14" ht="15" customHeight="1" x14ac:dyDescent="0.25">
      <c r="A2" s="1664" t="s">
        <v>1767</v>
      </c>
      <c r="B2" s="1664"/>
      <c r="C2" s="1664"/>
      <c r="D2" s="1664"/>
      <c r="E2" s="1664"/>
      <c r="F2" s="1665"/>
      <c r="G2" s="1146"/>
    </row>
    <row r="3" spans="1:14" ht="15" customHeight="1" x14ac:dyDescent="0.25">
      <c r="A3" s="1664" t="s">
        <v>1768</v>
      </c>
      <c r="B3" s="1664"/>
      <c r="C3" s="1664"/>
      <c r="D3" s="1664"/>
      <c r="E3" s="1664"/>
      <c r="F3" s="1665"/>
      <c r="G3" s="1146"/>
    </row>
    <row r="4" spans="1:14" ht="15" customHeight="1" x14ac:dyDescent="0.25">
      <c r="A4" s="1664" t="s">
        <v>1769</v>
      </c>
      <c r="B4" s="1664"/>
      <c r="C4" s="1664"/>
      <c r="D4" s="1664"/>
      <c r="E4" s="1664"/>
      <c r="F4" s="1665"/>
      <c r="G4" s="1146"/>
    </row>
    <row r="5" spans="1:14" ht="15" customHeight="1" x14ac:dyDescent="0.25">
      <c r="A5" s="1664" t="s">
        <v>3219</v>
      </c>
      <c r="B5" s="1664"/>
      <c r="C5" s="1664"/>
      <c r="D5" s="1664"/>
      <c r="E5" s="1664"/>
      <c r="F5" s="1665"/>
      <c r="G5" s="1146"/>
    </row>
    <row r="6" spans="1:14" s="95" customFormat="1" ht="25.5" customHeight="1" x14ac:dyDescent="0.25">
      <c r="A6" s="1147" t="s">
        <v>1771</v>
      </c>
      <c r="B6" s="1148" t="s">
        <v>1772</v>
      </c>
      <c r="C6" s="1007" t="s">
        <v>1773</v>
      </c>
      <c r="D6" s="1007" t="s">
        <v>1774</v>
      </c>
      <c r="E6" s="1149" t="s">
        <v>1775</v>
      </c>
      <c r="F6" s="1007" t="s">
        <v>1776</v>
      </c>
      <c r="H6" s="1273"/>
      <c r="I6" s="1297"/>
      <c r="J6" s="1273"/>
      <c r="K6" s="1273"/>
      <c r="L6" s="1273"/>
      <c r="M6" s="1273"/>
      <c r="N6" s="1273"/>
    </row>
    <row r="7" spans="1:14" ht="25.5" x14ac:dyDescent="0.25">
      <c r="A7" s="1006">
        <v>20</v>
      </c>
      <c r="B7" s="923" t="s">
        <v>1023</v>
      </c>
      <c r="C7" s="1515">
        <f>MROUND('F Y U 2024 Presupuesto'!C7,1000)</f>
        <v>32803406000</v>
      </c>
      <c r="D7" s="924"/>
      <c r="E7" s="924"/>
      <c r="F7" s="925">
        <f>+C7</f>
        <v>32803406000</v>
      </c>
      <c r="G7" s="1146"/>
    </row>
    <row r="8" spans="1:14" ht="25.5" x14ac:dyDescent="0.25">
      <c r="A8" s="933">
        <v>20</v>
      </c>
      <c r="B8" s="923" t="s">
        <v>1157</v>
      </c>
      <c r="C8" s="1515">
        <f>MROUND('F Y U 2024 Presupuesto'!C8,1000)</f>
        <v>1478804000</v>
      </c>
      <c r="D8" s="924"/>
      <c r="E8" s="924"/>
      <c r="F8" s="924">
        <f>+C8</f>
        <v>1478804000</v>
      </c>
      <c r="G8" s="1659" t="s">
        <v>1777</v>
      </c>
    </row>
    <row r="9" spans="1:14" ht="25.5" x14ac:dyDescent="0.25">
      <c r="A9" s="922">
        <v>20</v>
      </c>
      <c r="B9" s="923" t="s">
        <v>1158</v>
      </c>
      <c r="C9" s="1515">
        <f>MROUND('F Y U 2024 Presupuesto'!C9,1000)</f>
        <v>7607895000</v>
      </c>
      <c r="D9" s="924"/>
      <c r="E9" s="924"/>
      <c r="F9" s="924">
        <f>+C9</f>
        <v>7607895000</v>
      </c>
      <c r="G9" s="1659"/>
      <c r="H9" s="41">
        <f>+C10+C11+C12+C13+C14</f>
        <v>28774686000</v>
      </c>
      <c r="I9" s="1294">
        <f>+H9*0.04</f>
        <v>1150987440</v>
      </c>
      <c r="J9" s="41">
        <f>+C12</f>
        <v>1150987000</v>
      </c>
    </row>
    <row r="10" spans="1:14" ht="15" x14ac:dyDescent="0.25">
      <c r="A10" s="922">
        <v>20</v>
      </c>
      <c r="B10" s="923" t="s">
        <v>1779</v>
      </c>
      <c r="C10" s="1515">
        <f>MROUND('F Y U 2024 Presupuesto'!C10,1000)</f>
        <v>17264812000</v>
      </c>
      <c r="D10" s="927"/>
      <c r="E10" s="924"/>
      <c r="F10" s="924">
        <f>+C10</f>
        <v>17264812000</v>
      </c>
      <c r="I10" s="1294">
        <f>+H9*0.06</f>
        <v>1726481160</v>
      </c>
      <c r="J10" s="41">
        <f>+C13</f>
        <v>1726481000</v>
      </c>
    </row>
    <row r="11" spans="1:14" ht="15" x14ac:dyDescent="0.25">
      <c r="A11" s="922">
        <v>1</v>
      </c>
      <c r="B11" s="923" t="s">
        <v>1780</v>
      </c>
      <c r="C11" s="1515">
        <f>MROUND('F Y U 2024 Presupuesto'!C11,1000)</f>
        <v>5754937000</v>
      </c>
      <c r="D11" s="927"/>
      <c r="E11" s="1251">
        <f>+C11</f>
        <v>5754937000</v>
      </c>
      <c r="F11" s="925"/>
      <c r="G11" s="1146"/>
      <c r="I11" s="1294">
        <f>+H9*0.1</f>
        <v>2877468600</v>
      </c>
      <c r="J11" s="41">
        <f>+C14</f>
        <v>2877469000</v>
      </c>
    </row>
    <row r="12" spans="1:14" ht="15" x14ac:dyDescent="0.25">
      <c r="A12" s="922">
        <v>52</v>
      </c>
      <c r="B12" s="923" t="s">
        <v>1028</v>
      </c>
      <c r="C12" s="1515">
        <f>MROUND('F Y U 2024 Presupuesto'!C12,1000)</f>
        <v>1150987000</v>
      </c>
      <c r="D12" s="924">
        <f>+C12</f>
        <v>1150987000</v>
      </c>
      <c r="E12" s="924"/>
      <c r="F12" s="925"/>
      <c r="G12" s="1146"/>
      <c r="I12" s="1294">
        <f>+H9*0.2</f>
        <v>5754937200</v>
      </c>
      <c r="J12" s="41">
        <f>+C11</f>
        <v>5754937000</v>
      </c>
    </row>
    <row r="13" spans="1:14" ht="15" x14ac:dyDescent="0.25">
      <c r="A13" s="922">
        <v>53</v>
      </c>
      <c r="B13" s="923" t="s">
        <v>1781</v>
      </c>
      <c r="C13" s="1515">
        <f>MROUND('F Y U 2024 Presupuesto'!C13,1000)</f>
        <v>1726481000</v>
      </c>
      <c r="D13" s="924"/>
      <c r="E13" s="1251">
        <f>+C13</f>
        <v>1726481000</v>
      </c>
      <c r="F13" s="924"/>
    </row>
    <row r="14" spans="1:14" ht="25.5" x14ac:dyDescent="0.25">
      <c r="A14" s="922">
        <v>13</v>
      </c>
      <c r="B14" s="923" t="s">
        <v>1030</v>
      </c>
      <c r="C14" s="1515">
        <f>MROUND('F Y U 2024 Presupuesto'!C14,1000)</f>
        <v>2877469000</v>
      </c>
      <c r="D14" s="924"/>
      <c r="E14" s="924">
        <f>+C14</f>
        <v>2877469000</v>
      </c>
      <c r="F14" s="925"/>
      <c r="G14" s="1146"/>
    </row>
    <row r="15" spans="1:14" ht="25.5" x14ac:dyDescent="0.25">
      <c r="A15" s="922">
        <v>145</v>
      </c>
      <c r="B15" s="923" t="s">
        <v>3237</v>
      </c>
      <c r="C15" s="1515">
        <f>MROUND('F Y U 2024 Presupuesto'!C15,1000)</f>
        <v>233083000</v>
      </c>
      <c r="D15" s="924"/>
      <c r="E15" s="1251">
        <f>+C15</f>
        <v>233083000</v>
      </c>
      <c r="F15" s="925"/>
      <c r="G15" s="1146"/>
    </row>
    <row r="16" spans="1:14" ht="15" x14ac:dyDescent="0.25">
      <c r="A16" s="922">
        <v>20</v>
      </c>
      <c r="B16" s="923" t="s">
        <v>3238</v>
      </c>
      <c r="C16" s="1515">
        <f>MROUND('F Y U 2024 Presupuesto'!C16,1000)</f>
        <v>4661652000</v>
      </c>
      <c r="D16" s="924"/>
      <c r="E16" s="924"/>
      <c r="F16" s="925">
        <f>+C16</f>
        <v>4661652000</v>
      </c>
      <c r="G16" s="1146"/>
    </row>
    <row r="17" spans="1:20" ht="15" x14ac:dyDescent="0.25">
      <c r="A17" s="922">
        <v>20</v>
      </c>
      <c r="B17" s="923" t="s">
        <v>3240</v>
      </c>
      <c r="C17" s="1515">
        <f>MROUND('F Y U 2024 Presupuesto'!C17,1000)</f>
        <v>21471737000</v>
      </c>
      <c r="D17" s="924"/>
      <c r="E17" s="924"/>
      <c r="F17" s="925">
        <f>+C17</f>
        <v>21471737000</v>
      </c>
      <c r="G17" s="1146"/>
    </row>
    <row r="18" spans="1:20" ht="25.5" x14ac:dyDescent="0.25">
      <c r="A18" s="922">
        <v>20</v>
      </c>
      <c r="B18" s="923" t="s">
        <v>1788</v>
      </c>
      <c r="C18" s="1515">
        <f>MROUND('F Y U 2024 Presupuesto'!C18,1000)</f>
        <v>14173023000</v>
      </c>
      <c r="D18" s="924"/>
      <c r="E18" s="924"/>
      <c r="F18" s="925">
        <f>+C18</f>
        <v>14173023000</v>
      </c>
      <c r="G18" s="1146"/>
    </row>
    <row r="19" spans="1:20" ht="25.5" x14ac:dyDescent="0.25">
      <c r="A19" s="922">
        <v>20</v>
      </c>
      <c r="B19" s="923" t="s">
        <v>1045</v>
      </c>
      <c r="C19" s="1515">
        <f>MROUND('F Y U 2024 Presupuesto'!C19,1000)</f>
        <v>763018000</v>
      </c>
      <c r="D19" s="924"/>
      <c r="E19" s="924"/>
      <c r="F19" s="925">
        <f>+C19</f>
        <v>763018000</v>
      </c>
      <c r="G19" s="1146"/>
      <c r="J19" s="41">
        <f>1296000000+1627500000+3158923248</f>
        <v>6082423248</v>
      </c>
    </row>
    <row r="20" spans="1:20" ht="26.25" customHeight="1" x14ac:dyDescent="0.25">
      <c r="A20" s="922">
        <v>20</v>
      </c>
      <c r="B20" s="923" t="s">
        <v>1047</v>
      </c>
      <c r="C20" s="1515">
        <f>MROUND('F Y U 2024 Presupuesto'!C20,1000)</f>
        <v>11867811000</v>
      </c>
      <c r="D20" s="924"/>
      <c r="E20" s="924"/>
      <c r="F20" s="924">
        <f>+C20</f>
        <v>11867811000</v>
      </c>
    </row>
    <row r="21" spans="1:20" ht="15" x14ac:dyDescent="0.25">
      <c r="A21" s="922">
        <v>4</v>
      </c>
      <c r="B21" s="923" t="s">
        <v>1050</v>
      </c>
      <c r="C21" s="1515">
        <f>MROUND('F Y U 2024 Presupuesto'!C21,1000)</f>
        <v>7519723000</v>
      </c>
      <c r="D21" s="927">
        <f>+C21</f>
        <v>7519723000</v>
      </c>
      <c r="E21" s="924"/>
      <c r="F21" s="924"/>
      <c r="H21" s="41">
        <v>15039446000</v>
      </c>
      <c r="K21" s="41">
        <f t="shared" ref="K21:K25" si="0">MROUND(H21,1000)</f>
        <v>15039446000</v>
      </c>
      <c r="L21" s="41">
        <f>+H21-K21</f>
        <v>0</v>
      </c>
    </row>
    <row r="22" spans="1:20" ht="25.5" x14ac:dyDescent="0.25">
      <c r="A22" s="922">
        <v>176</v>
      </c>
      <c r="B22" s="923" t="s">
        <v>1051</v>
      </c>
      <c r="C22" s="1515">
        <v>3007889000</v>
      </c>
      <c r="D22" s="924"/>
      <c r="E22" s="924">
        <f>+C22</f>
        <v>3007889000</v>
      </c>
      <c r="F22" s="925"/>
      <c r="G22" s="1146"/>
      <c r="H22" s="41">
        <v>7519723000</v>
      </c>
      <c r="I22" s="1294">
        <f>+C21</f>
        <v>7519723000</v>
      </c>
      <c r="J22" s="41">
        <f>+I22-H22</f>
        <v>0</v>
      </c>
      <c r="K22" s="41">
        <f t="shared" si="0"/>
        <v>7519723000</v>
      </c>
      <c r="L22" s="41">
        <f>+I22-K22</f>
        <v>0</v>
      </c>
    </row>
    <row r="23" spans="1:20" ht="25.5" x14ac:dyDescent="0.25">
      <c r="A23" s="922">
        <v>177</v>
      </c>
      <c r="B23" s="923" t="s">
        <v>1789</v>
      </c>
      <c r="C23" s="1515">
        <v>4511834000</v>
      </c>
      <c r="D23" s="927"/>
      <c r="E23" s="1251">
        <f>+C23</f>
        <v>4511834000</v>
      </c>
      <c r="F23" s="924"/>
      <c r="H23" s="41">
        <v>4511834000</v>
      </c>
      <c r="I23" s="1294">
        <f>+C22</f>
        <v>3007889000</v>
      </c>
      <c r="J23" s="41">
        <f t="shared" ref="J23:J24" si="1">+I23-H23</f>
        <v>-1503945000</v>
      </c>
      <c r="K23" s="41">
        <f t="shared" si="0"/>
        <v>4511834000</v>
      </c>
      <c r="L23" s="41">
        <f t="shared" ref="L23:L30" si="2">+I23-K23</f>
        <v>-1503945000</v>
      </c>
    </row>
    <row r="24" spans="1:20" ht="15" x14ac:dyDescent="0.25">
      <c r="A24" s="922">
        <v>5</v>
      </c>
      <c r="B24" s="923" t="s">
        <v>1054</v>
      </c>
      <c r="C24" s="1515">
        <f>MROUND('F Y U 2024 Presupuesto'!C24,1000)</f>
        <v>633364000</v>
      </c>
      <c r="D24" s="924"/>
      <c r="E24" s="924">
        <f>+C24</f>
        <v>633364000</v>
      </c>
      <c r="F24" s="924"/>
      <c r="H24" s="41">
        <v>3007889000</v>
      </c>
      <c r="I24" s="1294">
        <f>+C23</f>
        <v>4511834000</v>
      </c>
      <c r="J24" s="41">
        <f t="shared" si="1"/>
        <v>1503945000</v>
      </c>
      <c r="K24" s="41">
        <f t="shared" si="0"/>
        <v>3007889000</v>
      </c>
      <c r="L24" s="41">
        <f t="shared" si="2"/>
        <v>1503945000</v>
      </c>
    </row>
    <row r="25" spans="1:20" ht="25.5" x14ac:dyDescent="0.25">
      <c r="A25" s="922">
        <v>33</v>
      </c>
      <c r="B25" s="923" t="s">
        <v>1055</v>
      </c>
      <c r="C25" s="1515">
        <f>MROUND('F Y U 2024 Presupuesto'!C25,1000)</f>
        <v>316682000</v>
      </c>
      <c r="D25" s="924">
        <f>+C25</f>
        <v>316682000</v>
      </c>
      <c r="E25" s="924"/>
      <c r="F25" s="925"/>
      <c r="G25" s="1146"/>
      <c r="H25" s="41">
        <f>+C24+C25+C26+C27+C28</f>
        <v>3166821000</v>
      </c>
      <c r="K25" s="41">
        <f t="shared" si="0"/>
        <v>3166821000</v>
      </c>
    </row>
    <row r="26" spans="1:20" ht="15" x14ac:dyDescent="0.25">
      <c r="A26" s="922">
        <v>34</v>
      </c>
      <c r="B26" s="923" t="s">
        <v>1056</v>
      </c>
      <c r="C26" s="1515">
        <v>316682000</v>
      </c>
      <c r="D26" s="924">
        <f>+C26</f>
        <v>316682000</v>
      </c>
      <c r="E26" s="924"/>
      <c r="F26" s="925"/>
      <c r="G26" s="1146"/>
      <c r="H26" s="41">
        <f>+H25*0.1</f>
        <v>316682100</v>
      </c>
      <c r="I26" s="1294">
        <v>316682000</v>
      </c>
      <c r="J26" s="41">
        <f>+H26-I26</f>
        <v>100</v>
      </c>
      <c r="K26" s="41">
        <v>316682000</v>
      </c>
      <c r="L26" s="41">
        <f t="shared" si="2"/>
        <v>0</v>
      </c>
    </row>
    <row r="27" spans="1:20" ht="25.5" x14ac:dyDescent="0.25">
      <c r="A27" s="922">
        <v>39</v>
      </c>
      <c r="B27" s="923" t="s">
        <v>1057</v>
      </c>
      <c r="C27" s="1515">
        <v>1583411000</v>
      </c>
      <c r="D27" s="924">
        <f>+C27</f>
        <v>1583411000</v>
      </c>
      <c r="E27" s="924"/>
      <c r="F27" s="924"/>
      <c r="H27" s="41">
        <f>+C29+C30</f>
        <v>7497623000</v>
      </c>
      <c r="I27" s="1294">
        <v>316816000</v>
      </c>
      <c r="J27" s="41">
        <f t="shared" ref="J27:J30" si="3">+H27-I27</f>
        <v>7180807000</v>
      </c>
      <c r="K27" s="41">
        <v>316682000</v>
      </c>
      <c r="L27" s="41">
        <f t="shared" si="2"/>
        <v>134000</v>
      </c>
    </row>
    <row r="28" spans="1:20" ht="15" x14ac:dyDescent="0.25">
      <c r="A28" s="922">
        <v>41</v>
      </c>
      <c r="B28" s="923" t="s">
        <v>1058</v>
      </c>
      <c r="C28" s="1515">
        <f>MROUND('F Y U 2024 Presupuesto'!C28,1000)</f>
        <v>316682000</v>
      </c>
      <c r="D28" s="927">
        <f>+C28</f>
        <v>316682000</v>
      </c>
      <c r="E28" s="924"/>
      <c r="F28" s="925"/>
      <c r="G28" s="1146"/>
      <c r="H28" s="41">
        <f>+H25*0.1</f>
        <v>316682100</v>
      </c>
      <c r="I28" s="1294">
        <v>316682000</v>
      </c>
      <c r="J28" s="41">
        <f t="shared" si="3"/>
        <v>100</v>
      </c>
      <c r="K28" s="41">
        <v>316682000</v>
      </c>
      <c r="L28" s="41">
        <f t="shared" si="2"/>
        <v>0</v>
      </c>
    </row>
    <row r="29" spans="1:20" ht="15" x14ac:dyDescent="0.25">
      <c r="A29" s="922">
        <v>6</v>
      </c>
      <c r="B29" s="923" t="s">
        <v>1060</v>
      </c>
      <c r="C29" s="1515">
        <f>MROUND('F Y U 2024 Presupuesto'!C29,1000)</f>
        <v>5998098000</v>
      </c>
      <c r="D29" s="924">
        <f>+C29</f>
        <v>5998098000</v>
      </c>
      <c r="E29" s="924"/>
      <c r="F29" s="924"/>
      <c r="H29" s="41">
        <f>+H25*0.2</f>
        <v>633364200</v>
      </c>
      <c r="I29" s="1294">
        <v>633364000</v>
      </c>
      <c r="J29" s="41">
        <f t="shared" si="3"/>
        <v>200</v>
      </c>
      <c r="K29" s="41">
        <v>633364000</v>
      </c>
      <c r="L29" s="41">
        <f t="shared" si="2"/>
        <v>0</v>
      </c>
    </row>
    <row r="30" spans="1:20" ht="25.5" x14ac:dyDescent="0.25">
      <c r="A30" s="922">
        <v>178</v>
      </c>
      <c r="B30" s="923" t="s">
        <v>1061</v>
      </c>
      <c r="C30" s="1515">
        <f>MROUND('F Y U 2024 Presupuesto'!C30,1000)-T31</f>
        <v>1499525000</v>
      </c>
      <c r="D30" s="924"/>
      <c r="E30" s="924">
        <f>+C30</f>
        <v>1499525000</v>
      </c>
      <c r="F30" s="925"/>
      <c r="G30" s="1146"/>
      <c r="H30" s="41">
        <f>+H25*0.5</f>
        <v>1583410500</v>
      </c>
      <c r="I30" s="1294">
        <v>1583277000</v>
      </c>
      <c r="J30" s="41">
        <f t="shared" si="3"/>
        <v>133500</v>
      </c>
      <c r="K30" s="41">
        <v>1583411000</v>
      </c>
      <c r="L30" s="41">
        <f t="shared" si="2"/>
        <v>-134000</v>
      </c>
      <c r="O30" s="42">
        <f>MROUND(O31,1000)</f>
        <v>7497623000</v>
      </c>
      <c r="R30" s="1295">
        <v>5998098000</v>
      </c>
      <c r="S30" s="42">
        <f>MROUND((O30*0.8),1000)</f>
        <v>5998098000</v>
      </c>
    </row>
    <row r="31" spans="1:20" s="54" customFormat="1" ht="15" x14ac:dyDescent="0.25">
      <c r="A31" s="922">
        <v>8</v>
      </c>
      <c r="B31" s="923" t="s">
        <v>1790</v>
      </c>
      <c r="C31" s="1515">
        <f>MROUND('F Y U 2024 Presupuesto'!C31,1000)</f>
        <v>12506483000</v>
      </c>
      <c r="D31" s="927"/>
      <c r="E31" s="1251">
        <f>+C31</f>
        <v>12506483000</v>
      </c>
      <c r="F31" s="925"/>
      <c r="G31" s="1146"/>
      <c r="H31" s="53">
        <f>+C29+C30</f>
        <v>7497623000</v>
      </c>
      <c r="I31" s="1293"/>
      <c r="J31" s="53"/>
      <c r="K31" s="41">
        <f t="shared" ref="K31:K33" si="4">MROUND(H31,1000)</f>
        <v>7497623000</v>
      </c>
      <c r="L31" s="53">
        <f>+C29</f>
        <v>5998098000</v>
      </c>
      <c r="M31" s="53">
        <f>+K33-L31</f>
        <v>-5998098000</v>
      </c>
      <c r="N31" s="53"/>
      <c r="O31" s="54">
        <f>+L31/80*100</f>
        <v>7497622500</v>
      </c>
      <c r="P31" s="54">
        <f>+K31-O31</f>
        <v>500</v>
      </c>
      <c r="R31" s="1296">
        <v>1498529000</v>
      </c>
      <c r="S31" s="42">
        <f>MROUND((O31*0.2),1000)</f>
        <v>1499525000</v>
      </c>
      <c r="T31" s="54">
        <f>+R31-S31</f>
        <v>-996000</v>
      </c>
    </row>
    <row r="32" spans="1:20" ht="15" x14ac:dyDescent="0.25">
      <c r="A32" s="922">
        <v>20</v>
      </c>
      <c r="B32" s="923" t="s">
        <v>1068</v>
      </c>
      <c r="C32" s="1515">
        <f>MROUND('F Y U 2024 Presupuesto'!C32,1000)</f>
        <v>40000000</v>
      </c>
      <c r="D32" s="924"/>
      <c r="E32" s="924"/>
      <c r="F32" s="925">
        <f>+C32</f>
        <v>40000000</v>
      </c>
      <c r="G32" s="1146"/>
      <c r="H32" s="651"/>
      <c r="K32" s="41">
        <f t="shared" si="4"/>
        <v>0</v>
      </c>
      <c r="L32" s="41">
        <f>+C30</f>
        <v>1499525000</v>
      </c>
      <c r="M32" s="41">
        <f>+K32-L32</f>
        <v>-1499525000</v>
      </c>
      <c r="O32" s="42">
        <f>+O31*0.8</f>
        <v>5998098000</v>
      </c>
      <c r="S32" s="42">
        <f>+S30+S31</f>
        <v>7497623000</v>
      </c>
    </row>
    <row r="33" spans="1:15" ht="15" x14ac:dyDescent="0.25">
      <c r="A33" s="922">
        <v>190</v>
      </c>
      <c r="B33" s="923" t="s">
        <v>1064</v>
      </c>
      <c r="C33" s="1515">
        <f>MROUND('F Y U 2024 Presupuesto'!C33,1000)</f>
        <v>2082326000</v>
      </c>
      <c r="D33" s="924"/>
      <c r="E33" s="1251">
        <f>+C33</f>
        <v>2082326000</v>
      </c>
      <c r="F33" s="925"/>
      <c r="G33" s="1146"/>
      <c r="H33" s="651"/>
      <c r="K33" s="41">
        <f t="shared" si="4"/>
        <v>0</v>
      </c>
      <c r="M33" s="41">
        <f>+K33-L31</f>
        <v>-5998098000</v>
      </c>
      <c r="O33" s="42">
        <f>+O31*0.2</f>
        <v>1499524500</v>
      </c>
    </row>
    <row r="34" spans="1:15" ht="15" x14ac:dyDescent="0.25">
      <c r="A34" s="922">
        <v>20</v>
      </c>
      <c r="B34" s="923" t="s">
        <v>1069</v>
      </c>
      <c r="C34" s="1515">
        <f>MROUND('F Y U 2024 Presupuesto'!C34,1000)</f>
        <v>210000000</v>
      </c>
      <c r="D34" s="924"/>
      <c r="E34" s="924"/>
      <c r="F34" s="925">
        <f>+C34</f>
        <v>210000000</v>
      </c>
      <c r="G34" s="1146"/>
    </row>
    <row r="35" spans="1:15" ht="15" x14ac:dyDescent="0.25">
      <c r="A35" s="922">
        <v>20</v>
      </c>
      <c r="B35" s="923" t="s">
        <v>1070</v>
      </c>
      <c r="C35" s="1515">
        <f>MROUND('F Y U 2024 Presupuesto'!C35,1000)</f>
        <v>40000000</v>
      </c>
      <c r="D35" s="924"/>
      <c r="E35" s="924"/>
      <c r="F35" s="925">
        <f>+C35</f>
        <v>40000000</v>
      </c>
      <c r="G35" s="1146" t="s">
        <v>1792</v>
      </c>
    </row>
    <row r="36" spans="1:15" ht="15" x14ac:dyDescent="0.25">
      <c r="A36" s="922">
        <v>49</v>
      </c>
      <c r="B36" s="923" t="s">
        <v>1793</v>
      </c>
      <c r="C36" s="1515">
        <f>MROUND('F Y U 2024 Presupuesto'!C36,1000)</f>
        <v>726530000</v>
      </c>
      <c r="D36" s="924"/>
      <c r="E36" s="924">
        <f>+C36</f>
        <v>726530000</v>
      </c>
      <c r="F36" s="925"/>
      <c r="G36" s="1146"/>
      <c r="H36" s="1298" t="s">
        <v>1794</v>
      </c>
    </row>
    <row r="37" spans="1:15" ht="15" x14ac:dyDescent="0.25">
      <c r="A37" s="922">
        <v>133</v>
      </c>
      <c r="B37" s="923" t="s">
        <v>1795</v>
      </c>
      <c r="C37" s="1515">
        <f>MROUND('F Y U 2024 Presupuesto'!C37,1000)</f>
        <v>8000000000</v>
      </c>
      <c r="D37" s="924"/>
      <c r="E37" s="924">
        <f>C37</f>
        <v>8000000000</v>
      </c>
      <c r="F37" s="925">
        <v>0</v>
      </c>
      <c r="G37" s="1146"/>
    </row>
    <row r="38" spans="1:15" ht="15" x14ac:dyDescent="0.25">
      <c r="A38" s="922">
        <v>20</v>
      </c>
      <c r="B38" s="923" t="s">
        <v>1072</v>
      </c>
      <c r="C38" s="1515">
        <f>MROUND('F Y U 2024 Presupuesto'!C38,1000)</f>
        <v>30000000</v>
      </c>
      <c r="D38" s="924"/>
      <c r="E38" s="924"/>
      <c r="F38" s="925">
        <f>+C38</f>
        <v>30000000</v>
      </c>
      <c r="G38" s="1146"/>
    </row>
    <row r="39" spans="1:15" s="54" customFormat="1" ht="15" x14ac:dyDescent="0.25">
      <c r="A39" s="922">
        <v>35</v>
      </c>
      <c r="B39" s="923" t="s">
        <v>1796</v>
      </c>
      <c r="C39" s="1515">
        <f>MROUND('F Y U 2024 Presupuesto'!C39,1000)</f>
        <v>5174318000</v>
      </c>
      <c r="D39" s="924">
        <f>+C39</f>
        <v>5174318000</v>
      </c>
      <c r="E39" s="924"/>
      <c r="F39" s="925"/>
      <c r="G39" s="1146"/>
      <c r="H39" s="53"/>
      <c r="I39" s="1293"/>
      <c r="J39" s="53"/>
      <c r="K39" s="53"/>
      <c r="L39" s="53"/>
      <c r="M39" s="53"/>
      <c r="N39" s="53"/>
    </row>
    <row r="40" spans="1:15" s="54" customFormat="1" ht="15" x14ac:dyDescent="0.25">
      <c r="A40" s="922">
        <v>179</v>
      </c>
      <c r="B40" s="923" t="s">
        <v>1797</v>
      </c>
      <c r="C40" s="1515">
        <f>MROUND('F Y U 2024 Presupuesto'!C40,1000)</f>
        <v>1108110000</v>
      </c>
      <c r="D40" s="924"/>
      <c r="E40" s="1251">
        <f>+C40</f>
        <v>1108110000</v>
      </c>
      <c r="F40" s="924"/>
      <c r="G40" s="1150"/>
      <c r="H40" s="53">
        <f>+C39+C40+C42</f>
        <v>23283758000</v>
      </c>
      <c r="I40" s="1293"/>
      <c r="J40" s="53"/>
      <c r="K40" s="53"/>
      <c r="L40" s="53"/>
      <c r="M40" s="53"/>
      <c r="N40" s="53"/>
    </row>
    <row r="41" spans="1:15" s="54" customFormat="1" ht="15" x14ac:dyDescent="0.25">
      <c r="A41" s="922">
        <v>205</v>
      </c>
      <c r="B41" s="923" t="s">
        <v>1798</v>
      </c>
      <c r="C41" s="1515">
        <f>MROUND('F Y U 2024 Presupuesto'!C41,1000)</f>
        <v>673000</v>
      </c>
      <c r="D41" s="924"/>
      <c r="E41" s="1251">
        <f>+C41</f>
        <v>673000</v>
      </c>
      <c r="F41" s="924"/>
      <c r="G41" s="1150"/>
      <c r="H41" s="53"/>
      <c r="I41" s="1293"/>
      <c r="J41" s="53"/>
      <c r="K41" s="53"/>
      <c r="L41" s="53"/>
      <c r="M41" s="53"/>
      <c r="N41" s="53"/>
    </row>
    <row r="42" spans="1:15" ht="15" x14ac:dyDescent="0.25">
      <c r="A42" s="922">
        <v>20</v>
      </c>
      <c r="B42" s="923" t="s">
        <v>1080</v>
      </c>
      <c r="C42" s="1515">
        <f>MROUND('F Y U 2024 Presupuesto'!C42,1000)</f>
        <v>17001330000</v>
      </c>
      <c r="D42" s="924"/>
      <c r="E42" s="924"/>
      <c r="F42" s="924">
        <f>+C42</f>
        <v>17001330000</v>
      </c>
      <c r="G42" s="1150"/>
    </row>
    <row r="43" spans="1:15" s="54" customFormat="1" ht="15" x14ac:dyDescent="0.25">
      <c r="A43" s="922">
        <v>18</v>
      </c>
      <c r="B43" s="923" t="s">
        <v>1085</v>
      </c>
      <c r="C43" s="1515">
        <f>MROUND('F Y U 2024 Presupuesto'!C43,1000)</f>
        <v>681193000</v>
      </c>
      <c r="D43" s="924"/>
      <c r="E43" s="924">
        <f>C43</f>
        <v>681193000</v>
      </c>
      <c r="F43" s="924"/>
      <c r="G43" s="1150"/>
      <c r="H43" s="53"/>
      <c r="I43" s="1293"/>
      <c r="J43" s="53"/>
      <c r="K43" s="53"/>
      <c r="L43" s="53"/>
      <c r="M43" s="53"/>
      <c r="N43" s="53"/>
    </row>
    <row r="44" spans="1:15" s="54" customFormat="1" ht="25.5" x14ac:dyDescent="0.25">
      <c r="A44" s="922">
        <v>56</v>
      </c>
      <c r="B44" s="923" t="s">
        <v>1799</v>
      </c>
      <c r="C44" s="1515">
        <f>MROUND('F Y U 2024 Presupuesto'!C44,1000)</f>
        <v>500000000</v>
      </c>
      <c r="D44" s="924">
        <f>+C44</f>
        <v>500000000</v>
      </c>
      <c r="E44" s="924"/>
      <c r="F44" s="924"/>
      <c r="G44" s="42"/>
      <c r="H44" s="53"/>
      <c r="I44" s="1293"/>
      <c r="J44" s="53"/>
      <c r="K44" s="53"/>
      <c r="L44" s="53"/>
      <c r="M44" s="53"/>
      <c r="N44" s="53"/>
    </row>
    <row r="45" spans="1:15" ht="15" x14ac:dyDescent="0.25">
      <c r="A45" s="922">
        <v>23</v>
      </c>
      <c r="B45" s="923" t="s">
        <v>1800</v>
      </c>
      <c r="C45" s="1515">
        <f>MROUND('F Y U 2024 Presupuesto'!C45,1000)</f>
        <v>697956000</v>
      </c>
      <c r="D45" s="924">
        <f>C45</f>
        <v>697956000</v>
      </c>
      <c r="E45" s="924"/>
      <c r="F45" s="925"/>
      <c r="G45" s="1146"/>
    </row>
    <row r="46" spans="1:15" ht="15" x14ac:dyDescent="0.25">
      <c r="A46" s="930">
        <v>23</v>
      </c>
      <c r="B46" s="923" t="s">
        <v>1801</v>
      </c>
      <c r="C46" s="1515">
        <f>MROUND('F Y U 2024 Presupuesto'!C46,1000)</f>
        <v>2871110000</v>
      </c>
      <c r="D46" s="929">
        <f>C46</f>
        <v>2871110000</v>
      </c>
      <c r="E46" s="929"/>
      <c r="F46" s="925"/>
      <c r="G46" s="1146"/>
    </row>
    <row r="47" spans="1:15" ht="15" x14ac:dyDescent="0.25">
      <c r="A47" s="930">
        <v>20</v>
      </c>
      <c r="B47" s="923" t="s">
        <v>3263</v>
      </c>
      <c r="C47" s="1515">
        <f>MROUND('F Y U 2024 Presupuesto'!C47,1000)</f>
        <v>217044000</v>
      </c>
      <c r="D47" s="929"/>
      <c r="E47" s="929"/>
      <c r="F47" s="925"/>
      <c r="G47" s="1146"/>
    </row>
    <row r="48" spans="1:15" ht="15" x14ac:dyDescent="0.25">
      <c r="A48" s="930">
        <v>20</v>
      </c>
      <c r="B48" s="923" t="s">
        <v>3264</v>
      </c>
      <c r="C48" s="1515">
        <f>MROUND('F Y U 2024 Presupuesto'!C48,1000)</f>
        <v>1000000</v>
      </c>
      <c r="D48" s="929"/>
      <c r="E48" s="929"/>
      <c r="F48" s="925"/>
      <c r="G48" s="1146"/>
    </row>
    <row r="49" spans="1:14" ht="15" x14ac:dyDescent="0.25">
      <c r="A49" s="930">
        <v>20</v>
      </c>
      <c r="B49" s="923" t="s">
        <v>3265</v>
      </c>
      <c r="C49" s="1515">
        <f>MROUND('F Y U 2024 Presupuesto'!C49,1000)</f>
        <v>1000000</v>
      </c>
      <c r="D49" s="929"/>
      <c r="E49" s="929"/>
      <c r="F49" s="925"/>
      <c r="G49" s="1146"/>
    </row>
    <row r="50" spans="1:14" ht="15" x14ac:dyDescent="0.25">
      <c r="A50" s="930">
        <v>20</v>
      </c>
      <c r="B50" s="923" t="s">
        <v>3266</v>
      </c>
      <c r="C50" s="1515">
        <f>MROUND('F Y U 2024 Presupuesto'!C50,1000)</f>
        <v>77643000</v>
      </c>
      <c r="D50" s="929"/>
      <c r="E50" s="929"/>
      <c r="F50" s="925"/>
      <c r="G50" s="1146"/>
    </row>
    <row r="51" spans="1:14" ht="15" x14ac:dyDescent="0.25">
      <c r="A51" s="930">
        <v>47</v>
      </c>
      <c r="B51" s="921" t="s">
        <v>1093</v>
      </c>
      <c r="C51" s="1515">
        <f>MROUND('F Y U 2024 Presupuesto'!C51,1000)</f>
        <v>103859000</v>
      </c>
      <c r="D51" s="929">
        <f>+C51</f>
        <v>103859000</v>
      </c>
      <c r="E51" s="929"/>
      <c r="F51" s="925"/>
      <c r="G51" s="1146"/>
    </row>
    <row r="52" spans="1:14" s="54" customFormat="1" ht="21" customHeight="1" x14ac:dyDescent="0.25">
      <c r="A52" s="1667" t="s">
        <v>1802</v>
      </c>
      <c r="B52" s="1668"/>
      <c r="C52" s="1008">
        <f>SUM(C7:C51)</f>
        <v>201609580000</v>
      </c>
      <c r="D52" s="1151">
        <f>SUM(D7:D51)</f>
        <v>26549508000</v>
      </c>
      <c r="E52" s="1151">
        <f>SUM(E7:E51)</f>
        <v>45349897000</v>
      </c>
      <c r="F52" s="1151">
        <f>SUM(F7:F51)</f>
        <v>129413488000</v>
      </c>
      <c r="H52" s="53"/>
      <c r="I52" s="1293"/>
      <c r="J52" s="53"/>
      <c r="K52" s="53"/>
      <c r="L52" s="53"/>
      <c r="M52" s="53"/>
      <c r="N52" s="53"/>
    </row>
    <row r="53" spans="1:14" x14ac:dyDescent="0.25">
      <c r="A53" s="934"/>
      <c r="B53" s="931"/>
      <c r="C53" s="932"/>
      <c r="D53" s="1152"/>
      <c r="E53" s="1153"/>
      <c r="F53" s="1154"/>
      <c r="H53" s="1299"/>
    </row>
    <row r="54" spans="1:14" ht="25.5" x14ac:dyDescent="0.25">
      <c r="A54" s="922">
        <v>50</v>
      </c>
      <c r="B54" s="923" t="s">
        <v>1160</v>
      </c>
      <c r="C54" s="1515">
        <f>MROUND('F Y U 2024 Presupuesto'!C54,1000)</f>
        <v>200000000</v>
      </c>
      <c r="D54" s="924"/>
      <c r="E54" s="924">
        <f>+C54</f>
        <v>200000000</v>
      </c>
      <c r="F54" s="924"/>
      <c r="H54" s="1298" t="s">
        <v>1794</v>
      </c>
    </row>
    <row r="55" spans="1:14" ht="15" x14ac:dyDescent="0.25">
      <c r="A55" s="922">
        <v>135</v>
      </c>
      <c r="B55" s="923" t="s">
        <v>1803</v>
      </c>
      <c r="C55" s="1515">
        <f>MROUND('F Y U 2024 Presupuesto'!C55,1000)</f>
        <v>9000000000</v>
      </c>
      <c r="D55" s="927"/>
      <c r="E55" s="924">
        <f>+C55</f>
        <v>9000000000</v>
      </c>
      <c r="F55" s="925"/>
      <c r="G55" s="1146"/>
    </row>
    <row r="56" spans="1:14" ht="15" x14ac:dyDescent="0.25">
      <c r="A56" s="922">
        <v>20</v>
      </c>
      <c r="B56" s="923" t="s">
        <v>606</v>
      </c>
      <c r="C56" s="1515">
        <f>MROUND('F Y U 2024 Presupuesto'!C56,1000)</f>
        <v>10000000</v>
      </c>
      <c r="D56" s="924"/>
      <c r="E56" s="924"/>
      <c r="F56" s="924">
        <f>+C56</f>
        <v>10000000</v>
      </c>
    </row>
    <row r="57" spans="1:14" ht="25.5" x14ac:dyDescent="0.25">
      <c r="A57" s="922">
        <v>20</v>
      </c>
      <c r="B57" s="923" t="s">
        <v>1804</v>
      </c>
      <c r="C57" s="1515">
        <f>MROUND('F Y U 2024 Presupuesto'!C57,1000)</f>
        <v>300000000</v>
      </c>
      <c r="D57" s="924"/>
      <c r="E57" s="924"/>
      <c r="F57" s="924">
        <f>+C57</f>
        <v>300000000</v>
      </c>
    </row>
    <row r="58" spans="1:14" ht="25.5" x14ac:dyDescent="0.25">
      <c r="A58" s="922">
        <v>4</v>
      </c>
      <c r="B58" s="923" t="s">
        <v>1805</v>
      </c>
      <c r="C58" s="1515">
        <f>MROUND('F Y U 2024 Presupuesto'!C58,1000)</f>
        <v>20000000</v>
      </c>
      <c r="D58" s="924">
        <f>+C58</f>
        <v>20000000</v>
      </c>
      <c r="E58" s="924"/>
      <c r="F58" s="924"/>
    </row>
    <row r="59" spans="1:14" ht="25.5" x14ac:dyDescent="0.25">
      <c r="A59" s="922">
        <v>176</v>
      </c>
      <c r="B59" s="923" t="s">
        <v>1806</v>
      </c>
      <c r="C59" s="1515">
        <f>MROUND('F Y U 2024 Presupuesto'!C59,1000)</f>
        <v>5000000</v>
      </c>
      <c r="D59" s="924"/>
      <c r="E59" s="924">
        <f>+C59</f>
        <v>5000000</v>
      </c>
      <c r="F59" s="924"/>
    </row>
    <row r="60" spans="1:14" ht="25.5" x14ac:dyDescent="0.25">
      <c r="A60" s="922">
        <v>5</v>
      </c>
      <c r="B60" s="923" t="s">
        <v>1807</v>
      </c>
      <c r="C60" s="1515">
        <f>MROUND('F Y U 2024 Presupuesto'!C60,1000)</f>
        <v>2000000</v>
      </c>
      <c r="D60" s="924"/>
      <c r="E60" s="924">
        <f>+C60</f>
        <v>2000000</v>
      </c>
      <c r="F60" s="924"/>
    </row>
    <row r="61" spans="1:14" ht="25.5" x14ac:dyDescent="0.25">
      <c r="A61" s="922">
        <v>33</v>
      </c>
      <c r="B61" s="923" t="s">
        <v>1808</v>
      </c>
      <c r="C61" s="1515">
        <f>MROUND('F Y U 2024 Presupuesto'!C61,1000)</f>
        <v>1000000</v>
      </c>
      <c r="D61" s="924">
        <f>+C61</f>
        <v>1000000</v>
      </c>
      <c r="E61" s="924"/>
      <c r="F61" s="924"/>
    </row>
    <row r="62" spans="1:14" ht="25.5" x14ac:dyDescent="0.25">
      <c r="A62" s="922">
        <v>34</v>
      </c>
      <c r="B62" s="923" t="s">
        <v>1809</v>
      </c>
      <c r="C62" s="1515">
        <f>MROUND('F Y U 2024 Presupuesto'!C62,1000)</f>
        <v>1000000</v>
      </c>
      <c r="D62" s="924">
        <f>+C62</f>
        <v>1000000</v>
      </c>
      <c r="E62" s="924"/>
      <c r="F62" s="924"/>
    </row>
    <row r="63" spans="1:14" ht="25.5" x14ac:dyDescent="0.25">
      <c r="A63" s="922">
        <v>39</v>
      </c>
      <c r="B63" s="923" t="s">
        <v>1810</v>
      </c>
      <c r="C63" s="1515">
        <f>MROUND('F Y U 2024 Presupuesto'!C63,1000)</f>
        <v>5000000</v>
      </c>
      <c r="D63" s="924">
        <f>+C63</f>
        <v>5000000</v>
      </c>
      <c r="E63" s="924"/>
      <c r="F63" s="924"/>
    </row>
    <row r="64" spans="1:14" ht="25.5" x14ac:dyDescent="0.25">
      <c r="A64" s="922">
        <v>41</v>
      </c>
      <c r="B64" s="923" t="s">
        <v>1811</v>
      </c>
      <c r="C64" s="1515">
        <f>MROUND('F Y U 2024 Presupuesto'!C64,1000)</f>
        <v>1000000</v>
      </c>
      <c r="D64" s="924">
        <f>+C64</f>
        <v>1000000</v>
      </c>
      <c r="E64" s="924"/>
      <c r="F64" s="924"/>
    </row>
    <row r="65" spans="1:14" ht="25.5" x14ac:dyDescent="0.25">
      <c r="A65" s="922">
        <v>6</v>
      </c>
      <c r="B65" s="923" t="s">
        <v>1812</v>
      </c>
      <c r="C65" s="1515">
        <f>MROUND('F Y U 2024 Presupuesto'!C65,1000)</f>
        <v>20000000</v>
      </c>
      <c r="D65" s="924">
        <f>+C65</f>
        <v>20000000</v>
      </c>
      <c r="E65" s="924"/>
      <c r="F65" s="924"/>
    </row>
    <row r="66" spans="1:14" ht="25.5" x14ac:dyDescent="0.25">
      <c r="A66" s="922">
        <v>178</v>
      </c>
      <c r="B66" s="923" t="s">
        <v>1813</v>
      </c>
      <c r="C66" s="1515">
        <f>MROUND('F Y U 2024 Presupuesto'!C66,1000)+T31</f>
        <v>4004000</v>
      </c>
      <c r="D66" s="924"/>
      <c r="E66" s="924">
        <f>+C66</f>
        <v>4004000</v>
      </c>
      <c r="F66" s="924"/>
    </row>
    <row r="67" spans="1:14" ht="25.5" x14ac:dyDescent="0.25">
      <c r="A67" s="922">
        <v>42</v>
      </c>
      <c r="B67" s="923" t="s">
        <v>1814</v>
      </c>
      <c r="C67" s="1515">
        <f>MROUND('F Y U 2024 Presupuesto'!C67,1000)</f>
        <v>30000000</v>
      </c>
      <c r="D67" s="924">
        <f>+C67</f>
        <v>30000000</v>
      </c>
      <c r="E67" s="924"/>
      <c r="F67" s="924"/>
    </row>
    <row r="68" spans="1:14" ht="25.5" x14ac:dyDescent="0.25">
      <c r="A68" s="922">
        <v>27</v>
      </c>
      <c r="B68" s="923" t="s">
        <v>1815</v>
      </c>
      <c r="C68" s="1515">
        <f>MROUND('F Y U 2024 Presupuesto'!C68,1000)</f>
        <v>7000000</v>
      </c>
      <c r="D68" s="924">
        <f>+C68</f>
        <v>7000000</v>
      </c>
      <c r="E68" s="924"/>
      <c r="F68" s="924"/>
    </row>
    <row r="69" spans="1:14" ht="25.5" x14ac:dyDescent="0.25">
      <c r="A69" s="922">
        <v>136</v>
      </c>
      <c r="B69" s="923" t="s">
        <v>1816</v>
      </c>
      <c r="C69" s="1515">
        <f>MROUND('F Y U 2024 Presupuesto'!C69,1000)</f>
        <v>10000000</v>
      </c>
      <c r="D69" s="924"/>
      <c r="E69" s="924">
        <f>+C69</f>
        <v>10000000</v>
      </c>
      <c r="F69" s="924"/>
    </row>
    <row r="70" spans="1:14" ht="25.5" x14ac:dyDescent="0.25">
      <c r="A70" s="922">
        <v>20</v>
      </c>
      <c r="B70" s="923" t="s">
        <v>1184</v>
      </c>
      <c r="C70" s="1515">
        <f>MROUND('F Y U 2024 Presupuesto'!C70,1000)</f>
        <v>200000000</v>
      </c>
      <c r="D70" s="924"/>
      <c r="E70" s="924"/>
      <c r="F70" s="924">
        <f>+C70</f>
        <v>200000000</v>
      </c>
    </row>
    <row r="71" spans="1:14" ht="21" customHeight="1" x14ac:dyDescent="0.25">
      <c r="A71" s="1667" t="s">
        <v>1817</v>
      </c>
      <c r="B71" s="1668"/>
      <c r="C71" s="1009">
        <f>SUM(C54:C70)</f>
        <v>9816004000</v>
      </c>
      <c r="D71" s="1155">
        <f>SUM(D54:D70)</f>
        <v>85000000</v>
      </c>
      <c r="E71" s="1155">
        <f>SUM(E54:E70)</f>
        <v>9221004000</v>
      </c>
      <c r="F71" s="1155">
        <f>SUM(F54:F70)</f>
        <v>510000000</v>
      </c>
    </row>
    <row r="72" spans="1:14" x14ac:dyDescent="0.25">
      <c r="B72" s="382"/>
      <c r="C72" s="915"/>
      <c r="D72" s="1156"/>
      <c r="E72" s="1156"/>
      <c r="F72" s="1156"/>
    </row>
    <row r="73" spans="1:14" s="54" customFormat="1" x14ac:dyDescent="0.25">
      <c r="A73" s="42"/>
      <c r="B73" s="1674" t="s">
        <v>953</v>
      </c>
      <c r="C73" s="1674"/>
      <c r="H73" s="53"/>
      <c r="I73" s="1293"/>
      <c r="J73" s="53"/>
      <c r="K73" s="53"/>
      <c r="L73" s="53"/>
      <c r="M73" s="53"/>
      <c r="N73" s="53"/>
    </row>
    <row r="74" spans="1:14" s="54" customFormat="1" ht="6.75" customHeight="1" x14ac:dyDescent="0.25">
      <c r="A74" s="42"/>
      <c r="B74" s="42"/>
      <c r="C74" s="42"/>
      <c r="D74" s="42"/>
      <c r="H74" s="53"/>
      <c r="I74" s="1293"/>
      <c r="J74" s="53"/>
      <c r="K74" s="53"/>
      <c r="L74" s="53"/>
      <c r="M74" s="53"/>
      <c r="N74" s="53"/>
    </row>
    <row r="75" spans="1:14" ht="28.5" customHeight="1" x14ac:dyDescent="0.25">
      <c r="B75" s="1675" t="s">
        <v>1100</v>
      </c>
      <c r="C75" s="1676"/>
      <c r="D75" s="1156"/>
      <c r="E75" s="1156"/>
      <c r="F75" s="1156"/>
    </row>
    <row r="76" spans="1:14" ht="25.5" x14ac:dyDescent="0.25">
      <c r="A76" s="922">
        <v>25</v>
      </c>
      <c r="B76" s="923" t="s">
        <v>1101</v>
      </c>
      <c r="C76" s="1515">
        <f>MROUND('F Y U 2024 Presupuesto'!C76,1000)</f>
        <v>173431997000</v>
      </c>
      <c r="D76" s="924">
        <f t="shared" ref="D76:D83" si="5">+C76</f>
        <v>173431997000</v>
      </c>
      <c r="E76" s="924"/>
      <c r="F76" s="924"/>
    </row>
    <row r="77" spans="1:14" s="54" customFormat="1" ht="25.5" x14ac:dyDescent="0.25">
      <c r="A77" s="922">
        <v>26</v>
      </c>
      <c r="B77" s="923" t="s">
        <v>1102</v>
      </c>
      <c r="C77" s="1515">
        <f>MROUND('F Y U 2024 Presupuesto'!C77,1000)</f>
        <v>33454400000</v>
      </c>
      <c r="D77" s="924">
        <f t="shared" si="5"/>
        <v>33454400000</v>
      </c>
      <c r="E77" s="924"/>
      <c r="F77" s="924"/>
      <c r="H77" s="53"/>
      <c r="I77" s="1293"/>
      <c r="J77" s="53"/>
      <c r="K77" s="53"/>
      <c r="L77" s="53"/>
      <c r="M77" s="53"/>
      <c r="N77" s="53"/>
    </row>
    <row r="78" spans="1:14" ht="15" x14ac:dyDescent="0.25">
      <c r="A78" s="922">
        <v>25</v>
      </c>
      <c r="B78" s="923" t="s">
        <v>1105</v>
      </c>
      <c r="C78" s="1515">
        <f>MROUND('F Y U 2024 Presupuesto'!C78,1000)</f>
        <v>684320000</v>
      </c>
      <c r="D78" s="924">
        <f t="shared" si="5"/>
        <v>684320000</v>
      </c>
      <c r="E78" s="924"/>
      <c r="F78" s="924"/>
    </row>
    <row r="79" spans="1:14" ht="15" x14ac:dyDescent="0.25">
      <c r="A79" s="922">
        <v>25</v>
      </c>
      <c r="B79" s="923" t="s">
        <v>1106</v>
      </c>
      <c r="C79" s="1515">
        <f>MROUND('F Y U 2024 Presupuesto'!C79,1000)</f>
        <v>1559043000</v>
      </c>
      <c r="D79" s="924">
        <f t="shared" si="5"/>
        <v>1559043000</v>
      </c>
      <c r="E79" s="924"/>
      <c r="F79" s="924"/>
    </row>
    <row r="80" spans="1:14" ht="15" x14ac:dyDescent="0.25">
      <c r="A80" s="922">
        <v>81</v>
      </c>
      <c r="B80" s="923" t="s">
        <v>1107</v>
      </c>
      <c r="C80" s="1515">
        <f>MROUND('F Y U 2024 Presupuesto'!C80,1000)</f>
        <v>9901551000</v>
      </c>
      <c r="D80" s="924">
        <f t="shared" si="5"/>
        <v>9901551000</v>
      </c>
      <c r="E80" s="924"/>
      <c r="F80" s="924"/>
    </row>
    <row r="81" spans="1:14" s="54" customFormat="1" ht="25.5" x14ac:dyDescent="0.25">
      <c r="A81" s="922">
        <v>21</v>
      </c>
      <c r="B81" s="923" t="s">
        <v>1113</v>
      </c>
      <c r="C81" s="1515">
        <f>MROUND('F Y U 2024 Presupuesto'!C81,1000)</f>
        <v>248000000</v>
      </c>
      <c r="D81" s="924">
        <f t="shared" si="5"/>
        <v>248000000</v>
      </c>
      <c r="E81" s="924"/>
      <c r="F81" s="924"/>
      <c r="H81" s="53"/>
      <c r="I81" s="1293"/>
      <c r="J81" s="53"/>
      <c r="K81" s="53"/>
      <c r="L81" s="53"/>
      <c r="M81" s="53">
        <v>4000000</v>
      </c>
      <c r="N81" s="53"/>
    </row>
    <row r="82" spans="1:14" s="54" customFormat="1" ht="25.5" x14ac:dyDescent="0.25">
      <c r="A82" s="922">
        <v>81</v>
      </c>
      <c r="B82" s="923" t="s">
        <v>1818</v>
      </c>
      <c r="C82" s="1515">
        <f>MROUND('F Y U 2024 Presupuesto'!C82,1000)</f>
        <v>10000000</v>
      </c>
      <c r="D82" s="924">
        <f t="shared" si="5"/>
        <v>10000000</v>
      </c>
      <c r="E82" s="924"/>
      <c r="F82" s="924"/>
      <c r="H82" s="53"/>
      <c r="I82" s="1293"/>
      <c r="J82" s="53"/>
      <c r="K82" s="53"/>
      <c r="L82" s="53"/>
      <c r="M82" s="53">
        <v>8226708</v>
      </c>
      <c r="N82" s="53"/>
    </row>
    <row r="83" spans="1:14" s="54" customFormat="1" ht="15" x14ac:dyDescent="0.25">
      <c r="A83" s="922">
        <v>9</v>
      </c>
      <c r="B83" s="923" t="s">
        <v>606</v>
      </c>
      <c r="C83" s="1254">
        <v>0</v>
      </c>
      <c r="D83" s="924">
        <f t="shared" si="5"/>
        <v>0</v>
      </c>
      <c r="E83" s="924"/>
      <c r="F83" s="924"/>
      <c r="H83" s="53"/>
      <c r="I83" s="1293"/>
      <c r="J83" s="53"/>
      <c r="K83" s="53"/>
      <c r="L83" s="53"/>
      <c r="M83" s="53">
        <v>93990000</v>
      </c>
      <c r="N83" s="53"/>
    </row>
    <row r="84" spans="1:14" s="54" customFormat="1" ht="31.5" customHeight="1" x14ac:dyDescent="0.25">
      <c r="A84" s="922"/>
      <c r="B84" s="1157" t="s">
        <v>1819</v>
      </c>
      <c r="C84" s="1009">
        <f>SUM(C76:C83)</f>
        <v>219289311000</v>
      </c>
      <c r="D84" s="924"/>
      <c r="E84" s="924"/>
      <c r="F84" s="924"/>
      <c r="H84" s="53"/>
      <c r="I84" s="1293"/>
      <c r="J84" s="53"/>
      <c r="K84" s="53"/>
      <c r="L84" s="53"/>
      <c r="M84" s="53"/>
      <c r="N84" s="53"/>
    </row>
    <row r="85" spans="1:14" s="54" customFormat="1" x14ac:dyDescent="0.25">
      <c r="A85" s="922"/>
      <c r="B85" s="924"/>
      <c r="C85" s="924"/>
      <c r="D85" s="924"/>
      <c r="E85" s="924"/>
      <c r="F85" s="924"/>
      <c r="H85" s="53"/>
      <c r="I85" s="1293"/>
      <c r="J85" s="53"/>
      <c r="K85" s="53"/>
      <c r="L85" s="53"/>
      <c r="M85" s="53"/>
      <c r="N85" s="53"/>
    </row>
    <row r="86" spans="1:14" s="54" customFormat="1" ht="25.5" customHeight="1" x14ac:dyDescent="0.25">
      <c r="A86" s="922"/>
      <c r="B86" s="1667" t="s">
        <v>1116</v>
      </c>
      <c r="C86" s="1668"/>
      <c r="D86" s="924"/>
      <c r="E86" s="924"/>
      <c r="F86" s="924"/>
      <c r="H86" s="53"/>
      <c r="I86" s="1293"/>
      <c r="J86" s="53"/>
      <c r="K86" s="53"/>
      <c r="L86" s="53"/>
      <c r="M86" s="53"/>
      <c r="N86" s="53"/>
    </row>
    <row r="87" spans="1:14" s="54" customFormat="1" ht="25.5" x14ac:dyDescent="0.25">
      <c r="A87" s="922">
        <v>61</v>
      </c>
      <c r="B87" s="923" t="s">
        <v>1119</v>
      </c>
      <c r="C87" s="1515">
        <f>MROUND('F Y U 2024 Presupuesto'!C87,1000)</f>
        <v>5409655000</v>
      </c>
      <c r="D87" s="924">
        <f t="shared" ref="D87:D107" si="6">+C87</f>
        <v>5409655000</v>
      </c>
      <c r="E87" s="924"/>
      <c r="F87" s="924"/>
      <c r="H87" s="53"/>
      <c r="I87" s="1293"/>
      <c r="J87" s="53"/>
      <c r="K87" s="53"/>
      <c r="L87" s="53"/>
      <c r="M87" s="53"/>
      <c r="N87" s="53"/>
    </row>
    <row r="88" spans="1:14" s="54" customFormat="1" ht="25.5" x14ac:dyDescent="0.25">
      <c r="A88" s="922">
        <v>171</v>
      </c>
      <c r="B88" s="923" t="s">
        <v>1820</v>
      </c>
      <c r="C88" s="1515">
        <f>MROUND('F Y U 2024 Presupuesto'!C88,1000)</f>
        <v>2148092000</v>
      </c>
      <c r="D88" s="924">
        <f t="shared" si="6"/>
        <v>2148092000</v>
      </c>
      <c r="E88" s="924"/>
      <c r="F88" s="924"/>
      <c r="H88" s="53"/>
      <c r="I88" s="1293"/>
      <c r="J88" s="53"/>
      <c r="K88" s="53"/>
      <c r="L88" s="53"/>
      <c r="M88" s="53"/>
      <c r="N88" s="53"/>
    </row>
    <row r="89" spans="1:14" s="54" customFormat="1" ht="25.5" x14ac:dyDescent="0.25">
      <c r="A89" s="922">
        <v>61</v>
      </c>
      <c r="B89" s="923" t="str">
        <f>+'[3]Plan Financiero 2021'!A100</f>
        <v>Rendimientos por Operaciones Financieras. (SGP - Salud Pública )</v>
      </c>
      <c r="C89" s="1515">
        <f>MROUND('F Y U 2024 Presupuesto'!C89,1000)</f>
        <v>3000000</v>
      </c>
      <c r="D89" s="924">
        <f t="shared" si="6"/>
        <v>3000000</v>
      </c>
      <c r="E89" s="924"/>
      <c r="F89" s="924"/>
      <c r="H89" s="53"/>
      <c r="I89" s="1293"/>
      <c r="J89" s="53"/>
      <c r="K89" s="53"/>
      <c r="L89" s="53"/>
      <c r="M89" s="53"/>
      <c r="N89" s="53"/>
    </row>
    <row r="90" spans="1:14" s="54" customFormat="1" ht="25.5" x14ac:dyDescent="0.25">
      <c r="A90" s="922">
        <v>171</v>
      </c>
      <c r="B90" s="923" t="str">
        <f>+'[3]Plan Financiero 2021'!A101</f>
        <v>Rendimientos por Operaciones Financieras. (SGP - Oferta)</v>
      </c>
      <c r="C90" s="1515">
        <f>MROUND('F Y U 2024 Presupuesto'!C90,1000)</f>
        <v>1000000</v>
      </c>
      <c r="D90" s="924">
        <f t="shared" si="6"/>
        <v>1000000</v>
      </c>
      <c r="E90" s="924"/>
      <c r="F90" s="924"/>
      <c r="H90" s="53"/>
      <c r="I90" s="1293"/>
      <c r="J90" s="53"/>
      <c r="K90" s="53"/>
      <c r="L90" s="53"/>
      <c r="M90" s="53"/>
      <c r="N90" s="53"/>
    </row>
    <row r="91" spans="1:14" s="54" customFormat="1" ht="25.5" x14ac:dyDescent="0.25">
      <c r="A91" s="922"/>
      <c r="B91" s="923" t="str">
        <f>+'[3]Plan Financiero 2021'!A102</f>
        <v>Rendimientos por Operaciones Financieras. (Fondo Estupefacientes )</v>
      </c>
      <c r="C91" s="1515">
        <f>MROUND('F Y U 2024 Presupuesto'!C91,1000)</f>
        <v>1000000</v>
      </c>
      <c r="D91" s="924">
        <f t="shared" si="6"/>
        <v>1000000</v>
      </c>
      <c r="E91" s="924"/>
      <c r="F91" s="924"/>
      <c r="H91" s="53"/>
      <c r="I91" s="1293"/>
      <c r="J91" s="53"/>
      <c r="K91" s="53"/>
      <c r="L91" s="53"/>
      <c r="M91" s="53"/>
      <c r="N91" s="53"/>
    </row>
    <row r="92" spans="1:14" s="54" customFormat="1" ht="25.5" x14ac:dyDescent="0.25">
      <c r="A92" s="922"/>
      <c r="B92" s="923" t="str">
        <f>+'[3]Plan Financiero 2021'!A103</f>
        <v>Rendimientos por Operaciones Financieras. (Rentas Cedidas )</v>
      </c>
      <c r="C92" s="1515">
        <f>MROUND('F Y U 2024 Presupuesto'!C92,1000)</f>
        <v>2000000</v>
      </c>
      <c r="D92" s="924">
        <f t="shared" si="6"/>
        <v>2000000</v>
      </c>
      <c r="E92" s="924"/>
      <c r="F92" s="924"/>
      <c r="H92" s="53"/>
      <c r="I92" s="1293"/>
      <c r="J92" s="53"/>
      <c r="K92" s="53"/>
      <c r="L92" s="53"/>
      <c r="M92" s="53"/>
      <c r="N92" s="53"/>
    </row>
    <row r="93" spans="1:14" s="54" customFormat="1" ht="15" x14ac:dyDescent="0.25">
      <c r="A93" s="922"/>
      <c r="B93" s="923" t="s">
        <v>1126</v>
      </c>
      <c r="C93" s="1515">
        <f>MROUND('F Y U 2024 Presupuesto'!C93,1000)</f>
        <v>13674983000</v>
      </c>
      <c r="D93" s="924">
        <f t="shared" si="6"/>
        <v>13674983000</v>
      </c>
      <c r="E93" s="924"/>
      <c r="F93" s="924"/>
      <c r="G93" s="1264">
        <f>+D93+C39+C40+C42</f>
        <v>36958741000</v>
      </c>
      <c r="H93" s="1265">
        <f>+G93*14%</f>
        <v>5174223740.000001</v>
      </c>
      <c r="I93" s="1292">
        <f>+H93-C39</f>
        <v>-94259.999999046326</v>
      </c>
      <c r="J93" s="53"/>
      <c r="K93" s="53"/>
      <c r="L93" s="53">
        <f>14+46+3</f>
        <v>63</v>
      </c>
      <c r="M93" s="53"/>
      <c r="N93" s="53"/>
    </row>
    <row r="94" spans="1:14" s="54" customFormat="1" ht="15" x14ac:dyDescent="0.25">
      <c r="A94" s="922"/>
      <c r="B94" s="923" t="s">
        <v>1127</v>
      </c>
      <c r="C94" s="1515">
        <f>MROUND('F Y U 2024 Presupuesto'!C94,1000)</f>
        <v>4294347000</v>
      </c>
      <c r="D94" s="924">
        <f t="shared" si="6"/>
        <v>4294347000</v>
      </c>
      <c r="E94" s="924"/>
      <c r="F94" s="924"/>
      <c r="G94" s="1264"/>
      <c r="H94" s="1265">
        <f>+G93*3%</f>
        <v>1108762230</v>
      </c>
      <c r="I94" s="1293">
        <f>+H94-C40</f>
        <v>652230</v>
      </c>
      <c r="J94" s="53"/>
      <c r="K94" s="53"/>
      <c r="L94" s="53">
        <f>100-L93</f>
        <v>37</v>
      </c>
      <c r="M94" s="53"/>
      <c r="N94" s="53"/>
    </row>
    <row r="95" spans="1:14" s="54" customFormat="1" ht="15" x14ac:dyDescent="0.25">
      <c r="A95" s="922"/>
      <c r="B95" s="923" t="s">
        <v>1128</v>
      </c>
      <c r="C95" s="1515">
        <f>MROUND('F Y U 2024 Presupuesto'!C95,1000)</f>
        <v>6555523000</v>
      </c>
      <c r="D95" s="924">
        <f t="shared" si="6"/>
        <v>6555523000</v>
      </c>
      <c r="E95" s="924"/>
      <c r="F95" s="924"/>
      <c r="G95" s="1264"/>
      <c r="H95" s="1265">
        <f>+G93*46%</f>
        <v>17001020860</v>
      </c>
      <c r="I95" s="1293">
        <f>+H95-C42</f>
        <v>-309140</v>
      </c>
      <c r="J95" s="53"/>
      <c r="K95" s="53"/>
      <c r="L95" s="53"/>
      <c r="M95" s="53"/>
      <c r="N95" s="53"/>
    </row>
    <row r="96" spans="1:14" s="54" customFormat="1" ht="15" x14ac:dyDescent="0.25">
      <c r="A96" s="922"/>
      <c r="B96" s="923" t="s">
        <v>1129</v>
      </c>
      <c r="C96" s="1515">
        <f>MROUND('F Y U 2024 Presupuesto'!C96,1000)</f>
        <v>1039156000</v>
      </c>
      <c r="D96" s="924">
        <f t="shared" si="6"/>
        <v>1039156000</v>
      </c>
      <c r="E96" s="924"/>
      <c r="F96" s="924"/>
      <c r="G96" s="1264"/>
      <c r="H96" s="1265"/>
      <c r="I96" s="1293"/>
      <c r="J96" s="53"/>
      <c r="K96" s="53"/>
      <c r="L96" s="53"/>
      <c r="M96" s="53"/>
      <c r="N96" s="53"/>
    </row>
    <row r="97" spans="1:14" ht="15.75" customHeight="1" x14ac:dyDescent="0.25">
      <c r="A97" s="922"/>
      <c r="B97" s="923" t="s">
        <v>1130</v>
      </c>
      <c r="C97" s="1515">
        <f>MROUND('F Y U 2024 Presupuesto'!C97,1000)</f>
        <v>32160000</v>
      </c>
      <c r="D97" s="924">
        <f t="shared" si="6"/>
        <v>32160000</v>
      </c>
      <c r="E97" s="924"/>
      <c r="F97" s="924"/>
      <c r="G97" s="1264"/>
      <c r="H97" s="1265"/>
    </row>
    <row r="98" spans="1:14" s="54" customFormat="1" ht="25.5" x14ac:dyDescent="0.25">
      <c r="A98" s="922"/>
      <c r="B98" s="923" t="s">
        <v>1132</v>
      </c>
      <c r="C98" s="1515">
        <f>MROUND('F Y U 2024 Presupuesto'!C98,1000)</f>
        <v>2874685000</v>
      </c>
      <c r="D98" s="924">
        <f t="shared" si="6"/>
        <v>2874685000</v>
      </c>
      <c r="E98" s="924"/>
      <c r="F98" s="924"/>
      <c r="G98" s="1264"/>
      <c r="H98" s="1265"/>
      <c r="I98" s="1293"/>
      <c r="J98" s="53"/>
      <c r="K98" s="53"/>
      <c r="L98" s="53"/>
      <c r="M98" s="53"/>
      <c r="N98" s="53"/>
    </row>
    <row r="99" spans="1:14" ht="15" x14ac:dyDescent="0.25">
      <c r="A99" s="922"/>
      <c r="B99" s="923" t="s">
        <v>1133</v>
      </c>
      <c r="C99" s="1515">
        <f>MROUND('F Y U 2024 Presupuesto'!C99,1000)</f>
        <v>935708000</v>
      </c>
      <c r="D99" s="924">
        <f t="shared" si="6"/>
        <v>935708000</v>
      </c>
      <c r="E99" s="924"/>
      <c r="F99" s="924"/>
      <c r="G99" s="1264"/>
      <c r="H99" s="1265"/>
    </row>
    <row r="100" spans="1:14" ht="15" x14ac:dyDescent="0.25">
      <c r="A100" s="922"/>
      <c r="B100" s="923" t="s">
        <v>1137</v>
      </c>
      <c r="C100" s="1515">
        <f>MROUND('F Y U 2024 Presupuesto'!C100,1000)</f>
        <v>2710326000</v>
      </c>
      <c r="D100" s="924">
        <f t="shared" si="6"/>
        <v>2710326000</v>
      </c>
      <c r="E100" s="924"/>
      <c r="F100" s="924"/>
      <c r="G100" s="1264"/>
      <c r="H100" s="1265"/>
    </row>
    <row r="101" spans="1:14" s="54" customFormat="1" ht="15" x14ac:dyDescent="0.25">
      <c r="A101" s="922"/>
      <c r="B101" s="923" t="s">
        <v>1138</v>
      </c>
      <c r="C101" s="1515">
        <f>MROUND('F Y U 2024 Presupuesto'!C101,1000)</f>
        <v>1496247000</v>
      </c>
      <c r="D101" s="924">
        <f t="shared" si="6"/>
        <v>1496247000</v>
      </c>
      <c r="E101" s="924"/>
      <c r="F101" s="924"/>
      <c r="G101" s="1264"/>
      <c r="H101" s="1265"/>
      <c r="I101" s="1293"/>
      <c r="J101" s="53"/>
      <c r="K101" s="53"/>
      <c r="L101" s="53"/>
      <c r="M101" s="53"/>
      <c r="N101" s="53"/>
    </row>
    <row r="102" spans="1:14" ht="15" x14ac:dyDescent="0.25">
      <c r="A102" s="922"/>
      <c r="B102" s="923" t="s">
        <v>1139</v>
      </c>
      <c r="C102" s="1515">
        <f>MROUND('F Y U 2024 Presupuesto'!C102,1000)</f>
        <v>300000000</v>
      </c>
      <c r="D102" s="924">
        <f t="shared" si="6"/>
        <v>300000000</v>
      </c>
      <c r="E102" s="924"/>
      <c r="F102" s="924"/>
      <c r="G102" s="41"/>
    </row>
    <row r="103" spans="1:14" s="54" customFormat="1" ht="15" x14ac:dyDescent="0.25">
      <c r="A103" s="922"/>
      <c r="B103" s="923" t="s">
        <v>1141</v>
      </c>
      <c r="C103" s="1515">
        <f>MROUND('F Y U 2024 Presupuesto'!C103,1000)</f>
        <v>15500000000</v>
      </c>
      <c r="D103" s="924">
        <f t="shared" si="6"/>
        <v>15500000000</v>
      </c>
      <c r="E103" s="924"/>
      <c r="F103" s="924"/>
      <c r="G103" s="53"/>
      <c r="H103" s="53"/>
      <c r="I103" s="1293"/>
      <c r="J103" s="53"/>
      <c r="K103" s="53"/>
      <c r="L103" s="53"/>
      <c r="M103" s="53"/>
      <c r="N103" s="53"/>
    </row>
    <row r="104" spans="1:14" s="54" customFormat="1" ht="15" x14ac:dyDescent="0.25">
      <c r="A104" s="922"/>
      <c r="B104" s="923" t="s">
        <v>1821</v>
      </c>
      <c r="C104" s="1515">
        <f>MROUND('F Y U 2024 Presupuesto'!C104,1000)</f>
        <v>5061794000</v>
      </c>
      <c r="D104" s="924">
        <f t="shared" si="6"/>
        <v>5061794000</v>
      </c>
      <c r="E104" s="924"/>
      <c r="F104" s="924"/>
      <c r="G104" s="53"/>
      <c r="H104" s="53"/>
      <c r="I104" s="1293"/>
      <c r="J104" s="53"/>
      <c r="K104" s="53"/>
      <c r="L104" s="53"/>
      <c r="M104" s="53"/>
      <c r="N104" s="53"/>
    </row>
    <row r="105" spans="1:14" s="54" customFormat="1" ht="15" x14ac:dyDescent="0.25">
      <c r="A105" s="922" t="s">
        <v>226</v>
      </c>
      <c r="B105" s="923" t="s">
        <v>1143</v>
      </c>
      <c r="C105" s="1515">
        <f>MROUND('F Y U 2024 Presupuesto'!C105,1000)</f>
        <v>2166183000</v>
      </c>
      <c r="D105" s="924">
        <f t="shared" si="6"/>
        <v>2166183000</v>
      </c>
      <c r="E105" s="924"/>
      <c r="F105" s="924"/>
      <c r="G105" s="53"/>
      <c r="H105" s="53"/>
      <c r="I105" s="1293"/>
      <c r="J105" s="53"/>
      <c r="K105" s="53"/>
      <c r="L105" s="53"/>
      <c r="M105" s="53"/>
      <c r="N105" s="53"/>
    </row>
    <row r="106" spans="1:14" s="54" customFormat="1" ht="25.5" x14ac:dyDescent="0.25">
      <c r="A106" s="922"/>
      <c r="B106" s="923" t="str">
        <f>+'[3]Plan Financiero 2021'!A127</f>
        <v>IVA Cedido Sobre Licores, Vinos, Aperitivos y Similares</v>
      </c>
      <c r="C106" s="1515">
        <f>MROUND('F Y U 2024 Presupuesto'!C106,1000)</f>
        <v>2874685000</v>
      </c>
      <c r="D106" s="924">
        <f t="shared" si="6"/>
        <v>2874685000</v>
      </c>
      <c r="E106" s="924"/>
      <c r="F106" s="924"/>
      <c r="G106" s="53"/>
      <c r="H106" s="53"/>
      <c r="I106" s="1293"/>
      <c r="J106" s="53"/>
      <c r="K106" s="53"/>
      <c r="L106" s="53"/>
      <c r="M106" s="53"/>
      <c r="N106" s="53"/>
    </row>
    <row r="107" spans="1:14" s="54" customFormat="1" ht="15" x14ac:dyDescent="0.25">
      <c r="A107" s="930"/>
      <c r="B107" s="1046" t="s">
        <v>1146</v>
      </c>
      <c r="C107" s="1515">
        <f>MROUND('F Y U 2024 Presupuesto'!C107,1000)</f>
        <v>3963289000</v>
      </c>
      <c r="D107" s="929">
        <f t="shared" si="6"/>
        <v>3963289000</v>
      </c>
      <c r="E107" s="929"/>
      <c r="F107" s="929"/>
      <c r="G107" s="53"/>
      <c r="H107" s="53"/>
      <c r="I107" s="1293"/>
      <c r="J107" s="53"/>
      <c r="K107" s="53"/>
      <c r="L107" s="53"/>
      <c r="M107" s="53"/>
      <c r="N107" s="53"/>
    </row>
    <row r="108" spans="1:14" s="54" customFormat="1" ht="18.75" customHeight="1" x14ac:dyDescent="0.25">
      <c r="A108" s="42"/>
      <c r="B108" s="1157" t="s">
        <v>1822</v>
      </c>
      <c r="C108" s="1009">
        <f>SUM(C87:C107)</f>
        <v>71043833000</v>
      </c>
      <c r="D108" s="42"/>
      <c r="E108" s="42"/>
      <c r="F108" s="42"/>
      <c r="G108" s="53">
        <f>+C108+C84</f>
        <v>290333144000</v>
      </c>
      <c r="H108" s="53"/>
      <c r="I108" s="1293"/>
      <c r="J108" s="53"/>
      <c r="K108" s="53"/>
      <c r="L108" s="53"/>
      <c r="M108" s="53"/>
      <c r="N108" s="53"/>
    </row>
    <row r="109" spans="1:14" s="54" customFormat="1" x14ac:dyDescent="0.25">
      <c r="A109" s="42"/>
      <c r="B109" s="42"/>
      <c r="C109" s="42"/>
      <c r="D109" s="42"/>
      <c r="E109" s="42"/>
      <c r="F109" s="42"/>
      <c r="G109" s="53"/>
      <c r="H109" s="53"/>
      <c r="I109" s="1293"/>
      <c r="J109" s="53"/>
      <c r="K109" s="53"/>
      <c r="L109" s="53"/>
      <c r="M109" s="53"/>
      <c r="N109" s="53"/>
    </row>
    <row r="110" spans="1:14" s="54" customFormat="1" ht="25.5" customHeight="1" x14ac:dyDescent="0.25">
      <c r="A110" s="42"/>
      <c r="B110" s="1667" t="s">
        <v>1065</v>
      </c>
      <c r="C110" s="1668"/>
      <c r="D110" s="42"/>
      <c r="E110" s="42"/>
      <c r="G110" s="53"/>
      <c r="H110" s="53"/>
      <c r="I110" s="1293"/>
      <c r="J110" s="53"/>
      <c r="K110" s="53"/>
      <c r="L110" s="53"/>
      <c r="M110" s="53"/>
      <c r="N110" s="53"/>
    </row>
    <row r="111" spans="1:14" s="54" customFormat="1" ht="25.5" x14ac:dyDescent="0.25">
      <c r="A111" s="933">
        <v>27</v>
      </c>
      <c r="B111" s="923" t="s">
        <v>1066</v>
      </c>
      <c r="C111" s="1515">
        <f>MROUND('F Y U 2024 Presupuesto'!C111,1000)</f>
        <v>4052617000</v>
      </c>
      <c r="D111" s="924">
        <f>+C111</f>
        <v>4052617000</v>
      </c>
      <c r="E111" s="935"/>
      <c r="F111" s="935"/>
      <c r="H111" s="53"/>
      <c r="I111" s="1293"/>
      <c r="J111" s="53"/>
      <c r="K111" s="53"/>
      <c r="L111" s="53"/>
      <c r="M111" s="53"/>
      <c r="N111" s="53"/>
    </row>
    <row r="112" spans="1:14" s="54" customFormat="1" ht="25.5" x14ac:dyDescent="0.25">
      <c r="A112" s="936"/>
      <c r="B112" s="1157" t="s">
        <v>1823</v>
      </c>
      <c r="C112" s="1009">
        <f>+C111</f>
        <v>4052617000</v>
      </c>
      <c r="D112" s="42"/>
      <c r="E112" s="42"/>
      <c r="F112" s="42"/>
      <c r="H112" s="53"/>
      <c r="I112" s="1293"/>
      <c r="J112" s="53"/>
      <c r="K112" s="53"/>
      <c r="L112" s="53"/>
      <c r="M112" s="53"/>
      <c r="N112" s="53"/>
    </row>
    <row r="113" spans="1:16" s="54" customFormat="1" x14ac:dyDescent="0.25">
      <c r="A113" s="936"/>
      <c r="B113" s="936"/>
      <c r="C113" s="936"/>
      <c r="D113" s="42"/>
      <c r="E113" s="42"/>
      <c r="F113" s="42"/>
      <c r="H113" s="53"/>
      <c r="I113" s="1293"/>
      <c r="J113" s="53"/>
      <c r="K113" s="53"/>
      <c r="L113" s="53"/>
      <c r="M113" s="53"/>
      <c r="N113" s="53"/>
    </row>
    <row r="114" spans="1:16" s="54" customFormat="1" x14ac:dyDescent="0.25">
      <c r="A114" s="936"/>
      <c r="B114" s="1667" t="s">
        <v>961</v>
      </c>
      <c r="C114" s="1668"/>
      <c r="D114" s="924"/>
      <c r="E114" s="924"/>
      <c r="F114" s="924"/>
      <c r="H114" s="53"/>
      <c r="I114" s="1293"/>
      <c r="J114" s="53"/>
      <c r="K114" s="53"/>
      <c r="L114" s="53"/>
      <c r="M114" s="53"/>
      <c r="N114" s="53"/>
    </row>
    <row r="115" spans="1:16" s="54" customFormat="1" ht="25.5" x14ac:dyDescent="0.25">
      <c r="A115" s="923"/>
      <c r="B115" s="923" t="s">
        <v>1149</v>
      </c>
      <c r="C115" s="1515">
        <f>MROUND('F Y U 2024 Presupuesto'!C115,1000)</f>
        <v>2461968000</v>
      </c>
      <c r="D115" s="924">
        <f>+C115</f>
        <v>2461968000</v>
      </c>
      <c r="E115" s="924"/>
      <c r="F115" s="924"/>
      <c r="H115" s="53"/>
      <c r="I115" s="1293"/>
      <c r="J115" s="53"/>
      <c r="K115" s="53"/>
      <c r="L115" s="53"/>
      <c r="M115" s="53"/>
      <c r="N115" s="53"/>
    </row>
    <row r="116" spans="1:16" s="54" customFormat="1" ht="21" customHeight="1" x14ac:dyDescent="0.25">
      <c r="A116" s="923"/>
      <c r="B116" s="1157" t="s">
        <v>1824</v>
      </c>
      <c r="C116" s="1009">
        <f>+C115</f>
        <v>2461968000</v>
      </c>
      <c r="D116" s="924"/>
      <c r="E116" s="924"/>
      <c r="F116" s="924"/>
      <c r="H116" s="53"/>
      <c r="I116" s="1293"/>
      <c r="J116" s="53"/>
      <c r="K116" s="53"/>
      <c r="L116" s="53"/>
      <c r="M116" s="53"/>
      <c r="N116" s="53"/>
    </row>
    <row r="117" spans="1:16" s="54" customFormat="1" x14ac:dyDescent="0.25">
      <c r="A117" s="42"/>
      <c r="B117" s="42"/>
      <c r="C117" s="42"/>
      <c r="E117" s="924"/>
      <c r="F117" s="924"/>
      <c r="H117" s="53"/>
      <c r="I117" s="1293"/>
      <c r="J117" s="53"/>
      <c r="K117" s="53"/>
      <c r="L117" s="53"/>
      <c r="M117" s="53"/>
      <c r="N117" s="53"/>
    </row>
    <row r="118" spans="1:16" s="54" customFormat="1" ht="24" customHeight="1" x14ac:dyDescent="0.25">
      <c r="A118" s="1677" t="s">
        <v>1825</v>
      </c>
      <c r="B118" s="1678"/>
      <c r="C118" s="1009">
        <f>+C84+C108+C112+C116</f>
        <v>296847729000</v>
      </c>
      <c r="D118" s="1009">
        <f>SUM(D75:D116)</f>
        <v>296847729000</v>
      </c>
      <c r="E118" s="924"/>
      <c r="F118" s="924"/>
      <c r="H118" s="53"/>
      <c r="I118" s="1293"/>
      <c r="J118" s="53"/>
      <c r="K118" s="53"/>
      <c r="L118" s="53"/>
      <c r="M118" s="53"/>
      <c r="N118" s="53"/>
    </row>
    <row r="119" spans="1:16" s="54" customFormat="1" x14ac:dyDescent="0.25">
      <c r="A119" s="88"/>
      <c r="B119" s="88"/>
      <c r="C119" s="88"/>
      <c r="D119" s="88"/>
      <c r="E119" s="88"/>
      <c r="F119" s="88"/>
      <c r="H119" s="53"/>
      <c r="I119" s="1293"/>
      <c r="J119" s="53"/>
      <c r="K119" s="53"/>
      <c r="L119" s="53"/>
      <c r="M119" s="53"/>
      <c r="N119" s="53"/>
    </row>
    <row r="120" spans="1:16" s="54" customFormat="1" ht="36" customHeight="1" x14ac:dyDescent="0.25">
      <c r="A120" s="1677" t="s">
        <v>1826</v>
      </c>
      <c r="B120" s="1678"/>
      <c r="C120" s="1009">
        <f>+C118+C52+C71</f>
        <v>508273313000</v>
      </c>
      <c r="D120" s="1155">
        <f>+D118+D52+D71</f>
        <v>323482237000</v>
      </c>
      <c r="E120" s="1155">
        <f>+E118+E52+E71</f>
        <v>54570901000</v>
      </c>
      <c r="F120" s="1155">
        <f>+F118+F52+F71</f>
        <v>129923488000</v>
      </c>
      <c r="G120" s="53">
        <f>D120+E120+F120</f>
        <v>507976626000</v>
      </c>
      <c r="H120" s="53">
        <f>C120-G120</f>
        <v>296687000</v>
      </c>
      <c r="I120" s="1293"/>
      <c r="J120" s="53"/>
      <c r="K120" s="53"/>
      <c r="L120" s="53"/>
      <c r="M120" s="1680" t="s">
        <v>3251</v>
      </c>
      <c r="N120" s="1680"/>
      <c r="O120" s="1680"/>
      <c r="P120" s="1680"/>
    </row>
    <row r="121" spans="1:16" s="54" customFormat="1" x14ac:dyDescent="0.25">
      <c r="A121" s="42"/>
      <c r="B121" s="1679"/>
      <c r="C121" s="1679"/>
      <c r="D121" s="73"/>
      <c r="E121" s="73"/>
      <c r="F121" s="74"/>
      <c r="G121" s="53"/>
      <c r="H121" s="53"/>
      <c r="I121" s="1293"/>
      <c r="J121" s="53"/>
      <c r="K121" s="53"/>
      <c r="L121" s="53"/>
      <c r="M121" s="53">
        <v>1</v>
      </c>
      <c r="N121" s="53">
        <f>5730450*1.2</f>
        <v>6876540</v>
      </c>
      <c r="O121" s="53">
        <f>+M121*N121</f>
        <v>6876540</v>
      </c>
      <c r="P121" s="53">
        <f>+O121*1.76</f>
        <v>12102710.4</v>
      </c>
    </row>
    <row r="122" spans="1:16" s="54" customFormat="1" ht="15" x14ac:dyDescent="0.25">
      <c r="A122" s="42"/>
      <c r="B122" s="972" t="s">
        <v>1827</v>
      </c>
      <c r="C122" s="1255">
        <f>ROUND(F120*0.01,0)</f>
        <v>1299234880</v>
      </c>
      <c r="E122" s="54">
        <v>508273313000</v>
      </c>
      <c r="F122" s="74">
        <f>157753937382+11236130587+338283245031</f>
        <v>507273313000</v>
      </c>
      <c r="G122" s="53">
        <f>+E122-F122</f>
        <v>1000000000</v>
      </c>
      <c r="H122" s="53"/>
      <c r="I122" s="1293"/>
      <c r="J122" s="53"/>
      <c r="K122" s="53"/>
      <c r="L122" s="53"/>
      <c r="M122" s="53">
        <v>1</v>
      </c>
      <c r="N122" s="53">
        <f>5535226*1.2</f>
        <v>6642271.2000000002</v>
      </c>
      <c r="O122" s="53">
        <f t="shared" ref="O122:O125" si="7">+M122*N122</f>
        <v>6642271.2000000002</v>
      </c>
      <c r="P122" s="53">
        <f t="shared" ref="P122:P125" si="8">+O122*1.76</f>
        <v>11690397.312000001</v>
      </c>
    </row>
    <row r="123" spans="1:16" s="54" customFormat="1" ht="30" x14ac:dyDescent="0.25">
      <c r="A123" s="42"/>
      <c r="B123" s="973" t="s">
        <v>1828</v>
      </c>
      <c r="C123" s="1256">
        <f>ROUND(F120*0.01,0)</f>
        <v>1299234880</v>
      </c>
      <c r="E123" s="54">
        <v>5168301321</v>
      </c>
      <c r="F123" s="1161"/>
      <c r="G123" s="53"/>
      <c r="H123" s="53"/>
      <c r="I123" s="1293"/>
      <c r="J123" s="53"/>
      <c r="K123" s="53"/>
      <c r="L123" s="53"/>
      <c r="M123" s="53">
        <v>3</v>
      </c>
      <c r="N123" s="53">
        <f>1.2*4789477</f>
        <v>5747372.3999999994</v>
      </c>
      <c r="O123" s="53">
        <f t="shared" si="7"/>
        <v>17242117.199999999</v>
      </c>
      <c r="P123" s="53">
        <f t="shared" si="8"/>
        <v>30346126.272</v>
      </c>
    </row>
    <row r="124" spans="1:16" s="54" customFormat="1" ht="30" x14ac:dyDescent="0.25">
      <c r="A124" s="42"/>
      <c r="B124" s="972" t="s">
        <v>1829</v>
      </c>
      <c r="C124" s="1255">
        <f>ROUND(F120*0.007,0)</f>
        <v>909464416</v>
      </c>
      <c r="E124" s="54">
        <v>8523050371</v>
      </c>
      <c r="F124" s="74"/>
      <c r="G124" s="53"/>
      <c r="H124" s="53"/>
      <c r="I124" s="1293"/>
      <c r="J124" s="53"/>
      <c r="K124" s="53"/>
      <c r="L124" s="53"/>
      <c r="M124" s="53">
        <v>1</v>
      </c>
      <c r="N124" s="53">
        <f>1.2*6500000</f>
        <v>7800000</v>
      </c>
      <c r="O124" s="53">
        <f t="shared" si="7"/>
        <v>7800000</v>
      </c>
      <c r="P124" s="53">
        <f t="shared" si="8"/>
        <v>13728000</v>
      </c>
    </row>
    <row r="125" spans="1:16" s="54" customFormat="1" ht="15" x14ac:dyDescent="0.25">
      <c r="A125" s="42"/>
      <c r="B125" s="973" t="s">
        <v>1830</v>
      </c>
      <c r="C125" s="1256">
        <f>1.2*1627500000</f>
        <v>1953000000</v>
      </c>
      <c r="E125" s="54">
        <f>SUM(E122:E124)</f>
        <v>521964664692</v>
      </c>
      <c r="F125" s="1162"/>
      <c r="G125" s="53"/>
      <c r="H125" s="53"/>
      <c r="I125" s="1293"/>
      <c r="J125" s="53"/>
      <c r="K125" s="53"/>
      <c r="L125" s="53"/>
      <c r="M125" s="53">
        <v>1</v>
      </c>
      <c r="N125" s="53">
        <f>1.2*3555691</f>
        <v>4266829.2</v>
      </c>
      <c r="O125" s="53">
        <f t="shared" si="7"/>
        <v>4266829.2</v>
      </c>
      <c r="P125" s="53">
        <f t="shared" si="8"/>
        <v>7509619.392</v>
      </c>
    </row>
    <row r="126" spans="1:16" s="54" customFormat="1" ht="15" x14ac:dyDescent="0.25">
      <c r="A126" s="42"/>
      <c r="B126" s="972" t="s">
        <v>1831</v>
      </c>
      <c r="C126" s="1255">
        <f>ROUND(F52*0.1,0)</f>
        <v>12941348800</v>
      </c>
      <c r="F126" s="74"/>
      <c r="G126" s="53"/>
      <c r="H126" s="53"/>
      <c r="I126" s="1293"/>
      <c r="J126" s="53"/>
      <c r="K126" s="53"/>
      <c r="L126" s="53"/>
      <c r="M126" s="53"/>
      <c r="N126" s="53"/>
      <c r="O126" s="53"/>
      <c r="P126" s="53">
        <f>SUM(P121:P125)</f>
        <v>75376853.376000002</v>
      </c>
    </row>
    <row r="127" spans="1:16" x14ac:dyDescent="0.25">
      <c r="B127" s="1660"/>
      <c r="C127" s="1661"/>
      <c r="D127" s="1163"/>
      <c r="E127" s="411"/>
      <c r="F127" s="77"/>
      <c r="G127" s="41"/>
      <c r="K127" s="53"/>
      <c r="L127" s="53"/>
      <c r="O127" s="41"/>
      <c r="P127" s="41">
        <f>+P126*13</f>
        <v>979899093.88800001</v>
      </c>
    </row>
    <row r="128" spans="1:16" ht="22.5" customHeight="1" x14ac:dyDescent="0.25">
      <c r="B128" s="1160" t="s">
        <v>970</v>
      </c>
      <c r="C128" s="1010" t="s">
        <v>971</v>
      </c>
      <c r="D128" s="1010" t="s">
        <v>956</v>
      </c>
      <c r="E128" s="411"/>
      <c r="F128" s="124"/>
      <c r="G128" s="41"/>
      <c r="K128" s="53"/>
      <c r="L128" s="53"/>
      <c r="O128" s="41"/>
      <c r="P128" s="41"/>
    </row>
    <row r="129" spans="2:12" ht="15" x14ac:dyDescent="0.25">
      <c r="B129" s="921" t="s">
        <v>972</v>
      </c>
      <c r="C129" s="1257">
        <f>+F120-C122-C124-C126-C123-C125</f>
        <v>111521205024</v>
      </c>
      <c r="D129" s="956">
        <v>1</v>
      </c>
      <c r="E129" s="411"/>
      <c r="F129" s="41">
        <f>C129*3.7%</f>
        <v>4126284585.8880005</v>
      </c>
      <c r="G129" s="41"/>
      <c r="K129" s="53"/>
      <c r="L129" s="53"/>
    </row>
    <row r="130" spans="2:12" ht="15" x14ac:dyDescent="0.25">
      <c r="B130" s="921" t="s">
        <v>973</v>
      </c>
      <c r="C130" s="1257">
        <f>+(C129*0.7)</f>
        <v>78064843516.799988</v>
      </c>
      <c r="D130" s="956">
        <f>+C130/$C$129</f>
        <v>0.69999999999999984</v>
      </c>
      <c r="E130" s="411"/>
      <c r="F130" s="41">
        <f>F129-C136</f>
        <v>18870000.000000477</v>
      </c>
      <c r="G130" s="41">
        <f>F71*3.7%</f>
        <v>18870000.000000004</v>
      </c>
      <c r="K130" s="53"/>
      <c r="L130" s="53"/>
    </row>
    <row r="131" spans="2:12" ht="15" x14ac:dyDescent="0.25">
      <c r="B131" s="937" t="s">
        <v>974</v>
      </c>
      <c r="C131" s="1258">
        <f>+C129-C130</f>
        <v>33456361507.200012</v>
      </c>
      <c r="D131" s="957">
        <f t="shared" ref="D131" si="9">+C131/$C$129</f>
        <v>0.3000000000000001</v>
      </c>
      <c r="E131" s="411"/>
      <c r="F131" s="41"/>
      <c r="G131" s="41"/>
      <c r="K131" s="53"/>
      <c r="L131" s="53"/>
    </row>
    <row r="132" spans="2:12" x14ac:dyDescent="0.25">
      <c r="B132" s="1662"/>
      <c r="C132" s="1663"/>
      <c r="D132" s="1164"/>
      <c r="E132" s="73"/>
      <c r="F132" s="74"/>
      <c r="G132" s="41"/>
      <c r="K132" s="53"/>
      <c r="L132" s="53"/>
    </row>
    <row r="133" spans="2:12" ht="22.5" customHeight="1" x14ac:dyDescent="0.25">
      <c r="B133" s="1673" t="s">
        <v>1832</v>
      </c>
      <c r="C133" s="1673"/>
      <c r="D133" s="73"/>
      <c r="E133" s="73"/>
      <c r="F133" s="74"/>
      <c r="G133" s="41"/>
      <c r="K133" s="53"/>
      <c r="L133" s="53"/>
    </row>
    <row r="134" spans="2:12" ht="63.75" x14ac:dyDescent="0.25">
      <c r="B134" s="921" t="s">
        <v>1833</v>
      </c>
      <c r="C134" s="1259">
        <f>11236130586.506-C46</f>
        <v>8365020586.5060005</v>
      </c>
      <c r="D134" s="411"/>
      <c r="E134" s="1165" t="s">
        <v>1834</v>
      </c>
      <c r="F134" s="74"/>
      <c r="K134" s="53"/>
      <c r="L134" s="53"/>
    </row>
    <row r="135" spans="2:12" ht="38.25" x14ac:dyDescent="0.25">
      <c r="B135" s="921" t="s">
        <v>1835</v>
      </c>
      <c r="C135" s="1259">
        <v>4668913388</v>
      </c>
      <c r="D135" s="411"/>
      <c r="E135" s="1165" t="s">
        <v>1836</v>
      </c>
      <c r="F135" s="74"/>
      <c r="K135" s="53"/>
      <c r="L135" s="53"/>
    </row>
    <row r="136" spans="2:12" ht="140.25" x14ac:dyDescent="0.25">
      <c r="B136" s="937" t="s">
        <v>1837</v>
      </c>
      <c r="C136" s="970">
        <f>(F52-C123-C126-C124-C125-C122)*0.037</f>
        <v>4107414585.888</v>
      </c>
      <c r="D136" s="1166" t="s">
        <v>1838</v>
      </c>
      <c r="E136" s="1166" t="s">
        <v>1839</v>
      </c>
      <c r="F136" s="74"/>
    </row>
    <row r="137" spans="2:12" ht="15" x14ac:dyDescent="0.25">
      <c r="B137" s="921" t="s">
        <v>1841</v>
      </c>
      <c r="C137" s="970">
        <f>+C131-C134-C135-C136+E163+5000000000-F163+1428615287-G163</f>
        <v>27388676551.006027</v>
      </c>
      <c r="D137" s="411"/>
      <c r="E137" s="85"/>
      <c r="F137" s="74"/>
    </row>
    <row r="138" spans="2:12" x14ac:dyDescent="0.25">
      <c r="B138" s="1167" t="s">
        <v>1773</v>
      </c>
      <c r="C138" s="1011">
        <f>+C134+C135+C136+C137</f>
        <v>44530025111.400024</v>
      </c>
      <c r="D138" s="411"/>
      <c r="E138" s="411"/>
      <c r="F138" s="422"/>
    </row>
    <row r="139" spans="2:12" x14ac:dyDescent="0.25">
      <c r="B139" s="1669"/>
      <c r="C139" s="1669"/>
      <c r="D139" s="73"/>
      <c r="E139" s="73"/>
      <c r="F139" s="74"/>
    </row>
    <row r="140" spans="2:12" ht="24.75" customHeight="1" x14ac:dyDescent="0.25">
      <c r="B140" s="1670" t="s">
        <v>1842</v>
      </c>
      <c r="C140" s="1670"/>
      <c r="D140" s="124"/>
      <c r="E140" s="124"/>
      <c r="F140" s="124"/>
    </row>
    <row r="141" spans="2:12" ht="15" customHeight="1" x14ac:dyDescent="0.25">
      <c r="B141" s="940" t="s">
        <v>1843</v>
      </c>
      <c r="C141" s="1260">
        <f>+C135</f>
        <v>4668913388</v>
      </c>
      <c r="D141" s="73"/>
      <c r="E141" s="73"/>
      <c r="F141" s="74"/>
    </row>
    <row r="142" spans="2:12" ht="15" customHeight="1" x14ac:dyDescent="0.25">
      <c r="B142" s="937" t="s">
        <v>1844</v>
      </c>
      <c r="C142" s="1258">
        <f>+C136</f>
        <v>4107414585.888</v>
      </c>
      <c r="D142" s="411"/>
      <c r="E142" s="411"/>
      <c r="F142" s="74"/>
    </row>
    <row r="143" spans="2:12" ht="26.25" customHeight="1" x14ac:dyDescent="0.25">
      <c r="B143" s="921" t="s">
        <v>1845</v>
      </c>
      <c r="C143" s="1257">
        <f>+E43</f>
        <v>681193000</v>
      </c>
      <c r="D143" s="1168"/>
      <c r="E143" s="411"/>
      <c r="F143" s="74"/>
    </row>
    <row r="144" spans="2:12" ht="26.25" customHeight="1" x14ac:dyDescent="0.25">
      <c r="B144" s="1004" t="s">
        <v>3221</v>
      </c>
      <c r="C144" s="1270">
        <v>2538098716</v>
      </c>
      <c r="D144" s="73"/>
      <c r="E144" s="411"/>
      <c r="F144" s="74"/>
    </row>
    <row r="145" spans="1:8" ht="26.25" customHeight="1" x14ac:dyDescent="0.25">
      <c r="B145" s="937" t="s">
        <v>1847</v>
      </c>
      <c r="C145" s="1271">
        <f>51589822235+296687000</f>
        <v>51886509235</v>
      </c>
      <c r="D145" s="411"/>
      <c r="E145" s="411"/>
      <c r="F145" s="74"/>
      <c r="G145" s="938"/>
    </row>
    <row r="146" spans="1:8" ht="26.25" customHeight="1" x14ac:dyDescent="0.25">
      <c r="B146" s="1002" t="s">
        <v>3250</v>
      </c>
      <c r="C146" s="1270">
        <v>7000000000</v>
      </c>
      <c r="D146" s="411"/>
      <c r="E146" s="411"/>
      <c r="F146" s="74"/>
      <c r="G146" s="1253"/>
    </row>
    <row r="147" spans="1:8" ht="15" customHeight="1" x14ac:dyDescent="0.25">
      <c r="B147" s="1002" t="s">
        <v>1848</v>
      </c>
      <c r="C147" s="1272">
        <f>+(1969382468*1.2)+2500000000+1000000000</f>
        <v>5863258961.6000004</v>
      </c>
      <c r="D147" s="1169"/>
      <c r="E147" s="423"/>
      <c r="F147" s="74"/>
    </row>
    <row r="148" spans="1:8" ht="15.75" customHeight="1" x14ac:dyDescent="0.25">
      <c r="B148" s="1004" t="s">
        <v>1849</v>
      </c>
      <c r="C148" s="1262">
        <f>+'Salud 2024 '!F25</f>
        <v>10015793400</v>
      </c>
      <c r="D148" s="411"/>
      <c r="E148" s="423"/>
      <c r="F148" s="74"/>
    </row>
    <row r="149" spans="1:8" ht="25.5" x14ac:dyDescent="0.25">
      <c r="B149" s="921" t="s">
        <v>1850</v>
      </c>
      <c r="C149" s="1263">
        <f>+E14+E22+E24+E30+E55+E59+E60+E66+E69+E37+E36+E54</f>
        <v>25965781000</v>
      </c>
      <c r="D149" s="1170"/>
      <c r="E149" s="423"/>
      <c r="F149" s="74"/>
    </row>
    <row r="150" spans="1:8" ht="15" customHeight="1" x14ac:dyDescent="0.25">
      <c r="B150" s="937" t="s">
        <v>1851</v>
      </c>
      <c r="C150" s="1261">
        <f>+C126+C124+C122+C125</f>
        <v>17103048096</v>
      </c>
      <c r="D150" s="1171"/>
      <c r="E150" s="413"/>
      <c r="F150" s="74"/>
    </row>
    <row r="151" spans="1:8" ht="15" customHeight="1" x14ac:dyDescent="0.25">
      <c r="B151" s="921" t="s">
        <v>1852</v>
      </c>
      <c r="C151" s="1263">
        <f>+E11+E15+E23+E31+E33+E40+E13+C41</f>
        <v>27923927000</v>
      </c>
      <c r="D151" s="1170"/>
      <c r="E151" s="85"/>
      <c r="F151" s="74"/>
      <c r="H151" s="1299"/>
    </row>
    <row r="152" spans="1:8" x14ac:dyDescent="0.25">
      <c r="B152" s="1172" t="s">
        <v>1853</v>
      </c>
      <c r="C152" s="1012">
        <f>+C141+C142+C145+C150+C151+C143+C149+C147+C148+C144+C146</f>
        <v>157753937382.48801</v>
      </c>
      <c r="D152" s="381"/>
      <c r="E152" s="87"/>
      <c r="F152" s="88"/>
    </row>
    <row r="153" spans="1:8" x14ac:dyDescent="0.25">
      <c r="B153" s="1671"/>
      <c r="C153" s="1671"/>
      <c r="D153" s="73"/>
      <c r="E153" s="73"/>
      <c r="F153" s="74"/>
    </row>
    <row r="154" spans="1:8" x14ac:dyDescent="0.25">
      <c r="B154" s="1172" t="s">
        <v>1854</v>
      </c>
      <c r="C154" s="1012">
        <f>C156+C155</f>
        <v>11236130586.506001</v>
      </c>
      <c r="D154" s="87"/>
      <c r="E154" s="87"/>
      <c r="F154" s="88"/>
    </row>
    <row r="155" spans="1:8" ht="15" x14ac:dyDescent="0.25">
      <c r="B155" s="937" t="s">
        <v>1855</v>
      </c>
      <c r="C155" s="1258">
        <f>+C46</f>
        <v>2871110000</v>
      </c>
      <c r="D155" s="87"/>
      <c r="E155" s="409"/>
      <c r="F155" s="88"/>
    </row>
    <row r="156" spans="1:8" ht="15" x14ac:dyDescent="0.25">
      <c r="B156" s="921" t="s">
        <v>1856</v>
      </c>
      <c r="C156" s="1260">
        <f>C134</f>
        <v>8365020586.5060005</v>
      </c>
      <c r="D156" s="87"/>
      <c r="E156" s="87"/>
      <c r="F156" s="88"/>
    </row>
    <row r="157" spans="1:8" x14ac:dyDescent="0.25">
      <c r="B157" s="1172" t="s">
        <v>1857</v>
      </c>
      <c r="D157" s="73"/>
      <c r="E157" s="73"/>
      <c r="F157" s="74"/>
    </row>
    <row r="158" spans="1:8" x14ac:dyDescent="0.25">
      <c r="B158" s="942" t="s">
        <v>1858</v>
      </c>
      <c r="C158" s="943">
        <f>+C137+C122</f>
        <v>28687911431.006027</v>
      </c>
      <c r="D158" s="411"/>
      <c r="E158" s="73"/>
      <c r="F158" s="74"/>
    </row>
    <row r="159" spans="1:8" x14ac:dyDescent="0.25">
      <c r="A159" s="941"/>
      <c r="B159" s="77" t="s">
        <v>1859</v>
      </c>
      <c r="C159" s="943">
        <f>+D12+D21+D25+D26+D27+D28+D29+D39+D44+D51+D58+D61+D62+D63+D64+D65+D67+D68+C115+C111+D45</f>
        <v>30277983000</v>
      </c>
      <c r="D159" s="411"/>
      <c r="E159" s="73"/>
      <c r="F159" s="74"/>
    </row>
    <row r="160" spans="1:8" ht="15" x14ac:dyDescent="0.25">
      <c r="B160" s="942" t="s">
        <v>1860</v>
      </c>
      <c r="C160" s="944">
        <f>+D76+D77+D78+D79+D80+D81+D82+D83+D87+D88+D89+D90+D91+D92+D93+D94+D95+D96+D97+D98+D99+D100+D101+D102+D103+D104+D105+D106+D107-C148</f>
        <v>280317350600</v>
      </c>
      <c r="D160" s="411"/>
      <c r="E160" s="413"/>
      <c r="F160" s="74"/>
    </row>
    <row r="161" spans="2:7" x14ac:dyDescent="0.25">
      <c r="B161" s="1172" t="s">
        <v>1861</v>
      </c>
      <c r="C161" s="1012">
        <f>+C160+C159+C158</f>
        <v>339283245031.00604</v>
      </c>
      <c r="D161" s="409"/>
      <c r="E161" s="409"/>
      <c r="F161" s="88"/>
    </row>
    <row r="162" spans="2:7" x14ac:dyDescent="0.25">
      <c r="B162" s="1672"/>
      <c r="C162" s="1672"/>
      <c r="D162" s="409"/>
      <c r="E162" s="1173"/>
      <c r="F162" s="88"/>
    </row>
    <row r="163" spans="2:7" x14ac:dyDescent="0.25">
      <c r="B163" s="1172" t="s">
        <v>1862</v>
      </c>
      <c r="C163" s="1012">
        <f>C161+C154+C152</f>
        <v>508273313000</v>
      </c>
      <c r="D163" s="409"/>
      <c r="E163" s="1252">
        <v>10475258063.809999</v>
      </c>
      <c r="F163" s="41">
        <v>5602359746.6099854</v>
      </c>
      <c r="G163" s="41">
        <v>227850000</v>
      </c>
    </row>
    <row r="164" spans="2:7" x14ac:dyDescent="0.25">
      <c r="B164" s="77"/>
      <c r="C164" s="88"/>
      <c r="D164" s="411"/>
      <c r="E164" s="411"/>
      <c r="F164" s="74"/>
    </row>
    <row r="165" spans="2:7" x14ac:dyDescent="0.25">
      <c r="C165" s="433"/>
    </row>
    <row r="166" spans="2:7" x14ac:dyDescent="0.25">
      <c r="B166" s="1666" t="s">
        <v>3222</v>
      </c>
      <c r="C166" s="1666"/>
      <c r="D166" s="1666"/>
    </row>
    <row r="167" spans="2:7" x14ac:dyDescent="0.25">
      <c r="B167" s="1160" t="s">
        <v>970</v>
      </c>
      <c r="C167" s="1010" t="s">
        <v>971</v>
      </c>
      <c r="D167" s="1010" t="s">
        <v>956</v>
      </c>
    </row>
    <row r="168" spans="2:7" ht="15" x14ac:dyDescent="0.25">
      <c r="B168" s="921" t="s">
        <v>972</v>
      </c>
      <c r="C168" s="1257">
        <f>+C129</f>
        <v>111521205024</v>
      </c>
      <c r="D168" s="956">
        <v>1</v>
      </c>
    </row>
    <row r="169" spans="2:7" ht="15" x14ac:dyDescent="0.25">
      <c r="B169" s="921" t="s">
        <v>973</v>
      </c>
      <c r="C169" s="1257">
        <f>+C145+C147+C144+C146</f>
        <v>67287866912.599998</v>
      </c>
      <c r="D169" s="956">
        <f>+C169/$C$129</f>
        <v>0.60336387952514736</v>
      </c>
    </row>
    <row r="170" spans="2:7" ht="15" x14ac:dyDescent="0.25">
      <c r="B170" s="937" t="s">
        <v>974</v>
      </c>
      <c r="C170" s="1258">
        <f>+C134+C135+C136+C137</f>
        <v>44530025111.400024</v>
      </c>
      <c r="D170" s="957">
        <f t="shared" ref="D170" si="10">+C170/$C$129</f>
        <v>0.39929648448308025</v>
      </c>
    </row>
    <row r="173" spans="2:7" ht="12.75" customHeight="1" x14ac:dyDescent="0.25"/>
    <row r="176" spans="2:7" x14ac:dyDescent="0.25">
      <c r="B176" s="1273"/>
      <c r="C176" s="41"/>
    </row>
    <row r="177" spans="2:3" x14ac:dyDescent="0.25">
      <c r="B177" s="1273" t="s">
        <v>3252</v>
      </c>
      <c r="C177" s="41">
        <f>+C145</f>
        <v>51886509235</v>
      </c>
    </row>
    <row r="178" spans="2:3" x14ac:dyDescent="0.25">
      <c r="B178" s="1273" t="s">
        <v>3253</v>
      </c>
      <c r="C178" s="41">
        <f>+C147</f>
        <v>5863258961.6000004</v>
      </c>
    </row>
    <row r="179" spans="2:3" x14ac:dyDescent="0.25">
      <c r="B179" s="1273" t="s">
        <v>3254</v>
      </c>
      <c r="C179" s="41">
        <f>+C146</f>
        <v>7000000000</v>
      </c>
    </row>
    <row r="180" spans="2:3" x14ac:dyDescent="0.25">
      <c r="B180" s="1273" t="s">
        <v>3255</v>
      </c>
      <c r="C180" s="41">
        <f>+C144</f>
        <v>2538098716</v>
      </c>
    </row>
    <row r="181" spans="2:3" x14ac:dyDescent="0.25">
      <c r="B181" s="1273" t="s">
        <v>3256</v>
      </c>
      <c r="C181" s="41">
        <f>+C142</f>
        <v>4107414585.888</v>
      </c>
    </row>
    <row r="182" spans="2:3" x14ac:dyDescent="0.25">
      <c r="B182" s="1273" t="s">
        <v>3257</v>
      </c>
      <c r="C182" s="41">
        <f>+C135</f>
        <v>4668913388</v>
      </c>
    </row>
    <row r="183" spans="2:3" x14ac:dyDescent="0.25">
      <c r="B183" s="1273" t="s">
        <v>3258</v>
      </c>
      <c r="C183" s="41">
        <f>+C122+C124+C125+C126</f>
        <v>17103048096</v>
      </c>
    </row>
    <row r="184" spans="2:3" x14ac:dyDescent="0.25">
      <c r="B184" s="1273" t="s">
        <v>3259</v>
      </c>
      <c r="C184" s="41">
        <f>SUM(C177:C183)</f>
        <v>93167242982.487991</v>
      </c>
    </row>
    <row r="185" spans="2:3" x14ac:dyDescent="0.25">
      <c r="B185" s="1273" t="s">
        <v>3260</v>
      </c>
      <c r="C185" s="41">
        <f>+C156</f>
        <v>8365020586.5060005</v>
      </c>
    </row>
    <row r="186" spans="2:3" x14ac:dyDescent="0.25">
      <c r="B186" s="1273" t="s">
        <v>3261</v>
      </c>
      <c r="C186" s="41">
        <f>+C184+C185</f>
        <v>101532263568.99399</v>
      </c>
    </row>
    <row r="187" spans="2:3" x14ac:dyDescent="0.25">
      <c r="B187" s="1273" t="s">
        <v>3262</v>
      </c>
      <c r="C187" s="41">
        <f>+C186-F120</f>
        <v>-28391224431.006012</v>
      </c>
    </row>
    <row r="188" spans="2:3" x14ac:dyDescent="0.25">
      <c r="B188" s="1273"/>
      <c r="C188" s="41">
        <f>+C158</f>
        <v>28687911431.006027</v>
      </c>
    </row>
  </sheetData>
  <autoFilter ref="A6:XFC52" xr:uid="{00000000-0009-0000-0000-000004000000}"/>
  <mergeCells count="24">
    <mergeCell ref="B166:D166"/>
    <mergeCell ref="A118:B118"/>
    <mergeCell ref="A120:B120"/>
    <mergeCell ref="M120:P120"/>
    <mergeCell ref="B121:C121"/>
    <mergeCell ref="B127:C127"/>
    <mergeCell ref="B132:C132"/>
    <mergeCell ref="B133:C133"/>
    <mergeCell ref="B139:C139"/>
    <mergeCell ref="B140:C140"/>
    <mergeCell ref="B153:C153"/>
    <mergeCell ref="B162:C162"/>
    <mergeCell ref="G8:G9"/>
    <mergeCell ref="A52:B52"/>
    <mergeCell ref="B114:C114"/>
    <mergeCell ref="A2:F2"/>
    <mergeCell ref="A3:F3"/>
    <mergeCell ref="A4:F4"/>
    <mergeCell ref="A5:F5"/>
    <mergeCell ref="A71:B71"/>
    <mergeCell ref="B73:C73"/>
    <mergeCell ref="B75:C75"/>
    <mergeCell ref="B86:C86"/>
    <mergeCell ref="B110:C110"/>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9B080-DAFD-4E0D-96B3-33AA3484CBB2}">
  <sheetPr>
    <tabColor rgb="FF00FFFF"/>
  </sheetPr>
  <dimension ref="A1:R204"/>
  <sheetViews>
    <sheetView zoomScale="130" zoomScaleNormal="130" workbookViewId="0">
      <selection activeCell="P11" sqref="P11"/>
    </sheetView>
  </sheetViews>
  <sheetFormatPr baseColWidth="10" defaultColWidth="11.42578125" defaultRowHeight="16.5" x14ac:dyDescent="0.25"/>
  <cols>
    <col min="1" max="1" width="29.85546875" style="1340" customWidth="1"/>
    <col min="2" max="2" width="5.42578125" style="1470" bestFit="1" customWidth="1"/>
    <col min="3" max="3" width="5" style="1470" bestFit="1" customWidth="1"/>
    <col min="4" max="4" width="3" style="1340" customWidth="1"/>
    <col min="5" max="5" width="2.85546875" style="1340" customWidth="1"/>
    <col min="6" max="7" width="3.42578125" style="1340" customWidth="1"/>
    <col min="8" max="8" width="3" style="1340" customWidth="1"/>
    <col min="9" max="9" width="3.7109375" style="1340" customWidth="1"/>
    <col min="10" max="11" width="3.140625" style="1340" customWidth="1"/>
    <col min="12" max="12" width="3.42578125" style="1340" customWidth="1"/>
    <col min="13" max="13" width="11.42578125" style="1340"/>
    <col min="14" max="14" width="59.28515625" style="1340" customWidth="1"/>
    <col min="15" max="15" width="26" style="1514" customWidth="1"/>
    <col min="16" max="16" width="255.7109375" style="1472" bestFit="1" customWidth="1"/>
    <col min="17" max="17" width="17" style="1340" customWidth="1"/>
    <col min="18" max="18" width="10.7109375" style="1471" bestFit="1" customWidth="1"/>
    <col min="19" max="16384" width="11.42578125" style="1340"/>
  </cols>
  <sheetData>
    <row r="1" spans="1:18" s="1313" customFormat="1" ht="70.5" customHeight="1" x14ac:dyDescent="0.25">
      <c r="A1" s="626"/>
      <c r="B1" s="1325"/>
      <c r="C1" s="1325"/>
      <c r="E1" s="1326"/>
      <c r="F1" s="1326"/>
      <c r="G1" s="1326"/>
      <c r="H1" s="1326"/>
      <c r="I1" s="1326"/>
      <c r="J1" s="1719" t="s">
        <v>3279</v>
      </c>
      <c r="K1" s="1720"/>
      <c r="L1" s="1720"/>
      <c r="M1" s="1720"/>
      <c r="N1" s="1720"/>
      <c r="O1" s="1720"/>
      <c r="P1" s="1720"/>
      <c r="Q1" s="1720"/>
      <c r="R1" s="1327"/>
    </row>
    <row r="2" spans="1:18" s="1328" customFormat="1" ht="15" customHeight="1" x14ac:dyDescent="0.3">
      <c r="A2" s="1717" t="s">
        <v>3280</v>
      </c>
      <c r="B2" s="1721" t="s">
        <v>3281</v>
      </c>
      <c r="C2" s="1721" t="s">
        <v>2033</v>
      </c>
      <c r="D2" s="1722" t="s">
        <v>3282</v>
      </c>
      <c r="E2" s="1723"/>
      <c r="F2" s="1723"/>
      <c r="G2" s="1723"/>
      <c r="H2" s="1723"/>
      <c r="I2" s="1723"/>
      <c r="J2" s="1723"/>
      <c r="K2" s="1723"/>
      <c r="L2" s="1723"/>
      <c r="M2" s="1723"/>
      <c r="N2" s="1724"/>
      <c r="O2" s="1473"/>
      <c r="P2" s="1725" t="s">
        <v>3283</v>
      </c>
      <c r="Q2" s="1726" t="s">
        <v>3284</v>
      </c>
      <c r="R2" s="1716" t="s">
        <v>3285</v>
      </c>
    </row>
    <row r="3" spans="1:18" s="1328" customFormat="1" ht="15" customHeight="1" x14ac:dyDescent="0.3">
      <c r="A3" s="1718"/>
      <c r="B3" s="1721"/>
      <c r="C3" s="1721"/>
      <c r="D3" s="1722"/>
      <c r="E3" s="1723"/>
      <c r="F3" s="1723"/>
      <c r="G3" s="1723"/>
      <c r="H3" s="1723"/>
      <c r="I3" s="1723"/>
      <c r="J3" s="1723"/>
      <c r="K3" s="1723"/>
      <c r="L3" s="1723"/>
      <c r="M3" s="1723"/>
      <c r="N3" s="1724"/>
      <c r="O3" s="1473" t="s">
        <v>4347</v>
      </c>
      <c r="P3" s="1725"/>
      <c r="Q3" s="1726"/>
      <c r="R3" s="1716"/>
    </row>
    <row r="4" spans="1:18" s="1334" customFormat="1" ht="16.5" customHeight="1" x14ac:dyDescent="0.25">
      <c r="A4" s="1300">
        <v>1</v>
      </c>
      <c r="B4" s="1329">
        <v>1</v>
      </c>
      <c r="C4" s="1329" t="s">
        <v>3286</v>
      </c>
      <c r="D4" s="1330" t="s">
        <v>228</v>
      </c>
      <c r="E4" s="1330"/>
      <c r="F4" s="1330"/>
      <c r="G4" s="1329"/>
      <c r="H4" s="1329"/>
      <c r="I4" s="1329"/>
      <c r="J4" s="1329"/>
      <c r="K4" s="1329"/>
      <c r="L4" s="1329"/>
      <c r="M4" s="1329"/>
      <c r="N4" s="1329"/>
      <c r="O4" s="1474">
        <f>+O5+O93</f>
        <v>508473313000</v>
      </c>
      <c r="P4" s="1331" t="s">
        <v>3287</v>
      </c>
      <c r="Q4" s="1332" t="s">
        <v>3288</v>
      </c>
      <c r="R4" s="1333"/>
    </row>
    <row r="5" spans="1:18" ht="16.5" customHeight="1" x14ac:dyDescent="0.25">
      <c r="A5" s="1301" t="s">
        <v>3289</v>
      </c>
      <c r="B5" s="1335">
        <v>2</v>
      </c>
      <c r="C5" s="1335" t="s">
        <v>3286</v>
      </c>
      <c r="D5" s="1336"/>
      <c r="E5" s="1301" t="s">
        <v>230</v>
      </c>
      <c r="F5" s="1301"/>
      <c r="G5" s="1301"/>
      <c r="H5" s="1335"/>
      <c r="I5" s="1335"/>
      <c r="J5" s="1335"/>
      <c r="K5" s="1335"/>
      <c r="L5" s="1335"/>
      <c r="M5" s="1335"/>
      <c r="N5" s="1335"/>
      <c r="O5" s="1475">
        <f>+O6+O35</f>
        <v>488026126000</v>
      </c>
      <c r="P5" s="1337" t="s">
        <v>3290</v>
      </c>
      <c r="Q5" s="1338" t="s">
        <v>3291</v>
      </c>
      <c r="R5" s="1339"/>
    </row>
    <row r="6" spans="1:18" ht="16.5" customHeight="1" x14ac:dyDescent="0.25">
      <c r="A6" s="1302" t="s">
        <v>3292</v>
      </c>
      <c r="B6" s="1341">
        <v>3</v>
      </c>
      <c r="C6" s="1341" t="s">
        <v>3286</v>
      </c>
      <c r="D6" s="1341"/>
      <c r="E6" s="1342"/>
      <c r="F6" s="1343" t="s">
        <v>232</v>
      </c>
      <c r="G6" s="1343"/>
      <c r="H6" s="1343"/>
      <c r="I6" s="1343"/>
      <c r="J6" s="1343"/>
      <c r="K6" s="1343"/>
      <c r="L6" s="1343"/>
      <c r="M6" s="1343"/>
      <c r="N6" s="1344"/>
      <c r="O6" s="1476">
        <f>+O7+O10</f>
        <v>188078581000</v>
      </c>
      <c r="P6" s="1345" t="s">
        <v>3293</v>
      </c>
      <c r="Q6" s="1346" t="s">
        <v>3294</v>
      </c>
      <c r="R6" s="1347"/>
    </row>
    <row r="7" spans="1:18" ht="16.5" customHeight="1" x14ac:dyDescent="0.25">
      <c r="A7" s="1303" t="s">
        <v>3295</v>
      </c>
      <c r="B7" s="1348">
        <v>4</v>
      </c>
      <c r="C7" s="1348" t="s">
        <v>3286</v>
      </c>
      <c r="D7" s="1348"/>
      <c r="E7" s="1303"/>
      <c r="F7" s="1303"/>
      <c r="G7" s="1349" t="s">
        <v>234</v>
      </c>
      <c r="H7" s="1349"/>
      <c r="I7" s="1349"/>
      <c r="J7" s="1349"/>
      <c r="K7" s="1349"/>
      <c r="L7" s="1349"/>
      <c r="M7" s="1349"/>
      <c r="N7" s="1350"/>
      <c r="O7" s="1477">
        <f>+O8+O9</f>
        <v>34299653000</v>
      </c>
      <c r="P7" s="1351" t="s">
        <v>3296</v>
      </c>
      <c r="Q7" s="1352" t="s">
        <v>3297</v>
      </c>
      <c r="R7" s="1347"/>
    </row>
    <row r="8" spans="1:18" ht="16.5" customHeight="1" x14ac:dyDescent="0.25">
      <c r="A8" s="1306" t="s">
        <v>3299</v>
      </c>
      <c r="B8" s="1363">
        <v>5</v>
      </c>
      <c r="C8" s="1363" t="s">
        <v>3298</v>
      </c>
      <c r="D8" s="1363"/>
      <c r="E8" s="1306"/>
      <c r="F8" s="1306"/>
      <c r="G8" s="1306"/>
      <c r="H8" s="1306" t="s">
        <v>239</v>
      </c>
      <c r="I8" s="1306"/>
      <c r="J8" s="1306"/>
      <c r="K8" s="1306"/>
      <c r="L8" s="1306"/>
      <c r="M8" s="1364"/>
      <c r="N8" s="1364"/>
      <c r="O8" s="1478">
        <f>+'F Y U 2024 Presupuesto 15.09'!C7</f>
        <v>32803406000</v>
      </c>
      <c r="P8" s="1365" t="s">
        <v>3300</v>
      </c>
      <c r="Q8" s="1366" t="s">
        <v>3301</v>
      </c>
      <c r="R8" s="1367"/>
    </row>
    <row r="9" spans="1:18" ht="16.5" customHeight="1" x14ac:dyDescent="0.25">
      <c r="A9" s="1306" t="s">
        <v>3302</v>
      </c>
      <c r="B9" s="1363">
        <v>5</v>
      </c>
      <c r="C9" s="1363" t="s">
        <v>3298</v>
      </c>
      <c r="D9" s="1363"/>
      <c r="E9" s="1306"/>
      <c r="F9" s="1306"/>
      <c r="G9" s="1306"/>
      <c r="H9" s="1306" t="s">
        <v>693</v>
      </c>
      <c r="I9" s="1306"/>
      <c r="J9" s="1306"/>
      <c r="K9" s="1306"/>
      <c r="L9" s="1306"/>
      <c r="M9" s="1364"/>
      <c r="N9" s="1364"/>
      <c r="O9" s="1478">
        <f>+'F Y U 2024 Presupuesto 15.09'!C101</f>
        <v>1496247000</v>
      </c>
      <c r="P9" s="1365" t="s">
        <v>3303</v>
      </c>
      <c r="Q9" s="1366" t="s">
        <v>3304</v>
      </c>
      <c r="R9" s="1367"/>
    </row>
    <row r="10" spans="1:18" ht="16.5" customHeight="1" x14ac:dyDescent="0.25">
      <c r="A10" s="1303" t="s">
        <v>3305</v>
      </c>
      <c r="B10" s="1348">
        <v>4</v>
      </c>
      <c r="C10" s="1348" t="s">
        <v>3286</v>
      </c>
      <c r="D10" s="1348"/>
      <c r="E10" s="1303"/>
      <c r="F10" s="1303"/>
      <c r="G10" s="1349" t="s">
        <v>241</v>
      </c>
      <c r="H10" s="1349"/>
      <c r="I10" s="1349"/>
      <c r="J10" s="1349"/>
      <c r="K10" s="1349"/>
      <c r="L10" s="1349"/>
      <c r="M10" s="1349"/>
      <c r="N10" s="1350"/>
      <c r="O10" s="1477">
        <f>+O11+O17+O20+O23+O28+O29+O30+O14+O15+O16</f>
        <v>153778928000</v>
      </c>
      <c r="P10" s="1351" t="s">
        <v>3306</v>
      </c>
      <c r="Q10" s="1352"/>
      <c r="R10" s="1347"/>
    </row>
    <row r="11" spans="1:18" ht="16.5" customHeight="1" x14ac:dyDescent="0.25">
      <c r="A11" s="1304" t="s">
        <v>3307</v>
      </c>
      <c r="B11" s="1353">
        <v>5</v>
      </c>
      <c r="C11" s="1353" t="s">
        <v>3286</v>
      </c>
      <c r="D11" s="1353"/>
      <c r="E11" s="1304"/>
      <c r="F11" s="1304"/>
      <c r="G11" s="1304"/>
      <c r="H11" s="1304" t="s">
        <v>243</v>
      </c>
      <c r="I11" s="1304"/>
      <c r="J11" s="1304"/>
      <c r="K11" s="1304"/>
      <c r="L11" s="1304"/>
      <c r="M11" s="1370"/>
      <c r="N11" s="1370"/>
      <c r="O11" s="1479">
        <f>+O12+O13</f>
        <v>28774686000</v>
      </c>
      <c r="P11" s="1371" t="s">
        <v>3308</v>
      </c>
      <c r="Q11" s="1372" t="s">
        <v>3309</v>
      </c>
      <c r="R11" s="1355"/>
    </row>
    <row r="12" spans="1:18" ht="16.5" customHeight="1" x14ac:dyDescent="0.25">
      <c r="A12" s="1305" t="s">
        <v>3310</v>
      </c>
      <c r="B12" s="1356">
        <v>6</v>
      </c>
      <c r="C12" s="1356" t="s">
        <v>3298</v>
      </c>
      <c r="D12" s="1373"/>
      <c r="E12" s="1305"/>
      <c r="F12" s="1305"/>
      <c r="G12" s="1305"/>
      <c r="H12" s="1359"/>
      <c r="I12" s="1305" t="s">
        <v>245</v>
      </c>
      <c r="J12" s="1305"/>
      <c r="K12" s="1305"/>
      <c r="L12" s="1305"/>
      <c r="M12" s="1305"/>
      <c r="N12" s="1359"/>
      <c r="O12" s="1480">
        <v>863240580</v>
      </c>
      <c r="P12" s="1369" t="s">
        <v>3311</v>
      </c>
      <c r="Q12" s="1374" t="s">
        <v>3309</v>
      </c>
      <c r="R12" s="1362"/>
    </row>
    <row r="13" spans="1:18" ht="16.5" customHeight="1" x14ac:dyDescent="0.25">
      <c r="A13" s="1305" t="s">
        <v>3312</v>
      </c>
      <c r="B13" s="1356">
        <v>6</v>
      </c>
      <c r="C13" s="1356" t="s">
        <v>3298</v>
      </c>
      <c r="D13" s="1373"/>
      <c r="E13" s="1305"/>
      <c r="F13" s="1305"/>
      <c r="G13" s="1305"/>
      <c r="H13" s="1359"/>
      <c r="I13" s="1305" t="s">
        <v>251</v>
      </c>
      <c r="J13" s="1305"/>
      <c r="K13" s="1305"/>
      <c r="L13" s="1305"/>
      <c r="M13" s="1305"/>
      <c r="N13" s="1359"/>
      <c r="O13" s="1480">
        <v>27911445420</v>
      </c>
      <c r="P13" s="1369" t="s">
        <v>3313</v>
      </c>
      <c r="Q13" s="1374" t="s">
        <v>3314</v>
      </c>
      <c r="R13" s="1362"/>
    </row>
    <row r="14" spans="1:18" ht="16.5" customHeight="1" x14ac:dyDescent="0.25">
      <c r="A14" s="1307" t="s">
        <v>3315</v>
      </c>
      <c r="B14" s="1363">
        <v>5</v>
      </c>
      <c r="C14" s="1363" t="s">
        <v>3298</v>
      </c>
      <c r="D14" s="1375"/>
      <c r="E14" s="1307"/>
      <c r="F14" s="1307"/>
      <c r="G14" s="1307"/>
      <c r="H14" s="1307" t="s">
        <v>708</v>
      </c>
      <c r="I14" s="1307"/>
      <c r="J14" s="1307"/>
      <c r="K14" s="1307"/>
      <c r="L14" s="1307"/>
      <c r="M14" s="1376"/>
      <c r="N14" s="1376"/>
      <c r="O14" s="1481">
        <f>+'F Y U 2024 Presupuesto 15.09'!C99</f>
        <v>935708000</v>
      </c>
      <c r="P14" s="1377" t="s">
        <v>3316</v>
      </c>
      <c r="Q14" s="1378" t="s">
        <v>3317</v>
      </c>
      <c r="R14" s="1362"/>
    </row>
    <row r="15" spans="1:18" ht="16.5" customHeight="1" x14ac:dyDescent="0.25">
      <c r="A15" s="1307" t="s">
        <v>3318</v>
      </c>
      <c r="B15" s="1363">
        <v>5</v>
      </c>
      <c r="C15" s="1363" t="s">
        <v>3298</v>
      </c>
      <c r="D15" s="1375"/>
      <c r="E15" s="1307"/>
      <c r="F15" s="1307"/>
      <c r="G15" s="1307"/>
      <c r="H15" s="1307" t="s">
        <v>257</v>
      </c>
      <c r="I15" s="1307"/>
      <c r="J15" s="1307"/>
      <c r="K15" s="1307"/>
      <c r="L15" s="1307"/>
      <c r="M15" s="1376"/>
      <c r="N15" s="1376"/>
      <c r="O15" s="1481">
        <f>+'F Y U 2024 Presupuesto 15.09'!C19</f>
        <v>763018000</v>
      </c>
      <c r="P15" s="1377" t="s">
        <v>3319</v>
      </c>
      <c r="Q15" s="1378" t="s">
        <v>3320</v>
      </c>
      <c r="R15" s="1362"/>
    </row>
    <row r="16" spans="1:18" ht="16.5" customHeight="1" x14ac:dyDescent="0.25">
      <c r="A16" s="1306" t="s">
        <v>3321</v>
      </c>
      <c r="B16" s="1363">
        <v>5</v>
      </c>
      <c r="C16" s="1363" t="s">
        <v>3298</v>
      </c>
      <c r="D16" s="1363"/>
      <c r="E16" s="1306"/>
      <c r="F16" s="1306"/>
      <c r="G16" s="1306"/>
      <c r="H16" s="1306" t="s">
        <v>259</v>
      </c>
      <c r="I16" s="1306"/>
      <c r="J16" s="1306"/>
      <c r="K16" s="1306"/>
      <c r="L16" s="1306"/>
      <c r="M16" s="1364"/>
      <c r="N16" s="1364"/>
      <c r="O16" s="1478">
        <f>+'F Y U 2024 Presupuesto 15.09'!C106</f>
        <v>2874685000</v>
      </c>
      <c r="P16" s="1365" t="s">
        <v>3322</v>
      </c>
      <c r="Q16" s="1378" t="s">
        <v>3323</v>
      </c>
      <c r="R16" s="1367"/>
    </row>
    <row r="17" spans="1:18" ht="16.5" customHeight="1" x14ac:dyDescent="0.25">
      <c r="A17" s="1308" t="s">
        <v>3324</v>
      </c>
      <c r="B17" s="1353">
        <v>5</v>
      </c>
      <c r="C17" s="1353" t="s">
        <v>3286</v>
      </c>
      <c r="D17" s="1379"/>
      <c r="E17" s="1308"/>
      <c r="F17" s="1308"/>
      <c r="G17" s="1308"/>
      <c r="H17" s="1308" t="s">
        <v>264</v>
      </c>
      <c r="I17" s="1308"/>
      <c r="J17" s="1308"/>
      <c r="K17" s="1308"/>
      <c r="L17" s="1308"/>
      <c r="M17" s="1380"/>
      <c r="N17" s="1380"/>
      <c r="O17" s="1482">
        <f>+O18</f>
        <v>7769420000</v>
      </c>
      <c r="P17" s="1371" t="s">
        <v>3325</v>
      </c>
      <c r="Q17" s="1372" t="s">
        <v>3326</v>
      </c>
      <c r="R17" s="1355"/>
    </row>
    <row r="18" spans="1:18" ht="16.5" customHeight="1" x14ac:dyDescent="0.25">
      <c r="A18" s="1309" t="s">
        <v>3328</v>
      </c>
      <c r="B18" s="1381">
        <v>6</v>
      </c>
      <c r="C18" s="1381" t="s">
        <v>3286</v>
      </c>
      <c r="D18" s="1381"/>
      <c r="E18" s="1309"/>
      <c r="F18" s="1309"/>
      <c r="G18" s="1309"/>
      <c r="H18" s="1382"/>
      <c r="I18" s="1309" t="s">
        <v>272</v>
      </c>
      <c r="J18" s="1309"/>
      <c r="K18" s="1309"/>
      <c r="L18" s="1309"/>
      <c r="M18" s="1309"/>
      <c r="N18" s="1382"/>
      <c r="O18" s="1483">
        <f>+O19</f>
        <v>7769420000</v>
      </c>
      <c r="P18" s="1386" t="s">
        <v>3329</v>
      </c>
      <c r="Q18" s="1384" t="s">
        <v>3326</v>
      </c>
      <c r="R18" s="1385"/>
    </row>
    <row r="19" spans="1:18" ht="16.5" customHeight="1" x14ac:dyDescent="0.25">
      <c r="A19" s="1311" t="s">
        <v>3330</v>
      </c>
      <c r="B19" s="1387">
        <v>7</v>
      </c>
      <c r="C19" s="1387" t="s">
        <v>3298</v>
      </c>
      <c r="D19" s="1387"/>
      <c r="E19" s="1311"/>
      <c r="F19" s="1311"/>
      <c r="G19" s="1311"/>
      <c r="H19" s="1311"/>
      <c r="I19" s="1311"/>
      <c r="J19" s="1305" t="s">
        <v>3331</v>
      </c>
      <c r="K19" s="1311"/>
      <c r="L19" s="1311"/>
      <c r="M19" s="1311"/>
      <c r="N19" s="1388"/>
      <c r="O19" s="1484">
        <f>+'F Y U 2024 Presupuesto 15.09'!C16+'F Y U 2024 Presupuesto 15.09'!C15+'F Y U 2024 Presupuesto 15.09'!C98</f>
        <v>7769420000</v>
      </c>
      <c r="P19" s="1389" t="s">
        <v>3327</v>
      </c>
      <c r="Q19" s="1374" t="s">
        <v>3326</v>
      </c>
      <c r="R19" s="1367"/>
    </row>
    <row r="20" spans="1:18" ht="16.5" customHeight="1" x14ac:dyDescent="0.25">
      <c r="A20" s="1312" t="s">
        <v>3332</v>
      </c>
      <c r="B20" s="1381">
        <v>6</v>
      </c>
      <c r="C20" s="1381" t="s">
        <v>3286</v>
      </c>
      <c r="D20" s="1390"/>
      <c r="E20" s="1312"/>
      <c r="F20" s="1312"/>
      <c r="G20" s="1312"/>
      <c r="H20" s="1312" t="s">
        <v>278</v>
      </c>
      <c r="I20" s="1312"/>
      <c r="J20" s="1312"/>
      <c r="K20" s="1312"/>
      <c r="L20" s="1312"/>
      <c r="M20" s="1391"/>
      <c r="N20" s="1391"/>
      <c r="O20" s="1484">
        <f>+O21+O22</f>
        <v>25766084000</v>
      </c>
      <c r="P20" s="1383" t="s">
        <v>3333</v>
      </c>
      <c r="Q20" s="1384" t="s">
        <v>3334</v>
      </c>
      <c r="R20" s="1355"/>
    </row>
    <row r="21" spans="1:18" ht="16.5" customHeight="1" x14ac:dyDescent="0.25">
      <c r="A21" s="1311" t="s">
        <v>3335</v>
      </c>
      <c r="B21" s="1387">
        <v>7</v>
      </c>
      <c r="C21" s="1387" t="s">
        <v>3298</v>
      </c>
      <c r="D21" s="1387"/>
      <c r="E21" s="1311"/>
      <c r="F21" s="1311"/>
      <c r="G21" s="1311"/>
      <c r="H21" s="1388"/>
      <c r="I21" s="1311" t="s">
        <v>280</v>
      </c>
      <c r="J21" s="1311"/>
      <c r="K21" s="1311"/>
      <c r="L21" s="1311"/>
      <c r="M21" s="1311"/>
      <c r="N21" s="1388"/>
      <c r="O21" s="1484">
        <v>24735440640</v>
      </c>
      <c r="P21" s="1392" t="s">
        <v>3336</v>
      </c>
      <c r="Q21" s="1374" t="s">
        <v>3334</v>
      </c>
      <c r="R21" s="1367"/>
    </row>
    <row r="22" spans="1:18" ht="16.5" customHeight="1" x14ac:dyDescent="0.25">
      <c r="A22" s="1311" t="s">
        <v>3337</v>
      </c>
      <c r="B22" s="1387">
        <v>7</v>
      </c>
      <c r="C22" s="1387" t="s">
        <v>3298</v>
      </c>
      <c r="D22" s="1387"/>
      <c r="E22" s="1311"/>
      <c r="F22" s="1311"/>
      <c r="G22" s="1311"/>
      <c r="H22" s="1388"/>
      <c r="I22" s="1311" t="s">
        <v>282</v>
      </c>
      <c r="J22" s="1311"/>
      <c r="K22" s="1311"/>
      <c r="L22" s="1311"/>
      <c r="M22" s="1311"/>
      <c r="N22" s="1388"/>
      <c r="O22" s="1484">
        <v>1030643360</v>
      </c>
      <c r="P22" s="1392" t="s">
        <v>3338</v>
      </c>
      <c r="Q22" s="1374" t="s">
        <v>3334</v>
      </c>
      <c r="R22" s="1367"/>
    </row>
    <row r="23" spans="1:18" ht="16.5" customHeight="1" x14ac:dyDescent="0.25">
      <c r="A23" s="1308" t="s">
        <v>3339</v>
      </c>
      <c r="B23" s="1353">
        <v>5</v>
      </c>
      <c r="C23" s="1353" t="s">
        <v>3286</v>
      </c>
      <c r="D23" s="1379"/>
      <c r="E23" s="1308"/>
      <c r="F23" s="1308"/>
      <c r="G23" s="1308"/>
      <c r="H23" s="1308" t="s">
        <v>284</v>
      </c>
      <c r="I23" s="1308"/>
      <c r="J23" s="1308"/>
      <c r="K23" s="1308"/>
      <c r="L23" s="1308"/>
      <c r="M23" s="1380"/>
      <c r="N23" s="1380"/>
      <c r="O23" s="1482">
        <f>+O24+O26</f>
        <v>34734817000</v>
      </c>
      <c r="P23" s="1371" t="s">
        <v>3340</v>
      </c>
      <c r="Q23" s="1372" t="s">
        <v>3341</v>
      </c>
      <c r="R23" s="1355"/>
    </row>
    <row r="24" spans="1:18" ht="16.5" customHeight="1" x14ac:dyDescent="0.25">
      <c r="A24" s="1312" t="s">
        <v>3342</v>
      </c>
      <c r="B24" s="1381">
        <v>6</v>
      </c>
      <c r="C24" s="1381" t="s">
        <v>3286</v>
      </c>
      <c r="D24" s="1390"/>
      <c r="E24" s="1312"/>
      <c r="F24" s="1312"/>
      <c r="G24" s="1312"/>
      <c r="H24" s="1391"/>
      <c r="I24" s="1312" t="s">
        <v>286</v>
      </c>
      <c r="J24" s="1312"/>
      <c r="K24" s="1312"/>
      <c r="L24" s="1312"/>
      <c r="M24" s="1312"/>
      <c r="N24" s="1391"/>
      <c r="O24" s="1485">
        <f>+O25</f>
        <v>29673023000</v>
      </c>
      <c r="P24" s="1383" t="s">
        <v>3343</v>
      </c>
      <c r="Q24" s="1384" t="s">
        <v>3341</v>
      </c>
      <c r="R24" s="1355"/>
    </row>
    <row r="25" spans="1:18" ht="16.5" customHeight="1" x14ac:dyDescent="0.25">
      <c r="A25" s="1310" t="s">
        <v>3344</v>
      </c>
      <c r="B25" s="1387">
        <v>7</v>
      </c>
      <c r="C25" s="1387" t="s">
        <v>3298</v>
      </c>
      <c r="D25" s="1356"/>
      <c r="E25" s="1310"/>
      <c r="F25" s="1310"/>
      <c r="G25" s="1310"/>
      <c r="H25" s="1310"/>
      <c r="I25" s="1310"/>
      <c r="J25" s="1310" t="s">
        <v>288</v>
      </c>
      <c r="K25" s="1310"/>
      <c r="L25" s="1310"/>
      <c r="M25" s="1310"/>
      <c r="N25" s="1368"/>
      <c r="O25" s="1486">
        <f>+'F Y U 2024 Presupuesto 15.09'!C18+'F Y U 2024 Presupuesto 15.09'!C103</f>
        <v>29673023000</v>
      </c>
      <c r="P25" s="1369" t="s">
        <v>3345</v>
      </c>
      <c r="Q25" s="1374" t="s">
        <v>3341</v>
      </c>
      <c r="R25" s="1367"/>
    </row>
    <row r="26" spans="1:18" ht="16.5" customHeight="1" x14ac:dyDescent="0.25">
      <c r="A26" s="1309" t="s">
        <v>3346</v>
      </c>
      <c r="B26" s="1381">
        <v>6</v>
      </c>
      <c r="C26" s="1381" t="s">
        <v>3286</v>
      </c>
      <c r="D26" s="1381"/>
      <c r="E26" s="1309"/>
      <c r="F26" s="1309"/>
      <c r="G26" s="1309"/>
      <c r="H26" s="1382"/>
      <c r="I26" s="1309" t="s">
        <v>747</v>
      </c>
      <c r="J26" s="1309"/>
      <c r="K26" s="1309"/>
      <c r="L26" s="1309"/>
      <c r="M26" s="1309"/>
      <c r="N26" s="1382"/>
      <c r="O26" s="1483">
        <f>+O27</f>
        <v>5061794000</v>
      </c>
      <c r="P26" s="1383" t="s">
        <v>3347</v>
      </c>
      <c r="Q26" s="1384" t="s">
        <v>3341</v>
      </c>
      <c r="R26" s="1385"/>
    </row>
    <row r="27" spans="1:18" ht="16.5" customHeight="1" x14ac:dyDescent="0.25">
      <c r="A27" s="1310" t="s">
        <v>3348</v>
      </c>
      <c r="B27" s="1387">
        <v>7</v>
      </c>
      <c r="C27" s="1387" t="s">
        <v>3298</v>
      </c>
      <c r="D27" s="1356"/>
      <c r="E27" s="1310"/>
      <c r="F27" s="1310"/>
      <c r="G27" s="1310"/>
      <c r="H27" s="1310"/>
      <c r="I27" s="1310"/>
      <c r="J27" s="1310" t="s">
        <v>749</v>
      </c>
      <c r="K27" s="1310"/>
      <c r="L27" s="1310"/>
      <c r="M27" s="1310"/>
      <c r="N27" s="1368"/>
      <c r="O27" s="1486">
        <f>+'F Y U 2024 Presupuesto 15.09'!C104</f>
        <v>5061794000</v>
      </c>
      <c r="P27" s="1369" t="s">
        <v>3349</v>
      </c>
      <c r="Q27" s="1374" t="s">
        <v>3341</v>
      </c>
      <c r="R27" s="1367"/>
    </row>
    <row r="28" spans="1:18" ht="16.5" customHeight="1" x14ac:dyDescent="0.25">
      <c r="A28" s="1307" t="s">
        <v>3350</v>
      </c>
      <c r="B28" s="1363">
        <v>5</v>
      </c>
      <c r="C28" s="1363" t="s">
        <v>3298</v>
      </c>
      <c r="D28" s="1375"/>
      <c r="E28" s="1307"/>
      <c r="F28" s="1307"/>
      <c r="G28" s="1307"/>
      <c r="H28" s="1307" t="s">
        <v>290</v>
      </c>
      <c r="I28" s="1307"/>
      <c r="J28" s="1307"/>
      <c r="K28" s="1307"/>
      <c r="L28" s="1307"/>
      <c r="M28" s="1376"/>
      <c r="N28" s="1376"/>
      <c r="O28" s="1481">
        <f>+'F Y U 2024 Presupuesto 15.09'!C20</f>
        <v>11867811000</v>
      </c>
      <c r="P28" s="1377" t="s">
        <v>3351</v>
      </c>
      <c r="Q28" s="1378" t="s">
        <v>3352</v>
      </c>
      <c r="R28" s="1362"/>
    </row>
    <row r="29" spans="1:18" ht="16.5" customHeight="1" x14ac:dyDescent="0.25">
      <c r="A29" s="1307" t="s">
        <v>3356</v>
      </c>
      <c r="B29" s="1363">
        <v>5</v>
      </c>
      <c r="C29" s="1363" t="s">
        <v>3298</v>
      </c>
      <c r="D29" s="1375"/>
      <c r="E29" s="1307"/>
      <c r="F29" s="1307"/>
      <c r="G29" s="1307"/>
      <c r="H29" s="1307" t="s">
        <v>1491</v>
      </c>
      <c r="I29" s="1307"/>
      <c r="J29" s="1307"/>
      <c r="K29" s="1307"/>
      <c r="L29" s="1307"/>
      <c r="M29" s="1376"/>
      <c r="N29" s="1376"/>
      <c r="O29" s="1481">
        <f>+'F Y U 2024 Presupuesto 15.09'!C33</f>
        <v>2082326000</v>
      </c>
      <c r="P29" s="1377" t="s">
        <v>3357</v>
      </c>
      <c r="Q29" s="1378" t="s">
        <v>3358</v>
      </c>
      <c r="R29" s="1362"/>
    </row>
    <row r="30" spans="1:18" ht="16.5" customHeight="1" x14ac:dyDescent="0.25">
      <c r="A30" s="1308" t="s">
        <v>3359</v>
      </c>
      <c r="B30" s="1379">
        <v>5</v>
      </c>
      <c r="C30" s="1379" t="s">
        <v>3286</v>
      </c>
      <c r="D30" s="1379"/>
      <c r="E30" s="1308"/>
      <c r="F30" s="1308"/>
      <c r="G30" s="1308"/>
      <c r="H30" s="1393" t="s">
        <v>294</v>
      </c>
      <c r="I30" s="1393"/>
      <c r="J30" s="1393"/>
      <c r="K30" s="1393"/>
      <c r="L30" s="1393"/>
      <c r="M30" s="1394"/>
      <c r="N30" s="1394"/>
      <c r="O30" s="1487">
        <f>+O31+O32+O33+O34</f>
        <v>38210373000</v>
      </c>
      <c r="P30" s="1371" t="s">
        <v>3360</v>
      </c>
      <c r="Q30" s="1372" t="s">
        <v>3361</v>
      </c>
      <c r="R30" s="1355"/>
    </row>
    <row r="31" spans="1:18" ht="16.5" customHeight="1" x14ac:dyDescent="0.25">
      <c r="A31" s="1305" t="s">
        <v>3362</v>
      </c>
      <c r="B31" s="1373">
        <v>6</v>
      </c>
      <c r="C31" s="1373" t="s">
        <v>3298</v>
      </c>
      <c r="D31" s="1373"/>
      <c r="E31" s="1305"/>
      <c r="F31" s="1305"/>
      <c r="G31" s="1305"/>
      <c r="H31" s="1359"/>
      <c r="I31" s="1305" t="s">
        <v>296</v>
      </c>
      <c r="J31" s="1305"/>
      <c r="K31" s="1305"/>
      <c r="L31" s="1305"/>
      <c r="M31" s="1305"/>
      <c r="N31" s="1359"/>
      <c r="O31" s="1480">
        <f>+'F Y U 2024 Presupuesto 15.09'!C29+'F Y U 2024 Presupuesto 15.09'!C30</f>
        <v>7497623000</v>
      </c>
      <c r="P31" s="1369" t="s">
        <v>3363</v>
      </c>
      <c r="Q31" s="1374" t="s">
        <v>3364</v>
      </c>
      <c r="R31" s="1362"/>
    </row>
    <row r="32" spans="1:18" ht="16.5" customHeight="1" x14ac:dyDescent="0.25">
      <c r="A32" s="1305" t="s">
        <v>3365</v>
      </c>
      <c r="B32" s="1373">
        <v>6</v>
      </c>
      <c r="C32" s="1373" t="s">
        <v>3298</v>
      </c>
      <c r="D32" s="1373"/>
      <c r="E32" s="1305"/>
      <c r="F32" s="1305"/>
      <c r="G32" s="1305"/>
      <c r="H32" s="1359"/>
      <c r="I32" s="1305" t="s">
        <v>299</v>
      </c>
      <c r="J32" s="1305"/>
      <c r="K32" s="1305"/>
      <c r="L32" s="1305"/>
      <c r="M32" s="1305"/>
      <c r="N32" s="1359"/>
      <c r="O32" s="1480">
        <f>+'F Y U 2024 Presupuesto 15.09'!C21+'F Y U 2024 Presupuesto 15.09'!C22+'F Y U 2024 Presupuesto 15.09'!C23</f>
        <v>15039446000</v>
      </c>
      <c r="P32" s="1369" t="s">
        <v>3366</v>
      </c>
      <c r="Q32" s="1374" t="s">
        <v>3367</v>
      </c>
      <c r="R32" s="1362"/>
    </row>
    <row r="33" spans="1:18" ht="16.5" customHeight="1" x14ac:dyDescent="0.25">
      <c r="A33" s="1305" t="s">
        <v>3368</v>
      </c>
      <c r="B33" s="1373">
        <v>6</v>
      </c>
      <c r="C33" s="1373" t="s">
        <v>3298</v>
      </c>
      <c r="D33" s="1373"/>
      <c r="E33" s="1305"/>
      <c r="F33" s="1305"/>
      <c r="G33" s="1305"/>
      <c r="H33" s="1359"/>
      <c r="I33" s="1305" t="s">
        <v>303</v>
      </c>
      <c r="J33" s="1305"/>
      <c r="K33" s="1305"/>
      <c r="L33" s="1305"/>
      <c r="M33" s="1305"/>
      <c r="N33" s="1359"/>
      <c r="O33" s="1480">
        <f>+'F Y U 2024 Presupuesto 15.09'!C31</f>
        <v>12506483000</v>
      </c>
      <c r="P33" s="1369" t="s">
        <v>3369</v>
      </c>
      <c r="Q33" s="1374" t="s">
        <v>3370</v>
      </c>
      <c r="R33" s="1362"/>
    </row>
    <row r="34" spans="1:18" ht="16.5" customHeight="1" x14ac:dyDescent="0.25">
      <c r="A34" s="1305" t="s">
        <v>3371</v>
      </c>
      <c r="B34" s="1373">
        <v>6</v>
      </c>
      <c r="C34" s="1373" t="s">
        <v>3298</v>
      </c>
      <c r="D34" s="1373"/>
      <c r="E34" s="1305"/>
      <c r="F34" s="1305"/>
      <c r="G34" s="1305"/>
      <c r="H34" s="1359"/>
      <c r="I34" s="1305" t="s">
        <v>305</v>
      </c>
      <c r="J34" s="1305"/>
      <c r="K34" s="1305"/>
      <c r="L34" s="1305"/>
      <c r="M34" s="1305"/>
      <c r="N34" s="1359"/>
      <c r="O34" s="1480">
        <f>+'F Y U 2024 Presupuesto 15.09'!C24+'F Y U 2024 Presupuesto 15.09'!C25+'F Y U 2024 Presupuesto 15.09'!C26+'F Y U 2024 Presupuesto 15.09'!C27+'F Y U 2024 Presupuesto 15.09'!C28</f>
        <v>3166821000</v>
      </c>
      <c r="P34" s="1369" t="s">
        <v>3372</v>
      </c>
      <c r="Q34" s="1374" t="s">
        <v>3373</v>
      </c>
      <c r="R34" s="1362"/>
    </row>
    <row r="35" spans="1:18" ht="16.5" customHeight="1" x14ac:dyDescent="0.25">
      <c r="A35" s="1314" t="s">
        <v>3375</v>
      </c>
      <c r="B35" s="1400">
        <v>3</v>
      </c>
      <c r="C35" s="1400" t="s">
        <v>3286</v>
      </c>
      <c r="D35" s="1400"/>
      <c r="E35" s="1401"/>
      <c r="F35" s="1314" t="s">
        <v>311</v>
      </c>
      <c r="G35" s="1314"/>
      <c r="H35" s="1314"/>
      <c r="I35" s="1314"/>
      <c r="J35" s="1314"/>
      <c r="K35" s="1314"/>
      <c r="L35" s="1314"/>
      <c r="M35" s="1314"/>
      <c r="N35" s="1401"/>
      <c r="O35" s="1488">
        <f>+O36+O41+O51+O56+O75+O43</f>
        <v>299947545000</v>
      </c>
      <c r="P35" s="1402" t="s">
        <v>3376</v>
      </c>
      <c r="Q35" s="1403" t="s">
        <v>3377</v>
      </c>
      <c r="R35" s="1355"/>
    </row>
    <row r="36" spans="1:18" ht="16.5" customHeight="1" x14ac:dyDescent="0.25">
      <c r="A36" s="1315" t="s">
        <v>3378</v>
      </c>
      <c r="B36" s="1404">
        <v>4</v>
      </c>
      <c r="C36" s="1404" t="s">
        <v>3286</v>
      </c>
      <c r="D36" s="1404"/>
      <c r="E36" s="1315"/>
      <c r="F36" s="1315"/>
      <c r="G36" s="1315" t="s">
        <v>313</v>
      </c>
      <c r="H36" s="1315"/>
      <c r="I36" s="1315"/>
      <c r="J36" s="1315"/>
      <c r="K36" s="1315"/>
      <c r="L36" s="1315"/>
      <c r="M36" s="1315"/>
      <c r="N36" s="1405"/>
      <c r="O36" s="1489">
        <f>+O37+O39</f>
        <v>3143161000</v>
      </c>
      <c r="P36" s="1406" t="s">
        <v>3379</v>
      </c>
      <c r="Q36" s="1407" t="s">
        <v>3380</v>
      </c>
      <c r="R36" s="1355"/>
    </row>
    <row r="37" spans="1:18" ht="16.5" customHeight="1" x14ac:dyDescent="0.25">
      <c r="A37" s="1308" t="s">
        <v>3381</v>
      </c>
      <c r="B37" s="1379">
        <v>5</v>
      </c>
      <c r="C37" s="1379" t="s">
        <v>3286</v>
      </c>
      <c r="D37" s="1379"/>
      <c r="E37" s="1308"/>
      <c r="F37" s="1308"/>
      <c r="G37" s="1308"/>
      <c r="H37" s="1308" t="s">
        <v>315</v>
      </c>
      <c r="I37" s="1308"/>
      <c r="J37" s="1308"/>
      <c r="K37" s="1308"/>
      <c r="L37" s="1308"/>
      <c r="M37" s="1380"/>
      <c r="N37" s="1380"/>
      <c r="O37" s="1482">
        <f>+O38</f>
        <v>681193000</v>
      </c>
      <c r="P37" s="1371" t="s">
        <v>3382</v>
      </c>
      <c r="Q37" s="1372" t="s">
        <v>3383</v>
      </c>
      <c r="R37" s="1355"/>
    </row>
    <row r="38" spans="1:18" ht="16.5" customHeight="1" x14ac:dyDescent="0.25">
      <c r="A38" s="1305" t="s">
        <v>3384</v>
      </c>
      <c r="B38" s="1373">
        <v>6</v>
      </c>
      <c r="C38" s="1373" t="s">
        <v>3298</v>
      </c>
      <c r="D38" s="1373"/>
      <c r="E38" s="1305"/>
      <c r="F38" s="1305"/>
      <c r="G38" s="1305"/>
      <c r="H38" s="1359"/>
      <c r="I38" s="1305" t="s">
        <v>317</v>
      </c>
      <c r="J38" s="1305"/>
      <c r="K38" s="1305"/>
      <c r="L38" s="1305"/>
      <c r="M38" s="1305"/>
      <c r="N38" s="1359"/>
      <c r="O38" s="1480">
        <f>+'F Y U 2024 Presupuesto 15.09'!C43</f>
        <v>681193000</v>
      </c>
      <c r="P38" s="1369" t="s">
        <v>3385</v>
      </c>
      <c r="Q38" s="1374" t="s">
        <v>3386</v>
      </c>
      <c r="R38" s="1399" t="s">
        <v>3387</v>
      </c>
    </row>
    <row r="39" spans="1:18" ht="16.5" customHeight="1" x14ac:dyDescent="0.25">
      <c r="A39" s="1308" t="s">
        <v>3388</v>
      </c>
      <c r="B39" s="1379">
        <v>5</v>
      </c>
      <c r="C39" s="1379" t="s">
        <v>3286</v>
      </c>
      <c r="D39" s="1379"/>
      <c r="E39" s="1308"/>
      <c r="F39" s="1308"/>
      <c r="G39" s="1308"/>
      <c r="H39" s="1308" t="s">
        <v>1502</v>
      </c>
      <c r="I39" s="1308"/>
      <c r="J39" s="1308"/>
      <c r="K39" s="1308"/>
      <c r="L39" s="1308"/>
      <c r="M39" s="1380"/>
      <c r="N39" s="1380"/>
      <c r="O39" s="1482">
        <f>+O40</f>
        <v>2461968000</v>
      </c>
      <c r="P39" s="1371" t="s">
        <v>3389</v>
      </c>
      <c r="Q39" s="1372" t="s">
        <v>3288</v>
      </c>
      <c r="R39" s="1355"/>
    </row>
    <row r="40" spans="1:18" ht="16.5" customHeight="1" x14ac:dyDescent="0.25">
      <c r="A40" s="1305" t="s">
        <v>3390</v>
      </c>
      <c r="B40" s="1373">
        <v>6</v>
      </c>
      <c r="C40" s="1373" t="s">
        <v>3298</v>
      </c>
      <c r="D40" s="1373"/>
      <c r="E40" s="1305"/>
      <c r="F40" s="1305"/>
      <c r="G40" s="1305"/>
      <c r="H40" s="1359"/>
      <c r="I40" s="1305" t="s">
        <v>1504</v>
      </c>
      <c r="J40" s="1305"/>
      <c r="K40" s="1305"/>
      <c r="L40" s="1305"/>
      <c r="M40" s="1305"/>
      <c r="N40" s="1359"/>
      <c r="O40" s="1480">
        <f>+'F Y U 2024 Presupuesto 15.09'!C115</f>
        <v>2461968000</v>
      </c>
      <c r="P40" s="1369" t="s">
        <v>3391</v>
      </c>
      <c r="Q40" s="1374" t="s">
        <v>3392</v>
      </c>
      <c r="R40" s="1362"/>
    </row>
    <row r="41" spans="1:18" ht="16.5" customHeight="1" x14ac:dyDescent="0.25">
      <c r="A41" s="1303" t="s">
        <v>3394</v>
      </c>
      <c r="B41" s="1348">
        <v>4</v>
      </c>
      <c r="C41" s="1348" t="s">
        <v>3286</v>
      </c>
      <c r="D41" s="1348"/>
      <c r="E41" s="1303"/>
      <c r="F41" s="1303"/>
      <c r="G41" s="1303" t="s">
        <v>341</v>
      </c>
      <c r="H41" s="1303"/>
      <c r="I41" s="1303"/>
      <c r="J41" s="1303"/>
      <c r="K41" s="1303"/>
      <c r="L41" s="1303"/>
      <c r="M41" s="1303"/>
      <c r="N41" s="1411"/>
      <c r="O41" s="1491">
        <f>+O42</f>
        <v>300000000</v>
      </c>
      <c r="P41" s="1406" t="s">
        <v>3395</v>
      </c>
      <c r="Q41" s="1407" t="s">
        <v>3396</v>
      </c>
      <c r="R41" s="1385"/>
    </row>
    <row r="42" spans="1:18" ht="16.5" customHeight="1" x14ac:dyDescent="0.25">
      <c r="A42" s="1318" t="s">
        <v>3483</v>
      </c>
      <c r="B42" s="1412">
        <v>5</v>
      </c>
      <c r="C42" s="1412" t="s">
        <v>3298</v>
      </c>
      <c r="D42" s="1318"/>
      <c r="E42" s="1318"/>
      <c r="F42" s="1318"/>
      <c r="G42" s="1413"/>
      <c r="H42" s="1318" t="s">
        <v>343</v>
      </c>
      <c r="I42" s="1318"/>
      <c r="J42" s="1318"/>
      <c r="K42" s="1318"/>
      <c r="L42" s="1318"/>
      <c r="M42" s="1413"/>
      <c r="N42" s="1413"/>
      <c r="O42" s="1492">
        <f>+'F Y U 2024 Presupuesto 15.09'!C102</f>
        <v>300000000</v>
      </c>
      <c r="P42" s="1416" t="s">
        <v>3484</v>
      </c>
      <c r="Q42" s="1417" t="s">
        <v>3485</v>
      </c>
      <c r="R42" s="1362"/>
    </row>
    <row r="43" spans="1:18" ht="16.5" customHeight="1" x14ac:dyDescent="0.25">
      <c r="A43" s="1315" t="s">
        <v>3576</v>
      </c>
      <c r="B43" s="1404">
        <v>4</v>
      </c>
      <c r="C43" s="1404" t="s">
        <v>3286</v>
      </c>
      <c r="D43" s="1404"/>
      <c r="E43" s="1315"/>
      <c r="F43" s="1315"/>
      <c r="G43" s="1315" t="s">
        <v>348</v>
      </c>
      <c r="H43" s="1315"/>
      <c r="I43" s="1315"/>
      <c r="J43" s="1315"/>
      <c r="K43" s="1315"/>
      <c r="L43" s="1315"/>
      <c r="M43" s="1315"/>
      <c r="N43" s="1405"/>
      <c r="O43" s="1489">
        <f>+O44+O50</f>
        <v>9383386000</v>
      </c>
      <c r="P43" s="1406" t="s">
        <v>3577</v>
      </c>
      <c r="Q43" s="1407"/>
      <c r="R43" s="1355"/>
    </row>
    <row r="44" spans="1:18" ht="16.5" customHeight="1" x14ac:dyDescent="0.25">
      <c r="A44" s="1308" t="s">
        <v>3578</v>
      </c>
      <c r="B44" s="1379">
        <v>5</v>
      </c>
      <c r="C44" s="1379" t="s">
        <v>3286</v>
      </c>
      <c r="D44" s="1379"/>
      <c r="E44" s="1308"/>
      <c r="F44" s="1308"/>
      <c r="G44" s="1308"/>
      <c r="H44" s="1308" t="s">
        <v>350</v>
      </c>
      <c r="I44" s="1308"/>
      <c r="J44" s="1308"/>
      <c r="K44" s="1308"/>
      <c r="L44" s="1308"/>
      <c r="M44" s="1380"/>
      <c r="N44" s="1380"/>
      <c r="O44" s="1482">
        <f>+O45+O46+O47+O48+O49</f>
        <v>7904582000</v>
      </c>
      <c r="P44" s="1371" t="s">
        <v>3579</v>
      </c>
      <c r="Q44" s="1372" t="s">
        <v>3580</v>
      </c>
      <c r="R44" s="1355"/>
    </row>
    <row r="45" spans="1:18" ht="16.5" customHeight="1" x14ac:dyDescent="0.25">
      <c r="A45" s="1305" t="s">
        <v>3581</v>
      </c>
      <c r="B45" s="1373">
        <v>6</v>
      </c>
      <c r="C45" s="1373" t="s">
        <v>3298</v>
      </c>
      <c r="D45" s="1373"/>
      <c r="E45" s="1305"/>
      <c r="F45" s="1305"/>
      <c r="G45" s="1305"/>
      <c r="H45" s="1359"/>
      <c r="I45" s="1305" t="s">
        <v>352</v>
      </c>
      <c r="J45" s="1305"/>
      <c r="K45" s="1305"/>
      <c r="L45" s="1305"/>
      <c r="M45" s="1305"/>
      <c r="N45" s="1359"/>
      <c r="O45" s="1480">
        <f>+'F Y U 2024 Presupuesto 15.09'!C50</f>
        <v>77643000</v>
      </c>
      <c r="P45" s="1369" t="s">
        <v>3582</v>
      </c>
      <c r="Q45" s="1374" t="s">
        <v>3583</v>
      </c>
      <c r="R45" s="1431"/>
    </row>
    <row r="46" spans="1:18" ht="16.5" customHeight="1" x14ac:dyDescent="0.25">
      <c r="A46" s="1305" t="s">
        <v>3584</v>
      </c>
      <c r="B46" s="1373">
        <v>6</v>
      </c>
      <c r="C46" s="1373" t="s">
        <v>3298</v>
      </c>
      <c r="D46" s="1373"/>
      <c r="E46" s="1305"/>
      <c r="F46" s="1305"/>
      <c r="G46" s="1305"/>
      <c r="H46" s="1359"/>
      <c r="I46" s="1305" t="s">
        <v>354</v>
      </c>
      <c r="J46" s="1305"/>
      <c r="K46" s="1305"/>
      <c r="L46" s="1305"/>
      <c r="M46" s="1305"/>
      <c r="N46" s="1359"/>
      <c r="O46" s="1480">
        <f>+'F Y U 2024 Presupuesto 15.09'!C49</f>
        <v>1000000</v>
      </c>
      <c r="P46" s="1369" t="s">
        <v>3585</v>
      </c>
      <c r="Q46" s="1374" t="s">
        <v>3586</v>
      </c>
      <c r="R46" s="1431"/>
    </row>
    <row r="47" spans="1:18" ht="16.5" customHeight="1" x14ac:dyDescent="0.25">
      <c r="A47" s="1305" t="s">
        <v>3587</v>
      </c>
      <c r="B47" s="1373">
        <v>6</v>
      </c>
      <c r="C47" s="1373" t="s">
        <v>3298</v>
      </c>
      <c r="D47" s="1373"/>
      <c r="E47" s="1305"/>
      <c r="F47" s="1305"/>
      <c r="G47" s="1305"/>
      <c r="H47" s="1359"/>
      <c r="I47" s="1305" t="s">
        <v>356</v>
      </c>
      <c r="J47" s="1305"/>
      <c r="K47" s="1305"/>
      <c r="L47" s="1305"/>
      <c r="M47" s="1305"/>
      <c r="N47" s="1359"/>
      <c r="O47" s="1480">
        <f>+'F Y U 2024 Presupuesto 15.09'!C47</f>
        <v>217044000</v>
      </c>
      <c r="P47" s="1369" t="s">
        <v>3588</v>
      </c>
      <c r="Q47" s="1374" t="s">
        <v>3589</v>
      </c>
      <c r="R47" s="1362"/>
    </row>
    <row r="48" spans="1:18" ht="16.5" customHeight="1" x14ac:dyDescent="0.25">
      <c r="A48" s="1305" t="s">
        <v>3590</v>
      </c>
      <c r="B48" s="1373">
        <v>6</v>
      </c>
      <c r="C48" s="1373" t="s">
        <v>3298</v>
      </c>
      <c r="D48" s="1373"/>
      <c r="E48" s="1305"/>
      <c r="F48" s="1305"/>
      <c r="G48" s="1305"/>
      <c r="H48" s="1359"/>
      <c r="I48" s="1305" t="s">
        <v>358</v>
      </c>
      <c r="J48" s="1305"/>
      <c r="K48" s="1305"/>
      <c r="L48" s="1305"/>
      <c r="M48" s="1305"/>
      <c r="N48" s="1359"/>
      <c r="O48" s="1480">
        <f>+'F Y U 2024 Presupuesto 15.09'!C48</f>
        <v>1000000</v>
      </c>
      <c r="P48" s="1369" t="s">
        <v>3591</v>
      </c>
      <c r="Q48" s="1374" t="s">
        <v>3592</v>
      </c>
      <c r="R48" s="1362"/>
    </row>
    <row r="49" spans="1:18" ht="16.5" customHeight="1" x14ac:dyDescent="0.25">
      <c r="A49" s="1305" t="s">
        <v>3595</v>
      </c>
      <c r="B49" s="1373">
        <v>6</v>
      </c>
      <c r="C49" s="1373" t="s">
        <v>3298</v>
      </c>
      <c r="D49" s="1373"/>
      <c r="E49" s="1305"/>
      <c r="F49" s="1305"/>
      <c r="G49" s="1305"/>
      <c r="H49" s="1359"/>
      <c r="I49" s="1305" t="s">
        <v>362</v>
      </c>
      <c r="J49" s="1305"/>
      <c r="K49" s="1305"/>
      <c r="L49" s="1305"/>
      <c r="M49" s="1305"/>
      <c r="N49" s="1359"/>
      <c r="O49" s="1480">
        <f>+'F Y U 2024 Presupuesto 15.09'!C9</f>
        <v>7607895000</v>
      </c>
      <c r="P49" s="1369" t="s">
        <v>3596</v>
      </c>
      <c r="Q49" s="1374" t="s">
        <v>3597</v>
      </c>
      <c r="R49" s="1362"/>
    </row>
    <row r="50" spans="1:18" ht="16.5" customHeight="1" x14ac:dyDescent="0.25">
      <c r="A50" s="1307" t="s">
        <v>3633</v>
      </c>
      <c r="B50" s="1375">
        <v>5</v>
      </c>
      <c r="C50" s="1375" t="s">
        <v>3298</v>
      </c>
      <c r="D50" s="1375"/>
      <c r="E50" s="1307"/>
      <c r="F50" s="1307"/>
      <c r="G50" s="1307"/>
      <c r="H50" s="1307" t="s">
        <v>377</v>
      </c>
      <c r="I50" s="1307"/>
      <c r="J50" s="1307"/>
      <c r="K50" s="1307"/>
      <c r="L50" s="1307"/>
      <c r="M50" s="1376"/>
      <c r="N50" s="1376"/>
      <c r="O50" s="1481">
        <f>+'F Y U 2024 Presupuesto 15.09'!C8</f>
        <v>1478804000</v>
      </c>
      <c r="P50" s="1377" t="s">
        <v>3634</v>
      </c>
      <c r="Q50" s="1378" t="s">
        <v>3635</v>
      </c>
      <c r="R50" s="1355"/>
    </row>
    <row r="51" spans="1:18" ht="16.5" customHeight="1" x14ac:dyDescent="0.25">
      <c r="A51" s="1315" t="s">
        <v>3636</v>
      </c>
      <c r="B51" s="1404">
        <v>4</v>
      </c>
      <c r="C51" s="1404" t="s">
        <v>3286</v>
      </c>
      <c r="D51" s="1404"/>
      <c r="E51" s="1315"/>
      <c r="F51" s="1315"/>
      <c r="G51" s="1315" t="s">
        <v>386</v>
      </c>
      <c r="H51" s="1315"/>
      <c r="I51" s="1315"/>
      <c r="J51" s="1315"/>
      <c r="K51" s="1315"/>
      <c r="L51" s="1315"/>
      <c r="M51" s="1315"/>
      <c r="N51" s="1405"/>
      <c r="O51" s="1489">
        <f>+O52+O54</f>
        <v>320000000</v>
      </c>
      <c r="P51" s="1406" t="s">
        <v>3637</v>
      </c>
      <c r="Q51" s="1407" t="s">
        <v>3638</v>
      </c>
      <c r="R51" s="1355"/>
    </row>
    <row r="52" spans="1:18" ht="16.5" customHeight="1" x14ac:dyDescent="0.25">
      <c r="A52" s="1308" t="s">
        <v>3639</v>
      </c>
      <c r="B52" s="1379">
        <v>5</v>
      </c>
      <c r="C52" s="1379" t="s">
        <v>3286</v>
      </c>
      <c r="D52" s="1379"/>
      <c r="E52" s="1308"/>
      <c r="F52" s="1308"/>
      <c r="G52" s="1308"/>
      <c r="H52" s="1308" t="s">
        <v>388</v>
      </c>
      <c r="I52" s="1308"/>
      <c r="J52" s="1308"/>
      <c r="K52" s="1308"/>
      <c r="L52" s="1308"/>
      <c r="M52" s="1380"/>
      <c r="N52" s="1380"/>
      <c r="O52" s="1482">
        <f>+O53</f>
        <v>70000000</v>
      </c>
      <c r="P52" s="1371" t="s">
        <v>3640</v>
      </c>
      <c r="Q52" s="1372"/>
      <c r="R52" s="1355"/>
    </row>
    <row r="53" spans="1:18" ht="16.5" customHeight="1" x14ac:dyDescent="0.25">
      <c r="A53" s="1305" t="s">
        <v>3669</v>
      </c>
      <c r="B53" s="1373">
        <v>6</v>
      </c>
      <c r="C53" s="1373" t="s">
        <v>3298</v>
      </c>
      <c r="D53" s="1373"/>
      <c r="E53" s="1373"/>
      <c r="F53" s="1373"/>
      <c r="G53" s="1373"/>
      <c r="H53" s="1373"/>
      <c r="I53" s="1305" t="s">
        <v>390</v>
      </c>
      <c r="J53" s="1305"/>
      <c r="K53" s="1305"/>
      <c r="L53" s="1373"/>
      <c r="M53" s="1373"/>
      <c r="N53" s="1373"/>
      <c r="O53" s="1516">
        <f>+'F Y U 2024 Presupuesto 15.09'!C32+'F Y U 2024 Presupuesto 15.09'!C38</f>
        <v>70000000</v>
      </c>
      <c r="P53" s="1369" t="s">
        <v>3670</v>
      </c>
      <c r="Q53" s="1433" t="s">
        <v>3644</v>
      </c>
      <c r="R53" s="1362"/>
    </row>
    <row r="54" spans="1:18" ht="16.5" customHeight="1" x14ac:dyDescent="0.25">
      <c r="A54" s="1308" t="s">
        <v>3671</v>
      </c>
      <c r="B54" s="1379">
        <v>5</v>
      </c>
      <c r="C54" s="1379" t="s">
        <v>3286</v>
      </c>
      <c r="D54" s="1379"/>
      <c r="E54" s="1379"/>
      <c r="F54" s="1379"/>
      <c r="G54" s="1379"/>
      <c r="H54" s="1308" t="s">
        <v>392</v>
      </c>
      <c r="I54" s="1308"/>
      <c r="J54" s="1308"/>
      <c r="K54" s="1379"/>
      <c r="L54" s="1379"/>
      <c r="M54" s="1379"/>
      <c r="N54" s="1379"/>
      <c r="O54" s="1496">
        <f>+O55</f>
        <v>250000000</v>
      </c>
      <c r="P54" s="1371" t="s">
        <v>3672</v>
      </c>
      <c r="Q54" s="1372"/>
      <c r="R54" s="1355"/>
    </row>
    <row r="55" spans="1:18" ht="16.5" customHeight="1" x14ac:dyDescent="0.25">
      <c r="A55" s="1305" t="s">
        <v>3684</v>
      </c>
      <c r="B55" s="1373">
        <v>6</v>
      </c>
      <c r="C55" s="1373" t="s">
        <v>3298</v>
      </c>
      <c r="D55" s="1373"/>
      <c r="E55" s="1373"/>
      <c r="F55" s="1373"/>
      <c r="G55" s="1373"/>
      <c r="H55" s="1373"/>
      <c r="I55" s="1305" t="s">
        <v>3664</v>
      </c>
      <c r="J55" s="1305"/>
      <c r="K55" s="1305"/>
      <c r="L55" s="1373"/>
      <c r="M55" s="1373"/>
      <c r="N55" s="1373"/>
      <c r="O55" s="1495">
        <f>+'F Y U 2024 Presupuesto 15.09'!C34+'F Y U 2024 Presupuesto 15.09'!C35</f>
        <v>250000000</v>
      </c>
      <c r="P55" s="1369" t="s">
        <v>3665</v>
      </c>
      <c r="Q55" s="1433" t="s">
        <v>3644</v>
      </c>
      <c r="R55" s="1362"/>
    </row>
    <row r="56" spans="1:18" ht="16.5" customHeight="1" x14ac:dyDescent="0.25">
      <c r="A56" s="1303" t="s">
        <v>3687</v>
      </c>
      <c r="B56" s="1348">
        <v>4</v>
      </c>
      <c r="C56" s="1348" t="s">
        <v>3286</v>
      </c>
      <c r="D56" s="1348"/>
      <c r="E56" s="1348"/>
      <c r="F56" s="1411"/>
      <c r="G56" s="1303" t="s">
        <v>406</v>
      </c>
      <c r="H56" s="1303"/>
      <c r="I56" s="1303"/>
      <c r="J56" s="1303"/>
      <c r="K56" s="1303"/>
      <c r="L56" s="1303"/>
      <c r="M56" s="1303"/>
      <c r="N56" s="1411"/>
      <c r="O56" s="1491">
        <f>+O57+O65+O69+O72</f>
        <v>239504419000</v>
      </c>
      <c r="P56" s="1434" t="s">
        <v>3688</v>
      </c>
      <c r="Q56" s="1435"/>
      <c r="R56" s="1385"/>
    </row>
    <row r="57" spans="1:18" ht="16.5" customHeight="1" x14ac:dyDescent="0.25">
      <c r="A57" s="1304" t="s">
        <v>3689</v>
      </c>
      <c r="B57" s="1353">
        <v>5</v>
      </c>
      <c r="C57" s="1353" t="s">
        <v>3286</v>
      </c>
      <c r="D57" s="1353"/>
      <c r="E57" s="1304"/>
      <c r="F57" s="1304"/>
      <c r="G57" s="1304"/>
      <c r="H57" s="1304" t="s">
        <v>408</v>
      </c>
      <c r="I57" s="1304"/>
      <c r="J57" s="1304"/>
      <c r="K57" s="1304"/>
      <c r="L57" s="1304"/>
      <c r="M57" s="1304"/>
      <c r="N57" s="1304"/>
      <c r="O57" s="1497">
        <f>+O58+O61+O64</f>
        <v>220740124000</v>
      </c>
      <c r="P57" s="1436" t="s">
        <v>3690</v>
      </c>
      <c r="Q57" s="1437" t="s">
        <v>3691</v>
      </c>
      <c r="R57" s="1385"/>
    </row>
    <row r="58" spans="1:18" ht="16.5" customHeight="1" x14ac:dyDescent="0.25">
      <c r="A58" s="1309" t="s">
        <v>3692</v>
      </c>
      <c r="B58" s="1381">
        <v>6</v>
      </c>
      <c r="C58" s="1381" t="s">
        <v>3286</v>
      </c>
      <c r="D58" s="1381"/>
      <c r="E58" s="1309"/>
      <c r="F58" s="1309"/>
      <c r="G58" s="1309"/>
      <c r="H58" s="1382"/>
      <c r="I58" s="1309" t="s">
        <v>638</v>
      </c>
      <c r="J58" s="1309"/>
      <c r="K58" s="1309"/>
      <c r="L58" s="1309"/>
      <c r="M58" s="1309"/>
      <c r="N58" s="1309"/>
      <c r="O58" s="1498">
        <f>+O59+O60</f>
        <v>209129760000</v>
      </c>
      <c r="P58" s="1386" t="s">
        <v>3693</v>
      </c>
      <c r="Q58" s="1438" t="s">
        <v>3694</v>
      </c>
      <c r="R58" s="1385"/>
    </row>
    <row r="59" spans="1:18" ht="16.5" customHeight="1" x14ac:dyDescent="0.25">
      <c r="A59" s="1310" t="s">
        <v>3695</v>
      </c>
      <c r="B59" s="1356">
        <v>7</v>
      </c>
      <c r="C59" s="1356" t="s">
        <v>3298</v>
      </c>
      <c r="D59" s="1356"/>
      <c r="E59" s="1310"/>
      <c r="F59" s="1310"/>
      <c r="G59" s="1310"/>
      <c r="H59" s="1310"/>
      <c r="I59" s="1310"/>
      <c r="J59" s="1310" t="s">
        <v>640</v>
      </c>
      <c r="K59" s="1310"/>
      <c r="L59" s="1310"/>
      <c r="M59" s="1310"/>
      <c r="N59" s="1310"/>
      <c r="O59" s="1499">
        <f>+'F Y U 2024 Presupuesto 15.09'!C76+'F Y U 2024 Presupuesto 15.09'!C78+'F Y U 2024 Presupuesto 15.09'!C79</f>
        <v>175675360000</v>
      </c>
      <c r="P59" s="1439" t="s">
        <v>3696</v>
      </c>
      <c r="Q59" s="1397" t="s">
        <v>3697</v>
      </c>
      <c r="R59" s="1367"/>
    </row>
    <row r="60" spans="1:18" ht="16.5" customHeight="1" x14ac:dyDescent="0.25">
      <c r="A60" s="1310" t="s">
        <v>3698</v>
      </c>
      <c r="B60" s="1356">
        <v>7</v>
      </c>
      <c r="C60" s="1356" t="s">
        <v>3298</v>
      </c>
      <c r="D60" s="1356"/>
      <c r="E60" s="1310"/>
      <c r="F60" s="1310"/>
      <c r="G60" s="1310"/>
      <c r="H60" s="1310"/>
      <c r="I60" s="1310"/>
      <c r="J60" s="1310" t="s">
        <v>3699</v>
      </c>
      <c r="K60" s="1310"/>
      <c r="L60" s="1310"/>
      <c r="M60" s="1310"/>
      <c r="N60" s="1310"/>
      <c r="O60" s="1499">
        <f>+'F Y U 2024 Presupuesto 15.09'!D77</f>
        <v>33454400000</v>
      </c>
      <c r="P60" s="1439" t="s">
        <v>3700</v>
      </c>
      <c r="Q60" s="1397" t="s">
        <v>3701</v>
      </c>
      <c r="R60" s="1367"/>
    </row>
    <row r="61" spans="1:18" ht="16.5" customHeight="1" x14ac:dyDescent="0.25">
      <c r="A61" s="1309" t="s">
        <v>3711</v>
      </c>
      <c r="B61" s="1381">
        <v>6</v>
      </c>
      <c r="C61" s="1381" t="s">
        <v>3286</v>
      </c>
      <c r="D61" s="1381"/>
      <c r="E61" s="1309"/>
      <c r="F61" s="1309"/>
      <c r="G61" s="1309"/>
      <c r="H61" s="1382"/>
      <c r="I61" s="1309" t="s">
        <v>762</v>
      </c>
      <c r="J61" s="1309"/>
      <c r="K61" s="1309"/>
      <c r="L61" s="1309"/>
      <c r="M61" s="1309"/>
      <c r="N61" s="1309"/>
      <c r="O61" s="1498">
        <f>+O62+O63</f>
        <v>7557747000</v>
      </c>
      <c r="P61" s="1386" t="s">
        <v>3712</v>
      </c>
      <c r="Q61" s="1438" t="s">
        <v>3713</v>
      </c>
      <c r="R61" s="1385"/>
    </row>
    <row r="62" spans="1:18" ht="16.5" customHeight="1" x14ac:dyDescent="0.25">
      <c r="A62" s="1310" t="s">
        <v>3717</v>
      </c>
      <c r="B62" s="1356">
        <v>7</v>
      </c>
      <c r="C62" s="1356" t="s">
        <v>3298</v>
      </c>
      <c r="D62" s="1356"/>
      <c r="E62" s="1310"/>
      <c r="F62" s="1310"/>
      <c r="G62" s="1310"/>
      <c r="H62" s="1310"/>
      <c r="I62" s="1310"/>
      <c r="J62" s="1310" t="s">
        <v>764</v>
      </c>
      <c r="K62" s="1310"/>
      <c r="L62" s="1310"/>
      <c r="M62" s="1310"/>
      <c r="N62" s="1310"/>
      <c r="O62" s="1499">
        <f>+'F Y U 2024 Presupuesto 15.09'!D87</f>
        <v>5409655000</v>
      </c>
      <c r="P62" s="1439" t="s">
        <v>3718</v>
      </c>
      <c r="Q62" s="1397" t="s">
        <v>3719</v>
      </c>
      <c r="R62" s="1367"/>
    </row>
    <row r="63" spans="1:18" ht="16.5" customHeight="1" x14ac:dyDescent="0.25">
      <c r="A63" s="1310" t="s">
        <v>3720</v>
      </c>
      <c r="B63" s="1356">
        <v>7</v>
      </c>
      <c r="C63" s="1356" t="s">
        <v>3298</v>
      </c>
      <c r="D63" s="1356"/>
      <c r="E63" s="1310"/>
      <c r="F63" s="1310"/>
      <c r="G63" s="1310"/>
      <c r="H63" s="1310"/>
      <c r="I63" s="1310"/>
      <c r="J63" s="1310" t="s">
        <v>766</v>
      </c>
      <c r="K63" s="1310"/>
      <c r="L63" s="1310"/>
      <c r="M63" s="1310"/>
      <c r="N63" s="1440"/>
      <c r="O63" s="1499">
        <f>+'F Y U 2024 Presupuesto 15.09'!C88</f>
        <v>2148092000</v>
      </c>
      <c r="P63" s="1439" t="s">
        <v>3721</v>
      </c>
      <c r="Q63" s="1397" t="s">
        <v>3719</v>
      </c>
      <c r="R63" s="1367"/>
    </row>
    <row r="64" spans="1:18" ht="16.5" customHeight="1" x14ac:dyDescent="0.25">
      <c r="A64" s="1305" t="s">
        <v>3755</v>
      </c>
      <c r="B64" s="1373">
        <v>6</v>
      </c>
      <c r="C64" s="1373" t="s">
        <v>3298</v>
      </c>
      <c r="D64" s="1356"/>
      <c r="E64" s="1310"/>
      <c r="F64" s="1310"/>
      <c r="G64" s="1310"/>
      <c r="H64" s="1368"/>
      <c r="I64" s="1310" t="s">
        <v>410</v>
      </c>
      <c r="J64" s="1310"/>
      <c r="K64" s="1310"/>
      <c r="L64" s="1305"/>
      <c r="M64" s="1305"/>
      <c r="N64" s="1310"/>
      <c r="O64" s="1499">
        <f>+'F Y U 2024 Presupuesto 15.09'!C111</f>
        <v>4052617000</v>
      </c>
      <c r="P64" s="1439" t="s">
        <v>3756</v>
      </c>
      <c r="Q64" s="1397" t="s">
        <v>3697</v>
      </c>
      <c r="R64" s="1367"/>
    </row>
    <row r="65" spans="1:18" ht="16.5" customHeight="1" x14ac:dyDescent="0.25">
      <c r="A65" s="1304" t="s">
        <v>3760</v>
      </c>
      <c r="B65" s="1353">
        <v>5</v>
      </c>
      <c r="C65" s="1353" t="s">
        <v>3286</v>
      </c>
      <c r="D65" s="1353"/>
      <c r="E65" s="1304"/>
      <c r="F65" s="1304"/>
      <c r="G65" s="1304"/>
      <c r="H65" s="1304" t="s">
        <v>412</v>
      </c>
      <c r="I65" s="1304"/>
      <c r="J65" s="1304"/>
      <c r="K65" s="1304"/>
      <c r="L65" s="1304"/>
      <c r="M65" s="1370"/>
      <c r="N65" s="1304"/>
      <c r="O65" s="1497">
        <f>+O66</f>
        <v>3672925000</v>
      </c>
      <c r="P65" s="1436" t="s">
        <v>3761</v>
      </c>
      <c r="Q65" s="1437"/>
      <c r="R65" s="1385"/>
    </row>
    <row r="66" spans="1:18" ht="16.5" customHeight="1" x14ac:dyDescent="0.25">
      <c r="A66" s="1309" t="s">
        <v>3762</v>
      </c>
      <c r="B66" s="1381">
        <v>6</v>
      </c>
      <c r="C66" s="1381" t="s">
        <v>3286</v>
      </c>
      <c r="D66" s="1381"/>
      <c r="E66" s="1309"/>
      <c r="F66" s="1309"/>
      <c r="G66" s="1309"/>
      <c r="H66" s="1382"/>
      <c r="I66" s="1309" t="s">
        <v>414</v>
      </c>
      <c r="J66" s="1309"/>
      <c r="K66" s="1309"/>
      <c r="L66" s="1309"/>
      <c r="M66" s="1309"/>
      <c r="N66" s="1309"/>
      <c r="O66" s="1498">
        <f>+O67+O68</f>
        <v>3672925000</v>
      </c>
      <c r="P66" s="1386" t="s">
        <v>3763</v>
      </c>
      <c r="Q66" s="1438"/>
      <c r="R66" s="1385"/>
    </row>
    <row r="67" spans="1:18" ht="16.5" customHeight="1" x14ac:dyDescent="0.25">
      <c r="A67" s="1311" t="s">
        <v>3798</v>
      </c>
      <c r="B67" s="1387">
        <v>7</v>
      </c>
      <c r="C67" s="1387" t="s">
        <v>3298</v>
      </c>
      <c r="D67" s="1387"/>
      <c r="E67" s="1311"/>
      <c r="F67" s="1311"/>
      <c r="G67" s="1311"/>
      <c r="H67" s="1311"/>
      <c r="I67" s="1311"/>
      <c r="J67" s="1311" t="s">
        <v>416</v>
      </c>
      <c r="K67" s="1311"/>
      <c r="L67" s="1311"/>
      <c r="M67" s="1311"/>
      <c r="N67" s="1311"/>
      <c r="O67" s="1500">
        <f>+'F Y U 2024 Presupuesto 15.09'!C45+'F Y U 2024 Presupuesto 15.09'!C46</f>
        <v>3569066000</v>
      </c>
      <c r="P67" s="1389" t="s">
        <v>3799</v>
      </c>
      <c r="Q67" s="1397" t="s">
        <v>3800</v>
      </c>
      <c r="R67" s="1367"/>
    </row>
    <row r="68" spans="1:18" ht="16.5" customHeight="1" x14ac:dyDescent="0.25">
      <c r="A68" s="1311" t="s">
        <v>3801</v>
      </c>
      <c r="B68" s="1387">
        <v>7</v>
      </c>
      <c r="C68" s="1387" t="s">
        <v>3298</v>
      </c>
      <c r="D68" s="1387"/>
      <c r="E68" s="1311"/>
      <c r="F68" s="1311"/>
      <c r="G68" s="1311"/>
      <c r="H68" s="1311"/>
      <c r="I68" s="1311"/>
      <c r="J68" s="1311" t="s">
        <v>3802</v>
      </c>
      <c r="K68" s="1311"/>
      <c r="L68" s="1311"/>
      <c r="M68" s="1311"/>
      <c r="N68" s="1311"/>
      <c r="O68" s="1500">
        <f>+'F Y U 2024 Presupuesto 15.09'!C51</f>
        <v>103859000</v>
      </c>
      <c r="P68" s="1389" t="s">
        <v>3803</v>
      </c>
      <c r="Q68" s="1397" t="s">
        <v>3804</v>
      </c>
      <c r="R68" s="1367"/>
    </row>
    <row r="69" spans="1:18" ht="16.5" customHeight="1" x14ac:dyDescent="0.25">
      <c r="A69" s="1304" t="s">
        <v>3917</v>
      </c>
      <c r="B69" s="1353">
        <v>5</v>
      </c>
      <c r="C69" s="1353" t="s">
        <v>3286</v>
      </c>
      <c r="D69" s="1353"/>
      <c r="E69" s="1353"/>
      <c r="F69" s="1304"/>
      <c r="G69" s="1304"/>
      <c r="H69" s="1304" t="s">
        <v>428</v>
      </c>
      <c r="I69" s="1304"/>
      <c r="J69" s="1304"/>
      <c r="K69" s="1304"/>
      <c r="L69" s="1304"/>
      <c r="M69" s="1370"/>
      <c r="N69" s="1370"/>
      <c r="O69" s="1479">
        <f>+O70+O71</f>
        <v>14364840000</v>
      </c>
      <c r="P69" s="1436" t="s">
        <v>3918</v>
      </c>
      <c r="Q69" s="1354"/>
      <c r="R69" s="1385"/>
    </row>
    <row r="70" spans="1:18" ht="16.5" customHeight="1" x14ac:dyDescent="0.25">
      <c r="A70" s="1311" t="s">
        <v>3919</v>
      </c>
      <c r="B70" s="1387">
        <v>6</v>
      </c>
      <c r="C70" s="1387" t="s">
        <v>3298</v>
      </c>
      <c r="D70" s="1381"/>
      <c r="E70" s="1381"/>
      <c r="F70" s="1309"/>
      <c r="G70" s="1309"/>
      <c r="H70" s="1309"/>
      <c r="I70" s="1311" t="s">
        <v>680</v>
      </c>
      <c r="J70" s="1311"/>
      <c r="K70" s="1311"/>
      <c r="L70" s="1309"/>
      <c r="M70" s="1309"/>
      <c r="N70" s="1382"/>
      <c r="O70" s="1483">
        <f>+'F Y U 2024 Presupuesto 15.09'!C107</f>
        <v>3963289000</v>
      </c>
      <c r="P70" s="1389" t="s">
        <v>3920</v>
      </c>
      <c r="Q70" s="1445"/>
      <c r="R70" s="1367"/>
    </row>
    <row r="71" spans="1:18" ht="16.5" customHeight="1" x14ac:dyDescent="0.25">
      <c r="A71" s="1311" t="s">
        <v>3925</v>
      </c>
      <c r="B71" s="1387">
        <v>6</v>
      </c>
      <c r="C71" s="1387" t="s">
        <v>3298</v>
      </c>
      <c r="D71" s="1381"/>
      <c r="E71" s="1381"/>
      <c r="F71" s="1309"/>
      <c r="G71" s="1309"/>
      <c r="H71" s="1309"/>
      <c r="I71" s="1311" t="s">
        <v>430</v>
      </c>
      <c r="J71" s="1311"/>
      <c r="K71" s="1311"/>
      <c r="L71" s="1309"/>
      <c r="M71" s="1309"/>
      <c r="N71" s="1382"/>
      <c r="O71" s="1483">
        <f>+'F Y U 2024 Presupuesto 15.09'!C44+'F Y U 2024 Presupuesto 15.09'!C80</f>
        <v>10401551000</v>
      </c>
      <c r="P71" s="1389" t="s">
        <v>3926</v>
      </c>
      <c r="Q71" s="1445"/>
      <c r="R71" s="1367"/>
    </row>
    <row r="72" spans="1:18" ht="16.5" customHeight="1" x14ac:dyDescent="0.25">
      <c r="A72" s="1304" t="s">
        <v>3934</v>
      </c>
      <c r="B72" s="1353">
        <v>5</v>
      </c>
      <c r="C72" s="1353" t="s">
        <v>3286</v>
      </c>
      <c r="D72" s="1353"/>
      <c r="E72" s="1304"/>
      <c r="F72" s="1304"/>
      <c r="G72" s="1304"/>
      <c r="H72" s="1304" t="s">
        <v>3935</v>
      </c>
      <c r="I72" s="1304"/>
      <c r="J72" s="1304"/>
      <c r="K72" s="1304"/>
      <c r="L72" s="1304"/>
      <c r="M72" s="1370"/>
      <c r="N72" s="1304"/>
      <c r="O72" s="1497">
        <f>+O73</f>
        <v>726530000</v>
      </c>
      <c r="P72" s="1436" t="s">
        <v>3936</v>
      </c>
      <c r="Q72" s="1437"/>
      <c r="R72" s="1385"/>
    </row>
    <row r="73" spans="1:18" ht="16.5" customHeight="1" x14ac:dyDescent="0.25">
      <c r="A73" s="1309" t="s">
        <v>3962</v>
      </c>
      <c r="B73" s="1381">
        <v>6</v>
      </c>
      <c r="C73" s="1381" t="s">
        <v>3286</v>
      </c>
      <c r="D73" s="1381"/>
      <c r="E73" s="1309"/>
      <c r="F73" s="1309"/>
      <c r="G73" s="1309"/>
      <c r="H73" s="1382"/>
      <c r="I73" s="1309" t="s">
        <v>444</v>
      </c>
      <c r="J73" s="1309"/>
      <c r="K73" s="1309"/>
      <c r="L73" s="1309"/>
      <c r="M73" s="1309"/>
      <c r="N73" s="1309"/>
      <c r="O73" s="1498">
        <f>+O74</f>
        <v>726530000</v>
      </c>
      <c r="P73" s="1386" t="s">
        <v>3963</v>
      </c>
      <c r="Q73" s="1438"/>
      <c r="R73" s="1385"/>
    </row>
    <row r="74" spans="1:18" ht="16.5" customHeight="1" x14ac:dyDescent="0.25">
      <c r="A74" s="1311" t="s">
        <v>3964</v>
      </c>
      <c r="B74" s="1387">
        <v>7</v>
      </c>
      <c r="C74" s="1387" t="s">
        <v>3298</v>
      </c>
      <c r="D74" s="1387"/>
      <c r="E74" s="1311"/>
      <c r="F74" s="1311"/>
      <c r="G74" s="1311"/>
      <c r="H74" s="1311"/>
      <c r="I74" s="1311"/>
      <c r="J74" s="1311" t="s">
        <v>446</v>
      </c>
      <c r="K74" s="1311"/>
      <c r="L74" s="1311"/>
      <c r="M74" s="1311"/>
      <c r="N74" s="1311"/>
      <c r="O74" s="1500">
        <f>+'F Y U 2024 Presupuesto 15.09'!C36</f>
        <v>726530000</v>
      </c>
      <c r="P74" s="1389" t="s">
        <v>3965</v>
      </c>
      <c r="Q74" s="1397" t="s">
        <v>3966</v>
      </c>
      <c r="R74" s="1367"/>
    </row>
    <row r="75" spans="1:18" ht="16.5" customHeight="1" x14ac:dyDescent="0.25">
      <c r="A75" s="1303" t="s">
        <v>3989</v>
      </c>
      <c r="B75" s="1348">
        <v>4</v>
      </c>
      <c r="C75" s="1348" t="s">
        <v>3286</v>
      </c>
      <c r="D75" s="1348"/>
      <c r="E75" s="1348"/>
      <c r="F75" s="1411"/>
      <c r="G75" s="1303" t="s">
        <v>497</v>
      </c>
      <c r="H75" s="1303"/>
      <c r="I75" s="1303"/>
      <c r="J75" s="1303"/>
      <c r="K75" s="1303"/>
      <c r="L75" s="1303"/>
      <c r="M75" s="1303"/>
      <c r="N75" s="1303"/>
      <c r="O75" s="1506">
        <f>+O76+O81</f>
        <v>47296579000</v>
      </c>
      <c r="P75" s="1406" t="s">
        <v>3990</v>
      </c>
      <c r="Q75" s="1407" t="s">
        <v>3991</v>
      </c>
      <c r="R75" s="1385"/>
    </row>
    <row r="76" spans="1:18" ht="16.5" customHeight="1" x14ac:dyDescent="0.25">
      <c r="A76" s="1304" t="s">
        <v>3992</v>
      </c>
      <c r="B76" s="1353">
        <v>5</v>
      </c>
      <c r="C76" s="1353" t="s">
        <v>3286</v>
      </c>
      <c r="D76" s="1353"/>
      <c r="E76" s="1353"/>
      <c r="F76" s="1304"/>
      <c r="G76" s="1304"/>
      <c r="H76" s="1304" t="s">
        <v>783</v>
      </c>
      <c r="I76" s="1304"/>
      <c r="J76" s="1304"/>
      <c r="K76" s="1304"/>
      <c r="L76" s="1304"/>
      <c r="M76" s="1370"/>
      <c r="N76" s="1304"/>
      <c r="O76" s="1497">
        <f>+O77+O78+O79+O80</f>
        <v>10337165000</v>
      </c>
      <c r="P76" s="1371" t="s">
        <v>3993</v>
      </c>
      <c r="Q76" s="1372" t="s">
        <v>3317</v>
      </c>
      <c r="R76" s="1385"/>
    </row>
    <row r="77" spans="1:18" ht="16.5" customHeight="1" x14ac:dyDescent="0.25">
      <c r="A77" s="1311" t="s">
        <v>4000</v>
      </c>
      <c r="B77" s="1387">
        <v>6</v>
      </c>
      <c r="C77" s="1387" t="s">
        <v>3298</v>
      </c>
      <c r="D77" s="1387"/>
      <c r="E77" s="1387"/>
      <c r="F77" s="1311"/>
      <c r="G77" s="1311"/>
      <c r="H77" s="1311"/>
      <c r="I77" s="1311" t="s">
        <v>785</v>
      </c>
      <c r="J77" s="1311"/>
      <c r="K77" s="1311"/>
      <c r="L77" s="1311"/>
      <c r="M77" s="1311"/>
      <c r="N77" s="1311"/>
      <c r="O77" s="1500">
        <f>+'F Y U 2024 Presupuesto 15.09'!C100</f>
        <v>2710326000</v>
      </c>
      <c r="P77" s="1392" t="s">
        <v>4001</v>
      </c>
      <c r="Q77" s="1374" t="s">
        <v>3317</v>
      </c>
      <c r="R77" s="1367"/>
    </row>
    <row r="78" spans="1:18" ht="16.5" customHeight="1" x14ac:dyDescent="0.25">
      <c r="A78" s="1311" t="s">
        <v>4002</v>
      </c>
      <c r="B78" s="1387">
        <v>6</v>
      </c>
      <c r="C78" s="1387" t="s">
        <v>3298</v>
      </c>
      <c r="D78" s="1387"/>
      <c r="E78" s="1387"/>
      <c r="F78" s="1311"/>
      <c r="G78" s="1311"/>
      <c r="H78" s="1311"/>
      <c r="I78" s="1311" t="s">
        <v>799</v>
      </c>
      <c r="J78" s="1311"/>
      <c r="K78" s="1311"/>
      <c r="L78" s="1311"/>
      <c r="M78" s="1311"/>
      <c r="N78" s="1311"/>
      <c r="O78" s="1500">
        <f>+'F Y U 2024 Presupuesto 15.09'!C95</f>
        <v>6555523000</v>
      </c>
      <c r="P78" s="1392" t="s">
        <v>4003</v>
      </c>
      <c r="Q78" s="1374" t="s">
        <v>4004</v>
      </c>
      <c r="R78" s="1367"/>
    </row>
    <row r="79" spans="1:18" ht="16.5" customHeight="1" x14ac:dyDescent="0.25">
      <c r="A79" s="1311" t="s">
        <v>4005</v>
      </c>
      <c r="B79" s="1387">
        <v>6</v>
      </c>
      <c r="C79" s="1387" t="s">
        <v>3298</v>
      </c>
      <c r="D79" s="1387"/>
      <c r="E79" s="1387"/>
      <c r="F79" s="1311"/>
      <c r="G79" s="1311"/>
      <c r="H79" s="1311"/>
      <c r="I79" s="1311" t="s">
        <v>807</v>
      </c>
      <c r="J79" s="1311"/>
      <c r="K79" s="1311"/>
      <c r="L79" s="1311"/>
      <c r="M79" s="1311"/>
      <c r="N79" s="1311"/>
      <c r="O79" s="1500">
        <f>+'F Y U 2024 Presupuesto 15.09'!C97</f>
        <v>32160000</v>
      </c>
      <c r="P79" s="1392" t="s">
        <v>4006</v>
      </c>
      <c r="Q79" s="1374" t="s">
        <v>4007</v>
      </c>
      <c r="R79" s="1367"/>
    </row>
    <row r="80" spans="1:18" ht="16.5" customHeight="1" x14ac:dyDescent="0.25">
      <c r="A80" s="1311" t="s">
        <v>4019</v>
      </c>
      <c r="B80" s="1387">
        <v>6</v>
      </c>
      <c r="C80" s="1387" t="s">
        <v>3298</v>
      </c>
      <c r="D80" s="1387"/>
      <c r="E80" s="1387"/>
      <c r="F80" s="1311"/>
      <c r="G80" s="1311"/>
      <c r="H80" s="1311"/>
      <c r="I80" s="1311" t="s">
        <v>815</v>
      </c>
      <c r="J80" s="1311"/>
      <c r="K80" s="1311"/>
      <c r="L80" s="1311"/>
      <c r="M80" s="1311"/>
      <c r="N80" s="1311"/>
      <c r="O80" s="1500">
        <f>+'F Y U 2024 Presupuesto 15.09'!C96</f>
        <v>1039156000</v>
      </c>
      <c r="P80" s="1392" t="s">
        <v>4020</v>
      </c>
      <c r="Q80" s="1374" t="s">
        <v>4021</v>
      </c>
      <c r="R80" s="1367"/>
    </row>
    <row r="81" spans="1:18" ht="16.5" customHeight="1" x14ac:dyDescent="0.25">
      <c r="A81" s="1304" t="s">
        <v>4022</v>
      </c>
      <c r="B81" s="1353">
        <v>5</v>
      </c>
      <c r="C81" s="1353" t="s">
        <v>3286</v>
      </c>
      <c r="D81" s="1353"/>
      <c r="E81" s="1353"/>
      <c r="F81" s="1304"/>
      <c r="G81" s="1304"/>
      <c r="H81" s="1304" t="s">
        <v>4023</v>
      </c>
      <c r="I81" s="1304"/>
      <c r="J81" s="1304"/>
      <c r="K81" s="1304"/>
      <c r="L81" s="1304"/>
      <c r="M81" s="1370"/>
      <c r="N81" s="1304"/>
      <c r="O81" s="1497">
        <f>+O82+O91</f>
        <v>36959414000</v>
      </c>
      <c r="P81" s="1371" t="s">
        <v>4024</v>
      </c>
      <c r="Q81" s="1372" t="s">
        <v>4025</v>
      </c>
      <c r="R81" s="1385"/>
    </row>
    <row r="82" spans="1:18" ht="16.5" customHeight="1" x14ac:dyDescent="0.25">
      <c r="A82" s="1309" t="s">
        <v>4026</v>
      </c>
      <c r="B82" s="1381">
        <v>6</v>
      </c>
      <c r="C82" s="1381" t="s">
        <v>3286</v>
      </c>
      <c r="D82" s="1381"/>
      <c r="E82" s="1381"/>
      <c r="F82" s="1309"/>
      <c r="G82" s="1309"/>
      <c r="H82" s="1309"/>
      <c r="I82" s="1309" t="s">
        <v>501</v>
      </c>
      <c r="J82" s="1309"/>
      <c r="K82" s="1309"/>
      <c r="L82" s="1309"/>
      <c r="M82" s="1309"/>
      <c r="N82" s="1309"/>
      <c r="O82" s="1498">
        <f>+O83+O86</f>
        <v>36943613000</v>
      </c>
      <c r="P82" s="1383" t="s">
        <v>4027</v>
      </c>
      <c r="Q82" s="1384" t="s">
        <v>4025</v>
      </c>
      <c r="R82" s="1385"/>
    </row>
    <row r="83" spans="1:18" ht="16.5" customHeight="1" x14ac:dyDescent="0.25">
      <c r="A83" s="1309" t="s">
        <v>4031</v>
      </c>
      <c r="B83" s="1381">
        <v>7</v>
      </c>
      <c r="C83" s="1381" t="s">
        <v>3286</v>
      </c>
      <c r="D83" s="1381"/>
      <c r="E83" s="1381"/>
      <c r="F83" s="1309"/>
      <c r="G83" s="1309"/>
      <c r="H83" s="1309"/>
      <c r="I83" s="1382"/>
      <c r="J83" s="1309" t="s">
        <v>503</v>
      </c>
      <c r="K83" s="1309"/>
      <c r="L83" s="1309"/>
      <c r="M83" s="1309"/>
      <c r="N83" s="1309"/>
      <c r="O83" s="1498">
        <f>+O84+O85</f>
        <v>2278742400</v>
      </c>
      <c r="P83" s="1383" t="s">
        <v>4032</v>
      </c>
      <c r="Q83" s="1384" t="s">
        <v>4025</v>
      </c>
      <c r="R83" s="1385"/>
    </row>
    <row r="84" spans="1:18" ht="16.5" customHeight="1" x14ac:dyDescent="0.25">
      <c r="A84" s="1311" t="s">
        <v>4033</v>
      </c>
      <c r="B84" s="1387">
        <v>8</v>
      </c>
      <c r="C84" s="1387" t="s">
        <v>3298</v>
      </c>
      <c r="D84" s="1387"/>
      <c r="E84" s="1387"/>
      <c r="F84" s="1311"/>
      <c r="G84" s="1311"/>
      <c r="H84" s="1311"/>
      <c r="I84" s="1311"/>
      <c r="J84" s="1311"/>
      <c r="K84" s="1311" t="s">
        <v>505</v>
      </c>
      <c r="L84" s="1311"/>
      <c r="M84" s="1388"/>
      <c r="N84" s="1311"/>
      <c r="O84" s="1500">
        <v>1686075900</v>
      </c>
      <c r="P84" s="1392" t="s">
        <v>4034</v>
      </c>
      <c r="Q84" s="1374" t="s">
        <v>4035</v>
      </c>
      <c r="R84" s="1367"/>
    </row>
    <row r="85" spans="1:18" ht="16.5" customHeight="1" x14ac:dyDescent="0.25">
      <c r="A85" s="1311" t="s">
        <v>4036</v>
      </c>
      <c r="B85" s="1387">
        <v>8</v>
      </c>
      <c r="C85" s="1387" t="s">
        <v>3298</v>
      </c>
      <c r="D85" s="1387"/>
      <c r="E85" s="1387"/>
      <c r="F85" s="1311"/>
      <c r="G85" s="1311"/>
      <c r="H85" s="1311"/>
      <c r="I85" s="1311"/>
      <c r="J85" s="1311"/>
      <c r="K85" s="1311" t="s">
        <v>1248</v>
      </c>
      <c r="L85" s="1311"/>
      <c r="M85" s="1388"/>
      <c r="N85" s="1311"/>
      <c r="O85" s="1500">
        <v>592666500</v>
      </c>
      <c r="P85" s="1392" t="s">
        <v>4037</v>
      </c>
      <c r="Q85" s="1374" t="s">
        <v>4035</v>
      </c>
      <c r="R85" s="1367"/>
    </row>
    <row r="86" spans="1:18" ht="16.5" customHeight="1" x14ac:dyDescent="0.25">
      <c r="A86" s="1309" t="s">
        <v>4038</v>
      </c>
      <c r="B86" s="1381">
        <v>7</v>
      </c>
      <c r="C86" s="1381" t="s">
        <v>3286</v>
      </c>
      <c r="D86" s="1381"/>
      <c r="E86" s="1381"/>
      <c r="F86" s="1309"/>
      <c r="G86" s="1309"/>
      <c r="H86" s="1309"/>
      <c r="I86" s="1382"/>
      <c r="J86" s="1309" t="s">
        <v>508</v>
      </c>
      <c r="K86" s="1309"/>
      <c r="L86" s="1309"/>
      <c r="M86" s="1309"/>
      <c r="N86" s="1309"/>
      <c r="O86" s="1498">
        <f>+O87</f>
        <v>34664870600</v>
      </c>
      <c r="P86" s="1383" t="s">
        <v>4039</v>
      </c>
      <c r="Q86" s="1384" t="s">
        <v>4025</v>
      </c>
      <c r="R86" s="1385"/>
    </row>
    <row r="87" spans="1:18" ht="16.5" customHeight="1" x14ac:dyDescent="0.25">
      <c r="A87" s="1309" t="s">
        <v>4044</v>
      </c>
      <c r="B87" s="1381">
        <v>8</v>
      </c>
      <c r="C87" s="1381" t="s">
        <v>3286</v>
      </c>
      <c r="D87" s="1381"/>
      <c r="E87" s="1381"/>
      <c r="F87" s="1309"/>
      <c r="G87" s="1309"/>
      <c r="H87" s="1309"/>
      <c r="I87" s="1309"/>
      <c r="J87" s="1309"/>
      <c r="K87" s="1309" t="s">
        <v>510</v>
      </c>
      <c r="L87" s="1309"/>
      <c r="M87" s="1382"/>
      <c r="N87" s="1309"/>
      <c r="O87" s="1498">
        <f>+O88+O89</f>
        <v>34664870600</v>
      </c>
      <c r="P87" s="1383" t="s">
        <v>4045</v>
      </c>
      <c r="Q87" s="1384" t="s">
        <v>4043</v>
      </c>
      <c r="R87" s="1385"/>
    </row>
    <row r="88" spans="1:18" ht="16.5" customHeight="1" x14ac:dyDescent="0.25">
      <c r="A88" s="1311" t="s">
        <v>4046</v>
      </c>
      <c r="B88" s="1387">
        <v>9</v>
      </c>
      <c r="C88" s="1387" t="s">
        <v>3298</v>
      </c>
      <c r="D88" s="1387"/>
      <c r="E88" s="1387"/>
      <c r="F88" s="1311"/>
      <c r="G88" s="1311"/>
      <c r="H88" s="1311"/>
      <c r="I88" s="1311"/>
      <c r="J88" s="1311"/>
      <c r="K88" s="1311"/>
      <c r="L88" s="1311" t="s">
        <v>512</v>
      </c>
      <c r="M88" s="1311"/>
      <c r="N88" s="1311"/>
      <c r="O88" s="1500">
        <v>26241398700</v>
      </c>
      <c r="P88" s="1392" t="s">
        <v>4047</v>
      </c>
      <c r="Q88" s="1374" t="s">
        <v>3288</v>
      </c>
      <c r="R88" s="1367"/>
    </row>
    <row r="89" spans="1:18" ht="16.5" customHeight="1" x14ac:dyDescent="0.25">
      <c r="A89" s="1309" t="s">
        <v>4048</v>
      </c>
      <c r="B89" s="1381">
        <v>9</v>
      </c>
      <c r="C89" s="1381" t="s">
        <v>3286</v>
      </c>
      <c r="D89" s="1381"/>
      <c r="E89" s="1381"/>
      <c r="F89" s="1309"/>
      <c r="G89" s="1309"/>
      <c r="H89" s="1309"/>
      <c r="I89" s="1309"/>
      <c r="J89" s="1309"/>
      <c r="K89" s="1309"/>
      <c r="L89" s="1309" t="s">
        <v>1534</v>
      </c>
      <c r="M89" s="1309"/>
      <c r="N89" s="1309"/>
      <c r="O89" s="1498">
        <f>+O90</f>
        <v>8423471900</v>
      </c>
      <c r="P89" s="1383" t="s">
        <v>4049</v>
      </c>
      <c r="Q89" s="1384" t="s">
        <v>3288</v>
      </c>
      <c r="R89" s="1385"/>
    </row>
    <row r="90" spans="1:18" ht="16.5" customHeight="1" x14ac:dyDescent="0.25">
      <c r="A90" s="1311" t="s">
        <v>4053</v>
      </c>
      <c r="B90" s="1387">
        <v>10</v>
      </c>
      <c r="C90" s="1387" t="s">
        <v>3298</v>
      </c>
      <c r="D90" s="1387"/>
      <c r="E90" s="1387"/>
      <c r="F90" s="1311"/>
      <c r="G90" s="1311"/>
      <c r="H90" s="1311"/>
      <c r="I90" s="1311"/>
      <c r="J90" s="1311"/>
      <c r="K90" s="1311"/>
      <c r="L90" s="1388"/>
      <c r="M90" s="1388" t="s">
        <v>4054</v>
      </c>
      <c r="N90" s="1311"/>
      <c r="O90" s="1500">
        <v>8423471900</v>
      </c>
      <c r="P90" s="1392" t="s">
        <v>4055</v>
      </c>
      <c r="Q90" s="1374" t="s">
        <v>3288</v>
      </c>
      <c r="R90" s="1367"/>
    </row>
    <row r="91" spans="1:18" ht="16.5" customHeight="1" x14ac:dyDescent="0.25">
      <c r="A91" s="1309" t="s">
        <v>4056</v>
      </c>
      <c r="B91" s="1381">
        <v>6</v>
      </c>
      <c r="C91" s="1381" t="s">
        <v>3286</v>
      </c>
      <c r="D91" s="1381"/>
      <c r="E91" s="1381"/>
      <c r="F91" s="1309"/>
      <c r="G91" s="1309"/>
      <c r="H91" s="1309"/>
      <c r="I91" s="1309" t="s">
        <v>4057</v>
      </c>
      <c r="J91" s="1309"/>
      <c r="K91" s="1309"/>
      <c r="L91" s="1309"/>
      <c r="M91" s="1309"/>
      <c r="N91" s="1309"/>
      <c r="O91" s="1498">
        <f>+O92</f>
        <v>15801000</v>
      </c>
      <c r="P91" s="1383" t="s">
        <v>4058</v>
      </c>
      <c r="Q91" s="1384" t="s">
        <v>4025</v>
      </c>
      <c r="R91" s="1385"/>
    </row>
    <row r="92" spans="1:18" ht="16.5" customHeight="1" x14ac:dyDescent="0.25">
      <c r="A92" s="1311" t="s">
        <v>4059</v>
      </c>
      <c r="B92" s="1387">
        <v>7</v>
      </c>
      <c r="C92" s="1387" t="s">
        <v>3298</v>
      </c>
      <c r="D92" s="1387"/>
      <c r="E92" s="1387"/>
      <c r="F92" s="1311"/>
      <c r="G92" s="1311"/>
      <c r="H92" s="1311"/>
      <c r="I92" s="1388"/>
      <c r="J92" s="1311" t="s">
        <v>1259</v>
      </c>
      <c r="K92" s="1311"/>
      <c r="L92" s="1311"/>
      <c r="M92" s="1311"/>
      <c r="N92" s="1311"/>
      <c r="O92" s="1500">
        <v>15801000</v>
      </c>
      <c r="P92" s="1392" t="s">
        <v>4060</v>
      </c>
      <c r="Q92" s="1374" t="s">
        <v>4061</v>
      </c>
      <c r="R92" s="1367"/>
    </row>
    <row r="93" spans="1:18" ht="16.5" customHeight="1" x14ac:dyDescent="0.25">
      <c r="A93" s="1301" t="s">
        <v>4071</v>
      </c>
      <c r="B93" s="1335">
        <v>2</v>
      </c>
      <c r="C93" s="1335" t="s">
        <v>3286</v>
      </c>
      <c r="D93" s="1335"/>
      <c r="E93" s="1301" t="s">
        <v>517</v>
      </c>
      <c r="F93" s="1301"/>
      <c r="G93" s="1301"/>
      <c r="H93" s="1301"/>
      <c r="I93" s="1301"/>
      <c r="J93" s="1301"/>
      <c r="K93" s="1301"/>
      <c r="L93" s="1301"/>
      <c r="M93" s="1451"/>
      <c r="N93" s="1451"/>
      <c r="O93" s="1507">
        <f>+O94+O96+O98+O101+O103+O108</f>
        <v>20447187000</v>
      </c>
      <c r="P93" s="1337" t="s">
        <v>4072</v>
      </c>
      <c r="Q93" s="1452"/>
      <c r="R93" s="1339"/>
    </row>
    <row r="94" spans="1:18" ht="16.5" customHeight="1" x14ac:dyDescent="0.25">
      <c r="A94" s="1302" t="s">
        <v>4144</v>
      </c>
      <c r="B94" s="1341">
        <v>3</v>
      </c>
      <c r="C94" s="1341" t="s">
        <v>3286</v>
      </c>
      <c r="D94" s="1341"/>
      <c r="E94" s="1342"/>
      <c r="F94" s="1302" t="s">
        <v>523</v>
      </c>
      <c r="G94" s="1302"/>
      <c r="H94" s="1302"/>
      <c r="I94" s="1302"/>
      <c r="J94" s="1302"/>
      <c r="K94" s="1302"/>
      <c r="L94" s="1302"/>
      <c r="M94" s="1302"/>
      <c r="N94" s="1342"/>
      <c r="O94" s="1508">
        <f>+O95</f>
        <v>200000000</v>
      </c>
      <c r="P94" s="1402" t="s">
        <v>4145</v>
      </c>
      <c r="Q94" s="1403"/>
      <c r="R94" s="1385"/>
    </row>
    <row r="95" spans="1:18" ht="16.5" customHeight="1" x14ac:dyDescent="0.25">
      <c r="A95" s="1323" t="s">
        <v>4150</v>
      </c>
      <c r="B95" s="1455">
        <v>4</v>
      </c>
      <c r="C95" s="1455" t="s">
        <v>3298</v>
      </c>
      <c r="D95" s="1348"/>
      <c r="E95" s="1303"/>
      <c r="F95" s="1303"/>
      <c r="G95" s="1323" t="s">
        <v>525</v>
      </c>
      <c r="H95" s="1323"/>
      <c r="I95" s="1323"/>
      <c r="J95" s="1303"/>
      <c r="K95" s="1303"/>
      <c r="L95" s="1303"/>
      <c r="M95" s="1303"/>
      <c r="N95" s="1411"/>
      <c r="O95" s="1491">
        <f>+'F Y U 2024 Presupuesto 15.09'!C70</f>
        <v>200000000</v>
      </c>
      <c r="P95" s="1456" t="s">
        <v>4151</v>
      </c>
      <c r="Q95" s="1457" t="s">
        <v>4152</v>
      </c>
      <c r="R95" s="1367"/>
    </row>
    <row r="96" spans="1:18" ht="16.5" customHeight="1" x14ac:dyDescent="0.25">
      <c r="A96" s="1302" t="s">
        <v>4162</v>
      </c>
      <c r="B96" s="1341">
        <v>3</v>
      </c>
      <c r="C96" s="1341" t="s">
        <v>3286</v>
      </c>
      <c r="D96" s="1341"/>
      <c r="E96" s="1342"/>
      <c r="F96" s="1302" t="s">
        <v>529</v>
      </c>
      <c r="G96" s="1302"/>
      <c r="H96" s="1302"/>
      <c r="I96" s="1302"/>
      <c r="J96" s="1302"/>
      <c r="K96" s="1302"/>
      <c r="L96" s="1302"/>
      <c r="M96" s="1302"/>
      <c r="N96" s="1342"/>
      <c r="O96" s="1508">
        <f>+O97</f>
        <v>671004000</v>
      </c>
      <c r="P96" s="1402" t="s">
        <v>4163</v>
      </c>
      <c r="Q96" s="1403"/>
      <c r="R96" s="1385"/>
    </row>
    <row r="97" spans="1:18" ht="16.5" customHeight="1" x14ac:dyDescent="0.25">
      <c r="A97" s="1323" t="s">
        <v>4167</v>
      </c>
      <c r="B97" s="1455">
        <v>4</v>
      </c>
      <c r="C97" s="1455" t="s">
        <v>3298</v>
      </c>
      <c r="D97" s="1455"/>
      <c r="E97" s="1323"/>
      <c r="F97" s="1323"/>
      <c r="G97" s="1323" t="s">
        <v>531</v>
      </c>
      <c r="H97" s="1323"/>
      <c r="I97" s="1323"/>
      <c r="J97" s="1458"/>
      <c r="K97" s="1323"/>
      <c r="L97" s="1323"/>
      <c r="M97" s="1459"/>
      <c r="N97" s="1459"/>
      <c r="O97" s="1510">
        <f>+'F Y U 2024 Presupuesto 15.09'!C57+'F Y U 2024 Presupuesto 15.09'!C58+'F Y U 2024 Presupuesto 15.09'!C59+'F Y U 2024 Presupuesto 15.09'!C60+'F Y U 2024 Presupuesto 15.09'!C61+'F Y U 2024 Presupuesto 15.09'!C62+'F Y U 2024 Presupuesto 15.09'!C63+'F Y U 2024 Presupuesto 15.09'!C64+'F Y U 2024 Presupuesto 15.09'!C65+'F Y U 2024 Presupuesto 15.09'!C66+'F Y U 2024 Presupuesto 15.09'!C67+'F Y U 2024 Presupuesto 15.09'!C68+'F Y U 2024 Presupuesto 15.09'!C69+'F Y U 2024 Presupuesto 15.09'!C81+'F Y U 2024 Presupuesto 15.09'!C82+'F Y U 2024 Presupuesto 15.09'!C89+'F Y U 2024 Presupuesto 15.09'!C90+'F Y U 2024 Presupuesto 15.09'!C91+'F Y U 2024 Presupuesto 15.09'!C92</f>
        <v>671004000</v>
      </c>
      <c r="P97" s="1456" t="s">
        <v>4168</v>
      </c>
      <c r="Q97" s="1460"/>
      <c r="R97" s="1367"/>
    </row>
    <row r="98" spans="1:18" ht="16.5" customHeight="1" x14ac:dyDescent="0.25">
      <c r="A98" s="1302" t="s">
        <v>4259</v>
      </c>
      <c r="B98" s="1341">
        <v>3</v>
      </c>
      <c r="C98" s="1341" t="s">
        <v>3286</v>
      </c>
      <c r="D98" s="1341"/>
      <c r="E98" s="1342"/>
      <c r="F98" s="1302" t="s">
        <v>868</v>
      </c>
      <c r="G98" s="1302"/>
      <c r="H98" s="1302"/>
      <c r="I98" s="1302"/>
      <c r="J98" s="1302"/>
      <c r="K98" s="1302"/>
      <c r="L98" s="1302"/>
      <c r="M98" s="1302"/>
      <c r="N98" s="1342"/>
      <c r="O98" s="1508">
        <f>+O99+O101</f>
        <v>2366183000</v>
      </c>
      <c r="P98" s="1466" t="s">
        <v>4260</v>
      </c>
      <c r="Q98" s="1403"/>
      <c r="R98" s="1385"/>
    </row>
    <row r="99" spans="1:18" ht="16.5" customHeight="1" x14ac:dyDescent="0.25">
      <c r="A99" s="1303" t="s">
        <v>4298</v>
      </c>
      <c r="B99" s="1348">
        <v>4</v>
      </c>
      <c r="C99" s="1348" t="s">
        <v>3286</v>
      </c>
      <c r="D99" s="1303"/>
      <c r="E99" s="1303"/>
      <c r="F99" s="1303"/>
      <c r="G99" s="1303" t="s">
        <v>870</v>
      </c>
      <c r="H99" s="1303"/>
      <c r="I99" s="1303"/>
      <c r="J99" s="1303"/>
      <c r="K99" s="1303"/>
      <c r="L99" s="1303"/>
      <c r="M99" s="1303"/>
      <c r="N99" s="1303"/>
      <c r="O99" s="1506">
        <f>+O100</f>
        <v>2166183000</v>
      </c>
      <c r="P99" s="1434" t="s">
        <v>4299</v>
      </c>
      <c r="Q99" s="1467"/>
      <c r="R99" s="1385"/>
    </row>
    <row r="100" spans="1:18" ht="16.5" customHeight="1" x14ac:dyDescent="0.25">
      <c r="A100" s="1307" t="s">
        <v>4305</v>
      </c>
      <c r="B100" s="1363">
        <v>5</v>
      </c>
      <c r="C100" s="1363" t="s">
        <v>3298</v>
      </c>
      <c r="D100" s="1307"/>
      <c r="E100" s="1307"/>
      <c r="F100" s="1307"/>
      <c r="G100" s="1376"/>
      <c r="H100" s="1307" t="s">
        <v>4306</v>
      </c>
      <c r="I100" s="1307"/>
      <c r="J100" s="1307"/>
      <c r="K100" s="1307"/>
      <c r="L100" s="1307"/>
      <c r="M100" s="1307"/>
      <c r="N100" s="1307"/>
      <c r="O100" s="1512">
        <f>+'F Y U 2024 Presupuesto 15.09'!C105</f>
        <v>2166183000</v>
      </c>
      <c r="P100" s="1377" t="s">
        <v>4307</v>
      </c>
      <c r="Q100" s="1378" t="s">
        <v>4302</v>
      </c>
      <c r="R100" s="1362"/>
    </row>
    <row r="101" spans="1:18" ht="16.5" customHeight="1" x14ac:dyDescent="0.25">
      <c r="A101" s="1302" t="s">
        <v>4326</v>
      </c>
      <c r="B101" s="1341">
        <v>3</v>
      </c>
      <c r="C101" s="1341" t="s">
        <v>3286</v>
      </c>
      <c r="D101" s="1341"/>
      <c r="E101" s="1342"/>
      <c r="F101" s="1302" t="s">
        <v>1546</v>
      </c>
      <c r="G101" s="1302"/>
      <c r="H101" s="1302"/>
      <c r="I101" s="1302"/>
      <c r="J101" s="1302"/>
      <c r="K101" s="1302"/>
      <c r="L101" s="1302"/>
      <c r="M101" s="1302"/>
      <c r="N101" s="1342"/>
      <c r="O101" s="1508">
        <f>+O102</f>
        <v>200000000</v>
      </c>
      <c r="P101" s="1402" t="s">
        <v>4327</v>
      </c>
      <c r="Q101" s="1403" t="s">
        <v>4328</v>
      </c>
      <c r="R101" s="1385"/>
    </row>
    <row r="102" spans="1:18" ht="16.5" customHeight="1" x14ac:dyDescent="0.25">
      <c r="A102" s="1323" t="s">
        <v>4329</v>
      </c>
      <c r="B102" s="1455">
        <v>4</v>
      </c>
      <c r="C102" s="1455" t="s">
        <v>3298</v>
      </c>
      <c r="D102" s="1455"/>
      <c r="E102" s="1323"/>
      <c r="F102" s="1323"/>
      <c r="G102" s="1323" t="s">
        <v>1548</v>
      </c>
      <c r="H102" s="1323"/>
      <c r="I102" s="1323"/>
      <c r="J102" s="1323"/>
      <c r="K102" s="1323"/>
      <c r="L102" s="1323"/>
      <c r="M102" s="1323"/>
      <c r="N102" s="1459"/>
      <c r="O102" s="1510">
        <f>+'F Y U 2024 Presupuesto 15.09'!C54</f>
        <v>200000000</v>
      </c>
      <c r="P102" s="1456" t="s">
        <v>4330</v>
      </c>
      <c r="Q102" s="1457"/>
      <c r="R102" s="1367"/>
    </row>
    <row r="103" spans="1:18" ht="16.5" customHeight="1" x14ac:dyDescent="0.25">
      <c r="A103" s="1302" t="s">
        <v>4331</v>
      </c>
      <c r="B103" s="1341">
        <v>3</v>
      </c>
      <c r="C103" s="1341" t="s">
        <v>3286</v>
      </c>
      <c r="D103" s="1341"/>
      <c r="E103" s="1342"/>
      <c r="F103" s="1302" t="s">
        <v>617</v>
      </c>
      <c r="G103" s="1302"/>
      <c r="H103" s="1302"/>
      <c r="I103" s="1302"/>
      <c r="J103" s="1302"/>
      <c r="K103" s="1302"/>
      <c r="L103" s="1302"/>
      <c r="M103" s="1302"/>
      <c r="N103" s="1342"/>
      <c r="O103" s="1508">
        <f>+O104+O106</f>
        <v>17000000000</v>
      </c>
      <c r="P103" s="1402" t="s">
        <v>4332</v>
      </c>
      <c r="Q103" s="1403"/>
      <c r="R103" s="1385"/>
    </row>
    <row r="104" spans="1:18" ht="16.5" customHeight="1" x14ac:dyDescent="0.25">
      <c r="A104" s="1303" t="s">
        <v>4333</v>
      </c>
      <c r="B104" s="1348">
        <v>4</v>
      </c>
      <c r="C104" s="1348" t="s">
        <v>3286</v>
      </c>
      <c r="D104" s="1348"/>
      <c r="E104" s="1303"/>
      <c r="F104" s="1303"/>
      <c r="G104" s="1303" t="s">
        <v>619</v>
      </c>
      <c r="H104" s="1303"/>
      <c r="I104" s="1303"/>
      <c r="J104" s="1303"/>
      <c r="K104" s="1303"/>
      <c r="L104" s="1303"/>
      <c r="M104" s="1303"/>
      <c r="N104" s="1411"/>
      <c r="O104" s="1491">
        <f>+O105</f>
        <v>8000000000</v>
      </c>
      <c r="P104" s="1406" t="s">
        <v>4334</v>
      </c>
      <c r="Q104" s="1407" t="s">
        <v>4335</v>
      </c>
      <c r="R104" s="1385"/>
    </row>
    <row r="105" spans="1:18" ht="16.5" customHeight="1" x14ac:dyDescent="0.25">
      <c r="A105" s="1306" t="s">
        <v>4336</v>
      </c>
      <c r="B105" s="1363">
        <v>5</v>
      </c>
      <c r="C105" s="1363" t="s">
        <v>3298</v>
      </c>
      <c r="D105" s="1363"/>
      <c r="E105" s="1306"/>
      <c r="F105" s="1306"/>
      <c r="G105" s="1306"/>
      <c r="H105" s="1306" t="s">
        <v>4337</v>
      </c>
      <c r="I105" s="1306"/>
      <c r="J105" s="1306"/>
      <c r="K105" s="1306"/>
      <c r="L105" s="1306"/>
      <c r="M105" s="1364"/>
      <c r="N105" s="1364"/>
      <c r="O105" s="1478">
        <f>+'F Y U 2024 Presupuesto 15.09'!C37</f>
        <v>8000000000</v>
      </c>
      <c r="P105" s="1377" t="s">
        <v>4338</v>
      </c>
      <c r="Q105" s="1378"/>
      <c r="R105" s="1367"/>
    </row>
    <row r="106" spans="1:18" ht="16.5" customHeight="1" x14ac:dyDescent="0.25">
      <c r="A106" s="1303" t="s">
        <v>4339</v>
      </c>
      <c r="B106" s="1348">
        <v>4</v>
      </c>
      <c r="C106" s="1348" t="s">
        <v>3286</v>
      </c>
      <c r="D106" s="1348"/>
      <c r="E106" s="1303"/>
      <c r="F106" s="1303"/>
      <c r="G106" s="1303" t="s">
        <v>1573</v>
      </c>
      <c r="H106" s="1303"/>
      <c r="I106" s="1303"/>
      <c r="J106" s="1303"/>
      <c r="K106" s="1303"/>
      <c r="L106" s="1303"/>
      <c r="M106" s="1303"/>
      <c r="N106" s="1411"/>
      <c r="O106" s="1491">
        <f>+O107</f>
        <v>9000000000</v>
      </c>
      <c r="P106" s="1406" t="s">
        <v>4340</v>
      </c>
      <c r="Q106" s="1407" t="s">
        <v>3697</v>
      </c>
      <c r="R106" s="1385"/>
    </row>
    <row r="107" spans="1:18" ht="16.5" customHeight="1" x14ac:dyDescent="0.25">
      <c r="A107" s="1306" t="s">
        <v>4341</v>
      </c>
      <c r="B107" s="1363">
        <v>5</v>
      </c>
      <c r="C107" s="1363" t="s">
        <v>3298</v>
      </c>
      <c r="D107" s="1363"/>
      <c r="E107" s="1306"/>
      <c r="F107" s="1306"/>
      <c r="G107" s="1306"/>
      <c r="H107" s="1306" t="s">
        <v>621</v>
      </c>
      <c r="I107" s="1306"/>
      <c r="J107" s="1306"/>
      <c r="K107" s="1306"/>
      <c r="L107" s="1306"/>
      <c r="M107" s="1364"/>
      <c r="N107" s="1364"/>
      <c r="O107" s="1478">
        <f>+'F Y U 2024 Presupuesto 15.09'!C55</f>
        <v>9000000000</v>
      </c>
      <c r="P107" s="1377" t="s">
        <v>4342</v>
      </c>
      <c r="Q107" s="1378"/>
      <c r="R107" s="1367"/>
    </row>
    <row r="108" spans="1:18" ht="16.5" customHeight="1" x14ac:dyDescent="0.25">
      <c r="A108" s="1302" t="s">
        <v>4343</v>
      </c>
      <c r="B108" s="1341">
        <v>3</v>
      </c>
      <c r="C108" s="1341" t="s">
        <v>3286</v>
      </c>
      <c r="D108" s="1341"/>
      <c r="E108" s="1342"/>
      <c r="F108" s="1302" t="s">
        <v>623</v>
      </c>
      <c r="G108" s="1302"/>
      <c r="H108" s="1302"/>
      <c r="I108" s="1302"/>
      <c r="J108" s="1302"/>
      <c r="K108" s="1302"/>
      <c r="L108" s="1302"/>
      <c r="M108" s="1302"/>
      <c r="N108" s="1342"/>
      <c r="O108" s="1508">
        <f>+O109</f>
        <v>10000000</v>
      </c>
      <c r="P108" s="1402" t="s">
        <v>4344</v>
      </c>
      <c r="Q108" s="1403"/>
      <c r="R108" s="1385"/>
    </row>
    <row r="109" spans="1:18" ht="16.5" customHeight="1" x14ac:dyDescent="0.25">
      <c r="A109" s="1323" t="s">
        <v>4345</v>
      </c>
      <c r="B109" s="1455">
        <v>4</v>
      </c>
      <c r="C109" s="1455" t="s">
        <v>3298</v>
      </c>
      <c r="D109" s="1455"/>
      <c r="E109" s="1455"/>
      <c r="F109" s="1455"/>
      <c r="G109" s="1323" t="s">
        <v>606</v>
      </c>
      <c r="H109" s="1323"/>
      <c r="I109" s="1323"/>
      <c r="J109" s="1455"/>
      <c r="K109" s="1455"/>
      <c r="L109" s="1455"/>
      <c r="M109" s="1455"/>
      <c r="N109" s="1455"/>
      <c r="O109" s="1513">
        <f>+'F Y U 2024 Presupuesto 15.09'!C56</f>
        <v>10000000</v>
      </c>
      <c r="P109" s="1456" t="s">
        <v>4346</v>
      </c>
      <c r="Q109" s="1468"/>
      <c r="R109" s="1367"/>
    </row>
    <row r="110" spans="1:18" ht="16.5" customHeight="1" x14ac:dyDescent="0.25">
      <c r="A110" s="1310"/>
      <c r="B110" s="1356"/>
      <c r="C110" s="1356"/>
      <c r="D110" s="1310"/>
      <c r="E110" s="1310"/>
      <c r="F110" s="1310"/>
      <c r="G110" s="1310"/>
      <c r="H110" s="1310"/>
      <c r="I110" s="1310"/>
      <c r="J110" s="1310"/>
      <c r="K110" s="1310"/>
      <c r="L110" s="1310"/>
      <c r="M110" s="1310"/>
      <c r="N110" s="1310"/>
      <c r="O110" s="1499"/>
      <c r="P110" s="1439"/>
      <c r="Q110" s="1310"/>
      <c r="R110" s="1367"/>
    </row>
    <row r="111" spans="1:18" ht="16.5" customHeight="1" x14ac:dyDescent="0.25">
      <c r="A111" s="1310"/>
      <c r="B111" s="1356"/>
      <c r="C111" s="1356"/>
      <c r="D111" s="1310"/>
      <c r="E111" s="1310"/>
      <c r="F111" s="1310"/>
      <c r="G111" s="1469"/>
      <c r="H111" s="1310"/>
      <c r="I111" s="1310"/>
      <c r="J111" s="1310"/>
      <c r="K111" s="1310"/>
      <c r="L111" s="1310"/>
      <c r="M111" s="1310"/>
      <c r="N111" s="1310"/>
      <c r="O111" s="1499"/>
      <c r="P111" s="1439"/>
      <c r="Q111" s="1310"/>
      <c r="R111" s="1367"/>
    </row>
    <row r="112" spans="1:18" ht="16.5" customHeight="1" x14ac:dyDescent="0.25">
      <c r="A112" s="1310"/>
      <c r="B112" s="1356"/>
      <c r="C112" s="1356"/>
      <c r="D112" s="1310"/>
      <c r="E112" s="1310"/>
      <c r="F112" s="1310"/>
      <c r="G112" s="1310"/>
      <c r="H112" s="1310"/>
      <c r="I112" s="1310"/>
      <c r="J112" s="1310"/>
      <c r="K112" s="1310"/>
      <c r="L112" s="1310"/>
      <c r="M112" s="1310"/>
      <c r="N112" s="1310"/>
      <c r="O112" s="1499"/>
      <c r="P112" s="1439"/>
      <c r="Q112" s="1310"/>
      <c r="R112" s="1367"/>
    </row>
    <row r="113" spans="1:18" ht="16.5" customHeight="1" x14ac:dyDescent="0.25">
      <c r="A113" s="1310"/>
      <c r="B113" s="1356"/>
      <c r="C113" s="1356"/>
      <c r="D113" s="1310"/>
      <c r="E113" s="1310"/>
      <c r="F113" s="1310"/>
      <c r="G113" s="1310"/>
      <c r="H113" s="1310"/>
      <c r="I113" s="1310"/>
      <c r="J113" s="1310"/>
      <c r="K113" s="1310"/>
      <c r="L113" s="1310"/>
      <c r="M113" s="1310"/>
      <c r="N113" s="1310"/>
      <c r="O113" s="1499"/>
      <c r="P113" s="1439"/>
      <c r="Q113" s="1310"/>
      <c r="R113" s="1367"/>
    </row>
    <row r="114" spans="1:18" ht="16.5" customHeight="1" x14ac:dyDescent="0.25">
      <c r="A114" s="1310"/>
      <c r="B114" s="1356"/>
      <c r="C114" s="1356"/>
      <c r="D114" s="1310"/>
      <c r="E114" s="1310"/>
      <c r="F114" s="1310"/>
      <c r="G114" s="1310"/>
      <c r="H114" s="1310"/>
      <c r="I114" s="1310"/>
      <c r="J114" s="1310"/>
      <c r="K114" s="1310"/>
      <c r="L114" s="1310"/>
      <c r="M114" s="1310"/>
      <c r="N114" s="1310"/>
      <c r="O114" s="1499"/>
      <c r="P114" s="1439"/>
      <c r="Q114" s="1310"/>
      <c r="R114" s="1367"/>
    </row>
    <row r="115" spans="1:18" ht="16.5" customHeight="1" x14ac:dyDescent="0.25">
      <c r="A115" s="1310"/>
      <c r="B115" s="1356"/>
      <c r="C115" s="1356"/>
      <c r="D115" s="1310"/>
      <c r="E115" s="1310"/>
      <c r="F115" s="1310"/>
      <c r="G115" s="1310"/>
      <c r="H115" s="1310"/>
      <c r="I115" s="1310"/>
      <c r="J115" s="1310"/>
      <c r="K115" s="1310"/>
      <c r="L115" s="1310"/>
      <c r="M115" s="1310"/>
      <c r="N115" s="1310"/>
      <c r="O115" s="1499"/>
      <c r="P115" s="1439"/>
      <c r="Q115" s="1310"/>
      <c r="R115" s="1367"/>
    </row>
    <row r="116" spans="1:18" ht="16.5" customHeight="1" x14ac:dyDescent="0.25">
      <c r="A116" s="1310"/>
      <c r="B116" s="1356"/>
      <c r="C116" s="1356"/>
      <c r="D116" s="1310"/>
      <c r="E116" s="1310"/>
      <c r="F116" s="1310"/>
      <c r="G116" s="1310"/>
      <c r="H116" s="1310"/>
      <c r="I116" s="1310"/>
      <c r="J116" s="1310"/>
      <c r="K116" s="1310"/>
      <c r="L116" s="1310"/>
      <c r="M116" s="1310"/>
      <c r="N116" s="1310"/>
      <c r="O116" s="1499"/>
      <c r="P116" s="1439"/>
      <c r="Q116" s="1310"/>
      <c r="R116" s="1367"/>
    </row>
    <row r="117" spans="1:18" ht="16.5" customHeight="1" x14ac:dyDescent="0.25">
      <c r="A117" s="1310"/>
      <c r="B117" s="1356"/>
      <c r="C117" s="1356"/>
      <c r="D117" s="1310"/>
      <c r="E117" s="1310"/>
      <c r="F117" s="1310"/>
      <c r="G117" s="1310"/>
      <c r="H117" s="1310"/>
      <c r="I117" s="1310"/>
      <c r="J117" s="1310"/>
      <c r="K117" s="1310"/>
      <c r="L117" s="1310"/>
      <c r="M117" s="1310"/>
      <c r="N117" s="1310"/>
      <c r="O117" s="1499"/>
      <c r="P117" s="1439"/>
      <c r="Q117" s="1310"/>
      <c r="R117" s="1367"/>
    </row>
    <row r="118" spans="1:18" ht="16.5" customHeight="1" x14ac:dyDescent="0.25">
      <c r="A118" s="1310"/>
      <c r="B118" s="1356"/>
      <c r="C118" s="1356"/>
      <c r="D118" s="1310"/>
      <c r="E118" s="1310"/>
      <c r="F118" s="1310"/>
      <c r="G118" s="1310"/>
      <c r="H118" s="1310"/>
      <c r="I118" s="1310"/>
      <c r="J118" s="1310"/>
      <c r="K118" s="1310"/>
      <c r="L118" s="1310"/>
      <c r="M118" s="1310"/>
      <c r="N118" s="1310"/>
      <c r="O118" s="1499"/>
      <c r="P118" s="1439"/>
      <c r="Q118" s="1310"/>
      <c r="R118" s="1367"/>
    </row>
    <row r="119" spans="1:18" ht="16.5" customHeight="1" x14ac:dyDescent="0.25">
      <c r="A119" s="1310"/>
      <c r="B119" s="1356"/>
      <c r="C119" s="1356"/>
      <c r="D119" s="1310"/>
      <c r="E119" s="1310"/>
      <c r="F119" s="1310"/>
      <c r="G119" s="1310"/>
      <c r="H119" s="1310"/>
      <c r="I119" s="1310"/>
      <c r="J119" s="1310"/>
      <c r="K119" s="1310"/>
      <c r="L119" s="1310"/>
      <c r="M119" s="1310"/>
      <c r="N119" s="1310"/>
      <c r="O119" s="1499"/>
      <c r="P119" s="1439"/>
      <c r="Q119" s="1310"/>
      <c r="R119" s="1367"/>
    </row>
    <row r="120" spans="1:18" ht="16.5" customHeight="1" x14ac:dyDescent="0.25">
      <c r="A120" s="1310"/>
      <c r="B120" s="1356"/>
      <c r="C120" s="1356"/>
      <c r="D120" s="1310"/>
      <c r="E120" s="1310"/>
      <c r="F120" s="1310"/>
      <c r="G120" s="1310"/>
      <c r="H120" s="1310"/>
      <c r="I120" s="1310"/>
      <c r="J120" s="1310"/>
      <c r="K120" s="1310"/>
      <c r="L120" s="1310"/>
      <c r="M120" s="1310"/>
      <c r="N120" s="1310"/>
      <c r="O120" s="1499"/>
      <c r="P120" s="1439"/>
      <c r="Q120" s="1310"/>
      <c r="R120" s="1367"/>
    </row>
    <row r="121" spans="1:18" ht="16.5" customHeight="1" x14ac:dyDescent="0.25">
      <c r="A121" s="1310"/>
      <c r="B121" s="1356"/>
      <c r="C121" s="1356"/>
      <c r="D121" s="1310"/>
      <c r="E121" s="1310"/>
      <c r="F121" s="1310"/>
      <c r="G121" s="1310"/>
      <c r="H121" s="1310"/>
      <c r="I121" s="1310"/>
      <c r="J121" s="1310"/>
      <c r="K121" s="1310"/>
      <c r="L121" s="1310"/>
      <c r="M121" s="1310"/>
      <c r="N121" s="1310"/>
      <c r="O121" s="1499"/>
      <c r="P121" s="1439"/>
      <c r="Q121" s="1310"/>
      <c r="R121" s="1367"/>
    </row>
    <row r="122" spans="1:18" ht="16.5" customHeight="1" x14ac:dyDescent="0.25">
      <c r="A122" s="1310"/>
      <c r="B122" s="1356"/>
      <c r="C122" s="1356"/>
      <c r="D122" s="1310"/>
      <c r="E122" s="1310"/>
      <c r="F122" s="1310"/>
      <c r="G122" s="1310"/>
      <c r="H122" s="1310"/>
      <c r="I122" s="1310"/>
      <c r="J122" s="1310"/>
      <c r="K122" s="1310"/>
      <c r="L122" s="1310"/>
      <c r="M122" s="1310"/>
      <c r="N122" s="1310"/>
      <c r="O122" s="1499"/>
      <c r="P122" s="1439"/>
      <c r="Q122" s="1310"/>
      <c r="R122" s="1367"/>
    </row>
    <row r="123" spans="1:18" ht="16.5" customHeight="1" x14ac:dyDescent="0.25">
      <c r="A123" s="1310"/>
      <c r="B123" s="1356"/>
      <c r="C123" s="1356"/>
      <c r="D123" s="1310"/>
      <c r="E123" s="1310"/>
      <c r="F123" s="1310"/>
      <c r="G123" s="1310"/>
      <c r="H123" s="1310"/>
      <c r="I123" s="1310"/>
      <c r="J123" s="1310"/>
      <c r="K123" s="1310"/>
      <c r="L123" s="1310"/>
      <c r="M123" s="1310"/>
      <c r="N123" s="1310"/>
      <c r="O123" s="1499"/>
      <c r="P123" s="1439"/>
      <c r="Q123" s="1310"/>
      <c r="R123" s="1367"/>
    </row>
    <row r="124" spans="1:18" ht="16.5" customHeight="1" x14ac:dyDescent="0.25">
      <c r="A124" s="1310"/>
      <c r="B124" s="1356"/>
      <c r="C124" s="1356"/>
      <c r="D124" s="1310"/>
      <c r="E124" s="1310"/>
      <c r="F124" s="1310"/>
      <c r="G124" s="1310"/>
      <c r="H124" s="1310"/>
      <c r="I124" s="1310"/>
      <c r="J124" s="1310"/>
      <c r="K124" s="1310"/>
      <c r="L124" s="1310"/>
      <c r="M124" s="1310"/>
      <c r="N124" s="1310"/>
      <c r="O124" s="1499"/>
      <c r="P124" s="1439"/>
      <c r="Q124" s="1310"/>
      <c r="R124" s="1367"/>
    </row>
    <row r="125" spans="1:18" ht="16.5" customHeight="1" x14ac:dyDescent="0.25">
      <c r="A125" s="1310"/>
      <c r="B125" s="1356"/>
      <c r="C125" s="1356"/>
      <c r="D125" s="1310"/>
      <c r="E125" s="1310"/>
      <c r="F125" s="1310"/>
      <c r="G125" s="1310"/>
      <c r="H125" s="1310"/>
      <c r="I125" s="1310"/>
      <c r="J125" s="1310"/>
      <c r="K125" s="1310"/>
      <c r="L125" s="1310"/>
      <c r="M125" s="1310"/>
      <c r="N125" s="1310"/>
      <c r="O125" s="1499"/>
      <c r="P125" s="1439"/>
      <c r="Q125" s="1310"/>
      <c r="R125" s="1367"/>
    </row>
    <row r="126" spans="1:18" ht="16.5" customHeight="1" x14ac:dyDescent="0.25">
      <c r="A126" s="1310"/>
      <c r="B126" s="1356"/>
      <c r="C126" s="1356"/>
      <c r="D126" s="1310"/>
      <c r="E126" s="1310"/>
      <c r="F126" s="1310"/>
      <c r="G126" s="1310"/>
      <c r="H126" s="1310"/>
      <c r="I126" s="1310"/>
      <c r="J126" s="1310"/>
      <c r="K126" s="1310"/>
      <c r="L126" s="1310"/>
      <c r="M126" s="1310"/>
      <c r="N126" s="1310"/>
      <c r="O126" s="1499"/>
      <c r="P126" s="1439"/>
      <c r="Q126" s="1310"/>
      <c r="R126" s="1367"/>
    </row>
    <row r="127" spans="1:18" ht="16.5" customHeight="1" x14ac:dyDescent="0.25">
      <c r="A127" s="1310"/>
      <c r="B127" s="1356"/>
      <c r="C127" s="1356"/>
      <c r="D127" s="1310"/>
      <c r="E127" s="1310"/>
      <c r="F127" s="1310"/>
      <c r="G127" s="1310"/>
      <c r="H127" s="1310"/>
      <c r="I127" s="1310"/>
      <c r="J127" s="1310"/>
      <c r="K127" s="1310"/>
      <c r="L127" s="1310"/>
      <c r="M127" s="1310"/>
      <c r="N127" s="1310"/>
      <c r="O127" s="1499"/>
      <c r="P127" s="1439"/>
      <c r="Q127" s="1310"/>
      <c r="R127" s="1367"/>
    </row>
    <row r="128" spans="1:18" ht="16.5" customHeight="1" x14ac:dyDescent="0.25">
      <c r="A128" s="1310"/>
      <c r="B128" s="1356"/>
      <c r="C128" s="1356"/>
      <c r="D128" s="1310"/>
      <c r="E128" s="1310"/>
      <c r="F128" s="1310"/>
      <c r="G128" s="1310"/>
      <c r="H128" s="1310"/>
      <c r="I128" s="1310"/>
      <c r="J128" s="1310"/>
      <c r="K128" s="1310"/>
      <c r="L128" s="1310"/>
      <c r="M128" s="1310"/>
      <c r="N128" s="1310"/>
      <c r="O128" s="1499"/>
      <c r="P128" s="1439"/>
      <c r="Q128" s="1310"/>
      <c r="R128" s="1367"/>
    </row>
    <row r="129" spans="1:18" ht="16.5" customHeight="1" x14ac:dyDescent="0.25">
      <c r="A129" s="1310"/>
      <c r="B129" s="1356"/>
      <c r="C129" s="1356"/>
      <c r="D129" s="1310"/>
      <c r="E129" s="1310"/>
      <c r="F129" s="1310"/>
      <c r="G129" s="1310"/>
      <c r="H129" s="1310"/>
      <c r="I129" s="1310"/>
      <c r="J129" s="1310"/>
      <c r="K129" s="1310"/>
      <c r="L129" s="1310"/>
      <c r="M129" s="1310"/>
      <c r="N129" s="1310"/>
      <c r="O129" s="1499"/>
      <c r="P129" s="1439"/>
      <c r="Q129" s="1310"/>
      <c r="R129" s="1367"/>
    </row>
    <row r="130" spans="1:18" ht="16.5" customHeight="1" x14ac:dyDescent="0.25">
      <c r="A130" s="1310"/>
      <c r="B130" s="1356"/>
      <c r="C130" s="1356"/>
      <c r="D130" s="1310"/>
      <c r="E130" s="1310"/>
      <c r="F130" s="1310"/>
      <c r="G130" s="1310"/>
      <c r="H130" s="1310"/>
      <c r="I130" s="1310"/>
      <c r="J130" s="1310"/>
      <c r="K130" s="1310"/>
      <c r="L130" s="1310"/>
      <c r="M130" s="1310"/>
      <c r="N130" s="1310"/>
      <c r="O130" s="1499"/>
      <c r="P130" s="1439"/>
      <c r="Q130" s="1310"/>
      <c r="R130" s="1367"/>
    </row>
    <row r="131" spans="1:18" ht="16.5" customHeight="1" x14ac:dyDescent="0.25">
      <c r="A131" s="1310"/>
      <c r="B131" s="1356"/>
      <c r="C131" s="1356"/>
      <c r="D131" s="1310"/>
      <c r="E131" s="1310"/>
      <c r="F131" s="1310"/>
      <c r="G131" s="1310"/>
      <c r="H131" s="1310"/>
      <c r="I131" s="1310"/>
      <c r="J131" s="1310"/>
      <c r="K131" s="1310"/>
      <c r="L131" s="1310"/>
      <c r="M131" s="1310"/>
      <c r="N131" s="1310"/>
      <c r="O131" s="1499"/>
      <c r="P131" s="1439"/>
      <c r="Q131" s="1310"/>
      <c r="R131" s="1367"/>
    </row>
    <row r="132" spans="1:18" ht="16.5" customHeight="1" x14ac:dyDescent="0.25">
      <c r="A132" s="1310"/>
      <c r="B132" s="1356"/>
      <c r="C132" s="1356"/>
      <c r="D132" s="1310"/>
      <c r="E132" s="1310"/>
      <c r="F132" s="1310"/>
      <c r="G132" s="1310"/>
      <c r="H132" s="1310"/>
      <c r="I132" s="1310"/>
      <c r="J132" s="1310"/>
      <c r="K132" s="1310"/>
      <c r="L132" s="1310"/>
      <c r="M132" s="1310"/>
      <c r="N132" s="1310"/>
      <c r="O132" s="1499"/>
      <c r="P132" s="1439"/>
      <c r="Q132" s="1310"/>
      <c r="R132" s="1367"/>
    </row>
    <row r="133" spans="1:18" ht="16.5" customHeight="1" x14ac:dyDescent="0.25">
      <c r="A133" s="1310"/>
      <c r="B133" s="1356"/>
      <c r="C133" s="1356"/>
      <c r="D133" s="1310"/>
      <c r="E133" s="1310"/>
      <c r="F133" s="1310"/>
      <c r="G133" s="1310"/>
      <c r="H133" s="1310"/>
      <c r="I133" s="1310"/>
      <c r="J133" s="1310"/>
      <c r="K133" s="1310"/>
      <c r="L133" s="1310"/>
      <c r="M133" s="1310"/>
      <c r="N133" s="1310"/>
      <c r="O133" s="1499"/>
      <c r="P133" s="1439"/>
      <c r="Q133" s="1310"/>
      <c r="R133" s="1367"/>
    </row>
    <row r="134" spans="1:18" ht="16.5" customHeight="1" x14ac:dyDescent="0.25">
      <c r="A134" s="1310"/>
      <c r="B134" s="1356"/>
      <c r="C134" s="1356"/>
      <c r="D134" s="1310"/>
      <c r="E134" s="1310"/>
      <c r="F134" s="1310"/>
      <c r="G134" s="1310"/>
      <c r="H134" s="1310"/>
      <c r="I134" s="1310"/>
      <c r="J134" s="1310"/>
      <c r="K134" s="1310"/>
      <c r="L134" s="1310"/>
      <c r="M134" s="1310"/>
      <c r="N134" s="1310"/>
      <c r="O134" s="1499"/>
      <c r="P134" s="1439"/>
      <c r="Q134" s="1310"/>
      <c r="R134" s="1367"/>
    </row>
    <row r="135" spans="1:18" ht="16.5" customHeight="1" x14ac:dyDescent="0.25">
      <c r="A135" s="1310"/>
      <c r="B135" s="1356"/>
      <c r="C135" s="1356"/>
      <c r="D135" s="1310"/>
      <c r="E135" s="1310"/>
      <c r="F135" s="1310"/>
      <c r="G135" s="1310"/>
      <c r="H135" s="1310"/>
      <c r="I135" s="1310"/>
      <c r="J135" s="1310"/>
      <c r="K135" s="1310"/>
      <c r="L135" s="1310"/>
      <c r="M135" s="1310"/>
      <c r="N135" s="1310"/>
      <c r="O135" s="1499"/>
      <c r="P135" s="1439"/>
      <c r="Q135" s="1310"/>
      <c r="R135" s="1367"/>
    </row>
    <row r="136" spans="1:18" ht="16.5" customHeight="1" x14ac:dyDescent="0.25">
      <c r="A136" s="1310"/>
      <c r="B136" s="1356"/>
      <c r="C136" s="1356"/>
      <c r="D136" s="1310"/>
      <c r="E136" s="1310"/>
      <c r="F136" s="1310"/>
      <c r="G136" s="1310"/>
      <c r="H136" s="1310"/>
      <c r="I136" s="1310"/>
      <c r="J136" s="1310"/>
      <c r="K136" s="1310"/>
      <c r="L136" s="1310"/>
      <c r="M136" s="1310"/>
      <c r="N136" s="1310"/>
      <c r="O136" s="1499"/>
      <c r="P136" s="1439"/>
      <c r="Q136" s="1310"/>
      <c r="R136" s="1367"/>
    </row>
    <row r="137" spans="1:18" ht="16.5" customHeight="1" x14ac:dyDescent="0.25">
      <c r="A137" s="1310"/>
      <c r="B137" s="1356"/>
      <c r="C137" s="1356"/>
      <c r="D137" s="1310"/>
      <c r="E137" s="1310"/>
      <c r="F137" s="1310"/>
      <c r="G137" s="1310"/>
      <c r="H137" s="1310"/>
      <c r="I137" s="1310"/>
      <c r="J137" s="1310"/>
      <c r="K137" s="1310"/>
      <c r="L137" s="1310"/>
      <c r="M137" s="1310"/>
      <c r="N137" s="1310"/>
      <c r="O137" s="1499"/>
      <c r="P137" s="1439"/>
      <c r="Q137" s="1310"/>
      <c r="R137" s="1367"/>
    </row>
    <row r="138" spans="1:18" ht="16.5" customHeight="1" x14ac:dyDescent="0.25">
      <c r="A138" s="1310"/>
      <c r="B138" s="1356"/>
      <c r="C138" s="1356"/>
      <c r="D138" s="1310"/>
      <c r="E138" s="1310"/>
      <c r="F138" s="1310"/>
      <c r="G138" s="1310"/>
      <c r="H138" s="1310"/>
      <c r="I138" s="1310"/>
      <c r="J138" s="1310"/>
      <c r="K138" s="1310"/>
      <c r="L138" s="1310"/>
      <c r="M138" s="1310"/>
      <c r="N138" s="1310"/>
      <c r="O138" s="1499"/>
      <c r="P138" s="1439"/>
      <c r="Q138" s="1310"/>
      <c r="R138" s="1367"/>
    </row>
    <row r="139" spans="1:18" ht="16.5" customHeight="1" x14ac:dyDescent="0.25">
      <c r="A139" s="1310"/>
      <c r="B139" s="1356"/>
      <c r="C139" s="1356"/>
      <c r="D139" s="1310"/>
      <c r="E139" s="1310"/>
      <c r="F139" s="1310"/>
      <c r="G139" s="1310"/>
      <c r="H139" s="1310"/>
      <c r="I139" s="1310"/>
      <c r="J139" s="1310"/>
      <c r="K139" s="1310"/>
      <c r="L139" s="1310"/>
      <c r="M139" s="1310"/>
      <c r="N139" s="1310"/>
      <c r="O139" s="1499"/>
      <c r="P139" s="1439"/>
      <c r="Q139" s="1310"/>
      <c r="R139" s="1367"/>
    </row>
    <row r="140" spans="1:18" ht="16.5" customHeight="1" x14ac:dyDescent="0.25">
      <c r="A140" s="1310"/>
      <c r="B140" s="1356"/>
      <c r="C140" s="1356"/>
      <c r="D140" s="1310"/>
      <c r="E140" s="1310"/>
      <c r="F140" s="1310"/>
      <c r="G140" s="1310"/>
      <c r="H140" s="1310"/>
      <c r="I140" s="1310"/>
      <c r="J140" s="1310"/>
      <c r="K140" s="1310"/>
      <c r="L140" s="1310"/>
      <c r="M140" s="1310"/>
      <c r="N140" s="1310"/>
      <c r="O140" s="1499"/>
      <c r="P140" s="1439"/>
      <c r="Q140" s="1310"/>
      <c r="R140" s="1367"/>
    </row>
    <row r="141" spans="1:18" ht="16.5" customHeight="1" x14ac:dyDescent="0.25">
      <c r="A141" s="1310"/>
      <c r="B141" s="1356"/>
      <c r="C141" s="1356"/>
      <c r="D141" s="1310"/>
      <c r="E141" s="1310"/>
      <c r="F141" s="1310"/>
      <c r="G141" s="1310"/>
      <c r="H141" s="1310"/>
      <c r="I141" s="1310"/>
      <c r="J141" s="1310"/>
      <c r="K141" s="1310"/>
      <c r="L141" s="1310"/>
      <c r="M141" s="1310"/>
      <c r="N141" s="1310"/>
      <c r="O141" s="1499"/>
      <c r="P141" s="1439"/>
      <c r="Q141" s="1310"/>
      <c r="R141" s="1367"/>
    </row>
    <row r="142" spans="1:18" ht="16.5" customHeight="1" x14ac:dyDescent="0.25">
      <c r="A142" s="1310"/>
      <c r="B142" s="1356"/>
      <c r="C142" s="1356"/>
      <c r="D142" s="1310"/>
      <c r="E142" s="1310"/>
      <c r="F142" s="1310"/>
      <c r="G142" s="1310"/>
      <c r="H142" s="1310"/>
      <c r="I142" s="1310"/>
      <c r="J142" s="1310"/>
      <c r="K142" s="1310"/>
      <c r="L142" s="1310"/>
      <c r="M142" s="1310"/>
      <c r="N142" s="1310"/>
      <c r="O142" s="1499"/>
      <c r="P142" s="1439"/>
      <c r="Q142" s="1310"/>
      <c r="R142" s="1367"/>
    </row>
    <row r="143" spans="1:18" ht="16.5" customHeight="1" x14ac:dyDescent="0.25">
      <c r="A143" s="1310"/>
      <c r="B143" s="1356"/>
      <c r="C143" s="1356"/>
      <c r="D143" s="1310"/>
      <c r="E143" s="1310"/>
      <c r="F143" s="1310"/>
      <c r="G143" s="1310"/>
      <c r="H143" s="1310"/>
      <c r="I143" s="1310"/>
      <c r="J143" s="1310"/>
      <c r="K143" s="1310"/>
      <c r="L143" s="1310"/>
      <c r="M143" s="1310"/>
      <c r="N143" s="1310"/>
      <c r="O143" s="1499"/>
      <c r="P143" s="1439"/>
      <c r="Q143" s="1310"/>
      <c r="R143" s="1367"/>
    </row>
    <row r="144" spans="1:18" ht="16.5" customHeight="1" x14ac:dyDescent="0.25">
      <c r="A144" s="1310"/>
      <c r="B144" s="1356"/>
      <c r="C144" s="1356"/>
      <c r="D144" s="1310"/>
      <c r="E144" s="1310"/>
      <c r="F144" s="1310"/>
      <c r="G144" s="1310"/>
      <c r="H144" s="1310"/>
      <c r="I144" s="1310"/>
      <c r="J144" s="1310"/>
      <c r="K144" s="1310"/>
      <c r="L144" s="1310"/>
      <c r="M144" s="1310"/>
      <c r="N144" s="1310"/>
      <c r="O144" s="1499"/>
      <c r="P144" s="1439"/>
      <c r="Q144" s="1310"/>
      <c r="R144" s="1367"/>
    </row>
    <row r="145" spans="1:18" ht="16.5" customHeight="1" x14ac:dyDescent="0.25">
      <c r="A145" s="1310"/>
      <c r="B145" s="1356"/>
      <c r="C145" s="1356"/>
      <c r="D145" s="1310"/>
      <c r="E145" s="1310"/>
      <c r="F145" s="1310"/>
      <c r="G145" s="1310"/>
      <c r="H145" s="1310"/>
      <c r="I145" s="1310"/>
      <c r="J145" s="1310"/>
      <c r="K145" s="1310"/>
      <c r="L145" s="1310"/>
      <c r="M145" s="1310"/>
      <c r="N145" s="1310"/>
      <c r="O145" s="1499"/>
      <c r="P145" s="1439"/>
      <c r="Q145" s="1310"/>
      <c r="R145" s="1367"/>
    </row>
    <row r="146" spans="1:18" ht="16.5" customHeight="1" x14ac:dyDescent="0.25">
      <c r="A146" s="1310"/>
      <c r="B146" s="1356"/>
      <c r="C146" s="1356"/>
      <c r="D146" s="1310"/>
      <c r="E146" s="1310"/>
      <c r="F146" s="1310"/>
      <c r="G146" s="1310"/>
      <c r="H146" s="1310"/>
      <c r="I146" s="1310"/>
      <c r="J146" s="1310"/>
      <c r="K146" s="1310"/>
      <c r="L146" s="1310"/>
      <c r="M146" s="1310"/>
      <c r="N146" s="1310"/>
      <c r="O146" s="1499"/>
      <c r="P146" s="1439"/>
      <c r="Q146" s="1310"/>
      <c r="R146" s="1367"/>
    </row>
    <row r="147" spans="1:18" ht="16.5" customHeight="1" x14ac:dyDescent="0.25">
      <c r="A147" s="1310"/>
      <c r="B147" s="1356"/>
      <c r="C147" s="1356"/>
      <c r="D147" s="1310"/>
      <c r="E147" s="1310"/>
      <c r="F147" s="1310"/>
      <c r="G147" s="1310"/>
      <c r="H147" s="1310"/>
      <c r="I147" s="1310"/>
      <c r="J147" s="1310"/>
      <c r="K147" s="1310"/>
      <c r="L147" s="1310"/>
      <c r="M147" s="1310"/>
      <c r="N147" s="1310"/>
      <c r="O147" s="1499"/>
      <c r="P147" s="1439"/>
      <c r="Q147" s="1310"/>
      <c r="R147" s="1367"/>
    </row>
    <row r="148" spans="1:18" ht="16.5" customHeight="1" x14ac:dyDescent="0.25">
      <c r="A148" s="1310"/>
      <c r="B148" s="1356"/>
      <c r="C148" s="1356"/>
      <c r="D148" s="1310"/>
      <c r="E148" s="1310"/>
      <c r="F148" s="1310"/>
      <c r="G148" s="1310"/>
      <c r="H148" s="1310"/>
      <c r="I148" s="1310"/>
      <c r="J148" s="1310"/>
      <c r="K148" s="1310"/>
      <c r="L148" s="1310"/>
      <c r="M148" s="1310"/>
      <c r="N148" s="1310"/>
      <c r="O148" s="1499"/>
      <c r="P148" s="1439"/>
      <c r="Q148" s="1310"/>
      <c r="R148" s="1367"/>
    </row>
    <row r="149" spans="1:18" ht="16.5" customHeight="1" x14ac:dyDescent="0.25">
      <c r="A149" s="1310"/>
      <c r="B149" s="1356"/>
      <c r="C149" s="1356"/>
      <c r="D149" s="1310"/>
      <c r="E149" s="1310"/>
      <c r="F149" s="1310"/>
      <c r="G149" s="1310"/>
      <c r="H149" s="1310"/>
      <c r="I149" s="1310"/>
      <c r="J149" s="1310"/>
      <c r="K149" s="1310"/>
      <c r="L149" s="1310"/>
      <c r="M149" s="1310"/>
      <c r="N149" s="1310"/>
      <c r="O149" s="1499"/>
      <c r="P149" s="1439"/>
      <c r="Q149" s="1310"/>
      <c r="R149" s="1367"/>
    </row>
    <row r="150" spans="1:18" ht="16.5" customHeight="1" x14ac:dyDescent="0.25">
      <c r="A150" s="1310"/>
      <c r="B150" s="1356"/>
      <c r="C150" s="1356"/>
      <c r="D150" s="1310"/>
      <c r="E150" s="1310"/>
      <c r="F150" s="1310"/>
      <c r="G150" s="1310"/>
      <c r="H150" s="1310"/>
      <c r="I150" s="1310"/>
      <c r="J150" s="1310"/>
      <c r="K150" s="1310"/>
      <c r="L150" s="1310"/>
      <c r="M150" s="1310"/>
      <c r="N150" s="1310"/>
      <c r="O150" s="1499"/>
      <c r="P150" s="1439"/>
      <c r="Q150" s="1310"/>
      <c r="R150" s="1367"/>
    </row>
    <row r="151" spans="1:18" ht="16.5" customHeight="1" x14ac:dyDescent="0.25">
      <c r="A151" s="1310"/>
      <c r="B151" s="1356"/>
      <c r="C151" s="1356"/>
      <c r="D151" s="1310"/>
      <c r="E151" s="1310"/>
      <c r="F151" s="1310"/>
      <c r="G151" s="1310"/>
      <c r="H151" s="1310"/>
      <c r="I151" s="1310"/>
      <c r="J151" s="1310"/>
      <c r="K151" s="1310"/>
      <c r="L151" s="1310"/>
      <c r="M151" s="1310"/>
      <c r="N151" s="1310"/>
      <c r="O151" s="1499"/>
      <c r="P151" s="1439"/>
      <c r="Q151" s="1310"/>
      <c r="R151" s="1367"/>
    </row>
    <row r="152" spans="1:18" ht="16.5" customHeight="1" x14ac:dyDescent="0.25">
      <c r="A152" s="1310"/>
      <c r="B152" s="1356"/>
      <c r="C152" s="1356"/>
      <c r="D152" s="1310"/>
      <c r="E152" s="1310"/>
      <c r="F152" s="1310"/>
      <c r="G152" s="1310"/>
      <c r="H152" s="1310"/>
      <c r="I152" s="1310"/>
      <c r="J152" s="1310"/>
      <c r="K152" s="1310"/>
      <c r="L152" s="1310"/>
      <c r="M152" s="1310"/>
      <c r="N152" s="1310"/>
      <c r="O152" s="1499"/>
      <c r="P152" s="1439"/>
      <c r="Q152" s="1310"/>
      <c r="R152" s="1367"/>
    </row>
    <row r="153" spans="1:18" ht="16.5" customHeight="1" x14ac:dyDescent="0.25">
      <c r="A153" s="1310"/>
      <c r="B153" s="1356"/>
      <c r="C153" s="1356"/>
      <c r="D153" s="1310"/>
      <c r="E153" s="1310"/>
      <c r="F153" s="1310"/>
      <c r="G153" s="1310"/>
      <c r="H153" s="1310"/>
      <c r="I153" s="1310"/>
      <c r="J153" s="1310"/>
      <c r="K153" s="1310"/>
      <c r="L153" s="1310"/>
      <c r="M153" s="1310"/>
      <c r="N153" s="1310"/>
      <c r="O153" s="1499"/>
      <c r="P153" s="1439"/>
      <c r="Q153" s="1310"/>
      <c r="R153" s="1367"/>
    </row>
    <row r="154" spans="1:18" ht="16.5" customHeight="1" x14ac:dyDescent="0.25">
      <c r="A154" s="1310"/>
      <c r="B154" s="1356"/>
      <c r="C154" s="1356"/>
      <c r="D154" s="1310"/>
      <c r="E154" s="1310"/>
      <c r="F154" s="1310"/>
      <c r="G154" s="1310"/>
      <c r="H154" s="1310"/>
      <c r="I154" s="1310"/>
      <c r="J154" s="1310"/>
      <c r="K154" s="1310"/>
      <c r="L154" s="1310"/>
      <c r="M154" s="1310"/>
      <c r="N154" s="1310"/>
      <c r="O154" s="1499"/>
      <c r="P154" s="1439"/>
      <c r="Q154" s="1310"/>
      <c r="R154" s="1367"/>
    </row>
    <row r="155" spans="1:18" ht="16.5" customHeight="1" x14ac:dyDescent="0.25">
      <c r="A155" s="1310"/>
      <c r="B155" s="1356"/>
      <c r="C155" s="1356"/>
      <c r="D155" s="1310"/>
      <c r="E155" s="1310"/>
      <c r="F155" s="1310"/>
      <c r="G155" s="1310"/>
      <c r="H155" s="1310"/>
      <c r="I155" s="1310"/>
      <c r="J155" s="1310"/>
      <c r="K155" s="1310"/>
      <c r="L155" s="1310"/>
      <c r="M155" s="1310"/>
      <c r="N155" s="1310"/>
      <c r="O155" s="1499"/>
      <c r="P155" s="1439"/>
      <c r="Q155" s="1310"/>
      <c r="R155" s="1367"/>
    </row>
    <row r="156" spans="1:18" ht="16.5" customHeight="1" x14ac:dyDescent="0.25">
      <c r="A156" s="1310"/>
      <c r="B156" s="1356"/>
      <c r="C156" s="1356"/>
      <c r="D156" s="1310"/>
      <c r="E156" s="1310"/>
      <c r="F156" s="1310"/>
      <c r="G156" s="1310"/>
      <c r="H156" s="1310"/>
      <c r="I156" s="1310"/>
      <c r="J156" s="1310"/>
      <c r="K156" s="1310"/>
      <c r="L156" s="1310"/>
      <c r="M156" s="1310"/>
      <c r="N156" s="1310"/>
      <c r="O156" s="1499"/>
      <c r="P156" s="1439"/>
      <c r="Q156" s="1310"/>
      <c r="R156" s="1367"/>
    </row>
    <row r="157" spans="1:18" ht="16.5" customHeight="1" x14ac:dyDescent="0.25">
      <c r="A157" s="1310"/>
      <c r="B157" s="1356"/>
      <c r="C157" s="1356"/>
      <c r="D157" s="1310"/>
      <c r="E157" s="1310"/>
      <c r="F157" s="1310"/>
      <c r="G157" s="1310"/>
      <c r="H157" s="1310"/>
      <c r="I157" s="1310"/>
      <c r="J157" s="1310"/>
      <c r="K157" s="1310"/>
      <c r="L157" s="1310"/>
      <c r="M157" s="1310"/>
      <c r="N157" s="1310"/>
      <c r="O157" s="1499"/>
      <c r="P157" s="1439"/>
      <c r="Q157" s="1310"/>
      <c r="R157" s="1367"/>
    </row>
    <row r="158" spans="1:18" ht="16.5" customHeight="1" x14ac:dyDescent="0.25">
      <c r="A158" s="1310"/>
      <c r="B158" s="1356"/>
      <c r="C158" s="1356"/>
      <c r="D158" s="1310"/>
      <c r="E158" s="1310"/>
      <c r="F158" s="1310"/>
      <c r="G158" s="1310"/>
      <c r="H158" s="1310"/>
      <c r="I158" s="1310"/>
      <c r="J158" s="1310"/>
      <c r="K158" s="1310"/>
      <c r="L158" s="1310"/>
      <c r="M158" s="1310"/>
      <c r="N158" s="1310"/>
      <c r="O158" s="1499"/>
      <c r="P158" s="1439"/>
      <c r="Q158" s="1310"/>
      <c r="R158" s="1367"/>
    </row>
    <row r="159" spans="1:18" ht="16.5" customHeight="1" x14ac:dyDescent="0.25">
      <c r="A159" s="1310"/>
      <c r="B159" s="1356"/>
      <c r="C159" s="1356"/>
      <c r="D159" s="1310"/>
      <c r="E159" s="1310"/>
      <c r="F159" s="1310"/>
      <c r="G159" s="1310"/>
      <c r="H159" s="1310"/>
      <c r="I159" s="1310"/>
      <c r="J159" s="1310"/>
      <c r="K159" s="1310"/>
      <c r="L159" s="1310"/>
      <c r="M159" s="1310"/>
      <c r="N159" s="1310"/>
      <c r="O159" s="1499"/>
      <c r="P159" s="1439"/>
      <c r="Q159" s="1310"/>
      <c r="R159" s="1367"/>
    </row>
    <row r="160" spans="1:18" ht="16.5" customHeight="1" x14ac:dyDescent="0.25">
      <c r="A160" s="1310"/>
      <c r="B160" s="1356"/>
      <c r="C160" s="1356"/>
      <c r="D160" s="1310"/>
      <c r="E160" s="1310"/>
      <c r="F160" s="1310"/>
      <c r="G160" s="1310"/>
      <c r="H160" s="1310"/>
      <c r="I160" s="1310"/>
      <c r="J160" s="1310"/>
      <c r="K160" s="1310"/>
      <c r="L160" s="1310"/>
      <c r="M160" s="1310"/>
      <c r="N160" s="1310"/>
      <c r="O160" s="1499"/>
      <c r="P160" s="1439"/>
      <c r="Q160" s="1310"/>
      <c r="R160" s="1367"/>
    </row>
    <row r="161" spans="1:18" ht="16.5" customHeight="1" x14ac:dyDescent="0.25">
      <c r="A161" s="1310"/>
      <c r="B161" s="1356"/>
      <c r="C161" s="1356"/>
      <c r="D161" s="1310"/>
      <c r="E161" s="1310"/>
      <c r="F161" s="1310"/>
      <c r="G161" s="1310"/>
      <c r="H161" s="1310"/>
      <c r="I161" s="1310"/>
      <c r="J161" s="1310"/>
      <c r="K161" s="1310"/>
      <c r="L161" s="1310"/>
      <c r="M161" s="1310"/>
      <c r="N161" s="1310"/>
      <c r="O161" s="1499"/>
      <c r="P161" s="1439"/>
      <c r="Q161" s="1310"/>
      <c r="R161" s="1367"/>
    </row>
    <row r="162" spans="1:18" ht="16.5" customHeight="1" x14ac:dyDescent="0.25">
      <c r="A162" s="1310"/>
      <c r="B162" s="1356"/>
      <c r="C162" s="1356"/>
      <c r="D162" s="1310"/>
      <c r="E162" s="1310"/>
      <c r="F162" s="1310"/>
      <c r="G162" s="1310"/>
      <c r="H162" s="1310"/>
      <c r="I162" s="1310"/>
      <c r="J162" s="1310"/>
      <c r="K162" s="1310"/>
      <c r="L162" s="1310"/>
      <c r="M162" s="1310"/>
      <c r="N162" s="1310"/>
      <c r="O162" s="1499"/>
      <c r="P162" s="1439"/>
      <c r="Q162" s="1310"/>
      <c r="R162" s="1367"/>
    </row>
    <row r="163" spans="1:18" ht="16.5" customHeight="1" x14ac:dyDescent="0.25">
      <c r="A163" s="1310"/>
      <c r="B163" s="1356"/>
      <c r="C163" s="1356"/>
      <c r="D163" s="1310"/>
      <c r="E163" s="1310"/>
      <c r="F163" s="1310"/>
      <c r="G163" s="1310"/>
      <c r="H163" s="1310"/>
      <c r="I163" s="1310"/>
      <c r="J163" s="1310"/>
      <c r="K163" s="1310"/>
      <c r="L163" s="1310"/>
      <c r="M163" s="1310"/>
      <c r="N163" s="1310"/>
      <c r="O163" s="1499"/>
      <c r="P163" s="1439"/>
      <c r="Q163" s="1310"/>
      <c r="R163" s="1367"/>
    </row>
    <row r="164" spans="1:18" ht="16.5" customHeight="1" x14ac:dyDescent="0.25">
      <c r="A164" s="1310"/>
      <c r="B164" s="1356"/>
      <c r="C164" s="1356"/>
      <c r="D164" s="1310"/>
      <c r="E164" s="1310"/>
      <c r="F164" s="1310"/>
      <c r="G164" s="1310"/>
      <c r="H164" s="1310"/>
      <c r="I164" s="1310"/>
      <c r="J164" s="1310"/>
      <c r="K164" s="1310"/>
      <c r="L164" s="1310"/>
      <c r="M164" s="1310"/>
      <c r="N164" s="1310"/>
      <c r="O164" s="1499"/>
      <c r="P164" s="1439"/>
      <c r="Q164" s="1310"/>
      <c r="R164" s="1367"/>
    </row>
    <row r="165" spans="1:18" ht="16.5" customHeight="1" x14ac:dyDescent="0.25">
      <c r="A165" s="1310"/>
      <c r="B165" s="1356"/>
      <c r="C165" s="1356"/>
      <c r="D165" s="1310"/>
      <c r="E165" s="1310"/>
      <c r="F165" s="1310"/>
      <c r="G165" s="1310"/>
      <c r="H165" s="1310"/>
      <c r="I165" s="1310"/>
      <c r="J165" s="1310"/>
      <c r="K165" s="1310"/>
      <c r="L165" s="1310"/>
      <c r="M165" s="1310"/>
      <c r="N165" s="1310"/>
      <c r="O165" s="1499"/>
      <c r="P165" s="1439"/>
      <c r="Q165" s="1310"/>
      <c r="R165" s="1367"/>
    </row>
    <row r="166" spans="1:18" ht="16.5" customHeight="1" x14ac:dyDescent="0.25">
      <c r="A166" s="1310"/>
      <c r="B166" s="1356"/>
      <c r="C166" s="1356"/>
      <c r="D166" s="1310"/>
      <c r="E166" s="1310"/>
      <c r="F166" s="1310"/>
      <c r="G166" s="1310"/>
      <c r="H166" s="1310"/>
      <c r="I166" s="1310"/>
      <c r="J166" s="1310"/>
      <c r="K166" s="1310"/>
      <c r="L166" s="1310"/>
      <c r="M166" s="1310"/>
      <c r="N166" s="1310"/>
      <c r="O166" s="1499"/>
      <c r="P166" s="1439"/>
      <c r="Q166" s="1310"/>
      <c r="R166" s="1367"/>
    </row>
    <row r="167" spans="1:18" ht="16.5" customHeight="1" x14ac:dyDescent="0.25">
      <c r="A167" s="1310"/>
      <c r="B167" s="1356"/>
      <c r="C167" s="1356"/>
      <c r="D167" s="1310"/>
      <c r="E167" s="1310"/>
      <c r="F167" s="1310"/>
      <c r="G167" s="1310"/>
      <c r="H167" s="1310"/>
      <c r="I167" s="1310"/>
      <c r="J167" s="1310"/>
      <c r="K167" s="1310"/>
      <c r="L167" s="1310"/>
      <c r="M167" s="1310"/>
      <c r="N167" s="1310"/>
      <c r="O167" s="1499"/>
      <c r="P167" s="1439"/>
      <c r="Q167" s="1310"/>
      <c r="R167" s="1367"/>
    </row>
    <row r="168" spans="1:18" ht="16.5" customHeight="1" x14ac:dyDescent="0.25">
      <c r="A168" s="1310"/>
      <c r="B168" s="1356"/>
      <c r="C168" s="1356"/>
      <c r="D168" s="1310"/>
      <c r="E168" s="1310"/>
      <c r="F168" s="1310"/>
      <c r="G168" s="1310"/>
      <c r="H168" s="1310"/>
      <c r="I168" s="1310"/>
      <c r="J168" s="1310"/>
      <c r="K168" s="1310"/>
      <c r="L168" s="1310"/>
      <c r="M168" s="1310"/>
      <c r="N168" s="1310"/>
      <c r="O168" s="1499"/>
      <c r="P168" s="1439"/>
      <c r="Q168" s="1310"/>
      <c r="R168" s="1367"/>
    </row>
    <row r="169" spans="1:18" ht="16.5" customHeight="1" x14ac:dyDescent="0.25">
      <c r="A169" s="1310"/>
      <c r="B169" s="1356"/>
      <c r="C169" s="1356"/>
      <c r="D169" s="1310"/>
      <c r="E169" s="1310"/>
      <c r="F169" s="1310"/>
      <c r="G169" s="1310"/>
      <c r="H169" s="1310"/>
      <c r="I169" s="1310"/>
      <c r="J169" s="1310"/>
      <c r="K169" s="1310"/>
      <c r="L169" s="1310"/>
      <c r="M169" s="1310"/>
      <c r="N169" s="1310"/>
      <c r="O169" s="1499"/>
      <c r="P169" s="1439"/>
      <c r="Q169" s="1310"/>
      <c r="R169" s="1367"/>
    </row>
    <row r="170" spans="1:18" ht="16.5" customHeight="1" x14ac:dyDescent="0.25">
      <c r="A170" s="1310"/>
      <c r="B170" s="1356"/>
      <c r="C170" s="1356"/>
      <c r="D170" s="1310"/>
      <c r="E170" s="1310"/>
      <c r="F170" s="1310"/>
      <c r="G170" s="1310"/>
      <c r="H170" s="1310"/>
      <c r="I170" s="1310"/>
      <c r="J170" s="1310"/>
      <c r="K170" s="1310"/>
      <c r="L170" s="1310"/>
      <c r="M170" s="1310"/>
      <c r="N170" s="1310"/>
      <c r="O170" s="1499"/>
      <c r="P170" s="1439"/>
      <c r="Q170" s="1310"/>
      <c r="R170" s="1367"/>
    </row>
    <row r="171" spans="1:18" ht="16.5" customHeight="1" x14ac:dyDescent="0.25">
      <c r="A171" s="1310"/>
      <c r="B171" s="1356"/>
      <c r="C171" s="1356"/>
      <c r="D171" s="1310"/>
      <c r="E171" s="1310"/>
      <c r="F171" s="1310"/>
      <c r="G171" s="1310"/>
      <c r="H171" s="1310"/>
      <c r="I171" s="1310"/>
      <c r="J171" s="1310"/>
      <c r="K171" s="1310"/>
      <c r="L171" s="1310"/>
      <c r="M171" s="1310"/>
      <c r="N171" s="1310"/>
      <c r="O171" s="1499"/>
      <c r="P171" s="1439"/>
      <c r="Q171" s="1310"/>
      <c r="R171" s="1367"/>
    </row>
    <row r="172" spans="1:18" ht="16.5" customHeight="1" x14ac:dyDescent="0.25">
      <c r="A172" s="1310"/>
      <c r="B172" s="1356"/>
      <c r="C172" s="1356"/>
      <c r="D172" s="1310"/>
      <c r="E172" s="1310"/>
      <c r="F172" s="1310"/>
      <c r="G172" s="1310"/>
      <c r="H172" s="1310"/>
      <c r="I172" s="1310"/>
      <c r="J172" s="1310"/>
      <c r="K172" s="1310"/>
      <c r="L172" s="1310"/>
      <c r="M172" s="1310"/>
      <c r="N172" s="1310"/>
      <c r="O172" s="1499"/>
      <c r="P172" s="1439"/>
      <c r="Q172" s="1310"/>
      <c r="R172" s="1367"/>
    </row>
    <row r="173" spans="1:18" ht="16.5" customHeight="1" x14ac:dyDescent="0.25">
      <c r="A173" s="1310"/>
      <c r="B173" s="1356"/>
      <c r="C173" s="1356"/>
      <c r="D173" s="1310"/>
      <c r="E173" s="1310"/>
      <c r="F173" s="1310"/>
      <c r="G173" s="1310"/>
      <c r="H173" s="1310"/>
      <c r="I173" s="1310"/>
      <c r="J173" s="1310"/>
      <c r="K173" s="1310"/>
      <c r="L173" s="1310"/>
      <c r="M173" s="1310"/>
      <c r="N173" s="1310"/>
      <c r="O173" s="1499"/>
      <c r="P173" s="1439"/>
      <c r="Q173" s="1310"/>
      <c r="R173" s="1367"/>
    </row>
    <row r="174" spans="1:18" ht="16.5" customHeight="1" x14ac:dyDescent="0.25">
      <c r="A174" s="1310"/>
      <c r="B174" s="1356"/>
      <c r="C174" s="1356"/>
      <c r="D174" s="1310"/>
      <c r="E174" s="1310"/>
      <c r="F174" s="1310"/>
      <c r="G174" s="1310"/>
      <c r="H174" s="1310"/>
      <c r="I174" s="1310"/>
      <c r="J174" s="1310"/>
      <c r="K174" s="1310"/>
      <c r="L174" s="1310"/>
      <c r="M174" s="1310"/>
      <c r="N174" s="1310"/>
      <c r="O174" s="1499"/>
      <c r="P174" s="1439"/>
      <c r="Q174" s="1310"/>
      <c r="R174" s="1367"/>
    </row>
    <row r="175" spans="1:18" ht="16.5" customHeight="1" x14ac:dyDescent="0.25">
      <c r="A175" s="1310"/>
      <c r="B175" s="1356"/>
      <c r="C175" s="1356"/>
      <c r="D175" s="1310"/>
      <c r="E175" s="1310"/>
      <c r="F175" s="1310"/>
      <c r="G175" s="1310"/>
      <c r="H175" s="1310"/>
      <c r="I175" s="1310"/>
      <c r="J175" s="1310"/>
      <c r="K175" s="1310"/>
      <c r="L175" s="1310"/>
      <c r="M175" s="1310"/>
      <c r="N175" s="1310"/>
      <c r="O175" s="1499"/>
      <c r="P175" s="1439"/>
      <c r="Q175" s="1310"/>
      <c r="R175" s="1367"/>
    </row>
    <row r="176" spans="1:18" ht="16.5" customHeight="1" x14ac:dyDescent="0.25">
      <c r="A176" s="1310"/>
      <c r="B176" s="1356"/>
      <c r="C176" s="1356"/>
      <c r="D176" s="1310"/>
      <c r="E176" s="1310"/>
      <c r="F176" s="1310"/>
      <c r="G176" s="1310"/>
      <c r="H176" s="1310"/>
      <c r="I176" s="1310"/>
      <c r="J176" s="1310"/>
      <c r="K176" s="1310"/>
      <c r="L176" s="1310"/>
      <c r="M176" s="1310"/>
      <c r="N176" s="1310"/>
      <c r="O176" s="1499"/>
      <c r="P176" s="1439"/>
      <c r="Q176" s="1310"/>
      <c r="R176" s="1367"/>
    </row>
    <row r="177" spans="1:18" ht="16.5" customHeight="1" x14ac:dyDescent="0.25">
      <c r="A177" s="1310"/>
      <c r="B177" s="1356"/>
      <c r="C177" s="1356"/>
      <c r="D177" s="1310"/>
      <c r="E177" s="1310"/>
      <c r="F177" s="1310"/>
      <c r="G177" s="1310"/>
      <c r="H177" s="1310"/>
      <c r="I177" s="1310"/>
      <c r="J177" s="1310"/>
      <c r="K177" s="1310"/>
      <c r="L177" s="1310"/>
      <c r="M177" s="1310"/>
      <c r="N177" s="1310"/>
      <c r="O177" s="1499"/>
      <c r="P177" s="1439"/>
      <c r="Q177" s="1310"/>
      <c r="R177" s="1367"/>
    </row>
    <row r="178" spans="1:18" ht="16.5" customHeight="1" x14ac:dyDescent="0.25">
      <c r="A178" s="1310"/>
      <c r="B178" s="1356"/>
      <c r="C178" s="1356"/>
      <c r="D178" s="1310"/>
      <c r="E178" s="1310"/>
      <c r="F178" s="1310"/>
      <c r="G178" s="1310"/>
      <c r="H178" s="1310"/>
      <c r="I178" s="1310"/>
      <c r="J178" s="1310"/>
      <c r="K178" s="1310"/>
      <c r="L178" s="1310"/>
      <c r="M178" s="1310"/>
      <c r="N178" s="1310"/>
      <c r="O178" s="1499"/>
      <c r="P178" s="1439"/>
      <c r="Q178" s="1310"/>
      <c r="R178" s="1367"/>
    </row>
    <row r="179" spans="1:18" ht="16.5" customHeight="1" x14ac:dyDescent="0.25">
      <c r="A179" s="1310"/>
      <c r="B179" s="1356"/>
      <c r="C179" s="1356"/>
      <c r="D179" s="1310"/>
      <c r="E179" s="1310"/>
      <c r="F179" s="1310"/>
      <c r="G179" s="1310"/>
      <c r="H179" s="1310"/>
      <c r="I179" s="1310"/>
      <c r="J179" s="1310"/>
      <c r="K179" s="1310"/>
      <c r="L179" s="1310"/>
      <c r="M179" s="1310"/>
      <c r="N179" s="1310"/>
      <c r="O179" s="1499"/>
      <c r="P179" s="1439"/>
      <c r="Q179" s="1310"/>
      <c r="R179" s="1367"/>
    </row>
    <row r="180" spans="1:18" ht="16.5" customHeight="1" x14ac:dyDescent="0.25">
      <c r="A180" s="1310"/>
      <c r="B180" s="1356"/>
      <c r="C180" s="1356"/>
      <c r="D180" s="1310"/>
      <c r="E180" s="1310"/>
      <c r="F180" s="1310"/>
      <c r="G180" s="1310"/>
      <c r="H180" s="1310"/>
      <c r="I180" s="1310"/>
      <c r="J180" s="1310"/>
      <c r="K180" s="1310"/>
      <c r="L180" s="1310"/>
      <c r="M180" s="1310"/>
      <c r="N180" s="1310"/>
      <c r="O180" s="1499"/>
      <c r="P180" s="1439"/>
      <c r="Q180" s="1310"/>
      <c r="R180" s="1367"/>
    </row>
    <row r="181" spans="1:18" ht="16.5" customHeight="1" x14ac:dyDescent="0.25">
      <c r="A181" s="1310"/>
      <c r="B181" s="1356"/>
      <c r="C181" s="1356"/>
      <c r="D181" s="1310"/>
      <c r="E181" s="1310"/>
      <c r="F181" s="1310"/>
      <c r="G181" s="1310"/>
      <c r="H181" s="1310"/>
      <c r="I181" s="1310"/>
      <c r="J181" s="1310"/>
      <c r="K181" s="1310"/>
      <c r="L181" s="1310"/>
      <c r="M181" s="1310"/>
      <c r="N181" s="1310"/>
      <c r="O181" s="1499"/>
      <c r="P181" s="1439"/>
      <c r="Q181" s="1310"/>
      <c r="R181" s="1367"/>
    </row>
    <row r="182" spans="1:18" ht="16.5" customHeight="1" x14ac:dyDescent="0.25">
      <c r="A182" s="1310"/>
      <c r="B182" s="1356"/>
      <c r="C182" s="1356"/>
      <c r="D182" s="1310"/>
      <c r="E182" s="1310"/>
      <c r="F182" s="1310"/>
      <c r="G182" s="1310"/>
      <c r="H182" s="1310"/>
      <c r="I182" s="1310"/>
      <c r="J182" s="1310"/>
      <c r="K182" s="1310"/>
      <c r="L182" s="1310"/>
      <c r="M182" s="1310"/>
      <c r="N182" s="1310"/>
      <c r="O182" s="1499"/>
      <c r="P182" s="1439"/>
      <c r="Q182" s="1310"/>
      <c r="R182" s="1367"/>
    </row>
    <row r="183" spans="1:18" ht="16.5" customHeight="1" x14ac:dyDescent="0.25">
      <c r="A183" s="1310"/>
      <c r="B183" s="1356"/>
      <c r="C183" s="1356"/>
      <c r="D183" s="1310"/>
      <c r="E183" s="1310"/>
      <c r="F183" s="1310"/>
      <c r="G183" s="1310"/>
      <c r="H183" s="1310"/>
      <c r="I183" s="1310"/>
      <c r="J183" s="1310"/>
      <c r="K183" s="1310"/>
      <c r="L183" s="1310"/>
      <c r="M183" s="1310"/>
      <c r="N183" s="1310"/>
      <c r="O183" s="1499"/>
      <c r="P183" s="1439"/>
      <c r="Q183" s="1310"/>
      <c r="R183" s="1367"/>
    </row>
    <row r="184" spans="1:18" ht="16.5" customHeight="1" x14ac:dyDescent="0.25">
      <c r="A184" s="1310"/>
      <c r="B184" s="1356"/>
      <c r="C184" s="1356"/>
      <c r="D184" s="1310"/>
      <c r="E184" s="1310"/>
      <c r="F184" s="1310"/>
      <c r="G184" s="1310"/>
      <c r="H184" s="1310"/>
      <c r="I184" s="1310"/>
      <c r="J184" s="1310"/>
      <c r="K184" s="1310"/>
      <c r="L184" s="1310"/>
      <c r="M184" s="1310"/>
      <c r="N184" s="1310"/>
      <c r="O184" s="1499"/>
      <c r="P184" s="1439"/>
      <c r="Q184" s="1310"/>
      <c r="R184" s="1367"/>
    </row>
    <row r="185" spans="1:18" ht="16.5" customHeight="1" x14ac:dyDescent="0.25">
      <c r="A185" s="1310"/>
      <c r="B185" s="1356"/>
      <c r="C185" s="1356"/>
      <c r="D185" s="1310"/>
      <c r="E185" s="1310"/>
      <c r="F185" s="1310"/>
      <c r="G185" s="1310"/>
      <c r="H185" s="1310"/>
      <c r="I185" s="1310"/>
      <c r="J185" s="1310"/>
      <c r="K185" s="1310"/>
      <c r="L185" s="1310"/>
      <c r="M185" s="1310"/>
      <c r="N185" s="1310"/>
      <c r="O185" s="1499"/>
      <c r="P185" s="1439"/>
      <c r="Q185" s="1310"/>
      <c r="R185" s="1367"/>
    </row>
    <row r="186" spans="1:18" ht="16.5" customHeight="1" x14ac:dyDescent="0.25">
      <c r="A186" s="1310"/>
      <c r="B186" s="1356"/>
      <c r="C186" s="1356"/>
      <c r="D186" s="1310"/>
      <c r="E186" s="1310"/>
      <c r="F186" s="1310"/>
      <c r="G186" s="1310"/>
      <c r="H186" s="1310"/>
      <c r="I186" s="1310"/>
      <c r="J186" s="1310"/>
      <c r="K186" s="1310"/>
      <c r="L186" s="1310"/>
      <c r="M186" s="1310"/>
      <c r="N186" s="1310"/>
      <c r="O186" s="1499"/>
      <c r="P186" s="1439"/>
      <c r="Q186" s="1310"/>
      <c r="R186" s="1367"/>
    </row>
    <row r="187" spans="1:18" ht="16.5" customHeight="1" x14ac:dyDescent="0.25">
      <c r="A187" s="1310"/>
      <c r="B187" s="1356"/>
      <c r="C187" s="1356"/>
      <c r="D187" s="1310"/>
      <c r="E187" s="1310"/>
      <c r="F187" s="1310"/>
      <c r="G187" s="1310"/>
      <c r="H187" s="1310"/>
      <c r="I187" s="1310"/>
      <c r="J187" s="1310"/>
      <c r="K187" s="1310"/>
      <c r="L187" s="1310"/>
      <c r="M187" s="1310"/>
      <c r="N187" s="1310"/>
      <c r="O187" s="1499"/>
      <c r="P187" s="1439"/>
      <c r="Q187" s="1310"/>
      <c r="R187" s="1367"/>
    </row>
    <row r="188" spans="1:18" ht="16.5" customHeight="1" x14ac:dyDescent="0.25">
      <c r="A188" s="1310"/>
      <c r="B188" s="1356"/>
      <c r="C188" s="1356"/>
      <c r="D188" s="1310"/>
      <c r="E188" s="1310"/>
      <c r="F188" s="1310"/>
      <c r="G188" s="1310"/>
      <c r="H188" s="1310"/>
      <c r="I188" s="1310"/>
      <c r="J188" s="1310"/>
      <c r="K188" s="1310"/>
      <c r="L188" s="1310"/>
      <c r="M188" s="1310"/>
      <c r="N188" s="1310"/>
      <c r="O188" s="1499"/>
      <c r="P188" s="1439"/>
      <c r="Q188" s="1310"/>
      <c r="R188" s="1367"/>
    </row>
    <row r="189" spans="1:18" ht="16.5" customHeight="1" x14ac:dyDescent="0.25">
      <c r="A189" s="1310"/>
      <c r="B189" s="1356"/>
      <c r="C189" s="1356"/>
      <c r="D189" s="1310"/>
      <c r="E189" s="1310"/>
      <c r="F189" s="1310"/>
      <c r="G189" s="1310"/>
      <c r="H189" s="1310"/>
      <c r="I189" s="1310"/>
      <c r="J189" s="1310"/>
      <c r="K189" s="1310"/>
      <c r="L189" s="1310"/>
      <c r="M189" s="1310"/>
      <c r="N189" s="1310"/>
      <c r="O189" s="1499"/>
      <c r="P189" s="1439"/>
      <c r="Q189" s="1310"/>
      <c r="R189" s="1367"/>
    </row>
    <row r="190" spans="1:18" ht="16.5" customHeight="1" x14ac:dyDescent="0.25">
      <c r="A190" s="1310"/>
      <c r="B190" s="1356"/>
      <c r="C190" s="1356"/>
      <c r="D190" s="1310"/>
      <c r="E190" s="1310"/>
      <c r="F190" s="1310"/>
      <c r="G190" s="1310"/>
      <c r="H190" s="1310"/>
      <c r="I190" s="1310"/>
      <c r="J190" s="1310"/>
      <c r="K190" s="1310"/>
      <c r="L190" s="1310"/>
      <c r="M190" s="1310"/>
      <c r="N190" s="1310"/>
      <c r="O190" s="1499"/>
      <c r="P190" s="1439"/>
      <c r="Q190" s="1310"/>
      <c r="R190" s="1367"/>
    </row>
    <row r="191" spans="1:18" ht="16.5" customHeight="1" x14ac:dyDescent="0.25">
      <c r="A191" s="1310"/>
      <c r="B191" s="1356"/>
      <c r="C191" s="1356"/>
      <c r="D191" s="1310"/>
      <c r="E191" s="1310"/>
      <c r="F191" s="1310"/>
      <c r="G191" s="1310"/>
      <c r="H191" s="1310"/>
      <c r="I191" s="1310"/>
      <c r="J191" s="1310"/>
      <c r="K191" s="1310"/>
      <c r="L191" s="1310"/>
      <c r="M191" s="1310"/>
      <c r="N191" s="1310"/>
      <c r="O191" s="1499"/>
      <c r="P191" s="1439"/>
      <c r="Q191" s="1310"/>
      <c r="R191" s="1367"/>
    </row>
    <row r="192" spans="1:18" ht="16.5" customHeight="1" x14ac:dyDescent="0.25">
      <c r="A192" s="1310"/>
      <c r="B192" s="1356"/>
      <c r="C192" s="1356"/>
      <c r="D192" s="1310"/>
      <c r="E192" s="1310"/>
      <c r="F192" s="1310"/>
      <c r="G192" s="1310"/>
      <c r="H192" s="1310"/>
      <c r="I192" s="1310"/>
      <c r="J192" s="1310"/>
      <c r="K192" s="1310"/>
      <c r="L192" s="1310"/>
      <c r="M192" s="1310"/>
      <c r="N192" s="1310"/>
      <c r="O192" s="1499"/>
      <c r="P192" s="1439"/>
      <c r="Q192" s="1310"/>
      <c r="R192" s="1367"/>
    </row>
    <row r="193" spans="1:18" ht="16.5" customHeight="1" x14ac:dyDescent="0.25">
      <c r="A193" s="1310"/>
      <c r="B193" s="1356"/>
      <c r="C193" s="1356"/>
      <c r="D193" s="1310"/>
      <c r="E193" s="1310"/>
      <c r="F193" s="1310"/>
      <c r="G193" s="1310"/>
      <c r="H193" s="1310"/>
      <c r="I193" s="1310"/>
      <c r="J193" s="1310"/>
      <c r="K193" s="1310"/>
      <c r="L193" s="1310"/>
      <c r="M193" s="1310"/>
      <c r="N193" s="1310"/>
      <c r="O193" s="1499"/>
      <c r="P193" s="1439"/>
      <c r="Q193" s="1310"/>
      <c r="R193" s="1367"/>
    </row>
    <row r="194" spans="1:18" ht="16.5" customHeight="1" x14ac:dyDescent="0.25">
      <c r="A194" s="1310"/>
      <c r="B194" s="1356"/>
      <c r="C194" s="1356"/>
      <c r="D194" s="1310"/>
      <c r="E194" s="1310"/>
      <c r="F194" s="1310"/>
      <c r="G194" s="1310"/>
      <c r="H194" s="1310"/>
      <c r="I194" s="1310"/>
      <c r="J194" s="1310"/>
      <c r="K194" s="1310"/>
      <c r="L194" s="1310"/>
      <c r="M194" s="1310"/>
      <c r="N194" s="1310"/>
      <c r="O194" s="1499"/>
      <c r="P194" s="1439"/>
      <c r="Q194" s="1310"/>
      <c r="R194" s="1367"/>
    </row>
    <row r="195" spans="1:18" ht="16.5" customHeight="1" x14ac:dyDescent="0.25">
      <c r="A195" s="1310"/>
      <c r="B195" s="1356"/>
      <c r="C195" s="1356"/>
      <c r="D195" s="1310"/>
      <c r="E195" s="1310"/>
      <c r="F195" s="1310"/>
      <c r="G195" s="1310"/>
      <c r="H195" s="1310"/>
      <c r="I195" s="1310"/>
      <c r="J195" s="1310"/>
      <c r="K195" s="1310"/>
      <c r="L195" s="1310"/>
      <c r="M195" s="1310"/>
      <c r="N195" s="1310"/>
      <c r="O195" s="1499"/>
      <c r="P195" s="1439"/>
      <c r="Q195" s="1310"/>
      <c r="R195" s="1367"/>
    </row>
    <row r="196" spans="1:18" ht="16.5" customHeight="1" x14ac:dyDescent="0.25">
      <c r="A196" s="1310"/>
      <c r="B196" s="1356"/>
      <c r="C196" s="1356"/>
      <c r="D196" s="1310"/>
      <c r="E196" s="1310"/>
      <c r="F196" s="1310"/>
      <c r="G196" s="1310"/>
      <c r="H196" s="1310"/>
      <c r="I196" s="1310"/>
      <c r="J196" s="1310"/>
      <c r="K196" s="1310"/>
      <c r="L196" s="1310"/>
      <c r="M196" s="1310"/>
      <c r="N196" s="1310"/>
      <c r="O196" s="1499"/>
      <c r="P196" s="1439"/>
      <c r="Q196" s="1310"/>
      <c r="R196" s="1367"/>
    </row>
    <row r="197" spans="1:18" ht="16.5" customHeight="1" x14ac:dyDescent="0.25">
      <c r="A197" s="1310"/>
      <c r="B197" s="1356"/>
      <c r="C197" s="1356"/>
      <c r="D197" s="1310"/>
      <c r="E197" s="1310"/>
      <c r="F197" s="1310"/>
      <c r="G197" s="1310"/>
      <c r="H197" s="1310"/>
      <c r="I197" s="1310"/>
      <c r="J197" s="1310"/>
      <c r="K197" s="1310"/>
      <c r="L197" s="1310"/>
      <c r="M197" s="1310"/>
      <c r="N197" s="1310"/>
      <c r="O197" s="1499"/>
      <c r="P197" s="1439"/>
      <c r="Q197" s="1310"/>
      <c r="R197" s="1367"/>
    </row>
    <row r="198" spans="1:18" ht="16.5" customHeight="1" x14ac:dyDescent="0.25">
      <c r="A198" s="1310"/>
      <c r="B198" s="1356"/>
      <c r="C198" s="1356"/>
      <c r="D198" s="1310"/>
      <c r="E198" s="1310"/>
      <c r="F198" s="1310"/>
      <c r="G198" s="1310"/>
      <c r="H198" s="1310"/>
      <c r="I198" s="1310"/>
      <c r="J198" s="1310"/>
      <c r="K198" s="1310"/>
      <c r="L198" s="1310"/>
      <c r="M198" s="1310"/>
      <c r="N198" s="1310"/>
      <c r="O198" s="1499"/>
      <c r="P198" s="1439"/>
      <c r="Q198" s="1310"/>
      <c r="R198" s="1367"/>
    </row>
    <row r="199" spans="1:18" ht="16.5" customHeight="1" x14ac:dyDescent="0.25">
      <c r="A199" s="1310"/>
      <c r="B199" s="1356"/>
      <c r="C199" s="1356"/>
      <c r="D199" s="1310"/>
      <c r="E199" s="1310"/>
      <c r="F199" s="1310"/>
      <c r="G199" s="1310"/>
      <c r="H199" s="1310"/>
      <c r="I199" s="1310"/>
      <c r="J199" s="1310"/>
      <c r="K199" s="1310"/>
      <c r="L199" s="1310"/>
      <c r="M199" s="1310"/>
      <c r="N199" s="1310"/>
      <c r="O199" s="1499"/>
      <c r="P199" s="1439"/>
      <c r="Q199" s="1310"/>
      <c r="R199" s="1367"/>
    </row>
    <row r="200" spans="1:18" ht="16.5" customHeight="1" x14ac:dyDescent="0.25">
      <c r="A200" s="1310"/>
      <c r="B200" s="1356"/>
      <c r="C200" s="1356"/>
      <c r="D200" s="1310"/>
      <c r="E200" s="1310"/>
      <c r="F200" s="1310"/>
      <c r="G200" s="1310"/>
      <c r="H200" s="1310"/>
      <c r="I200" s="1310"/>
      <c r="J200" s="1310"/>
      <c r="K200" s="1310"/>
      <c r="L200" s="1310"/>
      <c r="M200" s="1310"/>
      <c r="N200" s="1310"/>
      <c r="O200" s="1499"/>
      <c r="P200" s="1439"/>
      <c r="Q200" s="1310"/>
      <c r="R200" s="1367"/>
    </row>
    <row r="201" spans="1:18" ht="16.5" customHeight="1" x14ac:dyDescent="0.25">
      <c r="A201" s="1310"/>
      <c r="B201" s="1356"/>
      <c r="C201" s="1356"/>
      <c r="D201" s="1310"/>
      <c r="E201" s="1310"/>
      <c r="F201" s="1310"/>
      <c r="G201" s="1310"/>
      <c r="H201" s="1310"/>
      <c r="I201" s="1310"/>
      <c r="J201" s="1310"/>
      <c r="K201" s="1310"/>
      <c r="L201" s="1310"/>
      <c r="M201" s="1310"/>
      <c r="N201" s="1310"/>
      <c r="O201" s="1499"/>
      <c r="P201" s="1439"/>
      <c r="Q201" s="1310"/>
      <c r="R201" s="1367"/>
    </row>
    <row r="202" spans="1:18" ht="16.5" customHeight="1" x14ac:dyDescent="0.25">
      <c r="A202" s="1310"/>
      <c r="B202" s="1356"/>
      <c r="C202" s="1356"/>
      <c r="D202" s="1310"/>
      <c r="E202" s="1310"/>
      <c r="F202" s="1310"/>
      <c r="G202" s="1310"/>
      <c r="H202" s="1310"/>
      <c r="I202" s="1310"/>
      <c r="J202" s="1310"/>
      <c r="K202" s="1310"/>
      <c r="L202" s="1310"/>
      <c r="M202" s="1310"/>
      <c r="N202" s="1310"/>
      <c r="O202" s="1499"/>
      <c r="P202" s="1439"/>
      <c r="Q202" s="1310"/>
      <c r="R202" s="1367"/>
    </row>
    <row r="203" spans="1:18" ht="16.5" customHeight="1" x14ac:dyDescent="0.25">
      <c r="A203" s="1310"/>
      <c r="B203" s="1356"/>
      <c r="C203" s="1356"/>
      <c r="D203" s="1310"/>
      <c r="E203" s="1310"/>
      <c r="F203" s="1310"/>
      <c r="G203" s="1310"/>
      <c r="H203" s="1310"/>
      <c r="I203" s="1310"/>
      <c r="J203" s="1310"/>
      <c r="K203" s="1310"/>
      <c r="L203" s="1310"/>
      <c r="M203" s="1310"/>
      <c r="N203" s="1310"/>
      <c r="O203" s="1499"/>
      <c r="P203" s="1439"/>
      <c r="Q203" s="1310"/>
      <c r="R203" s="1367"/>
    </row>
    <row r="204" spans="1:18" ht="16.5" customHeight="1" x14ac:dyDescent="0.25">
      <c r="A204" s="1310"/>
      <c r="B204" s="1356"/>
      <c r="C204" s="1356"/>
      <c r="D204" s="1310"/>
      <c r="E204" s="1310"/>
      <c r="F204" s="1310"/>
      <c r="G204" s="1310"/>
      <c r="H204" s="1310"/>
      <c r="I204" s="1310"/>
      <c r="J204" s="1310"/>
      <c r="K204" s="1310"/>
      <c r="L204" s="1310"/>
      <c r="M204" s="1310"/>
      <c r="N204" s="1310"/>
      <c r="O204" s="1499"/>
      <c r="P204" s="1439"/>
      <c r="Q204" s="1310"/>
      <c r="R204" s="1367"/>
    </row>
  </sheetData>
  <mergeCells count="8">
    <mergeCell ref="R2:R3"/>
    <mergeCell ref="A2:A3"/>
    <mergeCell ref="J1:Q1"/>
    <mergeCell ref="B2:B3"/>
    <mergeCell ref="C2:C3"/>
    <mergeCell ref="D2:N3"/>
    <mergeCell ref="P2:P3"/>
    <mergeCell ref="Q2:Q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2015-F2C1-42EE-8040-D03B3ED91C04}">
  <sheetPr>
    <tabColor rgb="FF00FFFF"/>
  </sheetPr>
  <dimension ref="A1:R453"/>
  <sheetViews>
    <sheetView topLeftCell="A340" zoomScale="130" zoomScaleNormal="130" workbookViewId="0">
      <selection activeCell="E361" sqref="E361"/>
    </sheetView>
  </sheetViews>
  <sheetFormatPr baseColWidth="10" defaultColWidth="11.42578125" defaultRowHeight="16.5" x14ac:dyDescent="0.25"/>
  <cols>
    <col min="1" max="1" width="29.85546875" style="1340" customWidth="1"/>
    <col min="2" max="2" width="5.42578125" style="1470" bestFit="1" customWidth="1"/>
    <col min="3" max="3" width="5" style="1470" bestFit="1" customWidth="1"/>
    <col min="4" max="4" width="3" style="1340" customWidth="1"/>
    <col min="5" max="5" width="2.85546875" style="1340" customWidth="1"/>
    <col min="6" max="7" width="3.42578125" style="1340" customWidth="1"/>
    <col min="8" max="8" width="3" style="1340" customWidth="1"/>
    <col min="9" max="9" width="3.7109375" style="1340" customWidth="1"/>
    <col min="10" max="11" width="3.140625" style="1340" customWidth="1"/>
    <col min="12" max="12" width="3.42578125" style="1340" customWidth="1"/>
    <col min="13" max="13" width="11.42578125" style="1340"/>
    <col min="14" max="14" width="59.28515625" style="1340" customWidth="1"/>
    <col min="15" max="15" width="26" style="1514" customWidth="1"/>
    <col min="16" max="16" width="255.7109375" style="1472" bestFit="1" customWidth="1"/>
    <col min="17" max="17" width="17" style="1340" customWidth="1"/>
    <col min="18" max="18" width="10.7109375" style="1471" bestFit="1" customWidth="1"/>
    <col min="19" max="16384" width="11.42578125" style="1340"/>
  </cols>
  <sheetData>
    <row r="1" spans="1:18" s="1313" customFormat="1" ht="70.5" customHeight="1" x14ac:dyDescent="0.25">
      <c r="A1" s="626"/>
      <c r="B1" s="1325"/>
      <c r="C1" s="1325"/>
      <c r="E1" s="1326"/>
      <c r="F1" s="1326"/>
      <c r="G1" s="1326"/>
      <c r="H1" s="1326"/>
      <c r="I1" s="1326"/>
      <c r="J1" s="1719" t="s">
        <v>3279</v>
      </c>
      <c r="K1" s="1720"/>
      <c r="L1" s="1720"/>
      <c r="M1" s="1720"/>
      <c r="N1" s="1720"/>
      <c r="O1" s="1720"/>
      <c r="P1" s="1720"/>
      <c r="Q1" s="1720"/>
      <c r="R1" s="1327"/>
    </row>
    <row r="2" spans="1:18" s="1328" customFormat="1" ht="15" customHeight="1" x14ac:dyDescent="0.3">
      <c r="A2" s="1717" t="s">
        <v>3280</v>
      </c>
      <c r="B2" s="1721" t="s">
        <v>3281</v>
      </c>
      <c r="C2" s="1721" t="s">
        <v>2033</v>
      </c>
      <c r="D2" s="1722" t="s">
        <v>3282</v>
      </c>
      <c r="E2" s="1723"/>
      <c r="F2" s="1723"/>
      <c r="G2" s="1723"/>
      <c r="H2" s="1723"/>
      <c r="I2" s="1723"/>
      <c r="J2" s="1723"/>
      <c r="K2" s="1723"/>
      <c r="L2" s="1723"/>
      <c r="M2" s="1723"/>
      <c r="N2" s="1724"/>
      <c r="O2" s="1473"/>
      <c r="P2" s="1725" t="s">
        <v>3283</v>
      </c>
      <c r="Q2" s="1726" t="s">
        <v>3284</v>
      </c>
      <c r="R2" s="1716" t="s">
        <v>3285</v>
      </c>
    </row>
    <row r="3" spans="1:18" s="1328" customFormat="1" ht="15" customHeight="1" x14ac:dyDescent="0.3">
      <c r="A3" s="1718"/>
      <c r="B3" s="1721"/>
      <c r="C3" s="1721"/>
      <c r="D3" s="1722"/>
      <c r="E3" s="1723"/>
      <c r="F3" s="1723"/>
      <c r="G3" s="1723"/>
      <c r="H3" s="1723"/>
      <c r="I3" s="1723"/>
      <c r="J3" s="1723"/>
      <c r="K3" s="1723"/>
      <c r="L3" s="1723"/>
      <c r="M3" s="1723"/>
      <c r="N3" s="1724"/>
      <c r="O3" s="1473" t="s">
        <v>4347</v>
      </c>
      <c r="P3" s="1725"/>
      <c r="Q3" s="1726"/>
      <c r="R3" s="1716"/>
    </row>
    <row r="4" spans="1:18" s="1334" customFormat="1" ht="16.5" customHeight="1" x14ac:dyDescent="0.25">
      <c r="A4" s="1300">
        <v>1</v>
      </c>
      <c r="B4" s="1329">
        <v>1</v>
      </c>
      <c r="C4" s="1329" t="s">
        <v>3286</v>
      </c>
      <c r="D4" s="1330" t="s">
        <v>228</v>
      </c>
      <c r="E4" s="1330"/>
      <c r="F4" s="1330"/>
      <c r="G4" s="1329"/>
      <c r="H4" s="1329"/>
      <c r="I4" s="1329"/>
      <c r="J4" s="1329"/>
      <c r="K4" s="1329"/>
      <c r="L4" s="1329"/>
      <c r="M4" s="1329"/>
      <c r="N4" s="1329"/>
      <c r="O4" s="1474"/>
      <c r="P4" s="1331" t="s">
        <v>3287</v>
      </c>
      <c r="Q4" s="1332" t="s">
        <v>3288</v>
      </c>
      <c r="R4" s="1333"/>
    </row>
    <row r="5" spans="1:18" ht="16.5" customHeight="1" x14ac:dyDescent="0.25">
      <c r="A5" s="1301" t="s">
        <v>3289</v>
      </c>
      <c r="B5" s="1335">
        <v>2</v>
      </c>
      <c r="C5" s="1335" t="s">
        <v>3286</v>
      </c>
      <c r="D5" s="1336"/>
      <c r="E5" s="1301" t="s">
        <v>230</v>
      </c>
      <c r="F5" s="1301"/>
      <c r="G5" s="1301"/>
      <c r="H5" s="1335"/>
      <c r="I5" s="1335"/>
      <c r="J5" s="1335"/>
      <c r="K5" s="1335"/>
      <c r="L5" s="1335"/>
      <c r="M5" s="1335"/>
      <c r="N5" s="1335"/>
      <c r="O5" s="1475"/>
      <c r="P5" s="1337" t="s">
        <v>3290</v>
      </c>
      <c r="Q5" s="1338" t="s">
        <v>3291</v>
      </c>
      <c r="R5" s="1339"/>
    </row>
    <row r="6" spans="1:18" ht="16.5" customHeight="1" x14ac:dyDescent="0.25">
      <c r="A6" s="1302" t="s">
        <v>3292</v>
      </c>
      <c r="B6" s="1341">
        <v>3</v>
      </c>
      <c r="C6" s="1341" t="s">
        <v>3286</v>
      </c>
      <c r="D6" s="1341"/>
      <c r="E6" s="1342"/>
      <c r="F6" s="1343" t="s">
        <v>232</v>
      </c>
      <c r="G6" s="1343"/>
      <c r="H6" s="1343"/>
      <c r="I6" s="1343"/>
      <c r="J6" s="1343"/>
      <c r="K6" s="1343"/>
      <c r="L6" s="1343"/>
      <c r="M6" s="1343"/>
      <c r="N6" s="1344"/>
      <c r="O6" s="1476"/>
      <c r="P6" s="1345" t="s">
        <v>3293</v>
      </c>
      <c r="Q6" s="1346" t="s">
        <v>3294</v>
      </c>
      <c r="R6" s="1347"/>
    </row>
    <row r="7" spans="1:18" ht="16.5" customHeight="1" x14ac:dyDescent="0.25">
      <c r="A7" s="1303" t="s">
        <v>3295</v>
      </c>
      <c r="B7" s="1348">
        <v>4</v>
      </c>
      <c r="C7" s="1348" t="s">
        <v>3286</v>
      </c>
      <c r="D7" s="1348"/>
      <c r="E7" s="1303"/>
      <c r="F7" s="1303"/>
      <c r="G7" s="1349" t="s">
        <v>234</v>
      </c>
      <c r="H7" s="1349"/>
      <c r="I7" s="1349"/>
      <c r="J7" s="1349"/>
      <c r="K7" s="1349"/>
      <c r="L7" s="1349"/>
      <c r="M7" s="1349"/>
      <c r="N7" s="1350"/>
      <c r="O7" s="1477"/>
      <c r="P7" s="1351" t="s">
        <v>3296</v>
      </c>
      <c r="Q7" s="1352" t="s">
        <v>3297</v>
      </c>
      <c r="R7" s="1347"/>
    </row>
    <row r="8" spans="1:18" ht="16.5" customHeight="1" x14ac:dyDescent="0.25">
      <c r="A8" s="1306" t="s">
        <v>3299</v>
      </c>
      <c r="B8" s="1363">
        <v>5</v>
      </c>
      <c r="C8" s="1363" t="s">
        <v>3298</v>
      </c>
      <c r="D8" s="1363"/>
      <c r="E8" s="1306"/>
      <c r="F8" s="1306"/>
      <c r="G8" s="1306"/>
      <c r="H8" s="1306" t="s">
        <v>239</v>
      </c>
      <c r="I8" s="1306"/>
      <c r="J8" s="1306"/>
      <c r="K8" s="1306"/>
      <c r="L8" s="1306"/>
      <c r="M8" s="1364"/>
      <c r="N8" s="1364"/>
      <c r="O8" s="1478">
        <f>+'F Y U 2024 Presupuesto 15.09'!C7</f>
        <v>32803406000</v>
      </c>
      <c r="P8" s="1365" t="s">
        <v>3300</v>
      </c>
      <c r="Q8" s="1366" t="s">
        <v>3301</v>
      </c>
      <c r="R8" s="1367"/>
    </row>
    <row r="9" spans="1:18" ht="16.5" customHeight="1" x14ac:dyDescent="0.25">
      <c r="A9" s="1306" t="s">
        <v>3302</v>
      </c>
      <c r="B9" s="1363">
        <v>5</v>
      </c>
      <c r="C9" s="1363" t="s">
        <v>3298</v>
      </c>
      <c r="D9" s="1363"/>
      <c r="E9" s="1306"/>
      <c r="F9" s="1306"/>
      <c r="G9" s="1306"/>
      <c r="H9" s="1306" t="s">
        <v>693</v>
      </c>
      <c r="I9" s="1306"/>
      <c r="J9" s="1306"/>
      <c r="K9" s="1306"/>
      <c r="L9" s="1306"/>
      <c r="M9" s="1364"/>
      <c r="N9" s="1364"/>
      <c r="O9" s="1478">
        <f>+'F Y U 2024 Presupuesto 15.09'!C101</f>
        <v>1496247000</v>
      </c>
      <c r="P9" s="1365" t="s">
        <v>3303</v>
      </c>
      <c r="Q9" s="1366" t="s">
        <v>3304</v>
      </c>
      <c r="R9" s="1367"/>
    </row>
    <row r="10" spans="1:18" ht="16.5" customHeight="1" x14ac:dyDescent="0.25">
      <c r="A10" s="1303" t="s">
        <v>3305</v>
      </c>
      <c r="B10" s="1348">
        <v>4</v>
      </c>
      <c r="C10" s="1348" t="s">
        <v>3286</v>
      </c>
      <c r="D10" s="1348"/>
      <c r="E10" s="1303"/>
      <c r="F10" s="1303"/>
      <c r="G10" s="1349" t="s">
        <v>241</v>
      </c>
      <c r="H10" s="1349"/>
      <c r="I10" s="1349"/>
      <c r="J10" s="1349"/>
      <c r="K10" s="1349"/>
      <c r="L10" s="1349"/>
      <c r="M10" s="1349"/>
      <c r="N10" s="1350"/>
      <c r="O10" s="1477"/>
      <c r="P10" s="1351" t="s">
        <v>3306</v>
      </c>
      <c r="Q10" s="1352"/>
      <c r="R10" s="1347"/>
    </row>
    <row r="11" spans="1:18" ht="16.5" customHeight="1" x14ac:dyDescent="0.25">
      <c r="A11" s="1304" t="s">
        <v>3307</v>
      </c>
      <c r="B11" s="1353">
        <v>5</v>
      </c>
      <c r="C11" s="1353" t="s">
        <v>3286</v>
      </c>
      <c r="D11" s="1353"/>
      <c r="E11" s="1304"/>
      <c r="F11" s="1304"/>
      <c r="G11" s="1304"/>
      <c r="H11" s="1304" t="s">
        <v>243</v>
      </c>
      <c r="I11" s="1304"/>
      <c r="J11" s="1304"/>
      <c r="K11" s="1304"/>
      <c r="L11" s="1304"/>
      <c r="M11" s="1370"/>
      <c r="N11" s="1370"/>
      <c r="O11" s="1479"/>
      <c r="P11" s="1371" t="s">
        <v>3308</v>
      </c>
      <c r="Q11" s="1372" t="s">
        <v>3309</v>
      </c>
      <c r="R11" s="1355"/>
    </row>
    <row r="12" spans="1:18" ht="16.5" customHeight="1" x14ac:dyDescent="0.25">
      <c r="A12" s="1305" t="s">
        <v>3310</v>
      </c>
      <c r="B12" s="1356">
        <v>6</v>
      </c>
      <c r="C12" s="1356" t="s">
        <v>3298</v>
      </c>
      <c r="D12" s="1373"/>
      <c r="E12" s="1305"/>
      <c r="F12" s="1305"/>
      <c r="G12" s="1305"/>
      <c r="H12" s="1359"/>
      <c r="I12" s="1305" t="s">
        <v>245</v>
      </c>
      <c r="J12" s="1305"/>
      <c r="K12" s="1305"/>
      <c r="L12" s="1305"/>
      <c r="M12" s="1305"/>
      <c r="N12" s="1359"/>
      <c r="O12" s="1480">
        <v>863240580</v>
      </c>
      <c r="P12" s="1369" t="s">
        <v>3311</v>
      </c>
      <c r="Q12" s="1374" t="s">
        <v>3309</v>
      </c>
      <c r="R12" s="1362"/>
    </row>
    <row r="13" spans="1:18" ht="16.5" customHeight="1" x14ac:dyDescent="0.25">
      <c r="A13" s="1305" t="s">
        <v>3312</v>
      </c>
      <c r="B13" s="1356">
        <v>6</v>
      </c>
      <c r="C13" s="1356" t="s">
        <v>3298</v>
      </c>
      <c r="D13" s="1373"/>
      <c r="E13" s="1305"/>
      <c r="F13" s="1305"/>
      <c r="G13" s="1305"/>
      <c r="H13" s="1359"/>
      <c r="I13" s="1305" t="s">
        <v>251</v>
      </c>
      <c r="J13" s="1305"/>
      <c r="K13" s="1305"/>
      <c r="L13" s="1305"/>
      <c r="M13" s="1305"/>
      <c r="N13" s="1359"/>
      <c r="O13" s="1480">
        <v>27911445420</v>
      </c>
      <c r="P13" s="1369" t="s">
        <v>3313</v>
      </c>
      <c r="Q13" s="1374" t="s">
        <v>3314</v>
      </c>
      <c r="R13" s="1362"/>
    </row>
    <row r="14" spans="1:18" ht="16.5" customHeight="1" x14ac:dyDescent="0.25">
      <c r="A14" s="1307" t="s">
        <v>3315</v>
      </c>
      <c r="B14" s="1363">
        <v>5</v>
      </c>
      <c r="C14" s="1363" t="s">
        <v>3298</v>
      </c>
      <c r="D14" s="1375"/>
      <c r="E14" s="1307"/>
      <c r="F14" s="1307"/>
      <c r="G14" s="1307"/>
      <c r="H14" s="1307" t="s">
        <v>708</v>
      </c>
      <c r="I14" s="1307"/>
      <c r="J14" s="1307"/>
      <c r="K14" s="1307"/>
      <c r="L14" s="1307"/>
      <c r="M14" s="1376"/>
      <c r="N14" s="1376"/>
      <c r="O14" s="1481">
        <f>+'F Y U 2024 Presupuesto 15.09'!C99</f>
        <v>935708000</v>
      </c>
      <c r="P14" s="1377" t="s">
        <v>3316</v>
      </c>
      <c r="Q14" s="1378" t="s">
        <v>3317</v>
      </c>
      <c r="R14" s="1362"/>
    </row>
    <row r="15" spans="1:18" ht="16.5" customHeight="1" x14ac:dyDescent="0.25">
      <c r="A15" s="1307" t="s">
        <v>3318</v>
      </c>
      <c r="B15" s="1363">
        <v>5</v>
      </c>
      <c r="C15" s="1363" t="s">
        <v>3298</v>
      </c>
      <c r="D15" s="1375"/>
      <c r="E15" s="1307"/>
      <c r="F15" s="1307"/>
      <c r="G15" s="1307"/>
      <c r="H15" s="1307" t="s">
        <v>257</v>
      </c>
      <c r="I15" s="1307"/>
      <c r="J15" s="1307"/>
      <c r="K15" s="1307"/>
      <c r="L15" s="1307"/>
      <c r="M15" s="1376"/>
      <c r="N15" s="1376"/>
      <c r="O15" s="1481">
        <f>+'F Y U 2024 Presupuesto 15.09'!C19</f>
        <v>763018000</v>
      </c>
      <c r="P15" s="1377" t="s">
        <v>3319</v>
      </c>
      <c r="Q15" s="1378" t="s">
        <v>3320</v>
      </c>
      <c r="R15" s="1362"/>
    </row>
    <row r="16" spans="1:18" ht="16.5" customHeight="1" x14ac:dyDescent="0.25">
      <c r="A16" s="1306" t="s">
        <v>3321</v>
      </c>
      <c r="B16" s="1363">
        <v>5</v>
      </c>
      <c r="C16" s="1363" t="s">
        <v>3298</v>
      </c>
      <c r="D16" s="1363"/>
      <c r="E16" s="1306"/>
      <c r="F16" s="1306"/>
      <c r="G16" s="1306"/>
      <c r="H16" s="1306" t="s">
        <v>259</v>
      </c>
      <c r="I16" s="1306"/>
      <c r="J16" s="1306"/>
      <c r="K16" s="1306"/>
      <c r="L16" s="1306"/>
      <c r="M16" s="1364"/>
      <c r="N16" s="1364"/>
      <c r="O16" s="1478">
        <f>+'F Y U 2024 Presupuesto 15.09'!C106</f>
        <v>2874685000</v>
      </c>
      <c r="P16" s="1365" t="s">
        <v>3322</v>
      </c>
      <c r="Q16" s="1378" t="s">
        <v>3323</v>
      </c>
      <c r="R16" s="1367"/>
    </row>
    <row r="17" spans="1:18" ht="16.5" customHeight="1" x14ac:dyDescent="0.25">
      <c r="A17" s="1308" t="s">
        <v>3324</v>
      </c>
      <c r="B17" s="1353">
        <v>5</v>
      </c>
      <c r="C17" s="1353" t="s">
        <v>3286</v>
      </c>
      <c r="D17" s="1379"/>
      <c r="E17" s="1308"/>
      <c r="F17" s="1308"/>
      <c r="G17" s="1308"/>
      <c r="H17" s="1308" t="s">
        <v>264</v>
      </c>
      <c r="I17" s="1308"/>
      <c r="J17" s="1308"/>
      <c r="K17" s="1308"/>
      <c r="L17" s="1308"/>
      <c r="M17" s="1380"/>
      <c r="N17" s="1380"/>
      <c r="O17" s="1482"/>
      <c r="P17" s="1371" t="s">
        <v>3325</v>
      </c>
      <c r="Q17" s="1372" t="s">
        <v>3326</v>
      </c>
      <c r="R17" s="1355"/>
    </row>
    <row r="18" spans="1:18" ht="16.5" customHeight="1" x14ac:dyDescent="0.25">
      <c r="A18" s="1309" t="s">
        <v>3328</v>
      </c>
      <c r="B18" s="1381">
        <v>6</v>
      </c>
      <c r="C18" s="1381" t="s">
        <v>3286</v>
      </c>
      <c r="D18" s="1381"/>
      <c r="E18" s="1309"/>
      <c r="F18" s="1309"/>
      <c r="G18" s="1309"/>
      <c r="H18" s="1382"/>
      <c r="I18" s="1309" t="s">
        <v>272</v>
      </c>
      <c r="J18" s="1309"/>
      <c r="K18" s="1309"/>
      <c r="L18" s="1309"/>
      <c r="M18" s="1309"/>
      <c r="N18" s="1382"/>
      <c r="O18" s="1483"/>
      <c r="P18" s="1386" t="s">
        <v>3329</v>
      </c>
      <c r="Q18" s="1384" t="s">
        <v>3326</v>
      </c>
      <c r="R18" s="1385"/>
    </row>
    <row r="19" spans="1:18" ht="16.5" customHeight="1" x14ac:dyDescent="0.25">
      <c r="A19" s="1311" t="s">
        <v>3330</v>
      </c>
      <c r="B19" s="1387">
        <v>7</v>
      </c>
      <c r="C19" s="1387" t="s">
        <v>3298</v>
      </c>
      <c r="D19" s="1387"/>
      <c r="E19" s="1311"/>
      <c r="F19" s="1311"/>
      <c r="G19" s="1311"/>
      <c r="H19" s="1311"/>
      <c r="I19" s="1311"/>
      <c r="J19" s="1305" t="s">
        <v>3331</v>
      </c>
      <c r="K19" s="1311"/>
      <c r="L19" s="1311"/>
      <c r="M19" s="1311"/>
      <c r="N19" s="1388"/>
      <c r="O19" s="1484">
        <f>+'F Y U 2024 Presupuesto 15.09'!C16+'F Y U 2024 Presupuesto 15.09'!C15+'F Y U 2024 Presupuesto 15.09'!C98</f>
        <v>7769420000</v>
      </c>
      <c r="P19" s="1389" t="s">
        <v>3327</v>
      </c>
      <c r="Q19" s="1374" t="s">
        <v>3326</v>
      </c>
      <c r="R19" s="1367"/>
    </row>
    <row r="20" spans="1:18" ht="16.5" customHeight="1" x14ac:dyDescent="0.25">
      <c r="A20" s="1312" t="s">
        <v>3332</v>
      </c>
      <c r="B20" s="1381">
        <v>6</v>
      </c>
      <c r="C20" s="1381" t="s">
        <v>3286</v>
      </c>
      <c r="D20" s="1390"/>
      <c r="E20" s="1312"/>
      <c r="F20" s="1312"/>
      <c r="G20" s="1312"/>
      <c r="H20" s="1312" t="s">
        <v>278</v>
      </c>
      <c r="I20" s="1312"/>
      <c r="J20" s="1312"/>
      <c r="K20" s="1312"/>
      <c r="L20" s="1312"/>
      <c r="M20" s="1391"/>
      <c r="N20" s="1391"/>
      <c r="O20" s="1484"/>
      <c r="P20" s="1383" t="s">
        <v>3333</v>
      </c>
      <c r="Q20" s="1384" t="s">
        <v>3334</v>
      </c>
      <c r="R20" s="1355"/>
    </row>
    <row r="21" spans="1:18" ht="16.5" customHeight="1" x14ac:dyDescent="0.25">
      <c r="A21" s="1311" t="s">
        <v>3335</v>
      </c>
      <c r="B21" s="1387">
        <v>7</v>
      </c>
      <c r="C21" s="1387" t="s">
        <v>3298</v>
      </c>
      <c r="D21" s="1387"/>
      <c r="E21" s="1311"/>
      <c r="F21" s="1311"/>
      <c r="G21" s="1311"/>
      <c r="H21" s="1388"/>
      <c r="I21" s="1311" t="s">
        <v>280</v>
      </c>
      <c r="J21" s="1311"/>
      <c r="K21" s="1311"/>
      <c r="L21" s="1311"/>
      <c r="M21" s="1311"/>
      <c r="N21" s="1388"/>
      <c r="O21" s="1484">
        <v>24735440640</v>
      </c>
      <c r="P21" s="1392" t="s">
        <v>3336</v>
      </c>
      <c r="Q21" s="1374" t="s">
        <v>3334</v>
      </c>
      <c r="R21" s="1367"/>
    </row>
    <row r="22" spans="1:18" ht="16.5" customHeight="1" x14ac:dyDescent="0.25">
      <c r="A22" s="1311" t="s">
        <v>3337</v>
      </c>
      <c r="B22" s="1387">
        <v>7</v>
      </c>
      <c r="C22" s="1387" t="s">
        <v>3298</v>
      </c>
      <c r="D22" s="1387"/>
      <c r="E22" s="1311"/>
      <c r="F22" s="1311"/>
      <c r="G22" s="1311"/>
      <c r="H22" s="1388"/>
      <c r="I22" s="1311" t="s">
        <v>282</v>
      </c>
      <c r="J22" s="1311"/>
      <c r="K22" s="1311"/>
      <c r="L22" s="1311"/>
      <c r="M22" s="1311"/>
      <c r="N22" s="1388"/>
      <c r="O22" s="1484">
        <v>1030643360</v>
      </c>
      <c r="P22" s="1392" t="s">
        <v>3338</v>
      </c>
      <c r="Q22" s="1374" t="s">
        <v>3334</v>
      </c>
      <c r="R22" s="1367"/>
    </row>
    <row r="23" spans="1:18" ht="16.5" customHeight="1" x14ac:dyDescent="0.25">
      <c r="A23" s="1308" t="s">
        <v>3339</v>
      </c>
      <c r="B23" s="1353">
        <v>5</v>
      </c>
      <c r="C23" s="1353" t="s">
        <v>3286</v>
      </c>
      <c r="D23" s="1379"/>
      <c r="E23" s="1308"/>
      <c r="F23" s="1308"/>
      <c r="G23" s="1308"/>
      <c r="H23" s="1308" t="s">
        <v>284</v>
      </c>
      <c r="I23" s="1308"/>
      <c r="J23" s="1308"/>
      <c r="K23" s="1308"/>
      <c r="L23" s="1308"/>
      <c r="M23" s="1380"/>
      <c r="N23" s="1380"/>
      <c r="O23" s="1482"/>
      <c r="P23" s="1371" t="s">
        <v>3340</v>
      </c>
      <c r="Q23" s="1372" t="s">
        <v>3341</v>
      </c>
      <c r="R23" s="1355"/>
    </row>
    <row r="24" spans="1:18" ht="16.5" customHeight="1" x14ac:dyDescent="0.25">
      <c r="A24" s="1312" t="s">
        <v>3342</v>
      </c>
      <c r="B24" s="1381">
        <v>6</v>
      </c>
      <c r="C24" s="1381" t="s">
        <v>3286</v>
      </c>
      <c r="D24" s="1390"/>
      <c r="E24" s="1312"/>
      <c r="F24" s="1312"/>
      <c r="G24" s="1312"/>
      <c r="H24" s="1391"/>
      <c r="I24" s="1312" t="s">
        <v>286</v>
      </c>
      <c r="J24" s="1312"/>
      <c r="K24" s="1312"/>
      <c r="L24" s="1312"/>
      <c r="M24" s="1312"/>
      <c r="N24" s="1391"/>
      <c r="O24" s="1485"/>
      <c r="P24" s="1383" t="s">
        <v>3343</v>
      </c>
      <c r="Q24" s="1384" t="s">
        <v>3341</v>
      </c>
      <c r="R24" s="1355"/>
    </row>
    <row r="25" spans="1:18" ht="16.5" customHeight="1" x14ac:dyDescent="0.25">
      <c r="A25" s="1310" t="s">
        <v>3344</v>
      </c>
      <c r="B25" s="1387">
        <v>7</v>
      </c>
      <c r="C25" s="1387" t="s">
        <v>3298</v>
      </c>
      <c r="D25" s="1356"/>
      <c r="E25" s="1310"/>
      <c r="F25" s="1310"/>
      <c r="G25" s="1310"/>
      <c r="H25" s="1310"/>
      <c r="I25" s="1310"/>
      <c r="J25" s="1310" t="s">
        <v>288</v>
      </c>
      <c r="K25" s="1310"/>
      <c r="L25" s="1310"/>
      <c r="M25" s="1310"/>
      <c r="N25" s="1368"/>
      <c r="O25" s="1486">
        <f>+'F Y U 2024 Presupuesto 15.09'!C18+'F Y U 2024 Presupuesto 15.09'!C103</f>
        <v>29673023000</v>
      </c>
      <c r="P25" s="1369" t="s">
        <v>3345</v>
      </c>
      <c r="Q25" s="1374" t="s">
        <v>3341</v>
      </c>
      <c r="R25" s="1367"/>
    </row>
    <row r="26" spans="1:18" ht="16.5" customHeight="1" x14ac:dyDescent="0.25">
      <c r="A26" s="1309" t="s">
        <v>3346</v>
      </c>
      <c r="B26" s="1381">
        <v>6</v>
      </c>
      <c r="C26" s="1381" t="s">
        <v>3286</v>
      </c>
      <c r="D26" s="1381"/>
      <c r="E26" s="1309"/>
      <c r="F26" s="1309"/>
      <c r="G26" s="1309"/>
      <c r="H26" s="1382"/>
      <c r="I26" s="1309" t="s">
        <v>747</v>
      </c>
      <c r="J26" s="1309"/>
      <c r="K26" s="1309"/>
      <c r="L26" s="1309"/>
      <c r="M26" s="1309"/>
      <c r="N26" s="1382"/>
      <c r="O26" s="1483"/>
      <c r="P26" s="1383" t="s">
        <v>3347</v>
      </c>
      <c r="Q26" s="1384" t="s">
        <v>3341</v>
      </c>
      <c r="R26" s="1385"/>
    </row>
    <row r="27" spans="1:18" ht="16.5" customHeight="1" x14ac:dyDescent="0.25">
      <c r="A27" s="1310" t="s">
        <v>3348</v>
      </c>
      <c r="B27" s="1387">
        <v>7</v>
      </c>
      <c r="C27" s="1387" t="s">
        <v>3298</v>
      </c>
      <c r="D27" s="1356"/>
      <c r="E27" s="1310"/>
      <c r="F27" s="1310"/>
      <c r="G27" s="1310"/>
      <c r="H27" s="1310"/>
      <c r="I27" s="1310"/>
      <c r="J27" s="1310" t="s">
        <v>749</v>
      </c>
      <c r="K27" s="1310"/>
      <c r="L27" s="1310"/>
      <c r="M27" s="1310"/>
      <c r="N27" s="1368"/>
      <c r="O27" s="1486">
        <f>+'F Y U 2024 Presupuesto 15.09'!C104</f>
        <v>5061794000</v>
      </c>
      <c r="P27" s="1369" t="s">
        <v>3349</v>
      </c>
      <c r="Q27" s="1374" t="s">
        <v>3341</v>
      </c>
      <c r="R27" s="1367"/>
    </row>
    <row r="28" spans="1:18" ht="16.5" customHeight="1" x14ac:dyDescent="0.25">
      <c r="A28" s="1307" t="s">
        <v>3350</v>
      </c>
      <c r="B28" s="1363">
        <v>5</v>
      </c>
      <c r="C28" s="1363" t="s">
        <v>3298</v>
      </c>
      <c r="D28" s="1375"/>
      <c r="E28" s="1307"/>
      <c r="F28" s="1307"/>
      <c r="G28" s="1307"/>
      <c r="H28" s="1307" t="s">
        <v>290</v>
      </c>
      <c r="I28" s="1307"/>
      <c r="J28" s="1307"/>
      <c r="K28" s="1307"/>
      <c r="L28" s="1307"/>
      <c r="M28" s="1376"/>
      <c r="N28" s="1376"/>
      <c r="O28" s="1481">
        <f>+'F Y U 2024 Presupuesto 15.09'!C20</f>
        <v>11867811000</v>
      </c>
      <c r="P28" s="1377" t="s">
        <v>3351</v>
      </c>
      <c r="Q28" s="1378" t="s">
        <v>3352</v>
      </c>
      <c r="R28" s="1362"/>
    </row>
    <row r="29" spans="1:18" ht="16.5" customHeight="1" x14ac:dyDescent="0.25">
      <c r="A29" s="1306" t="s">
        <v>3353</v>
      </c>
      <c r="B29" s="1363">
        <v>5</v>
      </c>
      <c r="C29" s="1363" t="s">
        <v>3298</v>
      </c>
      <c r="D29" s="1363"/>
      <c r="E29" s="1306"/>
      <c r="F29" s="1306"/>
      <c r="G29" s="1306"/>
      <c r="H29" s="1306" t="s">
        <v>292</v>
      </c>
      <c r="I29" s="1306"/>
      <c r="J29" s="1306"/>
      <c r="K29" s="1306"/>
      <c r="L29" s="1306"/>
      <c r="M29" s="1364"/>
      <c r="N29" s="1364"/>
      <c r="O29" s="1478"/>
      <c r="P29" s="1377" t="s">
        <v>3354</v>
      </c>
      <c r="Q29" s="1378" t="s">
        <v>3355</v>
      </c>
      <c r="R29" s="1367"/>
    </row>
    <row r="30" spans="1:18" ht="16.5" customHeight="1" x14ac:dyDescent="0.25">
      <c r="A30" s="1307" t="s">
        <v>3356</v>
      </c>
      <c r="B30" s="1363">
        <v>5</v>
      </c>
      <c r="C30" s="1363" t="s">
        <v>3298</v>
      </c>
      <c r="D30" s="1375"/>
      <c r="E30" s="1307"/>
      <c r="F30" s="1307"/>
      <c r="G30" s="1307"/>
      <c r="H30" s="1307" t="s">
        <v>1491</v>
      </c>
      <c r="I30" s="1307"/>
      <c r="J30" s="1307"/>
      <c r="K30" s="1307"/>
      <c r="L30" s="1307"/>
      <c r="M30" s="1376"/>
      <c r="N30" s="1376"/>
      <c r="O30" s="1481">
        <f>+'F Y U 2024 Presupuesto 15.09'!C33</f>
        <v>2082326000</v>
      </c>
      <c r="P30" s="1377" t="s">
        <v>3357</v>
      </c>
      <c r="Q30" s="1378" t="s">
        <v>3358</v>
      </c>
      <c r="R30" s="1362"/>
    </row>
    <row r="31" spans="1:18" ht="16.5" customHeight="1" x14ac:dyDescent="0.25">
      <c r="A31" s="1308" t="s">
        <v>3359</v>
      </c>
      <c r="B31" s="1379">
        <v>5</v>
      </c>
      <c r="C31" s="1379" t="s">
        <v>3286</v>
      </c>
      <c r="D31" s="1379"/>
      <c r="E31" s="1308"/>
      <c r="F31" s="1308"/>
      <c r="G31" s="1308"/>
      <c r="H31" s="1393" t="s">
        <v>294</v>
      </c>
      <c r="I31" s="1393"/>
      <c r="J31" s="1393"/>
      <c r="K31" s="1393"/>
      <c r="L31" s="1393"/>
      <c r="M31" s="1394"/>
      <c r="N31" s="1394"/>
      <c r="O31" s="1487"/>
      <c r="P31" s="1371" t="s">
        <v>3360</v>
      </c>
      <c r="Q31" s="1372" t="s">
        <v>3361</v>
      </c>
      <c r="R31" s="1355"/>
    </row>
    <row r="32" spans="1:18" ht="16.5" customHeight="1" x14ac:dyDescent="0.25">
      <c r="A32" s="1305" t="s">
        <v>3362</v>
      </c>
      <c r="B32" s="1373">
        <v>6</v>
      </c>
      <c r="C32" s="1373" t="s">
        <v>3298</v>
      </c>
      <c r="D32" s="1373"/>
      <c r="E32" s="1305"/>
      <c r="F32" s="1305"/>
      <c r="G32" s="1305"/>
      <c r="H32" s="1359"/>
      <c r="I32" s="1305" t="s">
        <v>296</v>
      </c>
      <c r="J32" s="1305"/>
      <c r="K32" s="1305"/>
      <c r="L32" s="1305"/>
      <c r="M32" s="1305"/>
      <c r="N32" s="1359"/>
      <c r="O32" s="1480">
        <f>+'F Y U 2024 Presupuesto 15.09'!C29+'F Y U 2024 Presupuesto 15.09'!C30</f>
        <v>7497623000</v>
      </c>
      <c r="P32" s="1369" t="s">
        <v>3363</v>
      </c>
      <c r="Q32" s="1374" t="s">
        <v>3364</v>
      </c>
      <c r="R32" s="1362"/>
    </row>
    <row r="33" spans="1:18" ht="16.5" customHeight="1" x14ac:dyDescent="0.25">
      <c r="A33" s="1305" t="s">
        <v>3365</v>
      </c>
      <c r="B33" s="1373">
        <v>6</v>
      </c>
      <c r="C33" s="1373" t="s">
        <v>3298</v>
      </c>
      <c r="D33" s="1373"/>
      <c r="E33" s="1305"/>
      <c r="F33" s="1305"/>
      <c r="G33" s="1305"/>
      <c r="H33" s="1359"/>
      <c r="I33" s="1305" t="s">
        <v>299</v>
      </c>
      <c r="J33" s="1305"/>
      <c r="K33" s="1305"/>
      <c r="L33" s="1305"/>
      <c r="M33" s="1305"/>
      <c r="N33" s="1359"/>
      <c r="O33" s="1480">
        <f>+'F Y U 2024 Presupuesto 15.09'!C21+'F Y U 2024 Presupuesto 15.09'!C22+'F Y U 2024 Presupuesto 15.09'!C23</f>
        <v>15039446000</v>
      </c>
      <c r="P33" s="1369" t="s">
        <v>3366</v>
      </c>
      <c r="Q33" s="1374" t="s">
        <v>3367</v>
      </c>
      <c r="R33" s="1362"/>
    </row>
    <row r="34" spans="1:18" ht="16.5" customHeight="1" x14ac:dyDescent="0.25">
      <c r="A34" s="1305" t="s">
        <v>3368</v>
      </c>
      <c r="B34" s="1373">
        <v>6</v>
      </c>
      <c r="C34" s="1373" t="s">
        <v>3298</v>
      </c>
      <c r="D34" s="1373"/>
      <c r="E34" s="1305"/>
      <c r="F34" s="1305"/>
      <c r="G34" s="1305"/>
      <c r="H34" s="1359"/>
      <c r="I34" s="1305" t="s">
        <v>303</v>
      </c>
      <c r="J34" s="1305"/>
      <c r="K34" s="1305"/>
      <c r="L34" s="1305"/>
      <c r="M34" s="1305"/>
      <c r="N34" s="1359"/>
      <c r="O34" s="1480">
        <f>+'F Y U 2024 Presupuesto 15.09'!C31</f>
        <v>12506483000</v>
      </c>
      <c r="P34" s="1369" t="s">
        <v>3369</v>
      </c>
      <c r="Q34" s="1374" t="s">
        <v>3370</v>
      </c>
      <c r="R34" s="1362"/>
    </row>
    <row r="35" spans="1:18" ht="16.5" customHeight="1" x14ac:dyDescent="0.25">
      <c r="A35" s="1305" t="s">
        <v>3371</v>
      </c>
      <c r="B35" s="1373">
        <v>6</v>
      </c>
      <c r="C35" s="1373" t="s">
        <v>3298</v>
      </c>
      <c r="D35" s="1373"/>
      <c r="E35" s="1305"/>
      <c r="F35" s="1305"/>
      <c r="G35" s="1305"/>
      <c r="H35" s="1359"/>
      <c r="I35" s="1305" t="s">
        <v>305</v>
      </c>
      <c r="J35" s="1305"/>
      <c r="K35" s="1305"/>
      <c r="L35" s="1305"/>
      <c r="M35" s="1305"/>
      <c r="N35" s="1359"/>
      <c r="O35" s="1480">
        <f>+'F Y U 2024 Presupuesto 15.09'!C24+'F Y U 2024 Presupuesto 15.09'!C25+'F Y U 2024 Presupuesto 15.09'!C26+'F Y U 2024 Presupuesto 15.09'!C27+'F Y U 2024 Presupuesto 15.09'!C28</f>
        <v>3166821000</v>
      </c>
      <c r="P35" s="1369" t="s">
        <v>3372</v>
      </c>
      <c r="Q35" s="1374" t="s">
        <v>3373</v>
      </c>
      <c r="R35" s="1362"/>
    </row>
    <row r="36" spans="1:18" ht="16.5" customHeight="1" x14ac:dyDescent="0.25">
      <c r="A36" s="1314" t="s">
        <v>3375</v>
      </c>
      <c r="B36" s="1400">
        <v>3</v>
      </c>
      <c r="C36" s="1400" t="s">
        <v>3286</v>
      </c>
      <c r="D36" s="1400"/>
      <c r="E36" s="1401"/>
      <c r="F36" s="1314" t="s">
        <v>311</v>
      </c>
      <c r="G36" s="1314"/>
      <c r="H36" s="1314"/>
      <c r="I36" s="1314"/>
      <c r="J36" s="1314"/>
      <c r="K36" s="1314"/>
      <c r="L36" s="1314"/>
      <c r="M36" s="1314"/>
      <c r="N36" s="1401"/>
      <c r="O36" s="1488"/>
      <c r="P36" s="1402" t="s">
        <v>3376</v>
      </c>
      <c r="Q36" s="1403" t="s">
        <v>3377</v>
      </c>
      <c r="R36" s="1355"/>
    </row>
    <row r="37" spans="1:18" ht="16.5" customHeight="1" x14ac:dyDescent="0.25">
      <c r="A37" s="1315" t="s">
        <v>3378</v>
      </c>
      <c r="B37" s="1404">
        <v>4</v>
      </c>
      <c r="C37" s="1404" t="s">
        <v>3286</v>
      </c>
      <c r="D37" s="1404"/>
      <c r="E37" s="1315"/>
      <c r="F37" s="1315"/>
      <c r="G37" s="1315" t="s">
        <v>313</v>
      </c>
      <c r="H37" s="1315"/>
      <c r="I37" s="1315"/>
      <c r="J37" s="1315"/>
      <c r="K37" s="1315"/>
      <c r="L37" s="1315"/>
      <c r="M37" s="1315"/>
      <c r="N37" s="1405"/>
      <c r="O37" s="1489"/>
      <c r="P37" s="1406" t="s">
        <v>3379</v>
      </c>
      <c r="Q37" s="1407" t="s">
        <v>3380</v>
      </c>
      <c r="R37" s="1355"/>
    </row>
    <row r="38" spans="1:18" ht="16.5" customHeight="1" x14ac:dyDescent="0.25">
      <c r="A38" s="1308" t="s">
        <v>3381</v>
      </c>
      <c r="B38" s="1379">
        <v>5</v>
      </c>
      <c r="C38" s="1379" t="s">
        <v>3286</v>
      </c>
      <c r="D38" s="1379"/>
      <c r="E38" s="1308"/>
      <c r="F38" s="1308"/>
      <c r="G38" s="1308"/>
      <c r="H38" s="1308" t="s">
        <v>315</v>
      </c>
      <c r="I38" s="1308"/>
      <c r="J38" s="1308"/>
      <c r="K38" s="1308"/>
      <c r="L38" s="1308"/>
      <c r="M38" s="1380"/>
      <c r="N38" s="1380"/>
      <c r="O38" s="1482"/>
      <c r="P38" s="1371" t="s">
        <v>3382</v>
      </c>
      <c r="Q38" s="1372" t="s">
        <v>3383</v>
      </c>
      <c r="R38" s="1355"/>
    </row>
    <row r="39" spans="1:18" ht="16.5" customHeight="1" x14ac:dyDescent="0.25">
      <c r="A39" s="1305" t="s">
        <v>3384</v>
      </c>
      <c r="B39" s="1373">
        <v>6</v>
      </c>
      <c r="C39" s="1373" t="s">
        <v>3298</v>
      </c>
      <c r="D39" s="1373"/>
      <c r="E39" s="1305"/>
      <c r="F39" s="1305"/>
      <c r="G39" s="1305"/>
      <c r="H39" s="1359"/>
      <c r="I39" s="1305" t="s">
        <v>317</v>
      </c>
      <c r="J39" s="1305"/>
      <c r="K39" s="1305"/>
      <c r="L39" s="1305"/>
      <c r="M39" s="1305"/>
      <c r="N39" s="1359"/>
      <c r="O39" s="1480">
        <f>+'F Y U 2024 Presupuesto 15.09'!C43</f>
        <v>681193000</v>
      </c>
      <c r="P39" s="1369" t="s">
        <v>3385</v>
      </c>
      <c r="Q39" s="1374" t="s">
        <v>3386</v>
      </c>
      <c r="R39" s="1399" t="s">
        <v>3387</v>
      </c>
    </row>
    <row r="40" spans="1:18" ht="16.5" customHeight="1" x14ac:dyDescent="0.25">
      <c r="A40" s="1308" t="s">
        <v>3388</v>
      </c>
      <c r="B40" s="1379">
        <v>5</v>
      </c>
      <c r="C40" s="1379" t="s">
        <v>3286</v>
      </c>
      <c r="D40" s="1379"/>
      <c r="E40" s="1308"/>
      <c r="F40" s="1308"/>
      <c r="G40" s="1308"/>
      <c r="H40" s="1308" t="s">
        <v>1502</v>
      </c>
      <c r="I40" s="1308"/>
      <c r="J40" s="1308"/>
      <c r="K40" s="1308"/>
      <c r="L40" s="1308"/>
      <c r="M40" s="1380"/>
      <c r="N40" s="1380"/>
      <c r="O40" s="1482"/>
      <c r="P40" s="1371" t="s">
        <v>3389</v>
      </c>
      <c r="Q40" s="1372" t="s">
        <v>3288</v>
      </c>
      <c r="R40" s="1355"/>
    </row>
    <row r="41" spans="1:18" ht="16.5" customHeight="1" x14ac:dyDescent="0.25">
      <c r="A41" s="1305" t="s">
        <v>3390</v>
      </c>
      <c r="B41" s="1373">
        <v>6</v>
      </c>
      <c r="C41" s="1373" t="s">
        <v>3298</v>
      </c>
      <c r="D41" s="1373"/>
      <c r="E41" s="1305"/>
      <c r="F41" s="1305"/>
      <c r="G41" s="1305"/>
      <c r="H41" s="1359"/>
      <c r="I41" s="1305" t="s">
        <v>1504</v>
      </c>
      <c r="J41" s="1305"/>
      <c r="K41" s="1305"/>
      <c r="L41" s="1305"/>
      <c r="M41" s="1305"/>
      <c r="N41" s="1359"/>
      <c r="O41" s="1480">
        <f>+'F Y U 2024 Presupuesto 15.09'!C115</f>
        <v>2461968000</v>
      </c>
      <c r="P41" s="1369" t="s">
        <v>3391</v>
      </c>
      <c r="Q41" s="1374" t="s">
        <v>3392</v>
      </c>
      <c r="R41" s="1362"/>
    </row>
    <row r="42" spans="1:18" ht="16.5" customHeight="1" x14ac:dyDescent="0.25">
      <c r="A42" s="1303" t="s">
        <v>3394</v>
      </c>
      <c r="B42" s="1348">
        <v>4</v>
      </c>
      <c r="C42" s="1348" t="s">
        <v>3286</v>
      </c>
      <c r="D42" s="1348"/>
      <c r="E42" s="1303"/>
      <c r="F42" s="1303"/>
      <c r="G42" s="1303" t="s">
        <v>341</v>
      </c>
      <c r="H42" s="1303"/>
      <c r="I42" s="1303"/>
      <c r="J42" s="1303"/>
      <c r="K42" s="1303"/>
      <c r="L42" s="1303"/>
      <c r="M42" s="1303"/>
      <c r="N42" s="1411"/>
      <c r="O42" s="1491"/>
      <c r="P42" s="1406" t="s">
        <v>3395</v>
      </c>
      <c r="Q42" s="1407" t="s">
        <v>3396</v>
      </c>
      <c r="R42" s="1385"/>
    </row>
    <row r="43" spans="1:18" ht="16.5" customHeight="1" x14ac:dyDescent="0.25">
      <c r="A43" s="1318" t="s">
        <v>3397</v>
      </c>
      <c r="B43" s="1412">
        <v>5</v>
      </c>
      <c r="C43" s="1412" t="s">
        <v>3298</v>
      </c>
      <c r="D43" s="1318"/>
      <c r="E43" s="1318"/>
      <c r="F43" s="1318"/>
      <c r="G43" s="1413"/>
      <c r="H43" s="1318" t="s">
        <v>3398</v>
      </c>
      <c r="I43" s="1318"/>
      <c r="J43" s="1318"/>
      <c r="K43" s="1318"/>
      <c r="L43" s="1318"/>
      <c r="M43" s="1413"/>
      <c r="N43" s="1413"/>
      <c r="O43" s="1492"/>
      <c r="P43" s="1414" t="s">
        <v>3399</v>
      </c>
      <c r="Q43" s="1415" t="s">
        <v>3400</v>
      </c>
      <c r="R43" s="1362"/>
    </row>
    <row r="44" spans="1:18" ht="16.5" customHeight="1" x14ac:dyDescent="0.25">
      <c r="A44" s="1318" t="s">
        <v>3401</v>
      </c>
      <c r="B44" s="1412">
        <v>5</v>
      </c>
      <c r="C44" s="1412" t="s">
        <v>3298</v>
      </c>
      <c r="D44" s="1318"/>
      <c r="E44" s="1318"/>
      <c r="F44" s="1318"/>
      <c r="G44" s="1413"/>
      <c r="H44" s="1318" t="s">
        <v>3402</v>
      </c>
      <c r="I44" s="1318"/>
      <c r="J44" s="1318"/>
      <c r="K44" s="1318"/>
      <c r="L44" s="1318"/>
      <c r="M44" s="1413"/>
      <c r="N44" s="1413"/>
      <c r="O44" s="1492"/>
      <c r="P44" s="1414" t="s">
        <v>3403</v>
      </c>
      <c r="Q44" s="1415" t="s">
        <v>3288</v>
      </c>
      <c r="R44" s="1399" t="s">
        <v>3387</v>
      </c>
    </row>
    <row r="45" spans="1:18" ht="16.5" customHeight="1" x14ac:dyDescent="0.25">
      <c r="A45" s="1318" t="s">
        <v>3404</v>
      </c>
      <c r="B45" s="1412">
        <v>5</v>
      </c>
      <c r="C45" s="1412" t="s">
        <v>3298</v>
      </c>
      <c r="D45" s="1318"/>
      <c r="E45" s="1318"/>
      <c r="F45" s="1318"/>
      <c r="G45" s="1413"/>
      <c r="H45" s="1318" t="s">
        <v>3405</v>
      </c>
      <c r="I45" s="1318"/>
      <c r="J45" s="1318"/>
      <c r="K45" s="1318"/>
      <c r="L45" s="1318"/>
      <c r="M45" s="1413"/>
      <c r="N45" s="1413"/>
      <c r="O45" s="1492"/>
      <c r="P45" s="1414" t="s">
        <v>3406</v>
      </c>
      <c r="Q45" s="1415" t="s">
        <v>3407</v>
      </c>
      <c r="R45" s="1362"/>
    </row>
    <row r="46" spans="1:18" ht="16.5" customHeight="1" x14ac:dyDescent="0.25">
      <c r="A46" s="1318" t="s">
        <v>3408</v>
      </c>
      <c r="B46" s="1412">
        <v>5</v>
      </c>
      <c r="C46" s="1412" t="s">
        <v>3298</v>
      </c>
      <c r="D46" s="1318"/>
      <c r="E46" s="1318"/>
      <c r="F46" s="1318"/>
      <c r="G46" s="1413"/>
      <c r="H46" s="1318" t="s">
        <v>3409</v>
      </c>
      <c r="I46" s="1318"/>
      <c r="J46" s="1318"/>
      <c r="K46" s="1318"/>
      <c r="L46" s="1318"/>
      <c r="M46" s="1413"/>
      <c r="N46" s="1413"/>
      <c r="O46" s="1492"/>
      <c r="P46" s="1414" t="s">
        <v>3410</v>
      </c>
      <c r="Q46" s="1415" t="s">
        <v>3411</v>
      </c>
      <c r="R46" s="1399" t="s">
        <v>3387</v>
      </c>
    </row>
    <row r="47" spans="1:18" ht="16.5" customHeight="1" x14ac:dyDescent="0.25">
      <c r="A47" s="1318" t="s">
        <v>3412</v>
      </c>
      <c r="B47" s="1412">
        <v>5</v>
      </c>
      <c r="C47" s="1412" t="s">
        <v>3298</v>
      </c>
      <c r="D47" s="1318"/>
      <c r="E47" s="1318"/>
      <c r="F47" s="1318"/>
      <c r="G47" s="1413"/>
      <c r="H47" s="1318" t="s">
        <v>3413</v>
      </c>
      <c r="I47" s="1318"/>
      <c r="J47" s="1318"/>
      <c r="K47" s="1318"/>
      <c r="L47" s="1318"/>
      <c r="M47" s="1413"/>
      <c r="N47" s="1413"/>
      <c r="O47" s="1492"/>
      <c r="P47" s="1414" t="s">
        <v>3414</v>
      </c>
      <c r="Q47" s="1415" t="s">
        <v>3411</v>
      </c>
      <c r="R47" s="1399" t="s">
        <v>3387</v>
      </c>
    </row>
    <row r="48" spans="1:18" ht="16.5" customHeight="1" x14ac:dyDescent="0.25">
      <c r="A48" s="1318" t="s">
        <v>3415</v>
      </c>
      <c r="B48" s="1412">
        <v>5</v>
      </c>
      <c r="C48" s="1412" t="s">
        <v>3298</v>
      </c>
      <c r="D48" s="1318"/>
      <c r="E48" s="1318"/>
      <c r="F48" s="1318"/>
      <c r="G48" s="1413"/>
      <c r="H48" s="1318" t="s">
        <v>3416</v>
      </c>
      <c r="I48" s="1318"/>
      <c r="J48" s="1318"/>
      <c r="K48" s="1318"/>
      <c r="L48" s="1318"/>
      <c r="M48" s="1413"/>
      <c r="N48" s="1413"/>
      <c r="O48" s="1492"/>
      <c r="P48" s="1414" t="s">
        <v>3417</v>
      </c>
      <c r="Q48" s="1415"/>
      <c r="R48" s="1399" t="s">
        <v>3387</v>
      </c>
    </row>
    <row r="49" spans="1:18" ht="16.5" customHeight="1" x14ac:dyDescent="0.25">
      <c r="A49" s="1318" t="s">
        <v>3418</v>
      </c>
      <c r="B49" s="1412">
        <v>5</v>
      </c>
      <c r="C49" s="1412" t="s">
        <v>3298</v>
      </c>
      <c r="D49" s="1318"/>
      <c r="E49" s="1318"/>
      <c r="F49" s="1318"/>
      <c r="G49" s="1413"/>
      <c r="H49" s="1318" t="s">
        <v>3419</v>
      </c>
      <c r="I49" s="1318"/>
      <c r="J49" s="1318"/>
      <c r="K49" s="1318"/>
      <c r="L49" s="1318"/>
      <c r="M49" s="1413"/>
      <c r="N49" s="1413"/>
      <c r="O49" s="1492"/>
      <c r="P49" s="1414" t="s">
        <v>3420</v>
      </c>
      <c r="Q49" s="1415" t="s">
        <v>3421</v>
      </c>
      <c r="R49" s="1362"/>
    </row>
    <row r="50" spans="1:18" ht="16.5" customHeight="1" x14ac:dyDescent="0.25">
      <c r="A50" s="1318" t="s">
        <v>3422</v>
      </c>
      <c r="B50" s="1412">
        <v>5</v>
      </c>
      <c r="C50" s="1412" t="s">
        <v>3298</v>
      </c>
      <c r="D50" s="1318"/>
      <c r="E50" s="1318"/>
      <c r="F50" s="1318"/>
      <c r="G50" s="1413"/>
      <c r="H50" s="1318" t="s">
        <v>3423</v>
      </c>
      <c r="I50" s="1318"/>
      <c r="J50" s="1318"/>
      <c r="K50" s="1318"/>
      <c r="L50" s="1318"/>
      <c r="M50" s="1413"/>
      <c r="N50" s="1413"/>
      <c r="O50" s="1492"/>
      <c r="P50" s="1414" t="s">
        <v>3424</v>
      </c>
      <c r="Q50" s="1415" t="s">
        <v>3425</v>
      </c>
      <c r="R50" s="1362"/>
    </row>
    <row r="51" spans="1:18" ht="16.5" customHeight="1" x14ac:dyDescent="0.25">
      <c r="A51" s="1318" t="s">
        <v>3426</v>
      </c>
      <c r="B51" s="1412">
        <v>5</v>
      </c>
      <c r="C51" s="1412" t="s">
        <v>3298</v>
      </c>
      <c r="D51" s="1318"/>
      <c r="E51" s="1318"/>
      <c r="F51" s="1318"/>
      <c r="G51" s="1413"/>
      <c r="H51" s="1318" t="s">
        <v>3427</v>
      </c>
      <c r="I51" s="1318"/>
      <c r="J51" s="1318"/>
      <c r="K51" s="1318"/>
      <c r="L51" s="1318"/>
      <c r="M51" s="1413"/>
      <c r="N51" s="1413"/>
      <c r="O51" s="1492"/>
      <c r="P51" s="1414" t="s">
        <v>3428</v>
      </c>
      <c r="Q51" s="1415" t="s">
        <v>3393</v>
      </c>
      <c r="R51" s="1362"/>
    </row>
    <row r="52" spans="1:18" ht="16.5" customHeight="1" x14ac:dyDescent="0.25">
      <c r="A52" s="1318" t="s">
        <v>3429</v>
      </c>
      <c r="B52" s="1412">
        <v>5</v>
      </c>
      <c r="C52" s="1412" t="s">
        <v>3298</v>
      </c>
      <c r="D52" s="1318"/>
      <c r="E52" s="1318"/>
      <c r="F52" s="1318"/>
      <c r="G52" s="1413"/>
      <c r="H52" s="1318" t="s">
        <v>3430</v>
      </c>
      <c r="I52" s="1318"/>
      <c r="J52" s="1318"/>
      <c r="K52" s="1318"/>
      <c r="L52" s="1318"/>
      <c r="M52" s="1413"/>
      <c r="N52" s="1413"/>
      <c r="O52" s="1492"/>
      <c r="P52" s="1414" t="s">
        <v>3431</v>
      </c>
      <c r="Q52" s="1415" t="s">
        <v>3432</v>
      </c>
      <c r="R52" s="1362"/>
    </row>
    <row r="53" spans="1:18" ht="16.5" customHeight="1" x14ac:dyDescent="0.25">
      <c r="A53" s="1318" t="s">
        <v>3433</v>
      </c>
      <c r="B53" s="1412">
        <v>5</v>
      </c>
      <c r="C53" s="1412" t="s">
        <v>3298</v>
      </c>
      <c r="D53" s="1318"/>
      <c r="E53" s="1318"/>
      <c r="F53" s="1318"/>
      <c r="G53" s="1413"/>
      <c r="H53" s="1318" t="s">
        <v>3434</v>
      </c>
      <c r="I53" s="1318"/>
      <c r="J53" s="1318"/>
      <c r="K53" s="1318"/>
      <c r="L53" s="1318"/>
      <c r="M53" s="1413"/>
      <c r="N53" s="1413"/>
      <c r="O53" s="1492"/>
      <c r="P53" s="1414" t="s">
        <v>3435</v>
      </c>
      <c r="Q53" s="1415" t="s">
        <v>3436</v>
      </c>
      <c r="R53" s="1362"/>
    </row>
    <row r="54" spans="1:18" ht="16.5" customHeight="1" x14ac:dyDescent="0.25">
      <c r="A54" s="1318" t="s">
        <v>3437</v>
      </c>
      <c r="B54" s="1412">
        <v>5</v>
      </c>
      <c r="C54" s="1412" t="s">
        <v>3298</v>
      </c>
      <c r="D54" s="1318"/>
      <c r="E54" s="1318"/>
      <c r="F54" s="1318"/>
      <c r="G54" s="1413"/>
      <c r="H54" s="1318" t="s">
        <v>3438</v>
      </c>
      <c r="I54" s="1318"/>
      <c r="J54" s="1318"/>
      <c r="K54" s="1318"/>
      <c r="L54" s="1318"/>
      <c r="M54" s="1413"/>
      <c r="N54" s="1413"/>
      <c r="O54" s="1492"/>
      <c r="P54" s="1414" t="s">
        <v>3439</v>
      </c>
      <c r="Q54" s="1415" t="s">
        <v>3440</v>
      </c>
      <c r="R54" s="1362"/>
    </row>
    <row r="55" spans="1:18" ht="16.5" customHeight="1" x14ac:dyDescent="0.25">
      <c r="A55" s="1318" t="s">
        <v>3441</v>
      </c>
      <c r="B55" s="1412">
        <v>5</v>
      </c>
      <c r="C55" s="1412" t="s">
        <v>3298</v>
      </c>
      <c r="D55" s="1318"/>
      <c r="E55" s="1318"/>
      <c r="F55" s="1318"/>
      <c r="G55" s="1413"/>
      <c r="H55" s="1318" t="s">
        <v>3442</v>
      </c>
      <c r="I55" s="1318"/>
      <c r="J55" s="1318"/>
      <c r="K55" s="1318"/>
      <c r="L55" s="1318"/>
      <c r="M55" s="1413"/>
      <c r="N55" s="1413"/>
      <c r="O55" s="1492"/>
      <c r="P55" s="1414" t="s">
        <v>3443</v>
      </c>
      <c r="Q55" s="1415" t="s">
        <v>3444</v>
      </c>
      <c r="R55" s="1362"/>
    </row>
    <row r="56" spans="1:18" ht="16.5" customHeight="1" x14ac:dyDescent="0.25">
      <c r="A56" s="1318" t="s">
        <v>3445</v>
      </c>
      <c r="B56" s="1412">
        <v>5</v>
      </c>
      <c r="C56" s="1412" t="s">
        <v>3298</v>
      </c>
      <c r="D56" s="1318"/>
      <c r="E56" s="1318"/>
      <c r="F56" s="1318"/>
      <c r="G56" s="1413"/>
      <c r="H56" s="1318" t="s">
        <v>3446</v>
      </c>
      <c r="I56" s="1318"/>
      <c r="J56" s="1318"/>
      <c r="K56" s="1318"/>
      <c r="L56" s="1318"/>
      <c r="M56" s="1413"/>
      <c r="N56" s="1413"/>
      <c r="O56" s="1492"/>
      <c r="P56" s="1414" t="s">
        <v>3447</v>
      </c>
      <c r="Q56" s="1415" t="s">
        <v>3448</v>
      </c>
      <c r="R56" s="1362"/>
    </row>
    <row r="57" spans="1:18" ht="16.5" customHeight="1" x14ac:dyDescent="0.25">
      <c r="A57" s="1318" t="s">
        <v>3449</v>
      </c>
      <c r="B57" s="1412">
        <v>5</v>
      </c>
      <c r="C57" s="1412" t="s">
        <v>3298</v>
      </c>
      <c r="D57" s="1318"/>
      <c r="E57" s="1318"/>
      <c r="F57" s="1318"/>
      <c r="G57" s="1413"/>
      <c r="H57" s="1318" t="s">
        <v>3450</v>
      </c>
      <c r="I57" s="1318"/>
      <c r="J57" s="1318"/>
      <c r="K57" s="1318"/>
      <c r="L57" s="1318"/>
      <c r="M57" s="1413"/>
      <c r="N57" s="1413"/>
      <c r="O57" s="1492"/>
      <c r="P57" s="1416" t="s">
        <v>3451</v>
      </c>
      <c r="Q57" s="1417" t="s">
        <v>3452</v>
      </c>
      <c r="R57" s="1362"/>
    </row>
    <row r="58" spans="1:18" ht="16.5" customHeight="1" x14ac:dyDescent="0.25">
      <c r="A58" s="1318" t="s">
        <v>3453</v>
      </c>
      <c r="B58" s="1412">
        <v>5</v>
      </c>
      <c r="C58" s="1412" t="s">
        <v>3298</v>
      </c>
      <c r="D58" s="1318"/>
      <c r="E58" s="1318"/>
      <c r="F58" s="1318"/>
      <c r="G58" s="1413"/>
      <c r="H58" s="1318" t="s">
        <v>3454</v>
      </c>
      <c r="I58" s="1318"/>
      <c r="J58" s="1318"/>
      <c r="K58" s="1318"/>
      <c r="L58" s="1318"/>
      <c r="M58" s="1413"/>
      <c r="N58" s="1413"/>
      <c r="O58" s="1492"/>
      <c r="P58" s="1416" t="s">
        <v>3455</v>
      </c>
      <c r="Q58" s="1417" t="s">
        <v>3393</v>
      </c>
      <c r="R58" s="1362"/>
    </row>
    <row r="59" spans="1:18" ht="16.5" customHeight="1" x14ac:dyDescent="0.25">
      <c r="A59" s="1318" t="s">
        <v>3456</v>
      </c>
      <c r="B59" s="1412">
        <v>5</v>
      </c>
      <c r="C59" s="1412" t="s">
        <v>3298</v>
      </c>
      <c r="D59" s="1318"/>
      <c r="E59" s="1318"/>
      <c r="F59" s="1318"/>
      <c r="G59" s="1413"/>
      <c r="H59" s="1318" t="s">
        <v>3457</v>
      </c>
      <c r="I59" s="1318"/>
      <c r="J59" s="1318"/>
      <c r="K59" s="1318"/>
      <c r="L59" s="1318"/>
      <c r="M59" s="1413"/>
      <c r="N59" s="1413"/>
      <c r="O59" s="1492"/>
      <c r="P59" s="1416" t="s">
        <v>3458</v>
      </c>
      <c r="Q59" s="1417" t="s">
        <v>3459</v>
      </c>
      <c r="R59" s="1362"/>
    </row>
    <row r="60" spans="1:18" ht="16.5" customHeight="1" x14ac:dyDescent="0.25">
      <c r="A60" s="1318" t="s">
        <v>3460</v>
      </c>
      <c r="B60" s="1412">
        <v>5</v>
      </c>
      <c r="C60" s="1412" t="s">
        <v>3298</v>
      </c>
      <c r="D60" s="1318"/>
      <c r="E60" s="1318"/>
      <c r="F60" s="1318"/>
      <c r="G60" s="1413"/>
      <c r="H60" s="1318" t="s">
        <v>3461</v>
      </c>
      <c r="I60" s="1318"/>
      <c r="J60" s="1318"/>
      <c r="K60" s="1318"/>
      <c r="L60" s="1318"/>
      <c r="M60" s="1413"/>
      <c r="N60" s="1413"/>
      <c r="O60" s="1492"/>
      <c r="P60" s="1416" t="s">
        <v>3462</v>
      </c>
      <c r="Q60" s="1417" t="s">
        <v>3463</v>
      </c>
      <c r="R60" s="1362"/>
    </row>
    <row r="61" spans="1:18" ht="16.5" customHeight="1" x14ac:dyDescent="0.25">
      <c r="A61" s="1318" t="s">
        <v>3464</v>
      </c>
      <c r="B61" s="1412">
        <v>5</v>
      </c>
      <c r="C61" s="1412" t="s">
        <v>3298</v>
      </c>
      <c r="D61" s="1318"/>
      <c r="E61" s="1318"/>
      <c r="F61" s="1318"/>
      <c r="G61" s="1413"/>
      <c r="H61" s="1318" t="s">
        <v>3465</v>
      </c>
      <c r="I61" s="1318"/>
      <c r="J61" s="1318"/>
      <c r="K61" s="1318"/>
      <c r="L61" s="1318"/>
      <c r="M61" s="1413"/>
      <c r="N61" s="1413"/>
      <c r="O61" s="1492"/>
      <c r="P61" s="1416" t="s">
        <v>3466</v>
      </c>
      <c r="Q61" s="1417" t="s">
        <v>3467</v>
      </c>
      <c r="R61" s="1362"/>
    </row>
    <row r="62" spans="1:18" ht="16.5" customHeight="1" x14ac:dyDescent="0.25">
      <c r="A62" s="1319" t="s">
        <v>3468</v>
      </c>
      <c r="B62" s="1412">
        <v>5</v>
      </c>
      <c r="C62" s="1412" t="s">
        <v>3298</v>
      </c>
      <c r="D62" s="1319"/>
      <c r="E62" s="1319"/>
      <c r="F62" s="1319"/>
      <c r="G62" s="1418"/>
      <c r="H62" s="1319" t="s">
        <v>3469</v>
      </c>
      <c r="I62" s="1319"/>
      <c r="J62" s="1319"/>
      <c r="K62" s="1319"/>
      <c r="L62" s="1319"/>
      <c r="M62" s="1418"/>
      <c r="N62" s="1418"/>
      <c r="O62" s="1493"/>
      <c r="P62" s="1419" t="s">
        <v>3470</v>
      </c>
      <c r="Q62" s="1420" t="s">
        <v>3471</v>
      </c>
      <c r="R62" s="1398"/>
    </row>
    <row r="63" spans="1:18" ht="16.5" customHeight="1" x14ac:dyDescent="0.25">
      <c r="A63" s="1318" t="s">
        <v>3472</v>
      </c>
      <c r="B63" s="1412">
        <v>5</v>
      </c>
      <c r="C63" s="1412" t="s">
        <v>3298</v>
      </c>
      <c r="D63" s="1318"/>
      <c r="E63" s="1318"/>
      <c r="F63" s="1318"/>
      <c r="G63" s="1413"/>
      <c r="H63" s="1318" t="s">
        <v>3473</v>
      </c>
      <c r="I63" s="1318"/>
      <c r="J63" s="1318"/>
      <c r="K63" s="1318"/>
      <c r="L63" s="1318"/>
      <c r="M63" s="1413"/>
      <c r="N63" s="1413"/>
      <c r="O63" s="1492"/>
      <c r="P63" s="1416" t="s">
        <v>3474</v>
      </c>
      <c r="Q63" s="1417" t="s">
        <v>3475</v>
      </c>
      <c r="R63" s="1362"/>
    </row>
    <row r="64" spans="1:18" ht="16.5" customHeight="1" x14ac:dyDescent="0.25">
      <c r="A64" s="1318" t="s">
        <v>3476</v>
      </c>
      <c r="B64" s="1412">
        <v>5</v>
      </c>
      <c r="C64" s="1412" t="s">
        <v>3298</v>
      </c>
      <c r="D64" s="1318"/>
      <c r="E64" s="1318"/>
      <c r="F64" s="1318"/>
      <c r="G64" s="1413"/>
      <c r="H64" s="1318" t="s">
        <v>3477</v>
      </c>
      <c r="I64" s="1318"/>
      <c r="J64" s="1318"/>
      <c r="K64" s="1318"/>
      <c r="L64" s="1318"/>
      <c r="M64" s="1413"/>
      <c r="N64" s="1413"/>
      <c r="O64" s="1492"/>
      <c r="P64" s="1416" t="s">
        <v>3478</v>
      </c>
      <c r="Q64" s="1417" t="s">
        <v>3475</v>
      </c>
      <c r="R64" s="1362"/>
    </row>
    <row r="65" spans="1:18" ht="16.5" customHeight="1" x14ac:dyDescent="0.25">
      <c r="A65" s="1318" t="s">
        <v>3479</v>
      </c>
      <c r="B65" s="1412">
        <v>5</v>
      </c>
      <c r="C65" s="1412" t="s">
        <v>3298</v>
      </c>
      <c r="D65" s="1318"/>
      <c r="E65" s="1318"/>
      <c r="F65" s="1318"/>
      <c r="G65" s="1413"/>
      <c r="H65" s="1318" t="s">
        <v>3480</v>
      </c>
      <c r="I65" s="1318"/>
      <c r="J65" s="1318"/>
      <c r="K65" s="1318"/>
      <c r="L65" s="1318"/>
      <c r="M65" s="1413"/>
      <c r="N65" s="1413"/>
      <c r="O65" s="1492"/>
      <c r="P65" s="1416" t="s">
        <v>3481</v>
      </c>
      <c r="Q65" s="1417" t="s">
        <v>3482</v>
      </c>
      <c r="R65" s="1362"/>
    </row>
    <row r="66" spans="1:18" ht="16.5" customHeight="1" x14ac:dyDescent="0.25">
      <c r="A66" s="1318" t="s">
        <v>3483</v>
      </c>
      <c r="B66" s="1412">
        <v>5</v>
      </c>
      <c r="C66" s="1412" t="s">
        <v>3298</v>
      </c>
      <c r="D66" s="1318"/>
      <c r="E66" s="1318"/>
      <c r="F66" s="1318"/>
      <c r="G66" s="1413"/>
      <c r="H66" s="1318" t="s">
        <v>343</v>
      </c>
      <c r="I66" s="1318"/>
      <c r="J66" s="1318"/>
      <c r="K66" s="1318"/>
      <c r="L66" s="1318"/>
      <c r="M66" s="1413"/>
      <c r="N66" s="1413"/>
      <c r="O66" s="1492">
        <f>+'F Y U 2024 Presupuesto 15.09'!C102</f>
        <v>300000000</v>
      </c>
      <c r="P66" s="1416" t="s">
        <v>3484</v>
      </c>
      <c r="Q66" s="1417" t="s">
        <v>3485</v>
      </c>
      <c r="R66" s="1362"/>
    </row>
    <row r="67" spans="1:18" ht="16.5" customHeight="1" x14ac:dyDescent="0.25">
      <c r="A67" s="1319" t="s">
        <v>3486</v>
      </c>
      <c r="B67" s="1412">
        <v>5</v>
      </c>
      <c r="C67" s="1412" t="s">
        <v>3298</v>
      </c>
      <c r="D67" s="1319"/>
      <c r="E67" s="1319"/>
      <c r="F67" s="1319"/>
      <c r="G67" s="1418"/>
      <c r="H67" s="1319" t="s">
        <v>3487</v>
      </c>
      <c r="I67" s="1319"/>
      <c r="J67" s="1319"/>
      <c r="K67" s="1319"/>
      <c r="L67" s="1319"/>
      <c r="M67" s="1418"/>
      <c r="N67" s="1418"/>
      <c r="O67" s="1493"/>
      <c r="P67" s="1419" t="s">
        <v>3488</v>
      </c>
      <c r="Q67" s="1420" t="s">
        <v>3489</v>
      </c>
      <c r="R67" s="1398"/>
    </row>
    <row r="68" spans="1:18" ht="16.5" customHeight="1" x14ac:dyDescent="0.25">
      <c r="A68" s="1319" t="s">
        <v>3490</v>
      </c>
      <c r="B68" s="1412">
        <v>5</v>
      </c>
      <c r="C68" s="1412" t="s">
        <v>3298</v>
      </c>
      <c r="D68" s="1421"/>
      <c r="E68" s="1422"/>
      <c r="F68" s="1422"/>
      <c r="G68" s="1422"/>
      <c r="H68" s="1319" t="s">
        <v>3491</v>
      </c>
      <c r="I68" s="1319"/>
      <c r="J68" s="1319"/>
      <c r="K68" s="1319"/>
      <c r="L68" s="1319"/>
      <c r="M68" s="1418"/>
      <c r="N68" s="1418"/>
      <c r="O68" s="1493"/>
      <c r="P68" s="1423" t="s">
        <v>3492</v>
      </c>
      <c r="Q68" s="1424" t="s">
        <v>3493</v>
      </c>
      <c r="R68" s="1398"/>
    </row>
    <row r="69" spans="1:18" ht="16.5" customHeight="1" x14ac:dyDescent="0.25">
      <c r="A69" s="1320" t="s">
        <v>3494</v>
      </c>
      <c r="B69" s="1425">
        <v>5</v>
      </c>
      <c r="C69" s="1425" t="s">
        <v>3286</v>
      </c>
      <c r="D69" s="1425"/>
      <c r="E69" s="1320"/>
      <c r="F69" s="1320"/>
      <c r="G69" s="1320"/>
      <c r="H69" s="1320" t="s">
        <v>3495</v>
      </c>
      <c r="I69" s="1320"/>
      <c r="J69" s="1320"/>
      <c r="K69" s="1320"/>
      <c r="L69" s="1320"/>
      <c r="M69" s="1426"/>
      <c r="N69" s="1426"/>
      <c r="O69" s="1494"/>
      <c r="P69" s="1427" t="s">
        <v>3496</v>
      </c>
      <c r="Q69" s="1428" t="s">
        <v>3497</v>
      </c>
      <c r="R69" s="1399" t="s">
        <v>3387</v>
      </c>
    </row>
    <row r="70" spans="1:18" ht="16.5" customHeight="1" x14ac:dyDescent="0.25">
      <c r="A70" s="1312" t="s">
        <v>3498</v>
      </c>
      <c r="B70" s="1390">
        <v>6</v>
      </c>
      <c r="C70" s="1390" t="s">
        <v>3286</v>
      </c>
      <c r="D70" s="1390"/>
      <c r="E70" s="1312"/>
      <c r="F70" s="1312"/>
      <c r="G70" s="1312"/>
      <c r="H70" s="1312"/>
      <c r="I70" s="1312" t="s">
        <v>3499</v>
      </c>
      <c r="J70" s="1312"/>
      <c r="K70" s="1312"/>
      <c r="L70" s="1312"/>
      <c r="M70" s="1312"/>
      <c r="N70" s="1391"/>
      <c r="O70" s="1485"/>
      <c r="P70" s="1429" t="s">
        <v>3500</v>
      </c>
      <c r="Q70" s="1430" t="s">
        <v>3497</v>
      </c>
      <c r="R70" s="1399" t="s">
        <v>3387</v>
      </c>
    </row>
    <row r="71" spans="1:18" ht="16.5" customHeight="1" x14ac:dyDescent="0.25">
      <c r="A71" s="1312" t="s">
        <v>3501</v>
      </c>
      <c r="B71" s="1390">
        <v>7</v>
      </c>
      <c r="C71" s="1390" t="s">
        <v>3286</v>
      </c>
      <c r="D71" s="1390"/>
      <c r="E71" s="1312"/>
      <c r="F71" s="1312"/>
      <c r="G71" s="1312"/>
      <c r="H71" s="1312"/>
      <c r="I71" s="1312"/>
      <c r="J71" s="1312" t="s">
        <v>3502</v>
      </c>
      <c r="K71" s="1312"/>
      <c r="L71" s="1312"/>
      <c r="M71" s="1312"/>
      <c r="N71" s="1391"/>
      <c r="O71" s="1485"/>
      <c r="P71" s="1429" t="s">
        <v>3503</v>
      </c>
      <c r="Q71" s="1430" t="s">
        <v>3497</v>
      </c>
      <c r="R71" s="1399" t="s">
        <v>3387</v>
      </c>
    </row>
    <row r="72" spans="1:18" ht="16.5" customHeight="1" x14ac:dyDescent="0.25">
      <c r="A72" s="1305" t="s">
        <v>3504</v>
      </c>
      <c r="B72" s="1373">
        <v>8</v>
      </c>
      <c r="C72" s="1373" t="s">
        <v>3298</v>
      </c>
      <c r="D72" s="1357"/>
      <c r="E72" s="1358"/>
      <c r="F72" s="1358"/>
      <c r="G72" s="1358"/>
      <c r="H72" s="1305"/>
      <c r="I72" s="1305"/>
      <c r="J72" s="1305"/>
      <c r="K72" s="1305" t="s">
        <v>3505</v>
      </c>
      <c r="L72" s="1305"/>
      <c r="M72" s="1359"/>
      <c r="N72" s="1359"/>
      <c r="O72" s="1480"/>
      <c r="P72" s="1360" t="s">
        <v>3500</v>
      </c>
      <c r="Q72" s="1361" t="s">
        <v>3497</v>
      </c>
      <c r="R72" s="1399" t="s">
        <v>3387</v>
      </c>
    </row>
    <row r="73" spans="1:18" ht="16.5" customHeight="1" x14ac:dyDescent="0.25">
      <c r="A73" s="1305" t="s">
        <v>3506</v>
      </c>
      <c r="B73" s="1373">
        <v>8</v>
      </c>
      <c r="C73" s="1373" t="s">
        <v>3298</v>
      </c>
      <c r="D73" s="1357"/>
      <c r="E73" s="1358"/>
      <c r="F73" s="1358"/>
      <c r="G73" s="1358"/>
      <c r="H73" s="1305"/>
      <c r="I73" s="1305"/>
      <c r="J73" s="1305"/>
      <c r="K73" s="1305" t="s">
        <v>3507</v>
      </c>
      <c r="L73" s="1305"/>
      <c r="M73" s="1359"/>
      <c r="N73" s="1359"/>
      <c r="O73" s="1480"/>
      <c r="P73" s="1360" t="s">
        <v>3500</v>
      </c>
      <c r="Q73" s="1361" t="s">
        <v>3497</v>
      </c>
      <c r="R73" s="1399" t="s">
        <v>3387</v>
      </c>
    </row>
    <row r="74" spans="1:18" ht="16.5" customHeight="1" x14ac:dyDescent="0.25">
      <c r="A74" s="1305" t="s">
        <v>3508</v>
      </c>
      <c r="B74" s="1373">
        <v>8</v>
      </c>
      <c r="C74" s="1373" t="s">
        <v>3298</v>
      </c>
      <c r="D74" s="1357"/>
      <c r="E74" s="1358"/>
      <c r="F74" s="1358"/>
      <c r="G74" s="1358"/>
      <c r="H74" s="1305"/>
      <c r="I74" s="1305"/>
      <c r="J74" s="1305"/>
      <c r="K74" s="1305" t="s">
        <v>3509</v>
      </c>
      <c r="L74" s="1305"/>
      <c r="M74" s="1359"/>
      <c r="N74" s="1359"/>
      <c r="O74" s="1480"/>
      <c r="P74" s="1360" t="s">
        <v>3500</v>
      </c>
      <c r="Q74" s="1361" t="s">
        <v>3497</v>
      </c>
      <c r="R74" s="1399" t="s">
        <v>3387</v>
      </c>
    </row>
    <row r="75" spans="1:18" ht="16.5" customHeight="1" x14ac:dyDescent="0.25">
      <c r="A75" s="1305" t="s">
        <v>3510</v>
      </c>
      <c r="B75" s="1373">
        <v>8</v>
      </c>
      <c r="C75" s="1373" t="s">
        <v>3298</v>
      </c>
      <c r="D75" s="1357"/>
      <c r="E75" s="1358"/>
      <c r="F75" s="1358"/>
      <c r="G75" s="1358"/>
      <c r="H75" s="1305"/>
      <c r="I75" s="1305"/>
      <c r="J75" s="1305"/>
      <c r="K75" s="1305" t="s">
        <v>3511</v>
      </c>
      <c r="L75" s="1305"/>
      <c r="M75" s="1359"/>
      <c r="N75" s="1359"/>
      <c r="O75" s="1480"/>
      <c r="P75" s="1360" t="s">
        <v>3500</v>
      </c>
      <c r="Q75" s="1361" t="s">
        <v>3497</v>
      </c>
      <c r="R75" s="1399" t="s">
        <v>3387</v>
      </c>
    </row>
    <row r="76" spans="1:18" ht="16.5" customHeight="1" x14ac:dyDescent="0.25">
      <c r="A76" s="1312" t="s">
        <v>3512</v>
      </c>
      <c r="B76" s="1390">
        <v>7</v>
      </c>
      <c r="C76" s="1390" t="s">
        <v>3286</v>
      </c>
      <c r="D76" s="1390"/>
      <c r="E76" s="1312"/>
      <c r="F76" s="1312"/>
      <c r="G76" s="1312"/>
      <c r="H76" s="1312"/>
      <c r="I76" s="1312"/>
      <c r="J76" s="1312" t="s">
        <v>3513</v>
      </c>
      <c r="K76" s="1312"/>
      <c r="L76" s="1312"/>
      <c r="M76" s="1312"/>
      <c r="N76" s="1391"/>
      <c r="O76" s="1485"/>
      <c r="P76" s="1429" t="s">
        <v>3503</v>
      </c>
      <c r="Q76" s="1430" t="s">
        <v>3497</v>
      </c>
      <c r="R76" s="1399" t="s">
        <v>3387</v>
      </c>
    </row>
    <row r="77" spans="1:18" ht="16.5" customHeight="1" x14ac:dyDescent="0.25">
      <c r="A77" s="1305" t="s">
        <v>3514</v>
      </c>
      <c r="B77" s="1373">
        <v>8</v>
      </c>
      <c r="C77" s="1373" t="s">
        <v>3298</v>
      </c>
      <c r="D77" s="1357"/>
      <c r="E77" s="1358"/>
      <c r="F77" s="1358"/>
      <c r="G77" s="1358"/>
      <c r="H77" s="1305"/>
      <c r="I77" s="1305"/>
      <c r="J77" s="1305"/>
      <c r="K77" s="1305" t="s">
        <v>3505</v>
      </c>
      <c r="L77" s="1305"/>
      <c r="M77" s="1359"/>
      <c r="N77" s="1359"/>
      <c r="O77" s="1480"/>
      <c r="P77" s="1360" t="s">
        <v>3503</v>
      </c>
      <c r="Q77" s="1361" t="s">
        <v>3497</v>
      </c>
      <c r="R77" s="1399" t="s">
        <v>3387</v>
      </c>
    </row>
    <row r="78" spans="1:18" ht="16.5" customHeight="1" x14ac:dyDescent="0.25">
      <c r="A78" s="1305" t="s">
        <v>3515</v>
      </c>
      <c r="B78" s="1373">
        <v>8</v>
      </c>
      <c r="C78" s="1373" t="s">
        <v>3298</v>
      </c>
      <c r="D78" s="1357"/>
      <c r="E78" s="1358"/>
      <c r="F78" s="1358"/>
      <c r="G78" s="1358"/>
      <c r="H78" s="1305"/>
      <c r="I78" s="1305"/>
      <c r="J78" s="1305"/>
      <c r="K78" s="1305" t="s">
        <v>3507</v>
      </c>
      <c r="L78" s="1305"/>
      <c r="M78" s="1359"/>
      <c r="N78" s="1359"/>
      <c r="O78" s="1480"/>
      <c r="P78" s="1360" t="s">
        <v>3503</v>
      </c>
      <c r="Q78" s="1361" t="s">
        <v>3497</v>
      </c>
      <c r="R78" s="1399" t="s">
        <v>3387</v>
      </c>
    </row>
    <row r="79" spans="1:18" ht="16.5" customHeight="1" x14ac:dyDescent="0.25">
      <c r="A79" s="1305" t="s">
        <v>3516</v>
      </c>
      <c r="B79" s="1373">
        <v>8</v>
      </c>
      <c r="C79" s="1373" t="s">
        <v>3298</v>
      </c>
      <c r="D79" s="1357"/>
      <c r="E79" s="1358"/>
      <c r="F79" s="1358"/>
      <c r="G79" s="1358"/>
      <c r="H79" s="1305"/>
      <c r="I79" s="1305"/>
      <c r="J79" s="1305"/>
      <c r="K79" s="1305" t="s">
        <v>3509</v>
      </c>
      <c r="L79" s="1305"/>
      <c r="M79" s="1359"/>
      <c r="N79" s="1359"/>
      <c r="O79" s="1480"/>
      <c r="P79" s="1360" t="s">
        <v>3503</v>
      </c>
      <c r="Q79" s="1361" t="s">
        <v>3497</v>
      </c>
      <c r="R79" s="1399" t="s">
        <v>3387</v>
      </c>
    </row>
    <row r="80" spans="1:18" ht="16.5" customHeight="1" x14ac:dyDescent="0.25">
      <c r="A80" s="1305" t="s">
        <v>3517</v>
      </c>
      <c r="B80" s="1373">
        <v>8</v>
      </c>
      <c r="C80" s="1373" t="s">
        <v>3298</v>
      </c>
      <c r="D80" s="1357"/>
      <c r="E80" s="1358"/>
      <c r="F80" s="1358"/>
      <c r="G80" s="1358"/>
      <c r="H80" s="1305"/>
      <c r="I80" s="1305"/>
      <c r="J80" s="1305"/>
      <c r="K80" s="1305" t="s">
        <v>3511</v>
      </c>
      <c r="L80" s="1305"/>
      <c r="M80" s="1359"/>
      <c r="N80" s="1359"/>
      <c r="O80" s="1480"/>
      <c r="P80" s="1360" t="s">
        <v>3503</v>
      </c>
      <c r="Q80" s="1361" t="s">
        <v>3497</v>
      </c>
      <c r="R80" s="1399" t="s">
        <v>3387</v>
      </c>
    </row>
    <row r="81" spans="1:18" ht="16.5" customHeight="1" x14ac:dyDescent="0.25">
      <c r="A81" s="1321" t="s">
        <v>3518</v>
      </c>
      <c r="B81" s="1410">
        <v>6</v>
      </c>
      <c r="C81" s="1410" t="s">
        <v>3298</v>
      </c>
      <c r="D81" s="1410"/>
      <c r="E81" s="1410"/>
      <c r="F81" s="1410"/>
      <c r="G81" s="1410"/>
      <c r="H81" s="1321" t="s">
        <v>3519</v>
      </c>
      <c r="I81" s="1410"/>
      <c r="J81" s="1410"/>
      <c r="K81" s="1410"/>
      <c r="L81" s="1410"/>
      <c r="M81" s="1410"/>
      <c r="N81" s="1321"/>
      <c r="O81" s="1490"/>
      <c r="P81" s="1392" t="s">
        <v>3520</v>
      </c>
      <c r="Q81" s="1361" t="s">
        <v>3521</v>
      </c>
      <c r="R81" s="1399" t="s">
        <v>3387</v>
      </c>
    </row>
    <row r="82" spans="1:18" ht="16.5" customHeight="1" x14ac:dyDescent="0.25">
      <c r="A82" s="1305" t="s">
        <v>3522</v>
      </c>
      <c r="B82" s="1373">
        <v>7</v>
      </c>
      <c r="C82" s="1373" t="s">
        <v>3298</v>
      </c>
      <c r="D82" s="1357"/>
      <c r="E82" s="1358"/>
      <c r="F82" s="1358"/>
      <c r="G82" s="1358"/>
      <c r="H82" s="1321" t="s">
        <v>3523</v>
      </c>
      <c r="I82" s="1317"/>
      <c r="J82" s="1321"/>
      <c r="K82" s="1321"/>
      <c r="L82" s="1321"/>
      <c r="M82" s="1321"/>
      <c r="N82" s="1321"/>
      <c r="O82" s="1490"/>
      <c r="P82" s="1361" t="s">
        <v>3524</v>
      </c>
      <c r="Q82" s="1361" t="s">
        <v>3525</v>
      </c>
      <c r="R82" s="1362"/>
    </row>
    <row r="83" spans="1:18" ht="16.5" customHeight="1" x14ac:dyDescent="0.25">
      <c r="A83" s="1305" t="s">
        <v>3526</v>
      </c>
      <c r="B83" s="1373">
        <v>7</v>
      </c>
      <c r="C83" s="1373" t="s">
        <v>3298</v>
      </c>
      <c r="D83" s="1357"/>
      <c r="E83" s="1358"/>
      <c r="F83" s="1358"/>
      <c r="G83" s="1358"/>
      <c r="H83" s="1321" t="s">
        <v>3527</v>
      </c>
      <c r="I83" s="1317"/>
      <c r="J83" s="1321"/>
      <c r="K83" s="1321"/>
      <c r="L83" s="1321"/>
      <c r="M83" s="1321"/>
      <c r="N83" s="1321"/>
      <c r="O83" s="1490"/>
      <c r="P83" s="1361" t="s">
        <v>3528</v>
      </c>
      <c r="Q83" s="1361" t="s">
        <v>3529</v>
      </c>
      <c r="R83" s="1362"/>
    </row>
    <row r="84" spans="1:18" ht="16.5" customHeight="1" x14ac:dyDescent="0.25">
      <c r="A84" s="1316" t="s">
        <v>3530</v>
      </c>
      <c r="B84" s="1373">
        <v>7</v>
      </c>
      <c r="C84" s="1373" t="s">
        <v>3298</v>
      </c>
      <c r="D84" s="1357"/>
      <c r="E84" s="1358"/>
      <c r="F84" s="1358"/>
      <c r="G84" s="1358"/>
      <c r="H84" s="1359" t="s">
        <v>3531</v>
      </c>
      <c r="I84" s="1305"/>
      <c r="J84" s="1359"/>
      <c r="K84" s="1359"/>
      <c r="L84" s="1359"/>
      <c r="M84" s="1359"/>
      <c r="N84" s="1359"/>
      <c r="O84" s="1480"/>
      <c r="P84" s="1361" t="s">
        <v>3532</v>
      </c>
      <c r="Q84" s="1361" t="s">
        <v>3533</v>
      </c>
      <c r="R84" s="1399" t="s">
        <v>3374</v>
      </c>
    </row>
    <row r="85" spans="1:18" ht="16.5" customHeight="1" x14ac:dyDescent="0.25">
      <c r="A85" s="1316" t="s">
        <v>3534</v>
      </c>
      <c r="B85" s="1373">
        <v>7</v>
      </c>
      <c r="C85" s="1373" t="s">
        <v>3298</v>
      </c>
      <c r="D85" s="1357"/>
      <c r="E85" s="1358"/>
      <c r="F85" s="1358"/>
      <c r="G85" s="1358"/>
      <c r="H85" s="1359" t="s">
        <v>3535</v>
      </c>
      <c r="I85" s="1305"/>
      <c r="J85" s="1359"/>
      <c r="K85" s="1359"/>
      <c r="L85" s="1359"/>
      <c r="M85" s="1359"/>
      <c r="N85" s="1359"/>
      <c r="O85" s="1480"/>
      <c r="P85" s="1361" t="s">
        <v>3536</v>
      </c>
      <c r="Q85" s="1361" t="s">
        <v>3537</v>
      </c>
      <c r="R85" s="1399" t="s">
        <v>3374</v>
      </c>
    </row>
    <row r="86" spans="1:18" ht="16.5" customHeight="1" x14ac:dyDescent="0.25">
      <c r="A86" s="1316" t="s">
        <v>3538</v>
      </c>
      <c r="B86" s="1373">
        <v>7</v>
      </c>
      <c r="C86" s="1373" t="s">
        <v>3298</v>
      </c>
      <c r="D86" s="1357"/>
      <c r="E86" s="1358"/>
      <c r="F86" s="1358"/>
      <c r="G86" s="1358"/>
      <c r="H86" s="1359" t="s">
        <v>3539</v>
      </c>
      <c r="I86" s="1305"/>
      <c r="J86" s="1359"/>
      <c r="K86" s="1359"/>
      <c r="L86" s="1359"/>
      <c r="M86" s="1359"/>
      <c r="N86" s="1359"/>
      <c r="O86" s="1480"/>
      <c r="P86" s="1361" t="s">
        <v>3540</v>
      </c>
      <c r="Q86" s="1361" t="s">
        <v>3537</v>
      </c>
      <c r="R86" s="1399" t="s">
        <v>3374</v>
      </c>
    </row>
    <row r="87" spans="1:18" ht="16.5" customHeight="1" x14ac:dyDescent="0.25">
      <c r="A87" s="1316" t="s">
        <v>3541</v>
      </c>
      <c r="B87" s="1373">
        <v>7</v>
      </c>
      <c r="C87" s="1373" t="s">
        <v>3298</v>
      </c>
      <c r="D87" s="1357"/>
      <c r="E87" s="1358"/>
      <c r="F87" s="1358"/>
      <c r="G87" s="1358"/>
      <c r="H87" s="1359" t="s">
        <v>3542</v>
      </c>
      <c r="I87" s="1359"/>
      <c r="J87" s="1359"/>
      <c r="K87" s="1359"/>
      <c r="L87" s="1359"/>
      <c r="M87" s="1359"/>
      <c r="N87" s="1359"/>
      <c r="O87" s="1480"/>
      <c r="P87" s="1361" t="s">
        <v>3543</v>
      </c>
      <c r="Q87" s="1361" t="s">
        <v>3544</v>
      </c>
      <c r="R87" s="1399" t="s">
        <v>3374</v>
      </c>
    </row>
    <row r="88" spans="1:18" ht="16.5" customHeight="1" x14ac:dyDescent="0.25">
      <c r="A88" s="1316" t="s">
        <v>3545</v>
      </c>
      <c r="B88" s="1373">
        <v>7</v>
      </c>
      <c r="C88" s="1373" t="s">
        <v>3298</v>
      </c>
      <c r="D88" s="1357"/>
      <c r="E88" s="1358"/>
      <c r="F88" s="1358"/>
      <c r="G88" s="1358"/>
      <c r="H88" s="1359" t="s">
        <v>3546</v>
      </c>
      <c r="I88" s="1359"/>
      <c r="J88" s="1359"/>
      <c r="K88" s="1359"/>
      <c r="L88" s="1359"/>
      <c r="M88" s="1359"/>
      <c r="N88" s="1359"/>
      <c r="O88" s="1480"/>
      <c r="P88" s="1361" t="s">
        <v>3547</v>
      </c>
      <c r="Q88" s="1361" t="s">
        <v>3544</v>
      </c>
      <c r="R88" s="1399" t="s">
        <v>3374</v>
      </c>
    </row>
    <row r="89" spans="1:18" ht="16.5" customHeight="1" x14ac:dyDescent="0.25">
      <c r="A89" s="1316" t="s">
        <v>3548</v>
      </c>
      <c r="B89" s="1373">
        <v>7</v>
      </c>
      <c r="C89" s="1373" t="s">
        <v>3298</v>
      </c>
      <c r="D89" s="1357"/>
      <c r="E89" s="1358"/>
      <c r="F89" s="1358"/>
      <c r="G89" s="1358"/>
      <c r="H89" s="1359" t="s">
        <v>3549</v>
      </c>
      <c r="I89" s="1359"/>
      <c r="J89" s="1359"/>
      <c r="K89" s="1359"/>
      <c r="L89" s="1359"/>
      <c r="M89" s="1359"/>
      <c r="N89" s="1359"/>
      <c r="O89" s="1480"/>
      <c r="P89" s="1361" t="s">
        <v>3550</v>
      </c>
      <c r="Q89" s="1361" t="s">
        <v>3544</v>
      </c>
      <c r="R89" s="1399" t="s">
        <v>3374</v>
      </c>
    </row>
    <row r="90" spans="1:18" ht="16.5" customHeight="1" x14ac:dyDescent="0.25">
      <c r="A90" s="1316" t="s">
        <v>3551</v>
      </c>
      <c r="B90" s="1373">
        <v>7</v>
      </c>
      <c r="C90" s="1373" t="s">
        <v>3298</v>
      </c>
      <c r="D90" s="1357"/>
      <c r="E90" s="1358"/>
      <c r="F90" s="1358"/>
      <c r="G90" s="1358"/>
      <c r="H90" s="1359" t="s">
        <v>3552</v>
      </c>
      <c r="I90" s="1359"/>
      <c r="J90" s="1359"/>
      <c r="K90" s="1359"/>
      <c r="L90" s="1359"/>
      <c r="M90" s="1359"/>
      <c r="N90" s="1359"/>
      <c r="O90" s="1480"/>
      <c r="P90" s="1361" t="s">
        <v>3553</v>
      </c>
      <c r="Q90" s="1361" t="s">
        <v>3544</v>
      </c>
      <c r="R90" s="1399" t="s">
        <v>3374</v>
      </c>
    </row>
    <row r="91" spans="1:18" ht="16.5" customHeight="1" x14ac:dyDescent="0.25">
      <c r="A91" s="1316" t="s">
        <v>3554</v>
      </c>
      <c r="B91" s="1373">
        <v>7</v>
      </c>
      <c r="C91" s="1373" t="s">
        <v>3298</v>
      </c>
      <c r="D91" s="1357"/>
      <c r="E91" s="1358"/>
      <c r="F91" s="1358"/>
      <c r="G91" s="1358"/>
      <c r="H91" s="1359" t="s">
        <v>3555</v>
      </c>
      <c r="I91" s="1359"/>
      <c r="J91" s="1359"/>
      <c r="K91" s="1359"/>
      <c r="L91" s="1359"/>
      <c r="M91" s="1359"/>
      <c r="N91" s="1359"/>
      <c r="O91" s="1480"/>
      <c r="P91" s="1361" t="s">
        <v>3556</v>
      </c>
      <c r="Q91" s="1361" t="s">
        <v>3544</v>
      </c>
      <c r="R91" s="1399" t="s">
        <v>3374</v>
      </c>
    </row>
    <row r="92" spans="1:18" ht="16.5" customHeight="1" x14ac:dyDescent="0.25">
      <c r="A92" s="1316" t="s">
        <v>3557</v>
      </c>
      <c r="B92" s="1373">
        <v>7</v>
      </c>
      <c r="C92" s="1373" t="s">
        <v>3298</v>
      </c>
      <c r="D92" s="1357"/>
      <c r="E92" s="1358"/>
      <c r="F92" s="1358"/>
      <c r="G92" s="1358"/>
      <c r="H92" s="1359" t="s">
        <v>3558</v>
      </c>
      <c r="I92" s="1359"/>
      <c r="J92" s="1359"/>
      <c r="K92" s="1359"/>
      <c r="L92" s="1359"/>
      <c r="M92" s="1359"/>
      <c r="N92" s="1359"/>
      <c r="O92" s="1480"/>
      <c r="P92" s="1361" t="s">
        <v>3559</v>
      </c>
      <c r="Q92" s="1361" t="s">
        <v>3544</v>
      </c>
      <c r="R92" s="1399" t="s">
        <v>3374</v>
      </c>
    </row>
    <row r="93" spans="1:18" ht="16.5" customHeight="1" x14ac:dyDescent="0.25">
      <c r="A93" s="1316" t="s">
        <v>3560</v>
      </c>
      <c r="B93" s="1373">
        <v>7</v>
      </c>
      <c r="C93" s="1373" t="s">
        <v>3298</v>
      </c>
      <c r="D93" s="1357"/>
      <c r="E93" s="1358"/>
      <c r="F93" s="1358"/>
      <c r="G93" s="1358"/>
      <c r="H93" s="1359" t="s">
        <v>3561</v>
      </c>
      <c r="I93" s="1359"/>
      <c r="J93" s="1359"/>
      <c r="K93" s="1359"/>
      <c r="L93" s="1359"/>
      <c r="M93" s="1359"/>
      <c r="N93" s="1359"/>
      <c r="O93" s="1480"/>
      <c r="P93" s="1361" t="s">
        <v>3562</v>
      </c>
      <c r="Q93" s="1361" t="s">
        <v>3544</v>
      </c>
      <c r="R93" s="1399" t="s">
        <v>3374</v>
      </c>
    </row>
    <row r="94" spans="1:18" ht="16.5" customHeight="1" x14ac:dyDescent="0.25">
      <c r="A94" s="1316" t="s">
        <v>3563</v>
      </c>
      <c r="B94" s="1373">
        <v>7</v>
      </c>
      <c r="C94" s="1373" t="s">
        <v>3298</v>
      </c>
      <c r="D94" s="1357"/>
      <c r="E94" s="1358"/>
      <c r="F94" s="1358"/>
      <c r="G94" s="1358"/>
      <c r="H94" s="1359" t="s">
        <v>3564</v>
      </c>
      <c r="I94" s="1359"/>
      <c r="J94" s="1359"/>
      <c r="K94" s="1359"/>
      <c r="L94" s="1359"/>
      <c r="M94" s="1359"/>
      <c r="N94" s="1359"/>
      <c r="O94" s="1480"/>
      <c r="P94" s="1361" t="s">
        <v>3565</v>
      </c>
      <c r="Q94" s="1361" t="s">
        <v>3566</v>
      </c>
      <c r="R94" s="1399" t="s">
        <v>3374</v>
      </c>
    </row>
    <row r="95" spans="1:18" ht="16.5" customHeight="1" x14ac:dyDescent="0.25">
      <c r="A95" s="1316" t="s">
        <v>3567</v>
      </c>
      <c r="B95" s="1373">
        <v>7</v>
      </c>
      <c r="C95" s="1373" t="s">
        <v>3298</v>
      </c>
      <c r="D95" s="1357"/>
      <c r="E95" s="1358"/>
      <c r="F95" s="1358"/>
      <c r="G95" s="1358"/>
      <c r="H95" s="1359" t="s">
        <v>3568</v>
      </c>
      <c r="I95" s="1359"/>
      <c r="J95" s="1359"/>
      <c r="K95" s="1359"/>
      <c r="L95" s="1359"/>
      <c r="M95" s="1359"/>
      <c r="N95" s="1359"/>
      <c r="O95" s="1480"/>
      <c r="P95" s="1361" t="s">
        <v>3569</v>
      </c>
      <c r="Q95" s="1361" t="s">
        <v>3544</v>
      </c>
      <c r="R95" s="1399" t="s">
        <v>3374</v>
      </c>
    </row>
    <row r="96" spans="1:18" ht="16.5" customHeight="1" x14ac:dyDescent="0.25">
      <c r="A96" s="1316" t="s">
        <v>3570</v>
      </c>
      <c r="B96" s="1373">
        <v>7</v>
      </c>
      <c r="C96" s="1373" t="s">
        <v>3298</v>
      </c>
      <c r="D96" s="1357"/>
      <c r="E96" s="1358"/>
      <c r="F96" s="1358"/>
      <c r="G96" s="1358"/>
      <c r="H96" s="1359" t="s">
        <v>3571</v>
      </c>
      <c r="I96" s="1359"/>
      <c r="J96" s="1359"/>
      <c r="K96" s="1359"/>
      <c r="L96" s="1359"/>
      <c r="M96" s="1359"/>
      <c r="N96" s="1359"/>
      <c r="O96" s="1480"/>
      <c r="P96" s="1361" t="s">
        <v>3572</v>
      </c>
      <c r="Q96" s="1361" t="s">
        <v>3544</v>
      </c>
      <c r="R96" s="1399" t="s">
        <v>3374</v>
      </c>
    </row>
    <row r="97" spans="1:18" ht="16.5" customHeight="1" x14ac:dyDescent="0.25">
      <c r="A97" s="1317" t="s">
        <v>3573</v>
      </c>
      <c r="B97" s="1410">
        <v>7</v>
      </c>
      <c r="C97" s="1410" t="s">
        <v>3298</v>
      </c>
      <c r="D97" s="1390"/>
      <c r="E97" s="1312"/>
      <c r="F97" s="1312"/>
      <c r="G97" s="1312"/>
      <c r="H97" s="1321" t="s">
        <v>3574</v>
      </c>
      <c r="I97" s="1321"/>
      <c r="J97" s="1321"/>
      <c r="K97" s="1321"/>
      <c r="L97" s="1321"/>
      <c r="M97" s="1321"/>
      <c r="N97" s="1321"/>
      <c r="O97" s="1490"/>
      <c r="P97" s="1361"/>
      <c r="Q97" s="1361" t="s">
        <v>3575</v>
      </c>
      <c r="R97" s="1399" t="s">
        <v>3374</v>
      </c>
    </row>
    <row r="98" spans="1:18" ht="16.5" customHeight="1" x14ac:dyDescent="0.25">
      <c r="A98" s="1315" t="s">
        <v>3576</v>
      </c>
      <c r="B98" s="1404">
        <v>4</v>
      </c>
      <c r="C98" s="1404" t="s">
        <v>3286</v>
      </c>
      <c r="D98" s="1404"/>
      <c r="E98" s="1315"/>
      <c r="F98" s="1315"/>
      <c r="G98" s="1315" t="s">
        <v>348</v>
      </c>
      <c r="H98" s="1315"/>
      <c r="I98" s="1315"/>
      <c r="J98" s="1315"/>
      <c r="K98" s="1315"/>
      <c r="L98" s="1315"/>
      <c r="M98" s="1315"/>
      <c r="N98" s="1405"/>
      <c r="O98" s="1489"/>
      <c r="P98" s="1406" t="s">
        <v>3577</v>
      </c>
      <c r="Q98" s="1407"/>
      <c r="R98" s="1355"/>
    </row>
    <row r="99" spans="1:18" ht="16.5" customHeight="1" x14ac:dyDescent="0.25">
      <c r="A99" s="1308" t="s">
        <v>3578</v>
      </c>
      <c r="B99" s="1379">
        <v>5</v>
      </c>
      <c r="C99" s="1379" t="s">
        <v>3286</v>
      </c>
      <c r="D99" s="1379"/>
      <c r="E99" s="1308"/>
      <c r="F99" s="1308"/>
      <c r="G99" s="1308"/>
      <c r="H99" s="1308" t="s">
        <v>350</v>
      </c>
      <c r="I99" s="1308"/>
      <c r="J99" s="1308"/>
      <c r="K99" s="1308"/>
      <c r="L99" s="1308"/>
      <c r="M99" s="1380"/>
      <c r="N99" s="1380"/>
      <c r="O99" s="1482"/>
      <c r="P99" s="1371" t="s">
        <v>3579</v>
      </c>
      <c r="Q99" s="1372" t="s">
        <v>3580</v>
      </c>
      <c r="R99" s="1355"/>
    </row>
    <row r="100" spans="1:18" ht="16.5" customHeight="1" x14ac:dyDescent="0.25">
      <c r="A100" s="1305" t="s">
        <v>3581</v>
      </c>
      <c r="B100" s="1373">
        <v>6</v>
      </c>
      <c r="C100" s="1373" t="s">
        <v>3298</v>
      </c>
      <c r="D100" s="1373"/>
      <c r="E100" s="1305"/>
      <c r="F100" s="1305"/>
      <c r="G100" s="1305"/>
      <c r="H100" s="1359"/>
      <c r="I100" s="1305" t="s">
        <v>352</v>
      </c>
      <c r="J100" s="1305"/>
      <c r="K100" s="1305"/>
      <c r="L100" s="1305"/>
      <c r="M100" s="1305"/>
      <c r="N100" s="1359"/>
      <c r="O100" s="1480">
        <f>+'F Y U 2024 Presupuesto 15.09'!C50</f>
        <v>77643000</v>
      </c>
      <c r="P100" s="1369" t="s">
        <v>3582</v>
      </c>
      <c r="Q100" s="1374" t="s">
        <v>3583</v>
      </c>
      <c r="R100" s="1431"/>
    </row>
    <row r="101" spans="1:18" ht="16.5" customHeight="1" x14ac:dyDescent="0.25">
      <c r="A101" s="1305" t="s">
        <v>3584</v>
      </c>
      <c r="B101" s="1373">
        <v>6</v>
      </c>
      <c r="C101" s="1373" t="s">
        <v>3298</v>
      </c>
      <c r="D101" s="1373"/>
      <c r="E101" s="1305"/>
      <c r="F101" s="1305"/>
      <c r="G101" s="1305"/>
      <c r="H101" s="1359"/>
      <c r="I101" s="1305" t="s">
        <v>354</v>
      </c>
      <c r="J101" s="1305"/>
      <c r="K101" s="1305"/>
      <c r="L101" s="1305"/>
      <c r="M101" s="1305"/>
      <c r="N101" s="1359"/>
      <c r="O101" s="1480">
        <f>+'F Y U 2024 Presupuesto 15.09'!C49</f>
        <v>1000000</v>
      </c>
      <c r="P101" s="1369" t="s">
        <v>3585</v>
      </c>
      <c r="Q101" s="1374" t="s">
        <v>3586</v>
      </c>
      <c r="R101" s="1431"/>
    </row>
    <row r="102" spans="1:18" ht="16.5" customHeight="1" x14ac:dyDescent="0.25">
      <c r="A102" s="1305" t="s">
        <v>3587</v>
      </c>
      <c r="B102" s="1373">
        <v>6</v>
      </c>
      <c r="C102" s="1373" t="s">
        <v>3298</v>
      </c>
      <c r="D102" s="1373"/>
      <c r="E102" s="1305"/>
      <c r="F102" s="1305"/>
      <c r="G102" s="1305"/>
      <c r="H102" s="1359"/>
      <c r="I102" s="1305" t="s">
        <v>356</v>
      </c>
      <c r="J102" s="1305"/>
      <c r="K102" s="1305"/>
      <c r="L102" s="1305"/>
      <c r="M102" s="1305"/>
      <c r="N102" s="1359"/>
      <c r="O102" s="1480">
        <f>+'F Y U 2024 Presupuesto 15.09'!C47</f>
        <v>217044000</v>
      </c>
      <c r="P102" s="1369" t="s">
        <v>3588</v>
      </c>
      <c r="Q102" s="1374" t="s">
        <v>3589</v>
      </c>
      <c r="R102" s="1362"/>
    </row>
    <row r="103" spans="1:18" ht="16.5" customHeight="1" x14ac:dyDescent="0.25">
      <c r="A103" s="1305" t="s">
        <v>3590</v>
      </c>
      <c r="B103" s="1373">
        <v>6</v>
      </c>
      <c r="C103" s="1373" t="s">
        <v>3298</v>
      </c>
      <c r="D103" s="1373"/>
      <c r="E103" s="1305"/>
      <c r="F103" s="1305"/>
      <c r="G103" s="1305"/>
      <c r="H103" s="1359"/>
      <c r="I103" s="1305" t="s">
        <v>358</v>
      </c>
      <c r="J103" s="1305"/>
      <c r="K103" s="1305"/>
      <c r="L103" s="1305"/>
      <c r="M103" s="1305"/>
      <c r="N103" s="1359"/>
      <c r="O103" s="1480">
        <f>+'F Y U 2024 Presupuesto 15.09'!C48</f>
        <v>1000000</v>
      </c>
      <c r="P103" s="1369" t="s">
        <v>3591</v>
      </c>
      <c r="Q103" s="1374" t="s">
        <v>3592</v>
      </c>
      <c r="R103" s="1362"/>
    </row>
    <row r="104" spans="1:18" ht="16.5" customHeight="1" x14ac:dyDescent="0.25">
      <c r="A104" s="1305" t="s">
        <v>3593</v>
      </c>
      <c r="B104" s="1373">
        <v>6</v>
      </c>
      <c r="C104" s="1373" t="s">
        <v>3298</v>
      </c>
      <c r="D104" s="1373"/>
      <c r="E104" s="1305"/>
      <c r="F104" s="1305"/>
      <c r="G104" s="1305"/>
      <c r="H104" s="1359"/>
      <c r="I104" s="1305" t="s">
        <v>360</v>
      </c>
      <c r="J104" s="1305"/>
      <c r="K104" s="1305"/>
      <c r="L104" s="1305"/>
      <c r="M104" s="1305"/>
      <c r="N104" s="1359"/>
      <c r="O104" s="1480"/>
      <c r="P104" s="1369" t="s">
        <v>3594</v>
      </c>
      <c r="Q104" s="1374" t="s">
        <v>3489</v>
      </c>
      <c r="R104" s="1362"/>
    </row>
    <row r="105" spans="1:18" ht="16.5" customHeight="1" x14ac:dyDescent="0.25">
      <c r="A105" s="1305" t="s">
        <v>3595</v>
      </c>
      <c r="B105" s="1373">
        <v>6</v>
      </c>
      <c r="C105" s="1373" t="s">
        <v>3298</v>
      </c>
      <c r="D105" s="1373"/>
      <c r="E105" s="1305"/>
      <c r="F105" s="1305"/>
      <c r="G105" s="1305"/>
      <c r="H105" s="1359"/>
      <c r="I105" s="1305" t="s">
        <v>362</v>
      </c>
      <c r="J105" s="1305"/>
      <c r="K105" s="1305"/>
      <c r="L105" s="1305"/>
      <c r="M105" s="1305"/>
      <c r="N105" s="1359"/>
      <c r="O105" s="1480">
        <f>+'F Y U 2024 Presupuesto 15.09'!C9</f>
        <v>7607895000</v>
      </c>
      <c r="P105" s="1369" t="s">
        <v>3596</v>
      </c>
      <c r="Q105" s="1374" t="s">
        <v>3597</v>
      </c>
      <c r="R105" s="1362"/>
    </row>
    <row r="106" spans="1:18" ht="16.5" customHeight="1" x14ac:dyDescent="0.25">
      <c r="A106" s="1305" t="s">
        <v>3598</v>
      </c>
      <c r="B106" s="1373">
        <v>6</v>
      </c>
      <c r="C106" s="1373" t="s">
        <v>3298</v>
      </c>
      <c r="D106" s="1373"/>
      <c r="E106" s="1305"/>
      <c r="F106" s="1305"/>
      <c r="G106" s="1305"/>
      <c r="H106" s="1359"/>
      <c r="I106" s="1305" t="s">
        <v>371</v>
      </c>
      <c r="J106" s="1305"/>
      <c r="K106" s="1305"/>
      <c r="L106" s="1305"/>
      <c r="M106" s="1305"/>
      <c r="N106" s="1359"/>
      <c r="O106" s="1480"/>
      <c r="P106" s="1369" t="s">
        <v>3599</v>
      </c>
      <c r="Q106" s="1374" t="s">
        <v>3600</v>
      </c>
      <c r="R106" s="1362"/>
    </row>
    <row r="107" spans="1:18" ht="16.5" customHeight="1" x14ac:dyDescent="0.25">
      <c r="A107" s="1305" t="s">
        <v>3601</v>
      </c>
      <c r="B107" s="1373">
        <v>6</v>
      </c>
      <c r="C107" s="1373" t="s">
        <v>3298</v>
      </c>
      <c r="D107" s="1373"/>
      <c r="E107" s="1305"/>
      <c r="F107" s="1305"/>
      <c r="G107" s="1305"/>
      <c r="H107" s="1359"/>
      <c r="I107" s="1305" t="s">
        <v>373</v>
      </c>
      <c r="J107" s="1305"/>
      <c r="K107" s="1305"/>
      <c r="L107" s="1305"/>
      <c r="M107" s="1305"/>
      <c r="N107" s="1359"/>
      <c r="O107" s="1480"/>
      <c r="P107" s="1369" t="s">
        <v>3602</v>
      </c>
      <c r="Q107" s="1374" t="s">
        <v>3603</v>
      </c>
      <c r="R107" s="1362"/>
    </row>
    <row r="108" spans="1:18" ht="16.5" customHeight="1" x14ac:dyDescent="0.25">
      <c r="A108" s="1305" t="s">
        <v>3604</v>
      </c>
      <c r="B108" s="1373">
        <v>6</v>
      </c>
      <c r="C108" s="1373" t="s">
        <v>3298</v>
      </c>
      <c r="D108" s="1373"/>
      <c r="E108" s="1305"/>
      <c r="F108" s="1305"/>
      <c r="G108" s="1305"/>
      <c r="H108" s="1359"/>
      <c r="I108" s="1305" t="s">
        <v>375</v>
      </c>
      <c r="J108" s="1305"/>
      <c r="K108" s="1305"/>
      <c r="L108" s="1305"/>
      <c r="M108" s="1305"/>
      <c r="N108" s="1359"/>
      <c r="O108" s="1480"/>
      <c r="P108" s="1369" t="s">
        <v>3605</v>
      </c>
      <c r="Q108" s="1374" t="s">
        <v>3606</v>
      </c>
      <c r="R108" s="1362"/>
    </row>
    <row r="109" spans="1:18" ht="16.5" customHeight="1" x14ac:dyDescent="0.25">
      <c r="A109" s="1305" t="s">
        <v>3607</v>
      </c>
      <c r="B109" s="1373">
        <v>6</v>
      </c>
      <c r="C109" s="1373" t="s">
        <v>3298</v>
      </c>
      <c r="D109" s="1373"/>
      <c r="E109" s="1305"/>
      <c r="F109" s="1305"/>
      <c r="G109" s="1305"/>
      <c r="H109" s="1359"/>
      <c r="I109" s="1305" t="s">
        <v>3608</v>
      </c>
      <c r="J109" s="1305"/>
      <c r="K109" s="1305"/>
      <c r="L109" s="1305"/>
      <c r="M109" s="1305"/>
      <c r="N109" s="1359"/>
      <c r="O109" s="1480"/>
      <c r="P109" s="1369" t="s">
        <v>3609</v>
      </c>
      <c r="Q109" s="1374" t="s">
        <v>3610</v>
      </c>
      <c r="R109" s="1362"/>
    </row>
    <row r="110" spans="1:18" ht="16.5" customHeight="1" x14ac:dyDescent="0.25">
      <c r="A110" s="1312" t="s">
        <v>3611</v>
      </c>
      <c r="B110" s="1390">
        <v>6</v>
      </c>
      <c r="C110" s="1390" t="s">
        <v>3286</v>
      </c>
      <c r="D110" s="1390"/>
      <c r="E110" s="1312"/>
      <c r="F110" s="1312"/>
      <c r="G110" s="1312"/>
      <c r="H110" s="1391"/>
      <c r="I110" s="1312" t="s">
        <v>3612</v>
      </c>
      <c r="J110" s="1312"/>
      <c r="K110" s="1312"/>
      <c r="L110" s="1312"/>
      <c r="M110" s="1312"/>
      <c r="N110" s="1391"/>
      <c r="O110" s="1485"/>
      <c r="P110" s="1383" t="s">
        <v>3613</v>
      </c>
      <c r="Q110" s="1384" t="s">
        <v>3614</v>
      </c>
      <c r="R110" s="1355"/>
    </row>
    <row r="111" spans="1:18" ht="16.5" customHeight="1" x14ac:dyDescent="0.25">
      <c r="A111" s="1305" t="s">
        <v>3615</v>
      </c>
      <c r="B111" s="1373">
        <v>7</v>
      </c>
      <c r="C111" s="1373" t="s">
        <v>3298</v>
      </c>
      <c r="D111" s="1373"/>
      <c r="E111" s="1305"/>
      <c r="F111" s="1305"/>
      <c r="G111" s="1305"/>
      <c r="H111" s="1305"/>
      <c r="I111" s="1305"/>
      <c r="J111" s="1305" t="s">
        <v>3616</v>
      </c>
      <c r="K111" s="1305"/>
      <c r="L111" s="1305"/>
      <c r="M111" s="1305"/>
      <c r="N111" s="1359"/>
      <c r="O111" s="1480"/>
      <c r="P111" s="1369" t="s">
        <v>3617</v>
      </c>
      <c r="Q111" s="1409" t="s">
        <v>3614</v>
      </c>
      <c r="R111" s="1362"/>
    </row>
    <row r="112" spans="1:18" ht="16.5" customHeight="1" x14ac:dyDescent="0.25">
      <c r="A112" s="1305" t="s">
        <v>3618</v>
      </c>
      <c r="B112" s="1373">
        <v>7</v>
      </c>
      <c r="C112" s="1373" t="s">
        <v>3298</v>
      </c>
      <c r="D112" s="1373"/>
      <c r="E112" s="1305"/>
      <c r="F112" s="1305"/>
      <c r="G112" s="1305"/>
      <c r="H112" s="1305"/>
      <c r="I112" s="1305"/>
      <c r="J112" s="1305" t="s">
        <v>3619</v>
      </c>
      <c r="K112" s="1305"/>
      <c r="L112" s="1305"/>
      <c r="M112" s="1305"/>
      <c r="N112" s="1359"/>
      <c r="O112" s="1480"/>
      <c r="P112" s="1369" t="s">
        <v>3620</v>
      </c>
      <c r="Q112" s="1409" t="s">
        <v>3614</v>
      </c>
      <c r="R112" s="1362"/>
    </row>
    <row r="113" spans="1:18" ht="16.5" customHeight="1" x14ac:dyDescent="0.25">
      <c r="A113" s="1305" t="s">
        <v>3621</v>
      </c>
      <c r="B113" s="1373">
        <v>6</v>
      </c>
      <c r="C113" s="1373" t="s">
        <v>3298</v>
      </c>
      <c r="D113" s="1373"/>
      <c r="E113" s="1305"/>
      <c r="F113" s="1305"/>
      <c r="G113" s="1305"/>
      <c r="H113" s="1359"/>
      <c r="I113" s="1305" t="s">
        <v>3622</v>
      </c>
      <c r="J113" s="1305"/>
      <c r="K113" s="1305"/>
      <c r="L113" s="1305"/>
      <c r="M113" s="1305"/>
      <c r="N113" s="1359"/>
      <c r="O113" s="1480"/>
      <c r="P113" s="1369" t="s">
        <v>3623</v>
      </c>
      <c r="Q113" s="1374" t="s">
        <v>3624</v>
      </c>
      <c r="R113" s="1362"/>
    </row>
    <row r="114" spans="1:18" ht="16.5" customHeight="1" x14ac:dyDescent="0.25">
      <c r="A114" s="1305" t="s">
        <v>3625</v>
      </c>
      <c r="B114" s="1373">
        <v>6</v>
      </c>
      <c r="C114" s="1373" t="s">
        <v>3298</v>
      </c>
      <c r="D114" s="1373"/>
      <c r="E114" s="1305"/>
      <c r="F114" s="1305"/>
      <c r="G114" s="1305"/>
      <c r="H114" s="1359"/>
      <c r="I114" s="1305" t="s">
        <v>3626</v>
      </c>
      <c r="J114" s="1305"/>
      <c r="K114" s="1305"/>
      <c r="L114" s="1305"/>
      <c r="M114" s="1305"/>
      <c r="N114" s="1359"/>
      <c r="O114" s="1480"/>
      <c r="P114" s="1369" t="s">
        <v>3627</v>
      </c>
      <c r="Q114" s="1374" t="s">
        <v>3628</v>
      </c>
      <c r="R114" s="1362"/>
    </row>
    <row r="115" spans="1:18" ht="16.5" customHeight="1" x14ac:dyDescent="0.25">
      <c r="A115" s="1316" t="s">
        <v>3629</v>
      </c>
      <c r="B115" s="1408">
        <v>6</v>
      </c>
      <c r="C115" s="1408" t="s">
        <v>3298</v>
      </c>
      <c r="D115" s="1373"/>
      <c r="E115" s="1305"/>
      <c r="F115" s="1305"/>
      <c r="G115" s="1305"/>
      <c r="H115" s="1359"/>
      <c r="I115" s="1432" t="s">
        <v>3630</v>
      </c>
      <c r="J115" s="1305"/>
      <c r="K115" s="1305"/>
      <c r="L115" s="1305"/>
      <c r="M115" s="1305"/>
      <c r="N115" s="1359"/>
      <c r="O115" s="1480"/>
      <c r="P115" s="1392" t="s">
        <v>3631</v>
      </c>
      <c r="Q115" s="1374" t="s">
        <v>3632</v>
      </c>
      <c r="R115" s="1399" t="s">
        <v>3374</v>
      </c>
    </row>
    <row r="116" spans="1:18" ht="16.5" customHeight="1" x14ac:dyDescent="0.25">
      <c r="A116" s="1307" t="s">
        <v>3633</v>
      </c>
      <c r="B116" s="1375">
        <v>5</v>
      </c>
      <c r="C116" s="1375" t="s">
        <v>3298</v>
      </c>
      <c r="D116" s="1375"/>
      <c r="E116" s="1307"/>
      <c r="F116" s="1307"/>
      <c r="G116" s="1307"/>
      <c r="H116" s="1307" t="s">
        <v>377</v>
      </c>
      <c r="I116" s="1307"/>
      <c r="J116" s="1307"/>
      <c r="K116" s="1307"/>
      <c r="L116" s="1307"/>
      <c r="M116" s="1376"/>
      <c r="N116" s="1376"/>
      <c r="O116" s="1481">
        <f>+'F Y U 2024 Presupuesto 15.09'!C8</f>
        <v>1478804000</v>
      </c>
      <c r="P116" s="1377" t="s">
        <v>3634</v>
      </c>
      <c r="Q116" s="1378" t="s">
        <v>3635</v>
      </c>
      <c r="R116" s="1355"/>
    </row>
    <row r="117" spans="1:18" ht="16.5" customHeight="1" x14ac:dyDescent="0.25">
      <c r="A117" s="1315" t="s">
        <v>3636</v>
      </c>
      <c r="B117" s="1404">
        <v>4</v>
      </c>
      <c r="C117" s="1404" t="s">
        <v>3286</v>
      </c>
      <c r="D117" s="1404"/>
      <c r="E117" s="1315"/>
      <c r="F117" s="1315"/>
      <c r="G117" s="1315" t="s">
        <v>386</v>
      </c>
      <c r="H117" s="1315"/>
      <c r="I117" s="1315"/>
      <c r="J117" s="1315"/>
      <c r="K117" s="1315"/>
      <c r="L117" s="1315"/>
      <c r="M117" s="1315"/>
      <c r="N117" s="1405"/>
      <c r="O117" s="1489"/>
      <c r="P117" s="1406" t="s">
        <v>3637</v>
      </c>
      <c r="Q117" s="1407" t="s">
        <v>3638</v>
      </c>
      <c r="R117" s="1355"/>
    </row>
    <row r="118" spans="1:18" ht="16.5" customHeight="1" x14ac:dyDescent="0.25">
      <c r="A118" s="1308" t="s">
        <v>3639</v>
      </c>
      <c r="B118" s="1379">
        <v>5</v>
      </c>
      <c r="C118" s="1379" t="s">
        <v>3286</v>
      </c>
      <c r="D118" s="1379"/>
      <c r="E118" s="1308"/>
      <c r="F118" s="1308"/>
      <c r="G118" s="1308"/>
      <c r="H118" s="1308" t="s">
        <v>388</v>
      </c>
      <c r="I118" s="1308"/>
      <c r="J118" s="1308"/>
      <c r="K118" s="1308"/>
      <c r="L118" s="1308"/>
      <c r="M118" s="1380"/>
      <c r="N118" s="1380"/>
      <c r="O118" s="1482"/>
      <c r="P118" s="1371" t="s">
        <v>3640</v>
      </c>
      <c r="Q118" s="1372"/>
      <c r="R118" s="1355"/>
    </row>
    <row r="119" spans="1:18" ht="16.5" customHeight="1" x14ac:dyDescent="0.25">
      <c r="A119" s="1305" t="s">
        <v>3641</v>
      </c>
      <c r="B119" s="1373">
        <v>6</v>
      </c>
      <c r="C119" s="1373" t="s">
        <v>3298</v>
      </c>
      <c r="D119" s="1373"/>
      <c r="E119" s="1373"/>
      <c r="F119" s="1373"/>
      <c r="G119" s="1373"/>
      <c r="H119" s="1373"/>
      <c r="I119" s="1305" t="s">
        <v>3642</v>
      </c>
      <c r="J119" s="1305"/>
      <c r="K119" s="1305"/>
      <c r="L119" s="1305"/>
      <c r="M119" s="1305"/>
      <c r="N119" s="1359"/>
      <c r="O119" s="1480"/>
      <c r="P119" s="1369" t="s">
        <v>3643</v>
      </c>
      <c r="Q119" s="1433" t="s">
        <v>3644</v>
      </c>
      <c r="R119" s="1362"/>
    </row>
    <row r="120" spans="1:18" ht="16.5" customHeight="1" x14ac:dyDescent="0.25">
      <c r="A120" s="1305" t="s">
        <v>3645</v>
      </c>
      <c r="B120" s="1373">
        <v>6</v>
      </c>
      <c r="C120" s="1373" t="s">
        <v>3298</v>
      </c>
      <c r="D120" s="1373"/>
      <c r="E120" s="1373"/>
      <c r="F120" s="1373"/>
      <c r="G120" s="1373"/>
      <c r="H120" s="1373"/>
      <c r="I120" s="1305" t="s">
        <v>3646</v>
      </c>
      <c r="J120" s="1305"/>
      <c r="K120" s="1305"/>
      <c r="L120" s="1305"/>
      <c r="M120" s="1305"/>
      <c r="N120" s="1359"/>
      <c r="O120" s="1480"/>
      <c r="P120" s="1369" t="s">
        <v>3647</v>
      </c>
      <c r="Q120" s="1433" t="s">
        <v>3644</v>
      </c>
      <c r="R120" s="1362"/>
    </row>
    <row r="121" spans="1:18" ht="16.5" customHeight="1" x14ac:dyDescent="0.25">
      <c r="A121" s="1305" t="s">
        <v>3648</v>
      </c>
      <c r="B121" s="1373">
        <v>6</v>
      </c>
      <c r="C121" s="1373" t="s">
        <v>3298</v>
      </c>
      <c r="D121" s="1373"/>
      <c r="E121" s="1373"/>
      <c r="F121" s="1373"/>
      <c r="G121" s="1373"/>
      <c r="H121" s="1373"/>
      <c r="I121" s="1305" t="s">
        <v>3649</v>
      </c>
      <c r="J121" s="1305"/>
      <c r="K121" s="1305"/>
      <c r="L121" s="1305"/>
      <c r="M121" s="1305"/>
      <c r="N121" s="1359"/>
      <c r="O121" s="1480"/>
      <c r="P121" s="1369" t="s">
        <v>3650</v>
      </c>
      <c r="Q121" s="1433" t="s">
        <v>3644</v>
      </c>
      <c r="R121" s="1362"/>
    </row>
    <row r="122" spans="1:18" ht="16.5" customHeight="1" x14ac:dyDescent="0.25">
      <c r="A122" s="1305" t="s">
        <v>3651</v>
      </c>
      <c r="B122" s="1373">
        <v>6</v>
      </c>
      <c r="C122" s="1373" t="s">
        <v>3298</v>
      </c>
      <c r="D122" s="1373"/>
      <c r="E122" s="1373"/>
      <c r="F122" s="1373"/>
      <c r="G122" s="1373"/>
      <c r="H122" s="1373"/>
      <c r="I122" s="1305" t="s">
        <v>3652</v>
      </c>
      <c r="J122" s="1305"/>
      <c r="K122" s="1305"/>
      <c r="L122" s="1305"/>
      <c r="M122" s="1305"/>
      <c r="N122" s="1359"/>
      <c r="O122" s="1480"/>
      <c r="P122" s="1369" t="s">
        <v>3653</v>
      </c>
      <c r="Q122" s="1433" t="s">
        <v>3644</v>
      </c>
      <c r="R122" s="1362"/>
    </row>
    <row r="123" spans="1:18" ht="16.5" customHeight="1" x14ac:dyDescent="0.25">
      <c r="A123" s="1305" t="s">
        <v>3654</v>
      </c>
      <c r="B123" s="1373">
        <v>6</v>
      </c>
      <c r="C123" s="1373" t="s">
        <v>3298</v>
      </c>
      <c r="D123" s="1373"/>
      <c r="E123" s="1373"/>
      <c r="F123" s="1373"/>
      <c r="G123" s="1373"/>
      <c r="H123" s="1373"/>
      <c r="I123" s="1305" t="s">
        <v>3655</v>
      </c>
      <c r="J123" s="1305"/>
      <c r="K123" s="1305"/>
      <c r="L123" s="1305"/>
      <c r="M123" s="1305"/>
      <c r="N123" s="1359"/>
      <c r="O123" s="1480"/>
      <c r="P123" s="1369" t="s">
        <v>3656</v>
      </c>
      <c r="Q123" s="1433" t="s">
        <v>3644</v>
      </c>
      <c r="R123" s="1362"/>
    </row>
    <row r="124" spans="1:18" ht="16.5" customHeight="1" x14ac:dyDescent="0.25">
      <c r="A124" s="1305" t="s">
        <v>3657</v>
      </c>
      <c r="B124" s="1373">
        <v>6</v>
      </c>
      <c r="C124" s="1373" t="s">
        <v>3298</v>
      </c>
      <c r="D124" s="1373"/>
      <c r="E124" s="1373"/>
      <c r="F124" s="1373"/>
      <c r="G124" s="1373"/>
      <c r="H124" s="1373"/>
      <c r="I124" s="1305" t="s">
        <v>3658</v>
      </c>
      <c r="J124" s="1305"/>
      <c r="K124" s="1305"/>
      <c r="L124" s="1373"/>
      <c r="M124" s="1373"/>
      <c r="N124" s="1373"/>
      <c r="O124" s="1495"/>
      <c r="P124" s="1369" t="s">
        <v>3659</v>
      </c>
      <c r="Q124" s="1433" t="s">
        <v>3644</v>
      </c>
      <c r="R124" s="1362"/>
    </row>
    <row r="125" spans="1:18" ht="16.5" customHeight="1" x14ac:dyDescent="0.25">
      <c r="A125" s="1305" t="s">
        <v>3660</v>
      </c>
      <c r="B125" s="1373">
        <v>6</v>
      </c>
      <c r="C125" s="1373" t="s">
        <v>3298</v>
      </c>
      <c r="D125" s="1373"/>
      <c r="E125" s="1373"/>
      <c r="F125" s="1373"/>
      <c r="G125" s="1373"/>
      <c r="H125" s="1373"/>
      <c r="I125" s="1305" t="s">
        <v>3661</v>
      </c>
      <c r="J125" s="1305"/>
      <c r="K125" s="1305"/>
      <c r="L125" s="1373"/>
      <c r="M125" s="1373"/>
      <c r="N125" s="1373"/>
      <c r="O125" s="1495"/>
      <c r="P125" s="1369" t="s">
        <v>3662</v>
      </c>
      <c r="Q125" s="1433" t="s">
        <v>3644</v>
      </c>
      <c r="R125" s="1362"/>
    </row>
    <row r="126" spans="1:18" ht="16.5" customHeight="1" x14ac:dyDescent="0.25">
      <c r="A126" s="1305" t="s">
        <v>3663</v>
      </c>
      <c r="B126" s="1373">
        <v>6</v>
      </c>
      <c r="C126" s="1373" t="s">
        <v>3298</v>
      </c>
      <c r="D126" s="1373"/>
      <c r="E126" s="1373"/>
      <c r="F126" s="1373"/>
      <c r="G126" s="1373"/>
      <c r="H126" s="1373"/>
      <c r="I126" s="1305" t="s">
        <v>3664</v>
      </c>
      <c r="J126" s="1305"/>
      <c r="K126" s="1305"/>
      <c r="L126" s="1373"/>
      <c r="M126" s="1373"/>
      <c r="N126" s="1373"/>
      <c r="O126" s="1495"/>
      <c r="P126" s="1369" t="s">
        <v>3665</v>
      </c>
      <c r="Q126" s="1433" t="s">
        <v>3644</v>
      </c>
      <c r="R126" s="1362"/>
    </row>
    <row r="127" spans="1:18" ht="16.5" customHeight="1" x14ac:dyDescent="0.25">
      <c r="A127" s="1305" t="s">
        <v>3666</v>
      </c>
      <c r="B127" s="1373">
        <v>6</v>
      </c>
      <c r="C127" s="1373" t="s">
        <v>3298</v>
      </c>
      <c r="D127" s="1373"/>
      <c r="E127" s="1373"/>
      <c r="F127" s="1373"/>
      <c r="G127" s="1373"/>
      <c r="H127" s="1373"/>
      <c r="I127" s="1305" t="s">
        <v>3667</v>
      </c>
      <c r="J127" s="1305"/>
      <c r="K127" s="1305"/>
      <c r="L127" s="1373"/>
      <c r="M127" s="1373"/>
      <c r="N127" s="1373"/>
      <c r="O127" s="1495"/>
      <c r="P127" s="1369" t="s">
        <v>3668</v>
      </c>
      <c r="Q127" s="1433" t="s">
        <v>3644</v>
      </c>
      <c r="R127" s="1362"/>
    </row>
    <row r="128" spans="1:18" ht="16.5" customHeight="1" x14ac:dyDescent="0.25">
      <c r="A128" s="1305" t="s">
        <v>3669</v>
      </c>
      <c r="B128" s="1373">
        <v>6</v>
      </c>
      <c r="C128" s="1373" t="s">
        <v>3298</v>
      </c>
      <c r="D128" s="1373"/>
      <c r="E128" s="1373"/>
      <c r="F128" s="1373"/>
      <c r="G128" s="1373"/>
      <c r="H128" s="1373"/>
      <c r="I128" s="1305" t="s">
        <v>390</v>
      </c>
      <c r="J128" s="1305"/>
      <c r="K128" s="1305"/>
      <c r="L128" s="1373"/>
      <c r="M128" s="1373"/>
      <c r="N128" s="1373"/>
      <c r="O128" s="1516">
        <f>+'F Y U 2024 Presupuesto 15.09'!C32+'F Y U 2024 Presupuesto 15.09'!C38</f>
        <v>70000000</v>
      </c>
      <c r="P128" s="1369" t="s">
        <v>3670</v>
      </c>
      <c r="Q128" s="1433" t="s">
        <v>3644</v>
      </c>
      <c r="R128" s="1362"/>
    </row>
    <row r="129" spans="1:18" ht="16.5" customHeight="1" x14ac:dyDescent="0.25">
      <c r="A129" s="1308" t="s">
        <v>3671</v>
      </c>
      <c r="B129" s="1379">
        <v>5</v>
      </c>
      <c r="C129" s="1379" t="s">
        <v>3286</v>
      </c>
      <c r="D129" s="1379"/>
      <c r="E129" s="1379"/>
      <c r="F129" s="1379"/>
      <c r="G129" s="1379"/>
      <c r="H129" s="1308" t="s">
        <v>392</v>
      </c>
      <c r="I129" s="1308"/>
      <c r="J129" s="1308"/>
      <c r="K129" s="1379"/>
      <c r="L129" s="1379"/>
      <c r="M129" s="1379"/>
      <c r="N129" s="1379"/>
      <c r="O129" s="1496"/>
      <c r="P129" s="1371" t="s">
        <v>3672</v>
      </c>
      <c r="Q129" s="1372"/>
      <c r="R129" s="1355"/>
    </row>
    <row r="130" spans="1:18" ht="16.5" customHeight="1" x14ac:dyDescent="0.25">
      <c r="A130" s="1305" t="s">
        <v>3673</v>
      </c>
      <c r="B130" s="1373">
        <v>6</v>
      </c>
      <c r="C130" s="1373" t="s">
        <v>3298</v>
      </c>
      <c r="D130" s="1373"/>
      <c r="E130" s="1373"/>
      <c r="F130" s="1373"/>
      <c r="G130" s="1373"/>
      <c r="H130" s="1373"/>
      <c r="I130" s="1305" t="s">
        <v>3642</v>
      </c>
      <c r="J130" s="1305"/>
      <c r="K130" s="1305"/>
      <c r="L130" s="1305"/>
      <c r="M130" s="1305"/>
      <c r="N130" s="1359"/>
      <c r="O130" s="1480"/>
      <c r="P130" s="1369" t="s">
        <v>3674</v>
      </c>
      <c r="Q130" s="1433" t="s">
        <v>3644</v>
      </c>
      <c r="R130" s="1362"/>
    </row>
    <row r="131" spans="1:18" ht="16.5" customHeight="1" x14ac:dyDescent="0.25">
      <c r="A131" s="1305" t="s">
        <v>3675</v>
      </c>
      <c r="B131" s="1373">
        <v>6</v>
      </c>
      <c r="C131" s="1373" t="s">
        <v>3298</v>
      </c>
      <c r="D131" s="1373"/>
      <c r="E131" s="1373"/>
      <c r="F131" s="1373"/>
      <c r="G131" s="1373"/>
      <c r="H131" s="1373"/>
      <c r="I131" s="1305" t="s">
        <v>3646</v>
      </c>
      <c r="J131" s="1305"/>
      <c r="K131" s="1305"/>
      <c r="L131" s="1305"/>
      <c r="M131" s="1305"/>
      <c r="N131" s="1359"/>
      <c r="O131" s="1480"/>
      <c r="P131" s="1369" t="s">
        <v>3676</v>
      </c>
      <c r="Q131" s="1433" t="s">
        <v>3644</v>
      </c>
      <c r="R131" s="1362"/>
    </row>
    <row r="132" spans="1:18" ht="16.5" customHeight="1" x14ac:dyDescent="0.25">
      <c r="A132" s="1305" t="s">
        <v>3677</v>
      </c>
      <c r="B132" s="1373">
        <v>6</v>
      </c>
      <c r="C132" s="1373" t="s">
        <v>3298</v>
      </c>
      <c r="D132" s="1373"/>
      <c r="E132" s="1373"/>
      <c r="F132" s="1373"/>
      <c r="G132" s="1373"/>
      <c r="H132" s="1373"/>
      <c r="I132" s="1305" t="s">
        <v>3649</v>
      </c>
      <c r="J132" s="1305"/>
      <c r="K132" s="1305"/>
      <c r="L132" s="1305"/>
      <c r="M132" s="1305"/>
      <c r="N132" s="1359"/>
      <c r="O132" s="1480"/>
      <c r="P132" s="1369" t="s">
        <v>3678</v>
      </c>
      <c r="Q132" s="1433" t="s">
        <v>3644</v>
      </c>
      <c r="R132" s="1362"/>
    </row>
    <row r="133" spans="1:18" ht="16.5" customHeight="1" x14ac:dyDescent="0.25">
      <c r="A133" s="1305" t="s">
        <v>3679</v>
      </c>
      <c r="B133" s="1373">
        <v>6</v>
      </c>
      <c r="C133" s="1373" t="s">
        <v>3298</v>
      </c>
      <c r="D133" s="1373"/>
      <c r="E133" s="1373"/>
      <c r="F133" s="1373"/>
      <c r="G133" s="1373"/>
      <c r="H133" s="1373"/>
      <c r="I133" s="1305" t="s">
        <v>3652</v>
      </c>
      <c r="J133" s="1305"/>
      <c r="K133" s="1305"/>
      <c r="L133" s="1305"/>
      <c r="M133" s="1305"/>
      <c r="N133" s="1359"/>
      <c r="O133" s="1480"/>
      <c r="P133" s="1369" t="s">
        <v>3680</v>
      </c>
      <c r="Q133" s="1433" t="s">
        <v>3644</v>
      </c>
      <c r="R133" s="1362"/>
    </row>
    <row r="134" spans="1:18" ht="16.5" customHeight="1" x14ac:dyDescent="0.25">
      <c r="A134" s="1305" t="s">
        <v>3681</v>
      </c>
      <c r="B134" s="1373">
        <v>6</v>
      </c>
      <c r="C134" s="1373" t="s">
        <v>3298</v>
      </c>
      <c r="D134" s="1373"/>
      <c r="E134" s="1373"/>
      <c r="F134" s="1373"/>
      <c r="G134" s="1373"/>
      <c r="H134" s="1373"/>
      <c r="I134" s="1305" t="s">
        <v>3655</v>
      </c>
      <c r="J134" s="1305"/>
      <c r="K134" s="1305"/>
      <c r="L134" s="1305"/>
      <c r="M134" s="1305"/>
      <c r="N134" s="1359"/>
      <c r="O134" s="1480"/>
      <c r="P134" s="1369" t="s">
        <v>3656</v>
      </c>
      <c r="Q134" s="1433" t="s">
        <v>3644</v>
      </c>
      <c r="R134" s="1362"/>
    </row>
    <row r="135" spans="1:18" ht="16.5" customHeight="1" x14ac:dyDescent="0.25">
      <c r="A135" s="1305" t="s">
        <v>3682</v>
      </c>
      <c r="B135" s="1373">
        <v>6</v>
      </c>
      <c r="C135" s="1373" t="s">
        <v>3298</v>
      </c>
      <c r="D135" s="1373"/>
      <c r="E135" s="1373"/>
      <c r="F135" s="1373"/>
      <c r="G135" s="1373"/>
      <c r="H135" s="1373"/>
      <c r="I135" s="1305" t="s">
        <v>3658</v>
      </c>
      <c r="J135" s="1305"/>
      <c r="K135" s="1305"/>
      <c r="L135" s="1373"/>
      <c r="M135" s="1373"/>
      <c r="N135" s="1373"/>
      <c r="O135" s="1495"/>
      <c r="P135" s="1369" t="s">
        <v>3659</v>
      </c>
      <c r="Q135" s="1433" t="s">
        <v>3644</v>
      </c>
      <c r="R135" s="1362"/>
    </row>
    <row r="136" spans="1:18" ht="16.5" customHeight="1" x14ac:dyDescent="0.25">
      <c r="A136" s="1305" t="s">
        <v>3683</v>
      </c>
      <c r="B136" s="1373">
        <v>6</v>
      </c>
      <c r="C136" s="1373" t="s">
        <v>3298</v>
      </c>
      <c r="D136" s="1373"/>
      <c r="E136" s="1373"/>
      <c r="F136" s="1373"/>
      <c r="G136" s="1373"/>
      <c r="H136" s="1373"/>
      <c r="I136" s="1305" t="s">
        <v>3661</v>
      </c>
      <c r="J136" s="1305"/>
      <c r="K136" s="1305"/>
      <c r="L136" s="1373"/>
      <c r="M136" s="1373"/>
      <c r="N136" s="1373"/>
      <c r="O136" s="1495"/>
      <c r="P136" s="1369" t="s">
        <v>3662</v>
      </c>
      <c r="Q136" s="1433" t="s">
        <v>3644</v>
      </c>
      <c r="R136" s="1362"/>
    </row>
    <row r="137" spans="1:18" ht="16.5" customHeight="1" x14ac:dyDescent="0.25">
      <c r="A137" s="1305" t="s">
        <v>3684</v>
      </c>
      <c r="B137" s="1373">
        <v>6</v>
      </c>
      <c r="C137" s="1373" t="s">
        <v>3298</v>
      </c>
      <c r="D137" s="1373"/>
      <c r="E137" s="1373"/>
      <c r="F137" s="1373"/>
      <c r="G137" s="1373"/>
      <c r="H137" s="1373"/>
      <c r="I137" s="1305" t="s">
        <v>3664</v>
      </c>
      <c r="J137" s="1305"/>
      <c r="K137" s="1305"/>
      <c r="L137" s="1373"/>
      <c r="M137" s="1373"/>
      <c r="N137" s="1373"/>
      <c r="O137" s="1495">
        <f>+'F Y U 2024 Presupuesto 15.09'!C34+'F Y U 2024 Presupuesto 15.09'!C35</f>
        <v>250000000</v>
      </c>
      <c r="P137" s="1369" t="s">
        <v>3665</v>
      </c>
      <c r="Q137" s="1433" t="s">
        <v>3644</v>
      </c>
      <c r="R137" s="1362"/>
    </row>
    <row r="138" spans="1:18" ht="16.5" customHeight="1" x14ac:dyDescent="0.25">
      <c r="A138" s="1305" t="s">
        <v>3685</v>
      </c>
      <c r="B138" s="1373">
        <v>6</v>
      </c>
      <c r="C138" s="1373" t="s">
        <v>3298</v>
      </c>
      <c r="D138" s="1373"/>
      <c r="E138" s="1373"/>
      <c r="F138" s="1373"/>
      <c r="G138" s="1373"/>
      <c r="H138" s="1373"/>
      <c r="I138" s="1305" t="s">
        <v>3667</v>
      </c>
      <c r="J138" s="1305"/>
      <c r="K138" s="1305"/>
      <c r="L138" s="1373"/>
      <c r="M138" s="1373"/>
      <c r="N138" s="1373"/>
      <c r="O138" s="1495"/>
      <c r="P138" s="1369" t="s">
        <v>3668</v>
      </c>
      <c r="Q138" s="1433" t="s">
        <v>3644</v>
      </c>
      <c r="R138" s="1362"/>
    </row>
    <row r="139" spans="1:18" ht="16.5" customHeight="1" x14ac:dyDescent="0.25">
      <c r="A139" s="1305" t="s">
        <v>3686</v>
      </c>
      <c r="B139" s="1373">
        <v>6</v>
      </c>
      <c r="C139" s="1373" t="s">
        <v>3298</v>
      </c>
      <c r="D139" s="1373"/>
      <c r="E139" s="1373"/>
      <c r="F139" s="1373"/>
      <c r="G139" s="1373"/>
      <c r="H139" s="1373"/>
      <c r="I139" s="1305" t="s">
        <v>390</v>
      </c>
      <c r="J139" s="1305"/>
      <c r="K139" s="1305"/>
      <c r="L139" s="1373"/>
      <c r="M139" s="1373"/>
      <c r="N139" s="1373"/>
      <c r="O139" s="1495"/>
      <c r="P139" s="1369" t="s">
        <v>3670</v>
      </c>
      <c r="Q139" s="1433" t="s">
        <v>3644</v>
      </c>
      <c r="R139" s="1362"/>
    </row>
    <row r="140" spans="1:18" ht="16.5" customHeight="1" x14ac:dyDescent="0.25">
      <c r="A140" s="1303" t="s">
        <v>3687</v>
      </c>
      <c r="B140" s="1348">
        <v>4</v>
      </c>
      <c r="C140" s="1348" t="s">
        <v>3286</v>
      </c>
      <c r="D140" s="1348"/>
      <c r="E140" s="1348"/>
      <c r="F140" s="1411"/>
      <c r="G140" s="1303" t="s">
        <v>406</v>
      </c>
      <c r="H140" s="1303"/>
      <c r="I140" s="1303"/>
      <c r="J140" s="1303"/>
      <c r="K140" s="1303"/>
      <c r="L140" s="1303"/>
      <c r="M140" s="1303"/>
      <c r="N140" s="1411"/>
      <c r="O140" s="1491"/>
      <c r="P140" s="1434" t="s">
        <v>3688</v>
      </c>
      <c r="Q140" s="1435"/>
      <c r="R140" s="1385"/>
    </row>
    <row r="141" spans="1:18" ht="16.5" customHeight="1" x14ac:dyDescent="0.25">
      <c r="A141" s="1304" t="s">
        <v>3689</v>
      </c>
      <c r="B141" s="1353">
        <v>5</v>
      </c>
      <c r="C141" s="1353" t="s">
        <v>3286</v>
      </c>
      <c r="D141" s="1353"/>
      <c r="E141" s="1304"/>
      <c r="F141" s="1304"/>
      <c r="G141" s="1304"/>
      <c r="H141" s="1304" t="s">
        <v>408</v>
      </c>
      <c r="I141" s="1304"/>
      <c r="J141" s="1304"/>
      <c r="K141" s="1304"/>
      <c r="L141" s="1304"/>
      <c r="M141" s="1304"/>
      <c r="N141" s="1304"/>
      <c r="O141" s="1497"/>
      <c r="P141" s="1436" t="s">
        <v>3690</v>
      </c>
      <c r="Q141" s="1437" t="s">
        <v>3691</v>
      </c>
      <c r="R141" s="1385"/>
    </row>
    <row r="142" spans="1:18" ht="16.5" customHeight="1" x14ac:dyDescent="0.25">
      <c r="A142" s="1309" t="s">
        <v>3692</v>
      </c>
      <c r="B142" s="1381">
        <v>6</v>
      </c>
      <c r="C142" s="1381" t="s">
        <v>3286</v>
      </c>
      <c r="D142" s="1381"/>
      <c r="E142" s="1309"/>
      <c r="F142" s="1309"/>
      <c r="G142" s="1309"/>
      <c r="H142" s="1382"/>
      <c r="I142" s="1309" t="s">
        <v>638</v>
      </c>
      <c r="J142" s="1309"/>
      <c r="K142" s="1309"/>
      <c r="L142" s="1309"/>
      <c r="M142" s="1309"/>
      <c r="N142" s="1309"/>
      <c r="O142" s="1498"/>
      <c r="P142" s="1386" t="s">
        <v>3693</v>
      </c>
      <c r="Q142" s="1438" t="s">
        <v>3694</v>
      </c>
      <c r="R142" s="1385"/>
    </row>
    <row r="143" spans="1:18" ht="16.5" customHeight="1" x14ac:dyDescent="0.25">
      <c r="A143" s="1310" t="s">
        <v>3695</v>
      </c>
      <c r="B143" s="1356">
        <v>7</v>
      </c>
      <c r="C143" s="1356" t="s">
        <v>3298</v>
      </c>
      <c r="D143" s="1356"/>
      <c r="E143" s="1310"/>
      <c r="F143" s="1310"/>
      <c r="G143" s="1310"/>
      <c r="H143" s="1310"/>
      <c r="I143" s="1310"/>
      <c r="J143" s="1310" t="s">
        <v>640</v>
      </c>
      <c r="K143" s="1310"/>
      <c r="L143" s="1310"/>
      <c r="M143" s="1310"/>
      <c r="N143" s="1310"/>
      <c r="O143" s="1499">
        <f>+'F Y U 2024 Presupuesto 15.09'!C76+'F Y U 2024 Presupuesto 15.09'!C78+'F Y U 2024 Presupuesto 15.09'!C79</f>
        <v>175675360000</v>
      </c>
      <c r="P143" s="1439" t="s">
        <v>3696</v>
      </c>
      <c r="Q143" s="1397" t="s">
        <v>3697</v>
      </c>
      <c r="R143" s="1367"/>
    </row>
    <row r="144" spans="1:18" ht="16.5" customHeight="1" x14ac:dyDescent="0.25">
      <c r="A144" s="1310" t="s">
        <v>3698</v>
      </c>
      <c r="B144" s="1356">
        <v>7</v>
      </c>
      <c r="C144" s="1356" t="s">
        <v>3298</v>
      </c>
      <c r="D144" s="1356"/>
      <c r="E144" s="1310"/>
      <c r="F144" s="1310"/>
      <c r="G144" s="1310"/>
      <c r="H144" s="1310"/>
      <c r="I144" s="1310"/>
      <c r="J144" s="1310" t="s">
        <v>3699</v>
      </c>
      <c r="K144" s="1310"/>
      <c r="L144" s="1310"/>
      <c r="M144" s="1310"/>
      <c r="N144" s="1310"/>
      <c r="O144" s="1499">
        <f>+'F Y U 2024 Presupuesto 15.09'!D77</f>
        <v>33454400000</v>
      </c>
      <c r="P144" s="1439" t="s">
        <v>3700</v>
      </c>
      <c r="Q144" s="1397" t="s">
        <v>3701</v>
      </c>
      <c r="R144" s="1367"/>
    </row>
    <row r="145" spans="1:18" ht="16.5" customHeight="1" x14ac:dyDescent="0.25">
      <c r="A145" s="1309" t="s">
        <v>3702</v>
      </c>
      <c r="B145" s="1381">
        <v>7</v>
      </c>
      <c r="C145" s="1381" t="s">
        <v>3286</v>
      </c>
      <c r="D145" s="1381"/>
      <c r="E145" s="1309"/>
      <c r="F145" s="1309"/>
      <c r="G145" s="1309"/>
      <c r="H145" s="1309"/>
      <c r="I145" s="1309"/>
      <c r="J145" s="1309" t="s">
        <v>3703</v>
      </c>
      <c r="K145" s="1309"/>
      <c r="L145" s="1309"/>
      <c r="M145" s="1309"/>
      <c r="N145" s="1309"/>
      <c r="O145" s="1498"/>
      <c r="P145" s="1386" t="s">
        <v>3704</v>
      </c>
      <c r="Q145" s="1438" t="s">
        <v>3694</v>
      </c>
      <c r="R145" s="1385"/>
    </row>
    <row r="146" spans="1:18" ht="16.5" customHeight="1" x14ac:dyDescent="0.25">
      <c r="A146" s="1310" t="s">
        <v>3705</v>
      </c>
      <c r="B146" s="1356">
        <v>8</v>
      </c>
      <c r="C146" s="1356" t="s">
        <v>3298</v>
      </c>
      <c r="D146" s="1356"/>
      <c r="E146" s="1310"/>
      <c r="F146" s="1310"/>
      <c r="G146" s="1310"/>
      <c r="H146" s="1310"/>
      <c r="I146" s="1310"/>
      <c r="J146" s="1310"/>
      <c r="K146" s="1310" t="s">
        <v>3706</v>
      </c>
      <c r="L146" s="1310"/>
      <c r="M146" s="1310"/>
      <c r="N146" s="1310"/>
      <c r="O146" s="1499"/>
      <c r="P146" s="1439" t="s">
        <v>3707</v>
      </c>
      <c r="Q146" s="1397" t="s">
        <v>3288</v>
      </c>
      <c r="R146" s="1367"/>
    </row>
    <row r="147" spans="1:18" ht="16.5" customHeight="1" x14ac:dyDescent="0.25">
      <c r="A147" s="1310" t="s">
        <v>3708</v>
      </c>
      <c r="B147" s="1356">
        <v>8</v>
      </c>
      <c r="C147" s="1356" t="s">
        <v>3298</v>
      </c>
      <c r="D147" s="1356"/>
      <c r="E147" s="1310"/>
      <c r="F147" s="1310"/>
      <c r="G147" s="1310"/>
      <c r="H147" s="1310"/>
      <c r="I147" s="1310"/>
      <c r="J147" s="1310"/>
      <c r="K147" s="1310" t="s">
        <v>3709</v>
      </c>
      <c r="L147" s="1310"/>
      <c r="M147" s="1310"/>
      <c r="N147" s="1310"/>
      <c r="O147" s="1499"/>
      <c r="P147" s="1439" t="s">
        <v>3710</v>
      </c>
      <c r="Q147" s="1397" t="s">
        <v>3288</v>
      </c>
      <c r="R147" s="1367"/>
    </row>
    <row r="148" spans="1:18" ht="16.5" customHeight="1" x14ac:dyDescent="0.25">
      <c r="A148" s="1309" t="s">
        <v>3711</v>
      </c>
      <c r="B148" s="1381">
        <v>6</v>
      </c>
      <c r="C148" s="1381" t="s">
        <v>3286</v>
      </c>
      <c r="D148" s="1381"/>
      <c r="E148" s="1309"/>
      <c r="F148" s="1309"/>
      <c r="G148" s="1309"/>
      <c r="H148" s="1382"/>
      <c r="I148" s="1309" t="s">
        <v>762</v>
      </c>
      <c r="J148" s="1309"/>
      <c r="K148" s="1309"/>
      <c r="L148" s="1309"/>
      <c r="M148" s="1309"/>
      <c r="N148" s="1309"/>
      <c r="O148" s="1498"/>
      <c r="P148" s="1386" t="s">
        <v>3712</v>
      </c>
      <c r="Q148" s="1438" t="s">
        <v>3713</v>
      </c>
      <c r="R148" s="1385"/>
    </row>
    <row r="149" spans="1:18" ht="16.5" customHeight="1" x14ac:dyDescent="0.25">
      <c r="A149" s="1310" t="s">
        <v>3714</v>
      </c>
      <c r="B149" s="1356">
        <v>7</v>
      </c>
      <c r="C149" s="1356" t="s">
        <v>3298</v>
      </c>
      <c r="D149" s="1356"/>
      <c r="E149" s="1310"/>
      <c r="F149" s="1310"/>
      <c r="G149" s="1310"/>
      <c r="H149" s="1310"/>
      <c r="I149" s="1310"/>
      <c r="J149" s="1310" t="s">
        <v>3715</v>
      </c>
      <c r="K149" s="1310"/>
      <c r="L149" s="1310"/>
      <c r="M149" s="1310"/>
      <c r="N149" s="1310"/>
      <c r="O149" s="1499"/>
      <c r="P149" s="1439" t="s">
        <v>3716</v>
      </c>
      <c r="Q149" s="1397" t="s">
        <v>3713</v>
      </c>
      <c r="R149" s="1367"/>
    </row>
    <row r="150" spans="1:18" ht="16.5" customHeight="1" x14ac:dyDescent="0.25">
      <c r="A150" s="1310" t="s">
        <v>3717</v>
      </c>
      <c r="B150" s="1356">
        <v>7</v>
      </c>
      <c r="C150" s="1356" t="s">
        <v>3298</v>
      </c>
      <c r="D150" s="1356"/>
      <c r="E150" s="1310"/>
      <c r="F150" s="1310"/>
      <c r="G150" s="1310"/>
      <c r="H150" s="1310"/>
      <c r="I150" s="1310"/>
      <c r="J150" s="1310" t="s">
        <v>764</v>
      </c>
      <c r="K150" s="1310"/>
      <c r="L150" s="1310"/>
      <c r="M150" s="1310"/>
      <c r="N150" s="1310"/>
      <c r="O150" s="1499">
        <f>+'F Y U 2024 Presupuesto 15.09'!D87</f>
        <v>5409655000</v>
      </c>
      <c r="P150" s="1439" t="s">
        <v>3718</v>
      </c>
      <c r="Q150" s="1397" t="s">
        <v>3719</v>
      </c>
      <c r="R150" s="1367"/>
    </row>
    <row r="151" spans="1:18" ht="16.5" customHeight="1" x14ac:dyDescent="0.25">
      <c r="A151" s="1310" t="s">
        <v>3720</v>
      </c>
      <c r="B151" s="1356">
        <v>7</v>
      </c>
      <c r="C151" s="1356" t="s">
        <v>3298</v>
      </c>
      <c r="D151" s="1356"/>
      <c r="E151" s="1310"/>
      <c r="F151" s="1310"/>
      <c r="G151" s="1310"/>
      <c r="H151" s="1310"/>
      <c r="I151" s="1310"/>
      <c r="J151" s="1310" t="s">
        <v>766</v>
      </c>
      <c r="K151" s="1310"/>
      <c r="L151" s="1310"/>
      <c r="M151" s="1310"/>
      <c r="N151" s="1440"/>
      <c r="O151" s="1499">
        <f>+'F Y U 2024 Presupuesto 15.09'!C88</f>
        <v>2148092000</v>
      </c>
      <c r="P151" s="1439" t="s">
        <v>3721</v>
      </c>
      <c r="Q151" s="1397" t="s">
        <v>3719</v>
      </c>
      <c r="R151" s="1367"/>
    </row>
    <row r="152" spans="1:18" ht="16.5" customHeight="1" x14ac:dyDescent="0.25">
      <c r="A152" s="1309" t="s">
        <v>3722</v>
      </c>
      <c r="B152" s="1381">
        <v>6</v>
      </c>
      <c r="C152" s="1381" t="s">
        <v>3286</v>
      </c>
      <c r="D152" s="1381"/>
      <c r="E152" s="1309"/>
      <c r="F152" s="1309"/>
      <c r="G152" s="1309"/>
      <c r="H152" s="1382"/>
      <c r="I152" s="1309" t="s">
        <v>3723</v>
      </c>
      <c r="J152" s="1309"/>
      <c r="K152" s="1309"/>
      <c r="L152" s="1309"/>
      <c r="M152" s="1309"/>
      <c r="N152" s="1309"/>
      <c r="O152" s="1498"/>
      <c r="P152" s="1386" t="s">
        <v>3724</v>
      </c>
      <c r="Q152" s="1438" t="s">
        <v>3725</v>
      </c>
      <c r="R152" s="1385"/>
    </row>
    <row r="153" spans="1:18" ht="16.5" customHeight="1" x14ac:dyDescent="0.25">
      <c r="A153" s="1310" t="s">
        <v>3726</v>
      </c>
      <c r="B153" s="1356">
        <v>7</v>
      </c>
      <c r="C153" s="1356" t="s">
        <v>3298</v>
      </c>
      <c r="D153" s="1356"/>
      <c r="E153" s="1310"/>
      <c r="F153" s="1310"/>
      <c r="G153" s="1310"/>
      <c r="H153" s="1310"/>
      <c r="I153" s="1310"/>
      <c r="J153" s="1310" t="s">
        <v>3727</v>
      </c>
      <c r="K153" s="1310"/>
      <c r="L153" s="1310"/>
      <c r="M153" s="1310"/>
      <c r="N153" s="1310"/>
      <c r="O153" s="1499"/>
      <c r="P153" s="1439" t="s">
        <v>3728</v>
      </c>
      <c r="Q153" s="1397" t="s">
        <v>3729</v>
      </c>
      <c r="R153" s="1367"/>
    </row>
    <row r="154" spans="1:18" ht="16.5" customHeight="1" x14ac:dyDescent="0.25">
      <c r="A154" s="1310" t="s">
        <v>3730</v>
      </c>
      <c r="B154" s="1356">
        <v>7</v>
      </c>
      <c r="C154" s="1356" t="s">
        <v>3298</v>
      </c>
      <c r="D154" s="1356"/>
      <c r="E154" s="1310"/>
      <c r="F154" s="1310"/>
      <c r="G154" s="1310"/>
      <c r="H154" s="1310"/>
      <c r="I154" s="1310"/>
      <c r="J154" s="1310" t="s">
        <v>3731</v>
      </c>
      <c r="K154" s="1310"/>
      <c r="L154" s="1310"/>
      <c r="M154" s="1310"/>
      <c r="N154" s="1310"/>
      <c r="O154" s="1499"/>
      <c r="P154" s="1439" t="s">
        <v>3732</v>
      </c>
      <c r="Q154" s="1397" t="s">
        <v>3729</v>
      </c>
      <c r="R154" s="1367"/>
    </row>
    <row r="155" spans="1:18" ht="16.5" customHeight="1" x14ac:dyDescent="0.25">
      <c r="A155" s="1310" t="s">
        <v>3733</v>
      </c>
      <c r="B155" s="1356">
        <v>7</v>
      </c>
      <c r="C155" s="1356" t="s">
        <v>3298</v>
      </c>
      <c r="D155" s="1356"/>
      <c r="E155" s="1310"/>
      <c r="F155" s="1310"/>
      <c r="G155" s="1310"/>
      <c r="H155" s="1310"/>
      <c r="I155" s="1310"/>
      <c r="J155" s="1310" t="s">
        <v>3734</v>
      </c>
      <c r="K155" s="1310"/>
      <c r="L155" s="1310"/>
      <c r="M155" s="1310"/>
      <c r="N155" s="1310"/>
      <c r="O155" s="1499"/>
      <c r="P155" s="1439" t="s">
        <v>3735</v>
      </c>
      <c r="Q155" s="1397" t="s">
        <v>3729</v>
      </c>
      <c r="R155" s="1367"/>
    </row>
    <row r="156" spans="1:18" ht="16.5" customHeight="1" x14ac:dyDescent="0.25">
      <c r="A156" s="1310" t="s">
        <v>3736</v>
      </c>
      <c r="B156" s="1356">
        <v>7</v>
      </c>
      <c r="C156" s="1356" t="s">
        <v>3298</v>
      </c>
      <c r="D156" s="1356"/>
      <c r="E156" s="1310"/>
      <c r="F156" s="1310"/>
      <c r="G156" s="1310"/>
      <c r="H156" s="1310"/>
      <c r="I156" s="1310"/>
      <c r="J156" s="1310" t="s">
        <v>3737</v>
      </c>
      <c r="K156" s="1310"/>
      <c r="L156" s="1310"/>
      <c r="M156" s="1310"/>
      <c r="N156" s="1310"/>
      <c r="O156" s="1499"/>
      <c r="P156" s="1439" t="s">
        <v>3738</v>
      </c>
      <c r="Q156" s="1397" t="s">
        <v>3739</v>
      </c>
      <c r="R156" s="1367"/>
    </row>
    <row r="157" spans="1:18" ht="16.5" customHeight="1" x14ac:dyDescent="0.25">
      <c r="A157" s="1309" t="s">
        <v>3740</v>
      </c>
      <c r="B157" s="1381">
        <v>6</v>
      </c>
      <c r="C157" s="1381" t="s">
        <v>3286</v>
      </c>
      <c r="D157" s="1381"/>
      <c r="E157" s="1309"/>
      <c r="F157" s="1309"/>
      <c r="G157" s="1309"/>
      <c r="H157" s="1382"/>
      <c r="I157" s="1309" t="s">
        <v>3741</v>
      </c>
      <c r="J157" s="1309"/>
      <c r="K157" s="1309"/>
      <c r="L157" s="1309"/>
      <c r="M157" s="1309"/>
      <c r="N157" s="1309"/>
      <c r="O157" s="1498"/>
      <c r="P157" s="1386" t="s">
        <v>3742</v>
      </c>
      <c r="Q157" s="1438" t="s">
        <v>3743</v>
      </c>
      <c r="R157" s="1385"/>
    </row>
    <row r="158" spans="1:18" ht="16.5" customHeight="1" x14ac:dyDescent="0.25">
      <c r="A158" s="1310" t="s">
        <v>3744</v>
      </c>
      <c r="B158" s="1356">
        <v>7</v>
      </c>
      <c r="C158" s="1356" t="s">
        <v>3298</v>
      </c>
      <c r="D158" s="1356"/>
      <c r="E158" s="1310"/>
      <c r="F158" s="1310"/>
      <c r="G158" s="1310"/>
      <c r="H158" s="1310"/>
      <c r="I158" s="1310"/>
      <c r="J158" s="1310" t="s">
        <v>3745</v>
      </c>
      <c r="K158" s="1310"/>
      <c r="L158" s="1310"/>
      <c r="M158" s="1310"/>
      <c r="N158" s="1310"/>
      <c r="O158" s="1499"/>
      <c r="P158" s="1439" t="s">
        <v>3746</v>
      </c>
      <c r="Q158" s="1397" t="s">
        <v>3694</v>
      </c>
      <c r="R158" s="1367"/>
    </row>
    <row r="159" spans="1:18" ht="16.5" customHeight="1" x14ac:dyDescent="0.25">
      <c r="A159" s="1310" t="s">
        <v>3747</v>
      </c>
      <c r="B159" s="1356">
        <v>7</v>
      </c>
      <c r="C159" s="1356" t="s">
        <v>3298</v>
      </c>
      <c r="D159" s="1356"/>
      <c r="E159" s="1310"/>
      <c r="F159" s="1310"/>
      <c r="G159" s="1310"/>
      <c r="H159" s="1310"/>
      <c r="I159" s="1310"/>
      <c r="J159" s="1310" t="s">
        <v>3748</v>
      </c>
      <c r="K159" s="1310"/>
      <c r="L159" s="1310"/>
      <c r="M159" s="1310"/>
      <c r="N159" s="1310"/>
      <c r="O159" s="1499"/>
      <c r="P159" s="1439" t="s">
        <v>3749</v>
      </c>
      <c r="Q159" s="1397" t="s">
        <v>3750</v>
      </c>
      <c r="R159" s="1367"/>
    </row>
    <row r="160" spans="1:18" ht="16.5" customHeight="1" x14ac:dyDescent="0.25">
      <c r="A160" s="1310" t="s">
        <v>3751</v>
      </c>
      <c r="B160" s="1356">
        <v>7</v>
      </c>
      <c r="C160" s="1356" t="s">
        <v>3298</v>
      </c>
      <c r="D160" s="1356"/>
      <c r="E160" s="1310"/>
      <c r="F160" s="1310"/>
      <c r="G160" s="1310"/>
      <c r="H160" s="1310"/>
      <c r="I160" s="1310"/>
      <c r="J160" s="1310" t="s">
        <v>3752</v>
      </c>
      <c r="K160" s="1310"/>
      <c r="L160" s="1310"/>
      <c r="M160" s="1310"/>
      <c r="N160" s="1310"/>
      <c r="O160" s="1499"/>
      <c r="P160" s="1439" t="s">
        <v>3753</v>
      </c>
      <c r="Q160" s="1397" t="s">
        <v>3754</v>
      </c>
      <c r="R160" s="1367"/>
    </row>
    <row r="161" spans="1:18" ht="16.5" customHeight="1" x14ac:dyDescent="0.25">
      <c r="A161" s="1305" t="s">
        <v>3755</v>
      </c>
      <c r="B161" s="1373">
        <v>6</v>
      </c>
      <c r="C161" s="1373" t="s">
        <v>3298</v>
      </c>
      <c r="D161" s="1356"/>
      <c r="E161" s="1310"/>
      <c r="F161" s="1310"/>
      <c r="G161" s="1310"/>
      <c r="H161" s="1368"/>
      <c r="I161" s="1310" t="s">
        <v>410</v>
      </c>
      <c r="J161" s="1310"/>
      <c r="K161" s="1310"/>
      <c r="L161" s="1305"/>
      <c r="M161" s="1305"/>
      <c r="N161" s="1310"/>
      <c r="O161" s="1499">
        <f>+'F Y U 2024 Presupuesto 15.09'!C111</f>
        <v>4052617000</v>
      </c>
      <c r="P161" s="1439" t="s">
        <v>3756</v>
      </c>
      <c r="Q161" s="1397" t="s">
        <v>3697</v>
      </c>
      <c r="R161" s="1367"/>
    </row>
    <row r="162" spans="1:18" ht="16.5" customHeight="1" x14ac:dyDescent="0.25">
      <c r="A162" s="1310" t="s">
        <v>3757</v>
      </c>
      <c r="B162" s="1356">
        <v>6</v>
      </c>
      <c r="C162" s="1356" t="s">
        <v>3298</v>
      </c>
      <c r="D162" s="1356"/>
      <c r="E162" s="1310"/>
      <c r="F162" s="1310"/>
      <c r="G162" s="1310"/>
      <c r="H162" s="1368"/>
      <c r="I162" s="1310" t="s">
        <v>3758</v>
      </c>
      <c r="J162" s="1310"/>
      <c r="K162" s="1310"/>
      <c r="L162" s="1310"/>
      <c r="M162" s="1310"/>
      <c r="N162" s="1310"/>
      <c r="O162" s="1499"/>
      <c r="P162" s="1439" t="s">
        <v>3759</v>
      </c>
      <c r="Q162" s="1397" t="s">
        <v>3697</v>
      </c>
      <c r="R162" s="1367"/>
    </row>
    <row r="163" spans="1:18" ht="16.5" customHeight="1" x14ac:dyDescent="0.25">
      <c r="A163" s="1304" t="s">
        <v>3760</v>
      </c>
      <c r="B163" s="1353">
        <v>5</v>
      </c>
      <c r="C163" s="1353" t="s">
        <v>3286</v>
      </c>
      <c r="D163" s="1353"/>
      <c r="E163" s="1304"/>
      <c r="F163" s="1304"/>
      <c r="G163" s="1304"/>
      <c r="H163" s="1304" t="s">
        <v>412</v>
      </c>
      <c r="I163" s="1304"/>
      <c r="J163" s="1304"/>
      <c r="K163" s="1304"/>
      <c r="L163" s="1304"/>
      <c r="M163" s="1370"/>
      <c r="N163" s="1304"/>
      <c r="O163" s="1497"/>
      <c r="P163" s="1436" t="s">
        <v>3761</v>
      </c>
      <c r="Q163" s="1437"/>
      <c r="R163" s="1385"/>
    </row>
    <row r="164" spans="1:18" ht="16.5" customHeight="1" x14ac:dyDescent="0.25">
      <c r="A164" s="1309" t="s">
        <v>3762</v>
      </c>
      <c r="B164" s="1381">
        <v>6</v>
      </c>
      <c r="C164" s="1381" t="s">
        <v>3286</v>
      </c>
      <c r="D164" s="1381"/>
      <c r="E164" s="1309"/>
      <c r="F164" s="1309"/>
      <c r="G164" s="1309"/>
      <c r="H164" s="1382"/>
      <c r="I164" s="1309" t="s">
        <v>414</v>
      </c>
      <c r="J164" s="1309"/>
      <c r="K164" s="1309"/>
      <c r="L164" s="1309"/>
      <c r="M164" s="1309"/>
      <c r="N164" s="1309"/>
      <c r="O164" s="1498"/>
      <c r="P164" s="1386" t="s">
        <v>3763</v>
      </c>
      <c r="Q164" s="1438"/>
      <c r="R164" s="1385"/>
    </row>
    <row r="165" spans="1:18" ht="16.5" customHeight="1" x14ac:dyDescent="0.25">
      <c r="A165" s="1311" t="s">
        <v>3764</v>
      </c>
      <c r="B165" s="1387">
        <v>7</v>
      </c>
      <c r="C165" s="1387" t="s">
        <v>3298</v>
      </c>
      <c r="D165" s="1387"/>
      <c r="E165" s="1311"/>
      <c r="F165" s="1311"/>
      <c r="G165" s="1311"/>
      <c r="H165" s="1311"/>
      <c r="I165" s="1311"/>
      <c r="J165" s="1311" t="s">
        <v>3765</v>
      </c>
      <c r="K165" s="1311"/>
      <c r="L165" s="1311"/>
      <c r="M165" s="1311"/>
      <c r="N165" s="1311"/>
      <c r="O165" s="1500"/>
      <c r="P165" s="1389" t="s">
        <v>3766</v>
      </c>
      <c r="Q165" s="1397" t="s">
        <v>3767</v>
      </c>
      <c r="R165" s="1367"/>
    </row>
    <row r="166" spans="1:18" ht="16.5" customHeight="1" x14ac:dyDescent="0.25">
      <c r="A166" s="1322" t="s">
        <v>3768</v>
      </c>
      <c r="B166" s="1387">
        <v>7</v>
      </c>
      <c r="C166" s="1387" t="s">
        <v>3298</v>
      </c>
      <c r="D166" s="1441"/>
      <c r="E166" s="1322"/>
      <c r="F166" s="1322"/>
      <c r="G166" s="1322"/>
      <c r="H166" s="1322"/>
      <c r="I166" s="1322"/>
      <c r="J166" s="1322" t="s">
        <v>3769</v>
      </c>
      <c r="K166" s="1322"/>
      <c r="L166" s="1322"/>
      <c r="M166" s="1322"/>
      <c r="N166" s="1322"/>
      <c r="O166" s="1501"/>
      <c r="P166" s="1442" t="s">
        <v>3770</v>
      </c>
      <c r="Q166" s="1443" t="s">
        <v>3301</v>
      </c>
      <c r="R166" s="1367"/>
    </row>
    <row r="167" spans="1:18" ht="16.5" customHeight="1" x14ac:dyDescent="0.25">
      <c r="A167" s="1311" t="s">
        <v>3771</v>
      </c>
      <c r="B167" s="1387">
        <v>7</v>
      </c>
      <c r="C167" s="1387" t="s">
        <v>3298</v>
      </c>
      <c r="D167" s="1387"/>
      <c r="E167" s="1311"/>
      <c r="F167" s="1311"/>
      <c r="G167" s="1311"/>
      <c r="H167" s="1311"/>
      <c r="I167" s="1311"/>
      <c r="J167" s="1311" t="s">
        <v>3772</v>
      </c>
      <c r="K167" s="1311"/>
      <c r="L167" s="1311"/>
      <c r="M167" s="1311"/>
      <c r="N167" s="1311"/>
      <c r="O167" s="1500"/>
      <c r="P167" s="1389" t="s">
        <v>3773</v>
      </c>
      <c r="Q167" s="1397" t="s">
        <v>3774</v>
      </c>
      <c r="R167" s="1367"/>
    </row>
    <row r="168" spans="1:18" ht="16.5" customHeight="1" x14ac:dyDescent="0.25">
      <c r="A168" s="1311" t="s">
        <v>3775</v>
      </c>
      <c r="B168" s="1387">
        <v>7</v>
      </c>
      <c r="C168" s="1387" t="s">
        <v>3298</v>
      </c>
      <c r="D168" s="1387"/>
      <c r="E168" s="1311"/>
      <c r="F168" s="1311"/>
      <c r="G168" s="1311"/>
      <c r="H168" s="1311"/>
      <c r="I168" s="1311"/>
      <c r="J168" s="1317" t="s">
        <v>3776</v>
      </c>
      <c r="K168" s="1311"/>
      <c r="L168" s="1311"/>
      <c r="M168" s="1311"/>
      <c r="N168" s="1311"/>
      <c r="O168" s="1500"/>
      <c r="P168" s="1389" t="s">
        <v>3777</v>
      </c>
      <c r="Q168" s="1397" t="s">
        <v>3778</v>
      </c>
      <c r="R168" s="1367"/>
    </row>
    <row r="169" spans="1:18" ht="16.5" customHeight="1" x14ac:dyDescent="0.25">
      <c r="A169" s="1311" t="s">
        <v>3779</v>
      </c>
      <c r="B169" s="1387">
        <v>7</v>
      </c>
      <c r="C169" s="1387" t="s">
        <v>3298</v>
      </c>
      <c r="D169" s="1387"/>
      <c r="E169" s="1311"/>
      <c r="F169" s="1311"/>
      <c r="G169" s="1311"/>
      <c r="H169" s="1311"/>
      <c r="I169" s="1311"/>
      <c r="J169" s="1311" t="s">
        <v>3780</v>
      </c>
      <c r="K169" s="1311"/>
      <c r="L169" s="1311"/>
      <c r="M169" s="1311"/>
      <c r="N169" s="1311"/>
      <c r="O169" s="1500"/>
      <c r="P169" s="1389" t="s">
        <v>3781</v>
      </c>
      <c r="Q169" s="1397" t="s">
        <v>3782</v>
      </c>
      <c r="R169" s="1367"/>
    </row>
    <row r="170" spans="1:18" ht="16.5" customHeight="1" x14ac:dyDescent="0.25">
      <c r="A170" s="1311" t="s">
        <v>3783</v>
      </c>
      <c r="B170" s="1387">
        <v>7</v>
      </c>
      <c r="C170" s="1387" t="s">
        <v>3298</v>
      </c>
      <c r="D170" s="1387"/>
      <c r="E170" s="1311"/>
      <c r="F170" s="1311"/>
      <c r="G170" s="1311"/>
      <c r="H170" s="1311"/>
      <c r="I170" s="1311"/>
      <c r="J170" s="1311" t="s">
        <v>3784</v>
      </c>
      <c r="K170" s="1311"/>
      <c r="L170" s="1311"/>
      <c r="M170" s="1311"/>
      <c r="N170" s="1311"/>
      <c r="O170" s="1500"/>
      <c r="P170" s="1389" t="s">
        <v>3785</v>
      </c>
      <c r="Q170" s="1397" t="s">
        <v>3786</v>
      </c>
      <c r="R170" s="1367"/>
    </row>
    <row r="171" spans="1:18" ht="16.5" customHeight="1" x14ac:dyDescent="0.25">
      <c r="A171" s="1311" t="s">
        <v>3787</v>
      </c>
      <c r="B171" s="1387">
        <v>7</v>
      </c>
      <c r="C171" s="1387" t="s">
        <v>3298</v>
      </c>
      <c r="D171" s="1387"/>
      <c r="E171" s="1311"/>
      <c r="F171" s="1311"/>
      <c r="G171" s="1311"/>
      <c r="H171" s="1311"/>
      <c r="I171" s="1311"/>
      <c r="J171" s="1311" t="s">
        <v>3788</v>
      </c>
      <c r="K171" s="1311"/>
      <c r="L171" s="1311"/>
      <c r="M171" s="1311"/>
      <c r="N171" s="1311"/>
      <c r="O171" s="1500"/>
      <c r="P171" s="1389" t="s">
        <v>3789</v>
      </c>
      <c r="Q171" s="1397" t="s">
        <v>3790</v>
      </c>
      <c r="R171" s="1367"/>
    </row>
    <row r="172" spans="1:18" ht="16.5" customHeight="1" x14ac:dyDescent="0.25">
      <c r="A172" s="1311" t="s">
        <v>3791</v>
      </c>
      <c r="B172" s="1387">
        <v>7</v>
      </c>
      <c r="C172" s="1387" t="s">
        <v>3298</v>
      </c>
      <c r="D172" s="1387"/>
      <c r="E172" s="1311"/>
      <c r="F172" s="1311"/>
      <c r="G172" s="1311"/>
      <c r="H172" s="1311"/>
      <c r="I172" s="1311"/>
      <c r="J172" s="1311" t="s">
        <v>3792</v>
      </c>
      <c r="K172" s="1311"/>
      <c r="L172" s="1311"/>
      <c r="M172" s="1311"/>
      <c r="N172" s="1311"/>
      <c r="O172" s="1500"/>
      <c r="P172" s="1389" t="s">
        <v>3793</v>
      </c>
      <c r="Q172" s="1397" t="s">
        <v>3320</v>
      </c>
      <c r="R172" s="1367"/>
    </row>
    <row r="173" spans="1:18" ht="16.5" customHeight="1" x14ac:dyDescent="0.25">
      <c r="A173" s="1311" t="s">
        <v>3794</v>
      </c>
      <c r="B173" s="1387">
        <v>7</v>
      </c>
      <c r="C173" s="1387" t="s">
        <v>3298</v>
      </c>
      <c r="D173" s="1387"/>
      <c r="E173" s="1311"/>
      <c r="F173" s="1311"/>
      <c r="G173" s="1311"/>
      <c r="H173" s="1311"/>
      <c r="I173" s="1311"/>
      <c r="J173" s="1311" t="s">
        <v>3795</v>
      </c>
      <c r="K173" s="1311"/>
      <c r="L173" s="1311"/>
      <c r="M173" s="1311"/>
      <c r="N173" s="1311"/>
      <c r="O173" s="1500"/>
      <c r="P173" s="1389" t="s">
        <v>3796</v>
      </c>
      <c r="Q173" s="1397" t="s">
        <v>3797</v>
      </c>
      <c r="R173" s="1367"/>
    </row>
    <row r="174" spans="1:18" ht="16.5" customHeight="1" x14ac:dyDescent="0.25">
      <c r="A174" s="1311" t="s">
        <v>3798</v>
      </c>
      <c r="B174" s="1387">
        <v>7</v>
      </c>
      <c r="C174" s="1387" t="s">
        <v>3298</v>
      </c>
      <c r="D174" s="1387"/>
      <c r="E174" s="1311"/>
      <c r="F174" s="1311"/>
      <c r="G174" s="1311"/>
      <c r="H174" s="1311"/>
      <c r="I174" s="1311"/>
      <c r="J174" s="1311" t="s">
        <v>416</v>
      </c>
      <c r="K174" s="1311"/>
      <c r="L174" s="1311"/>
      <c r="M174" s="1311"/>
      <c r="N174" s="1311"/>
      <c r="O174" s="1500">
        <f>+'F Y U 2024 Presupuesto 15.09'!C45+'F Y U 2024 Presupuesto 15.09'!C46</f>
        <v>3569066000</v>
      </c>
      <c r="P174" s="1389" t="s">
        <v>3799</v>
      </c>
      <c r="Q174" s="1397" t="s">
        <v>3800</v>
      </c>
      <c r="R174" s="1367"/>
    </row>
    <row r="175" spans="1:18" ht="16.5" customHeight="1" x14ac:dyDescent="0.25">
      <c r="A175" s="1311" t="s">
        <v>3801</v>
      </c>
      <c r="B175" s="1387">
        <v>7</v>
      </c>
      <c r="C175" s="1387" t="s">
        <v>3298</v>
      </c>
      <c r="D175" s="1387"/>
      <c r="E175" s="1311"/>
      <c r="F175" s="1311"/>
      <c r="G175" s="1311"/>
      <c r="H175" s="1311"/>
      <c r="I175" s="1311"/>
      <c r="J175" s="1311" t="s">
        <v>3802</v>
      </c>
      <c r="K175" s="1311"/>
      <c r="L175" s="1311"/>
      <c r="M175" s="1311"/>
      <c r="N175" s="1311"/>
      <c r="O175" s="1500">
        <f>+'F Y U 2024 Presupuesto 15.09'!C51</f>
        <v>103859000</v>
      </c>
      <c r="P175" s="1389" t="s">
        <v>3803</v>
      </c>
      <c r="Q175" s="1397" t="s">
        <v>3804</v>
      </c>
      <c r="R175" s="1367"/>
    </row>
    <row r="176" spans="1:18" ht="16.5" customHeight="1" x14ac:dyDescent="0.25">
      <c r="A176" s="1311" t="s">
        <v>3805</v>
      </c>
      <c r="B176" s="1387">
        <v>7</v>
      </c>
      <c r="C176" s="1387" t="s">
        <v>3298</v>
      </c>
      <c r="D176" s="1387"/>
      <c r="E176" s="1311"/>
      <c r="F176" s="1311"/>
      <c r="G176" s="1311"/>
      <c r="H176" s="1311"/>
      <c r="I176" s="1311"/>
      <c r="J176" s="1311" t="s">
        <v>3806</v>
      </c>
      <c r="K176" s="1311"/>
      <c r="L176" s="1311"/>
      <c r="M176" s="1311"/>
      <c r="N176" s="1311"/>
      <c r="O176" s="1500"/>
      <c r="P176" s="1389" t="s">
        <v>3807</v>
      </c>
      <c r="Q176" s="1397" t="s">
        <v>3808</v>
      </c>
      <c r="R176" s="1367"/>
    </row>
    <row r="177" spans="1:18" ht="16.5" customHeight="1" x14ac:dyDescent="0.25">
      <c r="A177" s="1309" t="s">
        <v>3809</v>
      </c>
      <c r="B177" s="1381">
        <v>6</v>
      </c>
      <c r="C177" s="1381" t="s">
        <v>3286</v>
      </c>
      <c r="D177" s="1381"/>
      <c r="E177" s="1309"/>
      <c r="F177" s="1309"/>
      <c r="G177" s="1309"/>
      <c r="H177" s="1382"/>
      <c r="I177" s="1309" t="s">
        <v>3810</v>
      </c>
      <c r="J177" s="1309"/>
      <c r="K177" s="1309"/>
      <c r="L177" s="1309"/>
      <c r="M177" s="1309"/>
      <c r="N177" s="1309"/>
      <c r="O177" s="1498"/>
      <c r="P177" s="1386" t="s">
        <v>3811</v>
      </c>
      <c r="Q177" s="1438"/>
      <c r="R177" s="1385"/>
    </row>
    <row r="178" spans="1:18" ht="16.5" customHeight="1" x14ac:dyDescent="0.25">
      <c r="A178" s="1311" t="s">
        <v>3812</v>
      </c>
      <c r="B178" s="1387">
        <v>7</v>
      </c>
      <c r="C178" s="1387" t="s">
        <v>3298</v>
      </c>
      <c r="D178" s="1387"/>
      <c r="E178" s="1311"/>
      <c r="F178" s="1311"/>
      <c r="G178" s="1311"/>
      <c r="H178" s="1311"/>
      <c r="I178" s="1311"/>
      <c r="J178" s="1311" t="s">
        <v>3813</v>
      </c>
      <c r="K178" s="1311"/>
      <c r="L178" s="1311"/>
      <c r="M178" s="1311"/>
      <c r="N178" s="1311"/>
      <c r="O178" s="1500"/>
      <c r="P178" s="1389" t="s">
        <v>3814</v>
      </c>
      <c r="Q178" s="1397" t="s">
        <v>3815</v>
      </c>
      <c r="R178" s="1367"/>
    </row>
    <row r="179" spans="1:18" ht="16.5" customHeight="1" x14ac:dyDescent="0.25">
      <c r="A179" s="1311" t="s">
        <v>3816</v>
      </c>
      <c r="B179" s="1387">
        <v>7</v>
      </c>
      <c r="C179" s="1387" t="s">
        <v>3298</v>
      </c>
      <c r="D179" s="1387"/>
      <c r="E179" s="1311"/>
      <c r="F179" s="1311"/>
      <c r="G179" s="1311"/>
      <c r="H179" s="1311"/>
      <c r="I179" s="1311"/>
      <c r="J179" s="1311" t="s">
        <v>3817</v>
      </c>
      <c r="K179" s="1311"/>
      <c r="L179" s="1311"/>
      <c r="M179" s="1311"/>
      <c r="N179" s="1311"/>
      <c r="O179" s="1500"/>
      <c r="P179" s="1389" t="s">
        <v>3818</v>
      </c>
      <c r="Q179" s="1397" t="s">
        <v>3819</v>
      </c>
      <c r="R179" s="1367"/>
    </row>
    <row r="180" spans="1:18" ht="16.5" customHeight="1" x14ac:dyDescent="0.25">
      <c r="A180" s="1309" t="s">
        <v>3820</v>
      </c>
      <c r="B180" s="1381">
        <v>6</v>
      </c>
      <c r="C180" s="1381" t="s">
        <v>3286</v>
      </c>
      <c r="D180" s="1381"/>
      <c r="E180" s="1309"/>
      <c r="F180" s="1309"/>
      <c r="G180" s="1309"/>
      <c r="H180" s="1382"/>
      <c r="I180" s="1309" t="s">
        <v>3821</v>
      </c>
      <c r="J180" s="1309"/>
      <c r="K180" s="1309"/>
      <c r="L180" s="1309"/>
      <c r="M180" s="1309"/>
      <c r="N180" s="1309"/>
      <c r="O180" s="1498"/>
      <c r="P180" s="1386" t="s">
        <v>3822</v>
      </c>
      <c r="Q180" s="1438"/>
      <c r="R180" s="1385"/>
    </row>
    <row r="181" spans="1:18" ht="16.5" customHeight="1" x14ac:dyDescent="0.25">
      <c r="A181" s="1311" t="s">
        <v>3823</v>
      </c>
      <c r="B181" s="1387">
        <v>7</v>
      </c>
      <c r="C181" s="1387" t="s">
        <v>3298</v>
      </c>
      <c r="D181" s="1387"/>
      <c r="E181" s="1311"/>
      <c r="F181" s="1311"/>
      <c r="G181" s="1311"/>
      <c r="H181" s="1311"/>
      <c r="I181" s="1311"/>
      <c r="J181" s="1311" t="s">
        <v>3824</v>
      </c>
      <c r="K181" s="1311"/>
      <c r="L181" s="1311"/>
      <c r="M181" s="1311"/>
      <c r="N181" s="1311"/>
      <c r="O181" s="1500"/>
      <c r="P181" s="1389" t="s">
        <v>3825</v>
      </c>
      <c r="Q181" s="1397" t="s">
        <v>3301</v>
      </c>
      <c r="R181" s="1367"/>
    </row>
    <row r="182" spans="1:18" ht="16.5" customHeight="1" x14ac:dyDescent="0.25">
      <c r="A182" s="1311" t="s">
        <v>3826</v>
      </c>
      <c r="B182" s="1387">
        <v>7</v>
      </c>
      <c r="C182" s="1387" t="s">
        <v>3298</v>
      </c>
      <c r="D182" s="1387"/>
      <c r="E182" s="1311"/>
      <c r="F182" s="1311"/>
      <c r="G182" s="1311"/>
      <c r="H182" s="1311"/>
      <c r="I182" s="1311"/>
      <c r="J182" s="1311" t="s">
        <v>3827</v>
      </c>
      <c r="K182" s="1311"/>
      <c r="L182" s="1311"/>
      <c r="M182" s="1311"/>
      <c r="N182" s="1311"/>
      <c r="O182" s="1500"/>
      <c r="P182" s="1389" t="s">
        <v>3828</v>
      </c>
      <c r="Q182" s="1397" t="s">
        <v>3301</v>
      </c>
      <c r="R182" s="1367"/>
    </row>
    <row r="183" spans="1:18" ht="16.5" customHeight="1" x14ac:dyDescent="0.25">
      <c r="A183" s="1309" t="s">
        <v>3829</v>
      </c>
      <c r="B183" s="1381">
        <v>6</v>
      </c>
      <c r="C183" s="1381" t="s">
        <v>3286</v>
      </c>
      <c r="D183" s="1381"/>
      <c r="E183" s="1309"/>
      <c r="F183" s="1309"/>
      <c r="G183" s="1309"/>
      <c r="H183" s="1382"/>
      <c r="I183" s="1309" t="s">
        <v>420</v>
      </c>
      <c r="J183" s="1309"/>
      <c r="K183" s="1309"/>
      <c r="L183" s="1309"/>
      <c r="M183" s="1309"/>
      <c r="N183" s="1309"/>
      <c r="O183" s="1498"/>
      <c r="P183" s="1386" t="s">
        <v>3830</v>
      </c>
      <c r="Q183" s="1438"/>
      <c r="R183" s="1385"/>
    </row>
    <row r="184" spans="1:18" ht="16.5" customHeight="1" x14ac:dyDescent="0.25">
      <c r="A184" s="1309" t="s">
        <v>3831</v>
      </c>
      <c r="B184" s="1381">
        <v>7</v>
      </c>
      <c r="C184" s="1381" t="s">
        <v>3286</v>
      </c>
      <c r="D184" s="1381"/>
      <c r="E184" s="1309"/>
      <c r="F184" s="1309"/>
      <c r="G184" s="1309"/>
      <c r="H184" s="1309"/>
      <c r="I184" s="1309"/>
      <c r="J184" s="1309" t="s">
        <v>422</v>
      </c>
      <c r="K184" s="1309"/>
      <c r="L184" s="1309"/>
      <c r="M184" s="1309"/>
      <c r="N184" s="1309"/>
      <c r="O184" s="1498"/>
      <c r="P184" s="1386" t="s">
        <v>3832</v>
      </c>
      <c r="Q184" s="1438" t="s">
        <v>3833</v>
      </c>
      <c r="R184" s="1385"/>
    </row>
    <row r="185" spans="1:18" ht="16.5" customHeight="1" x14ac:dyDescent="0.25">
      <c r="A185" s="1311" t="s">
        <v>3834</v>
      </c>
      <c r="B185" s="1387">
        <v>8</v>
      </c>
      <c r="C185" s="1387" t="s">
        <v>3298</v>
      </c>
      <c r="D185" s="1387"/>
      <c r="E185" s="1311"/>
      <c r="F185" s="1311"/>
      <c r="G185" s="1311"/>
      <c r="H185" s="1311"/>
      <c r="I185" s="1311"/>
      <c r="J185" s="1311"/>
      <c r="K185" s="1311" t="s">
        <v>3835</v>
      </c>
      <c r="L185" s="1311"/>
      <c r="M185" s="1311"/>
      <c r="N185" s="1311"/>
      <c r="O185" s="1500"/>
      <c r="P185" s="1389" t="s">
        <v>3836</v>
      </c>
      <c r="Q185" s="1397" t="s">
        <v>3837</v>
      </c>
      <c r="R185" s="1367"/>
    </row>
    <row r="186" spans="1:18" ht="16.5" customHeight="1" x14ac:dyDescent="0.25">
      <c r="A186" s="1311" t="s">
        <v>3838</v>
      </c>
      <c r="B186" s="1387">
        <v>8</v>
      </c>
      <c r="C186" s="1387" t="s">
        <v>3298</v>
      </c>
      <c r="D186" s="1387"/>
      <c r="E186" s="1311"/>
      <c r="F186" s="1311"/>
      <c r="G186" s="1311"/>
      <c r="H186" s="1311"/>
      <c r="I186" s="1311"/>
      <c r="J186" s="1311"/>
      <c r="K186" s="1311" t="s">
        <v>3839</v>
      </c>
      <c r="L186" s="1311"/>
      <c r="M186" s="1311"/>
      <c r="N186" s="1311"/>
      <c r="O186" s="1500"/>
      <c r="P186" s="1389" t="s">
        <v>3840</v>
      </c>
      <c r="Q186" s="1397" t="s">
        <v>3841</v>
      </c>
      <c r="R186" s="1367"/>
    </row>
    <row r="187" spans="1:18" ht="16.5" customHeight="1" x14ac:dyDescent="0.25">
      <c r="A187" s="1311" t="s">
        <v>3842</v>
      </c>
      <c r="B187" s="1387">
        <v>8</v>
      </c>
      <c r="C187" s="1387" t="s">
        <v>3298</v>
      </c>
      <c r="D187" s="1387"/>
      <c r="E187" s="1311"/>
      <c r="F187" s="1311"/>
      <c r="G187" s="1311"/>
      <c r="H187" s="1311"/>
      <c r="I187" s="1311"/>
      <c r="J187" s="1311"/>
      <c r="K187" s="1311" t="s">
        <v>424</v>
      </c>
      <c r="L187" s="1311"/>
      <c r="M187" s="1311"/>
      <c r="N187" s="1311"/>
      <c r="O187" s="1500"/>
      <c r="P187" s="1389" t="s">
        <v>3843</v>
      </c>
      <c r="Q187" s="1397" t="s">
        <v>3844</v>
      </c>
      <c r="R187" s="1367"/>
    </row>
    <row r="188" spans="1:18" ht="16.5" customHeight="1" x14ac:dyDescent="0.25">
      <c r="A188" s="1311" t="s">
        <v>3845</v>
      </c>
      <c r="B188" s="1387">
        <v>8</v>
      </c>
      <c r="C188" s="1387" t="s">
        <v>3298</v>
      </c>
      <c r="D188" s="1387"/>
      <c r="E188" s="1311"/>
      <c r="F188" s="1311"/>
      <c r="G188" s="1311"/>
      <c r="H188" s="1311"/>
      <c r="I188" s="1311"/>
      <c r="J188" s="1311"/>
      <c r="K188" s="1311" t="s">
        <v>3846</v>
      </c>
      <c r="L188" s="1311"/>
      <c r="M188" s="1311"/>
      <c r="N188" s="1311"/>
      <c r="O188" s="1500"/>
      <c r="P188" s="1389" t="s">
        <v>3847</v>
      </c>
      <c r="Q188" s="1397" t="s">
        <v>3848</v>
      </c>
      <c r="R188" s="1367"/>
    </row>
    <row r="189" spans="1:18" ht="16.5" customHeight="1" x14ac:dyDescent="0.25">
      <c r="A189" s="1311" t="s">
        <v>3849</v>
      </c>
      <c r="B189" s="1387">
        <v>8</v>
      </c>
      <c r="C189" s="1387" t="s">
        <v>3298</v>
      </c>
      <c r="D189" s="1387"/>
      <c r="E189" s="1311"/>
      <c r="F189" s="1311"/>
      <c r="G189" s="1311"/>
      <c r="H189" s="1311"/>
      <c r="I189" s="1311"/>
      <c r="J189" s="1311"/>
      <c r="K189" s="1311" t="s">
        <v>3850</v>
      </c>
      <c r="L189" s="1311"/>
      <c r="M189" s="1311"/>
      <c r="N189" s="1311"/>
      <c r="O189" s="1500"/>
      <c r="P189" s="1389" t="s">
        <v>3851</v>
      </c>
      <c r="Q189" s="1397" t="s">
        <v>3852</v>
      </c>
      <c r="R189" s="1367"/>
    </row>
    <row r="190" spans="1:18" ht="16.5" customHeight="1" x14ac:dyDescent="0.25">
      <c r="A190" s="1311" t="s">
        <v>3853</v>
      </c>
      <c r="B190" s="1387">
        <v>8</v>
      </c>
      <c r="C190" s="1387" t="s">
        <v>3298</v>
      </c>
      <c r="D190" s="1387"/>
      <c r="E190" s="1311"/>
      <c r="F190" s="1311"/>
      <c r="G190" s="1311"/>
      <c r="H190" s="1311"/>
      <c r="I190" s="1311"/>
      <c r="J190" s="1311"/>
      <c r="K190" s="1311" t="s">
        <v>3854</v>
      </c>
      <c r="L190" s="1311"/>
      <c r="M190" s="1311"/>
      <c r="N190" s="1311"/>
      <c r="O190" s="1500"/>
      <c r="P190" s="1389" t="s">
        <v>3855</v>
      </c>
      <c r="Q190" s="1397" t="s">
        <v>3856</v>
      </c>
      <c r="R190" s="1367"/>
    </row>
    <row r="191" spans="1:18" ht="16.5" customHeight="1" x14ac:dyDescent="0.25">
      <c r="A191" s="1304" t="s">
        <v>3857</v>
      </c>
      <c r="B191" s="1353">
        <v>5</v>
      </c>
      <c r="C191" s="1353" t="s">
        <v>3286</v>
      </c>
      <c r="D191" s="1353"/>
      <c r="E191" s="1304"/>
      <c r="F191" s="1304"/>
      <c r="G191" s="1304"/>
      <c r="H191" s="1304" t="s">
        <v>3858</v>
      </c>
      <c r="I191" s="1304"/>
      <c r="J191" s="1304"/>
      <c r="K191" s="1304"/>
      <c r="L191" s="1304"/>
      <c r="M191" s="1370"/>
      <c r="N191" s="1304"/>
      <c r="O191" s="1497"/>
      <c r="P191" s="1436" t="s">
        <v>3859</v>
      </c>
      <c r="Q191" s="1444"/>
      <c r="R191" s="1385"/>
    </row>
    <row r="192" spans="1:18" ht="16.5" customHeight="1" x14ac:dyDescent="0.25">
      <c r="A192" s="1311" t="s">
        <v>3860</v>
      </c>
      <c r="B192" s="1387">
        <v>6</v>
      </c>
      <c r="C192" s="1387" t="s">
        <v>3298</v>
      </c>
      <c r="D192" s="1387"/>
      <c r="E192" s="1311"/>
      <c r="F192" s="1311"/>
      <c r="G192" s="1311"/>
      <c r="H192" s="1388"/>
      <c r="I192" s="1311" t="s">
        <v>3861</v>
      </c>
      <c r="J192" s="1311"/>
      <c r="K192" s="1311"/>
      <c r="L192" s="1311"/>
      <c r="M192" s="1311"/>
      <c r="N192" s="1311"/>
      <c r="O192" s="1500"/>
      <c r="P192" s="1389" t="s">
        <v>3862</v>
      </c>
      <c r="Q192" s="1397" t="s">
        <v>3863</v>
      </c>
      <c r="R192" s="1367"/>
    </row>
    <row r="193" spans="1:18" ht="16.5" customHeight="1" x14ac:dyDescent="0.25">
      <c r="A193" s="1311" t="s">
        <v>3864</v>
      </c>
      <c r="B193" s="1387">
        <v>6</v>
      </c>
      <c r="C193" s="1387" t="s">
        <v>3298</v>
      </c>
      <c r="D193" s="1387"/>
      <c r="E193" s="1311"/>
      <c r="F193" s="1311"/>
      <c r="G193" s="1311"/>
      <c r="H193" s="1388"/>
      <c r="I193" s="1311" t="s">
        <v>3865</v>
      </c>
      <c r="J193" s="1311"/>
      <c r="K193" s="1311"/>
      <c r="L193" s="1311"/>
      <c r="M193" s="1311"/>
      <c r="N193" s="1311"/>
      <c r="O193" s="1500"/>
      <c r="P193" s="1389" t="s">
        <v>3866</v>
      </c>
      <c r="Q193" s="1397" t="s">
        <v>3867</v>
      </c>
      <c r="R193" s="1367"/>
    </row>
    <row r="194" spans="1:18" ht="16.5" customHeight="1" x14ac:dyDescent="0.25">
      <c r="A194" s="1311" t="s">
        <v>3868</v>
      </c>
      <c r="B194" s="1387">
        <v>6</v>
      </c>
      <c r="C194" s="1387" t="s">
        <v>3298</v>
      </c>
      <c r="D194" s="1387"/>
      <c r="E194" s="1311"/>
      <c r="F194" s="1311"/>
      <c r="G194" s="1311"/>
      <c r="H194" s="1388"/>
      <c r="I194" s="1311" t="s">
        <v>3869</v>
      </c>
      <c r="J194" s="1311"/>
      <c r="K194" s="1311"/>
      <c r="L194" s="1311"/>
      <c r="M194" s="1311"/>
      <c r="N194" s="1311"/>
      <c r="O194" s="1500"/>
      <c r="P194" s="1389" t="s">
        <v>3870</v>
      </c>
      <c r="Q194" s="1397" t="s">
        <v>3871</v>
      </c>
      <c r="R194" s="1367"/>
    </row>
    <row r="195" spans="1:18" ht="16.5" customHeight="1" x14ac:dyDescent="0.25">
      <c r="A195" s="1304" t="s">
        <v>3872</v>
      </c>
      <c r="B195" s="1353">
        <v>5</v>
      </c>
      <c r="C195" s="1353" t="s">
        <v>3286</v>
      </c>
      <c r="D195" s="1353"/>
      <c r="E195" s="1353"/>
      <c r="F195" s="1304"/>
      <c r="G195" s="1304"/>
      <c r="H195" s="1304" t="s">
        <v>3873</v>
      </c>
      <c r="I195" s="1304"/>
      <c r="J195" s="1304"/>
      <c r="K195" s="1304"/>
      <c r="L195" s="1304"/>
      <c r="M195" s="1370"/>
      <c r="N195" s="1370"/>
      <c r="O195" s="1479"/>
      <c r="P195" s="1436" t="s">
        <v>3874</v>
      </c>
      <c r="Q195" s="1354"/>
      <c r="R195" s="1385"/>
    </row>
    <row r="196" spans="1:18" s="1446" customFormat="1" ht="16.5" customHeight="1" x14ac:dyDescent="0.25">
      <c r="A196" s="1311" t="s">
        <v>3875</v>
      </c>
      <c r="B196" s="1387">
        <v>6</v>
      </c>
      <c r="C196" s="1387" t="s">
        <v>3298</v>
      </c>
      <c r="D196" s="1381"/>
      <c r="E196" s="1381"/>
      <c r="F196" s="1309"/>
      <c r="G196" s="1309"/>
      <c r="H196" s="1309"/>
      <c r="I196" s="1311" t="s">
        <v>3876</v>
      </c>
      <c r="J196" s="1309"/>
      <c r="K196" s="1309"/>
      <c r="L196" s="1309"/>
      <c r="M196" s="1382"/>
      <c r="N196" s="1382"/>
      <c r="O196" s="1483"/>
      <c r="P196" s="1389" t="s">
        <v>3877</v>
      </c>
      <c r="Q196" s="1445"/>
      <c r="R196" s="1399" t="s">
        <v>3374</v>
      </c>
    </row>
    <row r="197" spans="1:18" s="1446" customFormat="1" ht="16.5" customHeight="1" x14ac:dyDescent="0.25">
      <c r="A197" s="1311" t="s">
        <v>3878</v>
      </c>
      <c r="B197" s="1387">
        <v>6</v>
      </c>
      <c r="C197" s="1387" t="s">
        <v>3298</v>
      </c>
      <c r="D197" s="1381"/>
      <c r="E197" s="1381"/>
      <c r="F197" s="1309"/>
      <c r="G197" s="1309"/>
      <c r="H197" s="1309"/>
      <c r="I197" s="1313" t="s">
        <v>3879</v>
      </c>
      <c r="J197" s="1309"/>
      <c r="K197" s="1309"/>
      <c r="L197" s="1309"/>
      <c r="M197" s="1382"/>
      <c r="N197" s="1382"/>
      <c r="O197" s="1483"/>
      <c r="P197" s="1397" t="s">
        <v>3880</v>
      </c>
      <c r="Q197" s="1445"/>
      <c r="R197" s="1399" t="s">
        <v>3374</v>
      </c>
    </row>
    <row r="198" spans="1:18" s="1446" customFormat="1" ht="16.5" customHeight="1" x14ac:dyDescent="0.25">
      <c r="A198" s="1311" t="s">
        <v>3881</v>
      </c>
      <c r="B198" s="1387">
        <v>6</v>
      </c>
      <c r="C198" s="1387" t="s">
        <v>3298</v>
      </c>
      <c r="D198" s="1381"/>
      <c r="E198" s="1381"/>
      <c r="F198" s="1309"/>
      <c r="G198" s="1309"/>
      <c r="H198" s="1309"/>
      <c r="I198" s="1313" t="s">
        <v>3882</v>
      </c>
      <c r="J198" s="1309"/>
      <c r="K198" s="1309"/>
      <c r="L198" s="1309"/>
      <c r="M198" s="1382"/>
      <c r="N198" s="1382"/>
      <c r="O198" s="1483"/>
      <c r="P198" s="1397" t="s">
        <v>3883</v>
      </c>
      <c r="Q198" s="1447" t="s">
        <v>3884</v>
      </c>
      <c r="R198" s="1399" t="s">
        <v>3374</v>
      </c>
    </row>
    <row r="199" spans="1:18" s="1446" customFormat="1" ht="16.5" customHeight="1" x14ac:dyDescent="0.25">
      <c r="A199" s="1311" t="s">
        <v>3885</v>
      </c>
      <c r="B199" s="1387">
        <v>6</v>
      </c>
      <c r="C199" s="1387" t="s">
        <v>3298</v>
      </c>
      <c r="D199" s="1381"/>
      <c r="E199" s="1381"/>
      <c r="F199" s="1309"/>
      <c r="G199" s="1309"/>
      <c r="H199" s="1309"/>
      <c r="I199" s="1313" t="s">
        <v>3886</v>
      </c>
      <c r="J199" s="1309"/>
      <c r="K199" s="1309"/>
      <c r="L199" s="1309"/>
      <c r="M199" s="1382"/>
      <c r="N199" s="1382"/>
      <c r="O199" s="1483"/>
      <c r="P199" s="1397" t="s">
        <v>3887</v>
      </c>
      <c r="Q199" s="1447" t="s">
        <v>3888</v>
      </c>
      <c r="R199" s="1399" t="s">
        <v>3374</v>
      </c>
    </row>
    <row r="200" spans="1:18" s="1446" customFormat="1" ht="16.5" customHeight="1" x14ac:dyDescent="0.25">
      <c r="A200" s="1311" t="s">
        <v>3889</v>
      </c>
      <c r="B200" s="1387">
        <v>6</v>
      </c>
      <c r="C200" s="1387" t="s">
        <v>3298</v>
      </c>
      <c r="D200" s="1381"/>
      <c r="E200" s="1381"/>
      <c r="F200" s="1309"/>
      <c r="G200" s="1309"/>
      <c r="H200" s="1309"/>
      <c r="I200" s="1313" t="s">
        <v>3890</v>
      </c>
      <c r="J200" s="1309"/>
      <c r="K200" s="1309"/>
      <c r="L200" s="1309"/>
      <c r="M200" s="1382"/>
      <c r="N200" s="1382"/>
      <c r="O200" s="1483"/>
      <c r="P200" s="1397" t="s">
        <v>3891</v>
      </c>
      <c r="Q200" s="1445"/>
      <c r="R200" s="1399" t="s">
        <v>3374</v>
      </c>
    </row>
    <row r="201" spans="1:18" s="1446" customFormat="1" ht="16.5" customHeight="1" x14ac:dyDescent="0.25">
      <c r="A201" s="1311" t="s">
        <v>3892</v>
      </c>
      <c r="B201" s="1387">
        <v>6</v>
      </c>
      <c r="C201" s="1387" t="s">
        <v>3298</v>
      </c>
      <c r="D201" s="1381"/>
      <c r="E201" s="1381"/>
      <c r="F201" s="1309"/>
      <c r="G201" s="1309"/>
      <c r="H201" s="1309"/>
      <c r="I201" s="1313" t="s">
        <v>3893</v>
      </c>
      <c r="J201" s="1448"/>
      <c r="K201" s="1448"/>
      <c r="L201" s="1395"/>
      <c r="M201" s="1395"/>
      <c r="N201" s="1397"/>
      <c r="O201" s="1502"/>
      <c r="P201" s="1389" t="s">
        <v>3894</v>
      </c>
      <c r="Q201" s="1447" t="s">
        <v>3895</v>
      </c>
      <c r="R201" s="1399" t="s">
        <v>3374</v>
      </c>
    </row>
    <row r="202" spans="1:18" s="1446" customFormat="1" ht="16.5" customHeight="1" x14ac:dyDescent="0.25">
      <c r="A202" s="1311" t="s">
        <v>3896</v>
      </c>
      <c r="B202" s="1387">
        <v>6</v>
      </c>
      <c r="C202" s="1387" t="s">
        <v>3298</v>
      </c>
      <c r="D202" s="1381"/>
      <c r="E202" s="1381"/>
      <c r="F202" s="1309"/>
      <c r="G202" s="1309"/>
      <c r="H202" s="1309"/>
      <c r="I202" s="1313" t="s">
        <v>3897</v>
      </c>
      <c r="J202" s="1313"/>
      <c r="K202" s="1313"/>
      <c r="L202" s="1313"/>
      <c r="M202" s="1313"/>
      <c r="O202" s="1503"/>
      <c r="P202" s="1397" t="s">
        <v>3898</v>
      </c>
      <c r="Q202" s="1445"/>
      <c r="R202" s="1399" t="s">
        <v>3374</v>
      </c>
    </row>
    <row r="203" spans="1:18" s="1446" customFormat="1" ht="16.5" customHeight="1" x14ac:dyDescent="0.25">
      <c r="A203" s="1311" t="s">
        <v>3899</v>
      </c>
      <c r="B203" s="1387">
        <v>6</v>
      </c>
      <c r="C203" s="1387" t="s">
        <v>3298</v>
      </c>
      <c r="D203" s="1381"/>
      <c r="E203" s="1381"/>
      <c r="F203" s="1309"/>
      <c r="G203" s="1309"/>
      <c r="H203" s="1309"/>
      <c r="I203" s="1313" t="s">
        <v>3900</v>
      </c>
      <c r="J203" s="1313"/>
      <c r="K203" s="1313"/>
      <c r="L203" s="1313"/>
      <c r="M203" s="1313"/>
      <c r="O203" s="1503"/>
      <c r="P203" s="1397" t="s">
        <v>3901</v>
      </c>
      <c r="Q203" s="1445"/>
      <c r="R203" s="1399" t="s">
        <v>3374</v>
      </c>
    </row>
    <row r="204" spans="1:18" s="1446" customFormat="1" ht="16.5" customHeight="1" x14ac:dyDescent="0.25">
      <c r="A204" s="1311" t="s">
        <v>3902</v>
      </c>
      <c r="B204" s="1387">
        <v>6</v>
      </c>
      <c r="C204" s="1387" t="s">
        <v>3298</v>
      </c>
      <c r="D204" s="1381"/>
      <c r="E204" s="1381"/>
      <c r="F204" s="1309"/>
      <c r="G204" s="1309"/>
      <c r="H204" s="1309"/>
      <c r="I204" s="1313" t="s">
        <v>3903</v>
      </c>
      <c r="J204" s="1313"/>
      <c r="K204" s="1313"/>
      <c r="L204" s="1313"/>
      <c r="M204" s="1313"/>
      <c r="O204" s="1503"/>
      <c r="P204" s="1397" t="s">
        <v>3904</v>
      </c>
      <c r="Q204" s="1447" t="s">
        <v>3905</v>
      </c>
      <c r="R204" s="1399" t="s">
        <v>3374</v>
      </c>
    </row>
    <row r="205" spans="1:18" s="1446" customFormat="1" ht="16.5" customHeight="1" x14ac:dyDescent="0.25">
      <c r="A205" s="1311" t="s">
        <v>3906</v>
      </c>
      <c r="B205" s="1387">
        <v>6</v>
      </c>
      <c r="C205" s="1387" t="s">
        <v>3298</v>
      </c>
      <c r="D205" s="1381"/>
      <c r="E205" s="1381"/>
      <c r="F205" s="1309"/>
      <c r="G205" s="1309"/>
      <c r="H205" s="1309"/>
      <c r="I205" s="1313" t="s">
        <v>3907</v>
      </c>
      <c r="J205" s="1313"/>
      <c r="K205" s="1313"/>
      <c r="L205" s="1313"/>
      <c r="M205" s="1313"/>
      <c r="O205" s="1503"/>
      <c r="P205" s="1397" t="s">
        <v>3908</v>
      </c>
      <c r="Q205" s="1447" t="s">
        <v>3909</v>
      </c>
      <c r="R205" s="1399" t="s">
        <v>3374</v>
      </c>
    </row>
    <row r="206" spans="1:18" s="1446" customFormat="1" ht="16.5" customHeight="1" x14ac:dyDescent="0.25">
      <c r="A206" s="1311" t="s">
        <v>3910</v>
      </c>
      <c r="B206" s="1387">
        <v>6</v>
      </c>
      <c r="C206" s="1387" t="s">
        <v>3298</v>
      </c>
      <c r="D206" s="1381"/>
      <c r="E206" s="1381"/>
      <c r="F206" s="1309"/>
      <c r="G206" s="1309"/>
      <c r="H206" s="1309"/>
      <c r="I206" s="1313" t="s">
        <v>3911</v>
      </c>
      <c r="J206" s="1313"/>
      <c r="K206" s="1313"/>
      <c r="L206" s="1313"/>
      <c r="M206" s="1313"/>
      <c r="O206" s="1503"/>
      <c r="P206" s="1397" t="s">
        <v>3912</v>
      </c>
      <c r="Q206" s="1447" t="s">
        <v>3913</v>
      </c>
      <c r="R206" s="1399" t="s">
        <v>3374</v>
      </c>
    </row>
    <row r="207" spans="1:18" s="1446" customFormat="1" ht="16.5" customHeight="1" x14ac:dyDescent="0.25">
      <c r="A207" s="1311" t="s">
        <v>3914</v>
      </c>
      <c r="B207" s="1387">
        <v>6</v>
      </c>
      <c r="C207" s="1387" t="s">
        <v>3298</v>
      </c>
      <c r="D207" s="1381"/>
      <c r="E207" s="1381"/>
      <c r="F207" s="1309"/>
      <c r="G207" s="1309"/>
      <c r="H207" s="1309"/>
      <c r="I207" s="1313" t="s">
        <v>3915</v>
      </c>
      <c r="J207" s="1313"/>
      <c r="K207" s="1313"/>
      <c r="L207" s="1313"/>
      <c r="M207" s="1313"/>
      <c r="O207" s="1503"/>
      <c r="P207" s="1397" t="s">
        <v>3916</v>
      </c>
      <c r="Q207" s="1447" t="s">
        <v>3913</v>
      </c>
      <c r="R207" s="1399" t="s">
        <v>3374</v>
      </c>
    </row>
    <row r="208" spans="1:18" ht="16.5" customHeight="1" x14ac:dyDescent="0.25">
      <c r="A208" s="1304" t="s">
        <v>3917</v>
      </c>
      <c r="B208" s="1353">
        <v>5</v>
      </c>
      <c r="C208" s="1353" t="s">
        <v>3286</v>
      </c>
      <c r="D208" s="1353"/>
      <c r="E208" s="1353"/>
      <c r="F208" s="1304"/>
      <c r="G208" s="1304"/>
      <c r="H208" s="1304" t="s">
        <v>428</v>
      </c>
      <c r="I208" s="1304"/>
      <c r="J208" s="1304"/>
      <c r="K208" s="1304"/>
      <c r="L208" s="1304"/>
      <c r="M208" s="1370"/>
      <c r="N208" s="1370"/>
      <c r="O208" s="1479"/>
      <c r="P208" s="1436" t="s">
        <v>3918</v>
      </c>
      <c r="Q208" s="1354"/>
      <c r="R208" s="1385"/>
    </row>
    <row r="209" spans="1:18" ht="16.5" customHeight="1" x14ac:dyDescent="0.25">
      <c r="A209" s="1311" t="s">
        <v>3919</v>
      </c>
      <c r="B209" s="1387">
        <v>6</v>
      </c>
      <c r="C209" s="1387" t="s">
        <v>3298</v>
      </c>
      <c r="D209" s="1381"/>
      <c r="E209" s="1381"/>
      <c r="F209" s="1309"/>
      <c r="G209" s="1309"/>
      <c r="H209" s="1309"/>
      <c r="I209" s="1311" t="s">
        <v>680</v>
      </c>
      <c r="J209" s="1311"/>
      <c r="K209" s="1311"/>
      <c r="L209" s="1309"/>
      <c r="M209" s="1309"/>
      <c r="N209" s="1382"/>
      <c r="O209" s="1483">
        <f>+'F Y U 2024 Presupuesto 15.09'!C107</f>
        <v>3963289000</v>
      </c>
      <c r="P209" s="1389" t="s">
        <v>3920</v>
      </c>
      <c r="Q209" s="1445"/>
      <c r="R209" s="1367"/>
    </row>
    <row r="210" spans="1:18" ht="16.5" customHeight="1" x14ac:dyDescent="0.25">
      <c r="A210" s="1311" t="s">
        <v>3921</v>
      </c>
      <c r="B210" s="1387">
        <v>6</v>
      </c>
      <c r="C210" s="1387" t="s">
        <v>3298</v>
      </c>
      <c r="D210" s="1381"/>
      <c r="E210" s="1381"/>
      <c r="F210" s="1309"/>
      <c r="G210" s="1309"/>
      <c r="H210" s="1309"/>
      <c r="I210" s="1311" t="s">
        <v>3922</v>
      </c>
      <c r="J210" s="1311"/>
      <c r="K210" s="1311"/>
      <c r="L210" s="1309"/>
      <c r="M210" s="1309"/>
      <c r="N210" s="1382"/>
      <c r="O210" s="1483"/>
      <c r="P210" s="1389" t="s">
        <v>3923</v>
      </c>
      <c r="Q210" s="1447" t="s">
        <v>3924</v>
      </c>
      <c r="R210" s="1367"/>
    </row>
    <row r="211" spans="1:18" ht="16.5" customHeight="1" x14ac:dyDescent="0.25">
      <c r="A211" s="1311" t="s">
        <v>3925</v>
      </c>
      <c r="B211" s="1387">
        <v>6</v>
      </c>
      <c r="C211" s="1387" t="s">
        <v>3298</v>
      </c>
      <c r="D211" s="1381"/>
      <c r="E211" s="1381"/>
      <c r="F211" s="1309"/>
      <c r="G211" s="1309"/>
      <c r="H211" s="1309"/>
      <c r="I211" s="1311" t="s">
        <v>430</v>
      </c>
      <c r="J211" s="1311"/>
      <c r="K211" s="1311"/>
      <c r="L211" s="1309"/>
      <c r="M211" s="1309"/>
      <c r="N211" s="1382"/>
      <c r="O211" s="1483">
        <f>+'F Y U 2024 Presupuesto 15.09'!C44+'F Y U 2024 Presupuesto 15.09'!C80</f>
        <v>10401551000</v>
      </c>
      <c r="P211" s="1389" t="s">
        <v>3926</v>
      </c>
      <c r="Q211" s="1445"/>
      <c r="R211" s="1367"/>
    </row>
    <row r="212" spans="1:18" ht="16.5" customHeight="1" x14ac:dyDescent="0.25">
      <c r="A212" s="1311" t="s">
        <v>3927</v>
      </c>
      <c r="B212" s="1387">
        <v>6</v>
      </c>
      <c r="C212" s="1387" t="s">
        <v>3298</v>
      </c>
      <c r="D212" s="1381"/>
      <c r="E212" s="1381"/>
      <c r="F212" s="1309"/>
      <c r="G212" s="1309"/>
      <c r="H212" s="1309"/>
      <c r="I212" s="1321" t="s">
        <v>3928</v>
      </c>
      <c r="J212" s="1317"/>
      <c r="K212" s="1317"/>
      <c r="L212" s="1309"/>
      <c r="M212" s="1309"/>
      <c r="N212" s="1382"/>
      <c r="O212" s="1483"/>
      <c r="P212" s="1449" t="s">
        <v>3929</v>
      </c>
      <c r="Q212" s="1361" t="s">
        <v>3930</v>
      </c>
      <c r="R212" s="1399" t="s">
        <v>3387</v>
      </c>
    </row>
    <row r="213" spans="1:18" ht="16.5" customHeight="1" x14ac:dyDescent="0.25">
      <c r="A213" s="1311" t="s">
        <v>3931</v>
      </c>
      <c r="B213" s="1387">
        <v>6</v>
      </c>
      <c r="C213" s="1387" t="s">
        <v>3298</v>
      </c>
      <c r="D213" s="1381"/>
      <c r="E213" s="1381"/>
      <c r="F213" s="1309"/>
      <c r="G213" s="1309"/>
      <c r="H213" s="1309"/>
      <c r="I213" s="1321" t="s">
        <v>3932</v>
      </c>
      <c r="J213" s="1317"/>
      <c r="K213" s="1317"/>
      <c r="L213" s="1309"/>
      <c r="M213" s="1309"/>
      <c r="N213" s="1382"/>
      <c r="O213" s="1483"/>
      <c r="P213" s="1449" t="s">
        <v>3933</v>
      </c>
      <c r="Q213" s="1361"/>
      <c r="R213" s="1399" t="s">
        <v>3374</v>
      </c>
    </row>
    <row r="214" spans="1:18" ht="16.5" customHeight="1" x14ac:dyDescent="0.25">
      <c r="A214" s="1304" t="s">
        <v>3934</v>
      </c>
      <c r="B214" s="1353">
        <v>5</v>
      </c>
      <c r="C214" s="1353" t="s">
        <v>3286</v>
      </c>
      <c r="D214" s="1353"/>
      <c r="E214" s="1304"/>
      <c r="F214" s="1304"/>
      <c r="G214" s="1304"/>
      <c r="H214" s="1304" t="s">
        <v>3935</v>
      </c>
      <c r="I214" s="1304"/>
      <c r="J214" s="1304"/>
      <c r="K214" s="1304"/>
      <c r="L214" s="1304"/>
      <c r="M214" s="1370"/>
      <c r="N214" s="1304"/>
      <c r="O214" s="1497"/>
      <c r="P214" s="1436" t="s">
        <v>3936</v>
      </c>
      <c r="Q214" s="1437"/>
      <c r="R214" s="1385"/>
    </row>
    <row r="215" spans="1:18" ht="16.5" customHeight="1" x14ac:dyDescent="0.25">
      <c r="A215" s="1309" t="s">
        <v>3937</v>
      </c>
      <c r="B215" s="1381">
        <v>6</v>
      </c>
      <c r="C215" s="1381" t="s">
        <v>3286</v>
      </c>
      <c r="D215" s="1381"/>
      <c r="E215" s="1309"/>
      <c r="F215" s="1309"/>
      <c r="G215" s="1309"/>
      <c r="H215" s="1382"/>
      <c r="I215" s="1309" t="s">
        <v>3938</v>
      </c>
      <c r="J215" s="1309"/>
      <c r="K215" s="1309"/>
      <c r="L215" s="1309"/>
      <c r="M215" s="1309"/>
      <c r="N215" s="1309"/>
      <c r="O215" s="1498"/>
      <c r="P215" s="1386" t="s">
        <v>3939</v>
      </c>
      <c r="Q215" s="1438"/>
      <c r="R215" s="1385"/>
    </row>
    <row r="216" spans="1:18" ht="16.5" customHeight="1" x14ac:dyDescent="0.25">
      <c r="A216" s="1311" t="s">
        <v>3940</v>
      </c>
      <c r="B216" s="1410">
        <v>7</v>
      </c>
      <c r="C216" s="1410" t="s">
        <v>3298</v>
      </c>
      <c r="D216" s="1387"/>
      <c r="E216" s="1311"/>
      <c r="F216" s="1311"/>
      <c r="G216" s="1311"/>
      <c r="H216" s="1311"/>
      <c r="I216" s="1311"/>
      <c r="J216" s="1311" t="s">
        <v>3941</v>
      </c>
      <c r="K216" s="1311"/>
      <c r="L216" s="1311"/>
      <c r="M216" s="1311"/>
      <c r="N216" s="1311"/>
      <c r="O216" s="1500"/>
      <c r="P216" s="1389" t="s">
        <v>3942</v>
      </c>
      <c r="Q216" s="1397" t="s">
        <v>3943</v>
      </c>
      <c r="R216" s="1367"/>
    </row>
    <row r="217" spans="1:18" ht="16.5" customHeight="1" x14ac:dyDescent="0.25">
      <c r="A217" s="1311" t="s">
        <v>3944</v>
      </c>
      <c r="B217" s="1410">
        <v>7</v>
      </c>
      <c r="C217" s="1410" t="s">
        <v>3298</v>
      </c>
      <c r="D217" s="1387"/>
      <c r="E217" s="1311"/>
      <c r="F217" s="1311"/>
      <c r="G217" s="1311"/>
      <c r="H217" s="1311"/>
      <c r="I217" s="1311"/>
      <c r="J217" s="1311" t="s">
        <v>3945</v>
      </c>
      <c r="K217" s="1311"/>
      <c r="L217" s="1311"/>
      <c r="M217" s="1311"/>
      <c r="N217" s="1311"/>
      <c r="O217" s="1500"/>
      <c r="P217" s="1389" t="s">
        <v>3946</v>
      </c>
      <c r="Q217" s="1397" t="s">
        <v>3947</v>
      </c>
      <c r="R217" s="1367"/>
    </row>
    <row r="218" spans="1:18" ht="16.5" customHeight="1" x14ac:dyDescent="0.25">
      <c r="A218" s="1311" t="s">
        <v>3948</v>
      </c>
      <c r="B218" s="1410">
        <v>7</v>
      </c>
      <c r="C218" s="1410" t="s">
        <v>3298</v>
      </c>
      <c r="D218" s="1387"/>
      <c r="E218" s="1311"/>
      <c r="F218" s="1311"/>
      <c r="G218" s="1311"/>
      <c r="H218" s="1311"/>
      <c r="I218" s="1311"/>
      <c r="J218" s="1311" t="s">
        <v>3949</v>
      </c>
      <c r="K218" s="1311"/>
      <c r="L218" s="1311"/>
      <c r="M218" s="1311"/>
      <c r="N218" s="1311"/>
      <c r="O218" s="1500"/>
      <c r="P218" s="1389" t="s">
        <v>3950</v>
      </c>
      <c r="Q218" s="1397"/>
      <c r="R218" s="1367"/>
    </row>
    <row r="219" spans="1:18" ht="16.5" customHeight="1" x14ac:dyDescent="0.25">
      <c r="A219" s="1309" t="s">
        <v>3951</v>
      </c>
      <c r="B219" s="1381">
        <v>7</v>
      </c>
      <c r="C219" s="1381" t="s">
        <v>3286</v>
      </c>
      <c r="D219" s="1381"/>
      <c r="E219" s="1309"/>
      <c r="F219" s="1309"/>
      <c r="G219" s="1309"/>
      <c r="H219" s="1309"/>
      <c r="I219" s="1309"/>
      <c r="J219" s="1309" t="s">
        <v>3952</v>
      </c>
      <c r="K219" s="1309"/>
      <c r="L219" s="1309"/>
      <c r="M219" s="1309"/>
      <c r="N219" s="1309"/>
      <c r="O219" s="1498"/>
      <c r="P219" s="1386" t="s">
        <v>3953</v>
      </c>
      <c r="Q219" s="1438"/>
      <c r="R219" s="1385"/>
    </row>
    <row r="220" spans="1:18" ht="16.5" customHeight="1" x14ac:dyDescent="0.25">
      <c r="A220" s="1311" t="s">
        <v>3954</v>
      </c>
      <c r="B220" s="1387">
        <v>8</v>
      </c>
      <c r="C220" s="1387" t="s">
        <v>3298</v>
      </c>
      <c r="D220" s="1387"/>
      <c r="E220" s="1311"/>
      <c r="F220" s="1311"/>
      <c r="G220" s="1311"/>
      <c r="H220" s="1311"/>
      <c r="I220" s="1311"/>
      <c r="J220" s="1311"/>
      <c r="K220" s="1321" t="s">
        <v>3955</v>
      </c>
      <c r="L220" s="1317"/>
      <c r="M220" s="1321"/>
      <c r="N220" s="1317"/>
      <c r="O220" s="1504"/>
      <c r="P220" s="1374" t="s">
        <v>3956</v>
      </c>
      <c r="Q220" s="1392"/>
      <c r="R220" s="1367"/>
    </row>
    <row r="221" spans="1:18" ht="16.5" customHeight="1" x14ac:dyDescent="0.25">
      <c r="A221" s="1311" t="s">
        <v>3957</v>
      </c>
      <c r="B221" s="1387">
        <v>8</v>
      </c>
      <c r="C221" s="1387" t="s">
        <v>3298</v>
      </c>
      <c r="D221" s="1387"/>
      <c r="E221" s="1311"/>
      <c r="F221" s="1311"/>
      <c r="G221" s="1311"/>
      <c r="H221" s="1311"/>
      <c r="I221" s="1311"/>
      <c r="J221" s="1311"/>
      <c r="K221" s="1321" t="s">
        <v>3958</v>
      </c>
      <c r="L221" s="1317"/>
      <c r="M221" s="1321"/>
      <c r="N221" s="1317"/>
      <c r="O221" s="1504"/>
      <c r="P221" s="1374" t="s">
        <v>3959</v>
      </c>
      <c r="Q221" s="1396" t="s">
        <v>3960</v>
      </c>
      <c r="R221" s="1399" t="s">
        <v>3961</v>
      </c>
    </row>
    <row r="222" spans="1:18" ht="16.5" customHeight="1" x14ac:dyDescent="0.25">
      <c r="A222" s="1309" t="s">
        <v>3962</v>
      </c>
      <c r="B222" s="1381">
        <v>6</v>
      </c>
      <c r="C222" s="1381" t="s">
        <v>3286</v>
      </c>
      <c r="D222" s="1381"/>
      <c r="E222" s="1309"/>
      <c r="F222" s="1309"/>
      <c r="G222" s="1309"/>
      <c r="H222" s="1382"/>
      <c r="I222" s="1309" t="s">
        <v>444</v>
      </c>
      <c r="J222" s="1309"/>
      <c r="K222" s="1309"/>
      <c r="L222" s="1309"/>
      <c r="M222" s="1309"/>
      <c r="N222" s="1309"/>
      <c r="O222" s="1498"/>
      <c r="P222" s="1386" t="s">
        <v>3963</v>
      </c>
      <c r="Q222" s="1438"/>
      <c r="R222" s="1385"/>
    </row>
    <row r="223" spans="1:18" ht="16.5" customHeight="1" x14ac:dyDescent="0.25">
      <c r="A223" s="1311" t="s">
        <v>3964</v>
      </c>
      <c r="B223" s="1387">
        <v>7</v>
      </c>
      <c r="C223" s="1387" t="s">
        <v>3298</v>
      </c>
      <c r="D223" s="1387"/>
      <c r="E223" s="1311"/>
      <c r="F223" s="1311"/>
      <c r="G223" s="1311"/>
      <c r="H223" s="1311"/>
      <c r="I223" s="1311"/>
      <c r="J223" s="1311" t="s">
        <v>446</v>
      </c>
      <c r="K223" s="1311"/>
      <c r="L223" s="1311"/>
      <c r="M223" s="1311"/>
      <c r="N223" s="1311"/>
      <c r="O223" s="1500">
        <f>+'F Y U 2024 Presupuesto 15.09'!C36</f>
        <v>726530000</v>
      </c>
      <c r="P223" s="1389" t="s">
        <v>3965</v>
      </c>
      <c r="Q223" s="1397" t="s">
        <v>3966</v>
      </c>
      <c r="R223" s="1367"/>
    </row>
    <row r="224" spans="1:18" ht="16.5" customHeight="1" x14ac:dyDescent="0.25">
      <c r="A224" s="1304" t="s">
        <v>3967</v>
      </c>
      <c r="B224" s="1353">
        <v>5</v>
      </c>
      <c r="C224" s="1353" t="s">
        <v>3286</v>
      </c>
      <c r="D224" s="1353"/>
      <c r="E224" s="1304"/>
      <c r="F224" s="1304"/>
      <c r="G224" s="1304"/>
      <c r="H224" s="1304" t="s">
        <v>3968</v>
      </c>
      <c r="I224" s="1304"/>
      <c r="J224" s="1304"/>
      <c r="K224" s="1304"/>
      <c r="L224" s="1304"/>
      <c r="M224" s="1370"/>
      <c r="N224" s="1304"/>
      <c r="O224" s="1497"/>
      <c r="P224" s="1436" t="s">
        <v>3969</v>
      </c>
      <c r="Q224" s="1437" t="s">
        <v>3970</v>
      </c>
      <c r="R224" s="1385"/>
    </row>
    <row r="225" spans="1:18" ht="16.5" customHeight="1" x14ac:dyDescent="0.25">
      <c r="A225" s="1309" t="s">
        <v>3971</v>
      </c>
      <c r="B225" s="1381">
        <v>6</v>
      </c>
      <c r="C225" s="1381" t="s">
        <v>3286</v>
      </c>
      <c r="D225" s="1381"/>
      <c r="E225" s="1309"/>
      <c r="F225" s="1309"/>
      <c r="G225" s="1309"/>
      <c r="H225" s="1382"/>
      <c r="I225" s="1309" t="s">
        <v>3972</v>
      </c>
      <c r="J225" s="1309"/>
      <c r="K225" s="1309"/>
      <c r="L225" s="1309"/>
      <c r="M225" s="1309"/>
      <c r="N225" s="1309"/>
      <c r="O225" s="1498"/>
      <c r="P225" s="1386" t="s">
        <v>3973</v>
      </c>
      <c r="Q225" s="1438"/>
      <c r="R225" s="1385"/>
    </row>
    <row r="226" spans="1:18" ht="16.5" customHeight="1" x14ac:dyDescent="0.25">
      <c r="A226" s="1311" t="s">
        <v>3974</v>
      </c>
      <c r="B226" s="1387">
        <v>7</v>
      </c>
      <c r="C226" s="1387" t="s">
        <v>3298</v>
      </c>
      <c r="D226" s="1387"/>
      <c r="E226" s="1311"/>
      <c r="F226" s="1311"/>
      <c r="G226" s="1311"/>
      <c r="H226" s="1311"/>
      <c r="I226" s="1311"/>
      <c r="J226" s="1311" t="s">
        <v>3975</v>
      </c>
      <c r="K226" s="1311"/>
      <c r="L226" s="1311"/>
      <c r="M226" s="1311"/>
      <c r="N226" s="1311"/>
      <c r="O226" s="1500"/>
      <c r="P226" s="1389" t="s">
        <v>3976</v>
      </c>
      <c r="Q226" s="1397" t="s">
        <v>3970</v>
      </c>
      <c r="R226" s="1367"/>
    </row>
    <row r="227" spans="1:18" ht="16.5" customHeight="1" x14ac:dyDescent="0.25">
      <c r="A227" s="1311" t="s">
        <v>3977</v>
      </c>
      <c r="B227" s="1387">
        <v>7</v>
      </c>
      <c r="C227" s="1387" t="s">
        <v>3298</v>
      </c>
      <c r="D227" s="1387"/>
      <c r="E227" s="1311"/>
      <c r="F227" s="1311"/>
      <c r="G227" s="1311"/>
      <c r="H227" s="1311"/>
      <c r="I227" s="1311"/>
      <c r="J227" s="1311" t="s">
        <v>3978</v>
      </c>
      <c r="K227" s="1311"/>
      <c r="L227" s="1311"/>
      <c r="M227" s="1311"/>
      <c r="N227" s="1311"/>
      <c r="O227" s="1500"/>
      <c r="P227" s="1389" t="s">
        <v>3979</v>
      </c>
      <c r="Q227" s="1397" t="s">
        <v>3970</v>
      </c>
      <c r="R227" s="1367"/>
    </row>
    <row r="228" spans="1:18" ht="16.5" customHeight="1" x14ac:dyDescent="0.25">
      <c r="A228" s="1311" t="s">
        <v>3980</v>
      </c>
      <c r="B228" s="1387">
        <v>7</v>
      </c>
      <c r="C228" s="1387" t="s">
        <v>3298</v>
      </c>
      <c r="D228" s="1387"/>
      <c r="E228" s="1311"/>
      <c r="F228" s="1311"/>
      <c r="G228" s="1311"/>
      <c r="H228" s="1311"/>
      <c r="I228" s="1311"/>
      <c r="J228" s="1311" t="s">
        <v>3981</v>
      </c>
      <c r="K228" s="1311"/>
      <c r="L228" s="1311"/>
      <c r="M228" s="1311"/>
      <c r="N228" s="1311"/>
      <c r="O228" s="1500"/>
      <c r="P228" s="1389" t="s">
        <v>3982</v>
      </c>
      <c r="Q228" s="1397" t="s">
        <v>3983</v>
      </c>
      <c r="R228" s="1367"/>
    </row>
    <row r="229" spans="1:18" ht="16.5" customHeight="1" x14ac:dyDescent="0.25">
      <c r="A229" s="1311" t="s">
        <v>3984</v>
      </c>
      <c r="B229" s="1387">
        <v>6</v>
      </c>
      <c r="C229" s="1387" t="s">
        <v>3298</v>
      </c>
      <c r="D229" s="1387"/>
      <c r="E229" s="1311"/>
      <c r="F229" s="1311"/>
      <c r="G229" s="1311"/>
      <c r="H229" s="1388"/>
      <c r="I229" s="1311" t="s">
        <v>3985</v>
      </c>
      <c r="J229" s="1311"/>
      <c r="K229" s="1311"/>
      <c r="L229" s="1311"/>
      <c r="M229" s="1311"/>
      <c r="N229" s="1311"/>
      <c r="O229" s="1500"/>
      <c r="P229" s="1389" t="s">
        <v>3986</v>
      </c>
      <c r="Q229" s="1397"/>
      <c r="R229" s="1367"/>
    </row>
    <row r="230" spans="1:18" ht="16.5" customHeight="1" x14ac:dyDescent="0.25">
      <c r="A230" s="1306" t="s">
        <v>3987</v>
      </c>
      <c r="B230" s="1363">
        <v>5</v>
      </c>
      <c r="C230" s="1363" t="s">
        <v>3298</v>
      </c>
      <c r="D230" s="1363"/>
      <c r="E230" s="1306"/>
      <c r="F230" s="1306"/>
      <c r="G230" s="1306"/>
      <c r="H230" s="1306" t="s">
        <v>495</v>
      </c>
      <c r="I230" s="1306"/>
      <c r="J230" s="1306"/>
      <c r="K230" s="1306"/>
      <c r="L230" s="1306"/>
      <c r="M230" s="1364"/>
      <c r="N230" s="1306"/>
      <c r="O230" s="1505"/>
      <c r="P230" s="1450" t="s">
        <v>3988</v>
      </c>
      <c r="Q230" s="1444"/>
      <c r="R230" s="1367"/>
    </row>
    <row r="231" spans="1:18" ht="16.5" customHeight="1" x14ac:dyDescent="0.25">
      <c r="A231" s="1303" t="s">
        <v>3989</v>
      </c>
      <c r="B231" s="1348">
        <v>4</v>
      </c>
      <c r="C231" s="1348" t="s">
        <v>3286</v>
      </c>
      <c r="D231" s="1348"/>
      <c r="E231" s="1348"/>
      <c r="F231" s="1411"/>
      <c r="G231" s="1303" t="s">
        <v>497</v>
      </c>
      <c r="H231" s="1303"/>
      <c r="I231" s="1303"/>
      <c r="J231" s="1303"/>
      <c r="K231" s="1303"/>
      <c r="L231" s="1303"/>
      <c r="M231" s="1303"/>
      <c r="N231" s="1303"/>
      <c r="O231" s="1506"/>
      <c r="P231" s="1406" t="s">
        <v>3990</v>
      </c>
      <c r="Q231" s="1407" t="s">
        <v>3991</v>
      </c>
      <c r="R231" s="1385"/>
    </row>
    <row r="232" spans="1:18" ht="16.5" customHeight="1" x14ac:dyDescent="0.25">
      <c r="A232" s="1304" t="s">
        <v>3992</v>
      </c>
      <c r="B232" s="1353">
        <v>5</v>
      </c>
      <c r="C232" s="1353" t="s">
        <v>3286</v>
      </c>
      <c r="D232" s="1353"/>
      <c r="E232" s="1353"/>
      <c r="F232" s="1304"/>
      <c r="G232" s="1304"/>
      <c r="H232" s="1304" t="s">
        <v>783</v>
      </c>
      <c r="I232" s="1304"/>
      <c r="J232" s="1304"/>
      <c r="K232" s="1304"/>
      <c r="L232" s="1304"/>
      <c r="M232" s="1370"/>
      <c r="N232" s="1304"/>
      <c r="O232" s="1497"/>
      <c r="P232" s="1371" t="s">
        <v>3993</v>
      </c>
      <c r="Q232" s="1372" t="s">
        <v>3317</v>
      </c>
      <c r="R232" s="1385"/>
    </row>
    <row r="233" spans="1:18" ht="16.5" customHeight="1" x14ac:dyDescent="0.25">
      <c r="A233" s="1311" t="s">
        <v>3994</v>
      </c>
      <c r="B233" s="1387">
        <v>6</v>
      </c>
      <c r="C233" s="1387" t="s">
        <v>3298</v>
      </c>
      <c r="D233" s="1387"/>
      <c r="E233" s="1387"/>
      <c r="F233" s="1311"/>
      <c r="G233" s="1311"/>
      <c r="H233" s="1311"/>
      <c r="I233" s="1311" t="s">
        <v>3995</v>
      </c>
      <c r="J233" s="1311"/>
      <c r="K233" s="1311"/>
      <c r="L233" s="1311"/>
      <c r="M233" s="1311"/>
      <c r="N233" s="1311"/>
      <c r="O233" s="1500"/>
      <c r="P233" s="1392" t="s">
        <v>3996</v>
      </c>
      <c r="Q233" s="1374" t="s">
        <v>3317</v>
      </c>
      <c r="R233" s="1367"/>
    </row>
    <row r="234" spans="1:18" ht="16.5" customHeight="1" x14ac:dyDescent="0.25">
      <c r="A234" s="1311" t="s">
        <v>3997</v>
      </c>
      <c r="B234" s="1387">
        <v>6</v>
      </c>
      <c r="C234" s="1387" t="s">
        <v>3298</v>
      </c>
      <c r="D234" s="1387"/>
      <c r="E234" s="1387"/>
      <c r="F234" s="1311"/>
      <c r="G234" s="1311"/>
      <c r="H234" s="1311"/>
      <c r="I234" s="1311" t="s">
        <v>3998</v>
      </c>
      <c r="J234" s="1311"/>
      <c r="K234" s="1311"/>
      <c r="L234" s="1311"/>
      <c r="M234" s="1311"/>
      <c r="N234" s="1311"/>
      <c r="O234" s="1500"/>
      <c r="P234" s="1392" t="s">
        <v>3999</v>
      </c>
      <c r="Q234" s="1374" t="s">
        <v>3317</v>
      </c>
      <c r="R234" s="1367"/>
    </row>
    <row r="235" spans="1:18" ht="16.5" customHeight="1" x14ac:dyDescent="0.25">
      <c r="A235" s="1311" t="s">
        <v>4000</v>
      </c>
      <c r="B235" s="1387">
        <v>6</v>
      </c>
      <c r="C235" s="1387" t="s">
        <v>3298</v>
      </c>
      <c r="D235" s="1387"/>
      <c r="E235" s="1387"/>
      <c r="F235" s="1311"/>
      <c r="G235" s="1311"/>
      <c r="H235" s="1311"/>
      <c r="I235" s="1311" t="s">
        <v>785</v>
      </c>
      <c r="J235" s="1311"/>
      <c r="K235" s="1311"/>
      <c r="L235" s="1311"/>
      <c r="M235" s="1311"/>
      <c r="N235" s="1311"/>
      <c r="O235" s="1500">
        <f>+'F Y U 2024 Presupuesto 15.09'!C100</f>
        <v>2710326000</v>
      </c>
      <c r="P235" s="1392" t="s">
        <v>4001</v>
      </c>
      <c r="Q235" s="1374" t="s">
        <v>3317</v>
      </c>
      <c r="R235" s="1367"/>
    </row>
    <row r="236" spans="1:18" ht="16.5" customHeight="1" x14ac:dyDescent="0.25">
      <c r="A236" s="1311" t="s">
        <v>4002</v>
      </c>
      <c r="B236" s="1387">
        <v>6</v>
      </c>
      <c r="C236" s="1387" t="s">
        <v>3298</v>
      </c>
      <c r="D236" s="1387"/>
      <c r="E236" s="1387"/>
      <c r="F236" s="1311"/>
      <c r="G236" s="1311"/>
      <c r="H236" s="1311"/>
      <c r="I236" s="1311" t="s">
        <v>799</v>
      </c>
      <c r="J236" s="1311"/>
      <c r="K236" s="1311"/>
      <c r="L236" s="1311"/>
      <c r="M236" s="1311"/>
      <c r="N236" s="1311"/>
      <c r="O236" s="1500">
        <f>+'F Y U 2024 Presupuesto 15.09'!C95</f>
        <v>6555523000</v>
      </c>
      <c r="P236" s="1392" t="s">
        <v>4003</v>
      </c>
      <c r="Q236" s="1374" t="s">
        <v>4004</v>
      </c>
      <c r="R236" s="1367"/>
    </row>
    <row r="237" spans="1:18" ht="16.5" customHeight="1" x14ac:dyDescent="0.25">
      <c r="A237" s="1311" t="s">
        <v>4005</v>
      </c>
      <c r="B237" s="1387">
        <v>6</v>
      </c>
      <c r="C237" s="1387" t="s">
        <v>3298</v>
      </c>
      <c r="D237" s="1387"/>
      <c r="E237" s="1387"/>
      <c r="F237" s="1311"/>
      <c r="G237" s="1311"/>
      <c r="H237" s="1311"/>
      <c r="I237" s="1311" t="s">
        <v>807</v>
      </c>
      <c r="J237" s="1311"/>
      <c r="K237" s="1311"/>
      <c r="L237" s="1311"/>
      <c r="M237" s="1311"/>
      <c r="N237" s="1311"/>
      <c r="O237" s="1500">
        <f>+'F Y U 2024 Presupuesto 15.09'!C97</f>
        <v>32160000</v>
      </c>
      <c r="P237" s="1392" t="s">
        <v>4006</v>
      </c>
      <c r="Q237" s="1374" t="s">
        <v>4007</v>
      </c>
      <c r="R237" s="1367"/>
    </row>
    <row r="238" spans="1:18" ht="16.5" customHeight="1" x14ac:dyDescent="0.25">
      <c r="A238" s="1311" t="s">
        <v>4008</v>
      </c>
      <c r="B238" s="1387">
        <v>6</v>
      </c>
      <c r="C238" s="1387" t="s">
        <v>3298</v>
      </c>
      <c r="D238" s="1387"/>
      <c r="E238" s="1387"/>
      <c r="F238" s="1311"/>
      <c r="G238" s="1311"/>
      <c r="H238" s="1311"/>
      <c r="I238" s="1311" t="s">
        <v>4009</v>
      </c>
      <c r="J238" s="1311"/>
      <c r="K238" s="1311"/>
      <c r="L238" s="1311"/>
      <c r="M238" s="1311"/>
      <c r="N238" s="1311"/>
      <c r="O238" s="1500"/>
      <c r="P238" s="1392" t="s">
        <v>4010</v>
      </c>
      <c r="Q238" s="1374" t="s">
        <v>4011</v>
      </c>
      <c r="R238" s="1367"/>
    </row>
    <row r="239" spans="1:18" ht="16.5" customHeight="1" x14ac:dyDescent="0.25">
      <c r="A239" s="1311" t="s">
        <v>4012</v>
      </c>
      <c r="B239" s="1387">
        <v>6</v>
      </c>
      <c r="C239" s="1387" t="s">
        <v>3298</v>
      </c>
      <c r="D239" s="1387"/>
      <c r="E239" s="1387"/>
      <c r="F239" s="1311"/>
      <c r="G239" s="1311"/>
      <c r="H239" s="1311"/>
      <c r="I239" s="1311" t="s">
        <v>4013</v>
      </c>
      <c r="J239" s="1311"/>
      <c r="K239" s="1311"/>
      <c r="L239" s="1311"/>
      <c r="M239" s="1311"/>
      <c r="N239" s="1311"/>
      <c r="O239" s="1500"/>
      <c r="P239" s="1392" t="s">
        <v>4014</v>
      </c>
      <c r="Q239" s="1374" t="s">
        <v>4015</v>
      </c>
      <c r="R239" s="1367"/>
    </row>
    <row r="240" spans="1:18" ht="16.5" customHeight="1" x14ac:dyDescent="0.25">
      <c r="A240" s="1311" t="s">
        <v>4016</v>
      </c>
      <c r="B240" s="1387">
        <v>6</v>
      </c>
      <c r="C240" s="1387" t="s">
        <v>3298</v>
      </c>
      <c r="D240" s="1387"/>
      <c r="E240" s="1387"/>
      <c r="F240" s="1311"/>
      <c r="G240" s="1311"/>
      <c r="H240" s="1311"/>
      <c r="I240" s="1311" t="s">
        <v>4017</v>
      </c>
      <c r="J240" s="1311"/>
      <c r="K240" s="1311"/>
      <c r="L240" s="1311"/>
      <c r="M240" s="1311"/>
      <c r="N240" s="1311"/>
      <c r="O240" s="1500"/>
      <c r="P240" s="1392" t="s">
        <v>4018</v>
      </c>
      <c r="Q240" s="1374" t="s">
        <v>3317</v>
      </c>
      <c r="R240" s="1367"/>
    </row>
    <row r="241" spans="1:18" ht="16.5" customHeight="1" x14ac:dyDescent="0.25">
      <c r="A241" s="1311" t="s">
        <v>4019</v>
      </c>
      <c r="B241" s="1387">
        <v>6</v>
      </c>
      <c r="C241" s="1387" t="s">
        <v>3298</v>
      </c>
      <c r="D241" s="1387"/>
      <c r="E241" s="1387"/>
      <c r="F241" s="1311"/>
      <c r="G241" s="1311"/>
      <c r="H241" s="1311"/>
      <c r="I241" s="1311" t="s">
        <v>815</v>
      </c>
      <c r="J241" s="1311"/>
      <c r="K241" s="1311"/>
      <c r="L241" s="1311"/>
      <c r="M241" s="1311"/>
      <c r="N241" s="1311"/>
      <c r="O241" s="1500">
        <f>+'F Y U 2024 Presupuesto 15.09'!C96</f>
        <v>1039156000</v>
      </c>
      <c r="P241" s="1392" t="s">
        <v>4020</v>
      </c>
      <c r="Q241" s="1374" t="s">
        <v>4021</v>
      </c>
      <c r="R241" s="1367"/>
    </row>
    <row r="242" spans="1:18" ht="16.5" customHeight="1" x14ac:dyDescent="0.25">
      <c r="A242" s="1304" t="s">
        <v>4022</v>
      </c>
      <c r="B242" s="1353">
        <v>5</v>
      </c>
      <c r="C242" s="1353" t="s">
        <v>3286</v>
      </c>
      <c r="D242" s="1353"/>
      <c r="E242" s="1353"/>
      <c r="F242" s="1304"/>
      <c r="G242" s="1304"/>
      <c r="H242" s="1304" t="s">
        <v>4023</v>
      </c>
      <c r="I242" s="1304"/>
      <c r="J242" s="1304"/>
      <c r="K242" s="1304"/>
      <c r="L242" s="1304"/>
      <c r="M242" s="1370"/>
      <c r="N242" s="1304"/>
      <c r="O242" s="1497"/>
      <c r="P242" s="1371" t="s">
        <v>4024</v>
      </c>
      <c r="Q242" s="1372" t="s">
        <v>4025</v>
      </c>
      <c r="R242" s="1385"/>
    </row>
    <row r="243" spans="1:18" ht="16.5" customHeight="1" x14ac:dyDescent="0.25">
      <c r="A243" s="1309" t="s">
        <v>4026</v>
      </c>
      <c r="B243" s="1381">
        <v>6</v>
      </c>
      <c r="C243" s="1381" t="s">
        <v>3286</v>
      </c>
      <c r="D243" s="1381"/>
      <c r="E243" s="1381"/>
      <c r="F243" s="1309"/>
      <c r="G243" s="1309"/>
      <c r="H243" s="1309"/>
      <c r="I243" s="1309" t="s">
        <v>501</v>
      </c>
      <c r="J243" s="1309"/>
      <c r="K243" s="1309"/>
      <c r="L243" s="1309"/>
      <c r="M243" s="1309"/>
      <c r="N243" s="1309"/>
      <c r="O243" s="1498"/>
      <c r="P243" s="1383" t="s">
        <v>4027</v>
      </c>
      <c r="Q243" s="1384" t="s">
        <v>4025</v>
      </c>
      <c r="R243" s="1385"/>
    </row>
    <row r="244" spans="1:18" ht="16.5" customHeight="1" x14ac:dyDescent="0.25">
      <c r="A244" s="1311" t="s">
        <v>4028</v>
      </c>
      <c r="B244" s="1387">
        <v>7</v>
      </c>
      <c r="C244" s="1387" t="s">
        <v>3298</v>
      </c>
      <c r="D244" s="1387"/>
      <c r="E244" s="1387"/>
      <c r="F244" s="1311"/>
      <c r="G244" s="1311"/>
      <c r="H244" s="1311"/>
      <c r="I244" s="1388"/>
      <c r="J244" s="1311" t="s">
        <v>4029</v>
      </c>
      <c r="K244" s="1311"/>
      <c r="L244" s="1311"/>
      <c r="M244" s="1311"/>
      <c r="N244" s="1311"/>
      <c r="O244" s="1500"/>
      <c r="P244" s="1392" t="s">
        <v>4030</v>
      </c>
      <c r="Q244" s="1374" t="s">
        <v>4025</v>
      </c>
      <c r="R244" s="1367"/>
    </row>
    <row r="245" spans="1:18" ht="16.5" customHeight="1" x14ac:dyDescent="0.25">
      <c r="A245" s="1309" t="s">
        <v>4031</v>
      </c>
      <c r="B245" s="1381">
        <v>7</v>
      </c>
      <c r="C245" s="1381" t="s">
        <v>3286</v>
      </c>
      <c r="D245" s="1381"/>
      <c r="E245" s="1381"/>
      <c r="F245" s="1309"/>
      <c r="G245" s="1309"/>
      <c r="H245" s="1309"/>
      <c r="I245" s="1382"/>
      <c r="J245" s="1309" t="s">
        <v>503</v>
      </c>
      <c r="K245" s="1309"/>
      <c r="L245" s="1309"/>
      <c r="M245" s="1309"/>
      <c r="N245" s="1309"/>
      <c r="O245" s="1498"/>
      <c r="P245" s="1383" t="s">
        <v>4032</v>
      </c>
      <c r="Q245" s="1384" t="s">
        <v>4025</v>
      </c>
      <c r="R245" s="1385"/>
    </row>
    <row r="246" spans="1:18" ht="16.5" customHeight="1" x14ac:dyDescent="0.25">
      <c r="A246" s="1311" t="s">
        <v>4033</v>
      </c>
      <c r="B246" s="1387">
        <v>8</v>
      </c>
      <c r="C246" s="1387" t="s">
        <v>3298</v>
      </c>
      <c r="D246" s="1387"/>
      <c r="E246" s="1387"/>
      <c r="F246" s="1311"/>
      <c r="G246" s="1311"/>
      <c r="H246" s="1311"/>
      <c r="I246" s="1311"/>
      <c r="J246" s="1311"/>
      <c r="K246" s="1311" t="s">
        <v>505</v>
      </c>
      <c r="L246" s="1311"/>
      <c r="M246" s="1388"/>
      <c r="N246" s="1311"/>
      <c r="O246" s="1500">
        <v>1686075900</v>
      </c>
      <c r="P246" s="1392" t="s">
        <v>4034</v>
      </c>
      <c r="Q246" s="1374" t="s">
        <v>4035</v>
      </c>
      <c r="R246" s="1367"/>
    </row>
    <row r="247" spans="1:18" ht="16.5" customHeight="1" x14ac:dyDescent="0.25">
      <c r="A247" s="1311" t="s">
        <v>4036</v>
      </c>
      <c r="B247" s="1387">
        <v>8</v>
      </c>
      <c r="C247" s="1387" t="s">
        <v>3298</v>
      </c>
      <c r="D247" s="1387"/>
      <c r="E247" s="1387"/>
      <c r="F247" s="1311"/>
      <c r="G247" s="1311"/>
      <c r="H247" s="1311"/>
      <c r="I247" s="1311"/>
      <c r="J247" s="1311"/>
      <c r="K247" s="1311" t="s">
        <v>1248</v>
      </c>
      <c r="L247" s="1311"/>
      <c r="M247" s="1388"/>
      <c r="N247" s="1311"/>
      <c r="O247" s="1500">
        <v>592666500</v>
      </c>
      <c r="P247" s="1392" t="s">
        <v>4037</v>
      </c>
      <c r="Q247" s="1374" t="s">
        <v>4035</v>
      </c>
      <c r="R247" s="1367"/>
    </row>
    <row r="248" spans="1:18" ht="16.5" customHeight="1" x14ac:dyDescent="0.25">
      <c r="A248" s="1309" t="s">
        <v>4038</v>
      </c>
      <c r="B248" s="1381">
        <v>7</v>
      </c>
      <c r="C248" s="1381" t="s">
        <v>3286</v>
      </c>
      <c r="D248" s="1381"/>
      <c r="E248" s="1381"/>
      <c r="F248" s="1309"/>
      <c r="G248" s="1309"/>
      <c r="H248" s="1309"/>
      <c r="I248" s="1382"/>
      <c r="J248" s="1309" t="s">
        <v>508</v>
      </c>
      <c r="K248" s="1309"/>
      <c r="L248" s="1309"/>
      <c r="M248" s="1309"/>
      <c r="N248" s="1309"/>
      <c r="O248" s="1498"/>
      <c r="P248" s="1383" t="s">
        <v>4039</v>
      </c>
      <c r="Q248" s="1384" t="s">
        <v>4025</v>
      </c>
      <c r="R248" s="1385"/>
    </row>
    <row r="249" spans="1:18" ht="16.5" customHeight="1" x14ac:dyDescent="0.25">
      <c r="A249" s="1311" t="s">
        <v>4040</v>
      </c>
      <c r="B249" s="1387">
        <v>8</v>
      </c>
      <c r="C249" s="1387" t="s">
        <v>3298</v>
      </c>
      <c r="D249" s="1387"/>
      <c r="E249" s="1387"/>
      <c r="F249" s="1311"/>
      <c r="G249" s="1311"/>
      <c r="H249" s="1311"/>
      <c r="I249" s="1311"/>
      <c r="J249" s="1311"/>
      <c r="K249" s="1311" t="s">
        <v>4041</v>
      </c>
      <c r="L249" s="1311"/>
      <c r="M249" s="1388"/>
      <c r="N249" s="1311"/>
      <c r="O249" s="1500"/>
      <c r="P249" s="1392" t="s">
        <v>4042</v>
      </c>
      <c r="Q249" s="1374" t="s">
        <v>4043</v>
      </c>
      <c r="R249" s="1367"/>
    </row>
    <row r="250" spans="1:18" ht="16.5" customHeight="1" x14ac:dyDescent="0.25">
      <c r="A250" s="1309" t="s">
        <v>4044</v>
      </c>
      <c r="B250" s="1381">
        <v>8</v>
      </c>
      <c r="C250" s="1381" t="s">
        <v>3286</v>
      </c>
      <c r="D250" s="1381"/>
      <c r="E250" s="1381"/>
      <c r="F250" s="1309"/>
      <c r="G250" s="1309"/>
      <c r="H250" s="1309"/>
      <c r="I250" s="1309"/>
      <c r="J250" s="1309"/>
      <c r="K250" s="1309" t="s">
        <v>510</v>
      </c>
      <c r="L250" s="1309"/>
      <c r="M250" s="1382"/>
      <c r="N250" s="1309"/>
      <c r="O250" s="1498"/>
      <c r="P250" s="1383" t="s">
        <v>4045</v>
      </c>
      <c r="Q250" s="1384" t="s">
        <v>4043</v>
      </c>
      <c r="R250" s="1385"/>
    </row>
    <row r="251" spans="1:18" ht="16.5" customHeight="1" x14ac:dyDescent="0.25">
      <c r="A251" s="1311" t="s">
        <v>4046</v>
      </c>
      <c r="B251" s="1387">
        <v>9</v>
      </c>
      <c r="C251" s="1387" t="s">
        <v>3298</v>
      </c>
      <c r="D251" s="1387"/>
      <c r="E251" s="1387"/>
      <c r="F251" s="1311"/>
      <c r="G251" s="1311"/>
      <c r="H251" s="1311"/>
      <c r="I251" s="1311"/>
      <c r="J251" s="1311"/>
      <c r="K251" s="1311"/>
      <c r="L251" s="1311" t="s">
        <v>512</v>
      </c>
      <c r="M251" s="1311"/>
      <c r="N251" s="1311"/>
      <c r="O251" s="1500">
        <v>26241398700</v>
      </c>
      <c r="P251" s="1392" t="s">
        <v>4047</v>
      </c>
      <c r="Q251" s="1374" t="s">
        <v>3288</v>
      </c>
      <c r="R251" s="1367"/>
    </row>
    <row r="252" spans="1:18" ht="16.5" customHeight="1" x14ac:dyDescent="0.25">
      <c r="A252" s="1309" t="s">
        <v>4048</v>
      </c>
      <c r="B252" s="1381">
        <v>9</v>
      </c>
      <c r="C252" s="1381" t="s">
        <v>3286</v>
      </c>
      <c r="D252" s="1381"/>
      <c r="E252" s="1381"/>
      <c r="F252" s="1309"/>
      <c r="G252" s="1309"/>
      <c r="H252" s="1309"/>
      <c r="I252" s="1309"/>
      <c r="J252" s="1309"/>
      <c r="K252" s="1309"/>
      <c r="L252" s="1309" t="s">
        <v>1534</v>
      </c>
      <c r="M252" s="1309"/>
      <c r="N252" s="1309"/>
      <c r="O252" s="1498"/>
      <c r="P252" s="1383" t="s">
        <v>4049</v>
      </c>
      <c r="Q252" s="1384" t="s">
        <v>3288</v>
      </c>
      <c r="R252" s="1385"/>
    </row>
    <row r="253" spans="1:18" ht="16.5" customHeight="1" x14ac:dyDescent="0.25">
      <c r="A253" s="1311" t="s">
        <v>4050</v>
      </c>
      <c r="B253" s="1387">
        <v>10</v>
      </c>
      <c r="C253" s="1387" t="s">
        <v>3298</v>
      </c>
      <c r="D253" s="1387"/>
      <c r="E253" s="1387"/>
      <c r="F253" s="1311"/>
      <c r="G253" s="1311"/>
      <c r="H253" s="1311"/>
      <c r="I253" s="1311"/>
      <c r="J253" s="1311"/>
      <c r="K253" s="1311"/>
      <c r="L253" s="1388"/>
      <c r="M253" s="1388" t="s">
        <v>4051</v>
      </c>
      <c r="N253" s="1311"/>
      <c r="O253" s="1500"/>
      <c r="P253" s="1392" t="s">
        <v>4052</v>
      </c>
      <c r="Q253" s="1374" t="s">
        <v>3288</v>
      </c>
      <c r="R253" s="1367"/>
    </row>
    <row r="254" spans="1:18" ht="16.5" customHeight="1" x14ac:dyDescent="0.25">
      <c r="A254" s="1311" t="s">
        <v>4053</v>
      </c>
      <c r="B254" s="1387">
        <v>10</v>
      </c>
      <c r="C254" s="1387" t="s">
        <v>3298</v>
      </c>
      <c r="D254" s="1387"/>
      <c r="E254" s="1387"/>
      <c r="F254" s="1311"/>
      <c r="G254" s="1311"/>
      <c r="H254" s="1311"/>
      <c r="I254" s="1311"/>
      <c r="J254" s="1311"/>
      <c r="K254" s="1311"/>
      <c r="L254" s="1388"/>
      <c r="M254" s="1388" t="s">
        <v>4054</v>
      </c>
      <c r="N254" s="1311"/>
      <c r="O254" s="1500">
        <v>8423471900</v>
      </c>
      <c r="P254" s="1392" t="s">
        <v>4055</v>
      </c>
      <c r="Q254" s="1374" t="s">
        <v>3288</v>
      </c>
      <c r="R254" s="1367"/>
    </row>
    <row r="255" spans="1:18" ht="16.5" customHeight="1" x14ac:dyDescent="0.25">
      <c r="A255" s="1309" t="s">
        <v>4056</v>
      </c>
      <c r="B255" s="1381">
        <v>6</v>
      </c>
      <c r="C255" s="1381" t="s">
        <v>3286</v>
      </c>
      <c r="D255" s="1381"/>
      <c r="E255" s="1381"/>
      <c r="F255" s="1309"/>
      <c r="G255" s="1309"/>
      <c r="H255" s="1309"/>
      <c r="I255" s="1309" t="s">
        <v>4057</v>
      </c>
      <c r="J255" s="1309"/>
      <c r="K255" s="1309"/>
      <c r="L255" s="1309"/>
      <c r="M255" s="1309"/>
      <c r="N255" s="1309"/>
      <c r="O255" s="1498"/>
      <c r="P255" s="1383" t="s">
        <v>4058</v>
      </c>
      <c r="Q255" s="1384" t="s">
        <v>4025</v>
      </c>
      <c r="R255" s="1385"/>
    </row>
    <row r="256" spans="1:18" ht="16.5" customHeight="1" x14ac:dyDescent="0.25">
      <c r="A256" s="1311" t="s">
        <v>4059</v>
      </c>
      <c r="B256" s="1387">
        <v>7</v>
      </c>
      <c r="C256" s="1387" t="s">
        <v>3298</v>
      </c>
      <c r="D256" s="1387"/>
      <c r="E256" s="1387"/>
      <c r="F256" s="1311"/>
      <c r="G256" s="1311"/>
      <c r="H256" s="1311"/>
      <c r="I256" s="1388"/>
      <c r="J256" s="1311" t="s">
        <v>1259</v>
      </c>
      <c r="K256" s="1311"/>
      <c r="L256" s="1311"/>
      <c r="M256" s="1311"/>
      <c r="N256" s="1311"/>
      <c r="O256" s="1500">
        <v>15801000</v>
      </c>
      <c r="P256" s="1392" t="s">
        <v>4060</v>
      </c>
      <c r="Q256" s="1374" t="s">
        <v>4061</v>
      </c>
      <c r="R256" s="1367"/>
    </row>
    <row r="257" spans="1:18" ht="16.5" customHeight="1" x14ac:dyDescent="0.25">
      <c r="A257" s="1309" t="s">
        <v>4062</v>
      </c>
      <c r="B257" s="1381">
        <v>7</v>
      </c>
      <c r="C257" s="1381" t="s">
        <v>3286</v>
      </c>
      <c r="D257" s="1381"/>
      <c r="E257" s="1381"/>
      <c r="F257" s="1309"/>
      <c r="G257" s="1309"/>
      <c r="H257" s="1309"/>
      <c r="I257" s="1382"/>
      <c r="J257" s="1309" t="s">
        <v>4063</v>
      </c>
      <c r="K257" s="1309"/>
      <c r="L257" s="1309"/>
      <c r="M257" s="1309"/>
      <c r="N257" s="1309"/>
      <c r="O257" s="1498"/>
      <c r="P257" s="1383" t="s">
        <v>4064</v>
      </c>
      <c r="Q257" s="1384" t="s">
        <v>4061</v>
      </c>
      <c r="R257" s="1385"/>
    </row>
    <row r="258" spans="1:18" ht="16.5" customHeight="1" x14ac:dyDescent="0.25">
      <c r="A258" s="1311" t="s">
        <v>4065</v>
      </c>
      <c r="B258" s="1387">
        <v>8</v>
      </c>
      <c r="C258" s="1387" t="s">
        <v>3298</v>
      </c>
      <c r="D258" s="1387"/>
      <c r="E258" s="1387"/>
      <c r="F258" s="1311"/>
      <c r="G258" s="1311"/>
      <c r="H258" s="1311"/>
      <c r="I258" s="1311"/>
      <c r="J258" s="1311"/>
      <c r="K258" s="1311" t="s">
        <v>4066</v>
      </c>
      <c r="L258" s="1311"/>
      <c r="M258" s="1388"/>
      <c r="N258" s="1311"/>
      <c r="O258" s="1500"/>
      <c r="P258" s="1392" t="s">
        <v>4067</v>
      </c>
      <c r="Q258" s="1374" t="s">
        <v>3288</v>
      </c>
      <c r="R258" s="1367"/>
    </row>
    <row r="259" spans="1:18" ht="16.5" customHeight="1" x14ac:dyDescent="0.25">
      <c r="A259" s="1311" t="s">
        <v>4068</v>
      </c>
      <c r="B259" s="1387">
        <v>8</v>
      </c>
      <c r="C259" s="1387" t="s">
        <v>3298</v>
      </c>
      <c r="D259" s="1387"/>
      <c r="E259" s="1387"/>
      <c r="F259" s="1311"/>
      <c r="G259" s="1311"/>
      <c r="H259" s="1311"/>
      <c r="I259" s="1311"/>
      <c r="J259" s="1311"/>
      <c r="K259" s="1311" t="s">
        <v>4069</v>
      </c>
      <c r="L259" s="1311"/>
      <c r="M259" s="1388"/>
      <c r="N259" s="1311"/>
      <c r="O259" s="1500"/>
      <c r="P259" s="1392" t="s">
        <v>4070</v>
      </c>
      <c r="Q259" s="1374" t="s">
        <v>3288</v>
      </c>
      <c r="R259" s="1367"/>
    </row>
    <row r="260" spans="1:18" ht="16.5" customHeight="1" x14ac:dyDescent="0.25">
      <c r="A260" s="1301" t="s">
        <v>4071</v>
      </c>
      <c r="B260" s="1335">
        <v>2</v>
      </c>
      <c r="C260" s="1335" t="s">
        <v>3286</v>
      </c>
      <c r="D260" s="1335"/>
      <c r="E260" s="1301" t="s">
        <v>517</v>
      </c>
      <c r="F260" s="1301"/>
      <c r="G260" s="1301"/>
      <c r="H260" s="1301"/>
      <c r="I260" s="1301"/>
      <c r="J260" s="1301"/>
      <c r="K260" s="1301"/>
      <c r="L260" s="1301"/>
      <c r="M260" s="1451"/>
      <c r="N260" s="1451"/>
      <c r="O260" s="1507"/>
      <c r="P260" s="1337" t="s">
        <v>4072</v>
      </c>
      <c r="Q260" s="1452"/>
      <c r="R260" s="1339"/>
    </row>
    <row r="261" spans="1:18" ht="16.5" customHeight="1" x14ac:dyDescent="0.25">
      <c r="A261" s="1302" t="s">
        <v>4073</v>
      </c>
      <c r="B261" s="1341">
        <v>3</v>
      </c>
      <c r="C261" s="1341" t="s">
        <v>3286</v>
      </c>
      <c r="D261" s="1341"/>
      <c r="E261" s="1342"/>
      <c r="F261" s="1302" t="s">
        <v>4074</v>
      </c>
      <c r="G261" s="1302"/>
      <c r="H261" s="1302"/>
      <c r="I261" s="1302"/>
      <c r="J261" s="1302"/>
      <c r="K261" s="1302"/>
      <c r="L261" s="1302"/>
      <c r="M261" s="1302"/>
      <c r="N261" s="1342"/>
      <c r="O261" s="1508"/>
      <c r="P261" s="1402" t="s">
        <v>4075</v>
      </c>
      <c r="Q261" s="1403"/>
      <c r="R261" s="1385"/>
    </row>
    <row r="262" spans="1:18" ht="16.5" customHeight="1" x14ac:dyDescent="0.25">
      <c r="A262" s="1303" t="s">
        <v>4076</v>
      </c>
      <c r="B262" s="1348">
        <v>4</v>
      </c>
      <c r="C262" s="1348" t="s">
        <v>3286</v>
      </c>
      <c r="D262" s="1348"/>
      <c r="E262" s="1303"/>
      <c r="F262" s="1303"/>
      <c r="G262" s="1303" t="s">
        <v>4077</v>
      </c>
      <c r="H262" s="1303"/>
      <c r="I262" s="1303"/>
      <c r="J262" s="1303"/>
      <c r="K262" s="1303"/>
      <c r="L262" s="1303"/>
      <c r="M262" s="1303"/>
      <c r="N262" s="1411"/>
      <c r="O262" s="1491"/>
      <c r="P262" s="1406" t="s">
        <v>4078</v>
      </c>
      <c r="Q262" s="1407"/>
      <c r="R262" s="1385"/>
    </row>
    <row r="263" spans="1:18" ht="16.5" customHeight="1" x14ac:dyDescent="0.25">
      <c r="A263" s="1306" t="s">
        <v>4079</v>
      </c>
      <c r="B263" s="1363">
        <v>5</v>
      </c>
      <c r="C263" s="1363" t="s">
        <v>3298</v>
      </c>
      <c r="D263" s="1363"/>
      <c r="E263" s="1306"/>
      <c r="F263" s="1306"/>
      <c r="G263" s="1306"/>
      <c r="H263" s="1306" t="s">
        <v>4080</v>
      </c>
      <c r="I263" s="1306"/>
      <c r="J263" s="1306"/>
      <c r="K263" s="1306"/>
      <c r="L263" s="1306"/>
      <c r="M263" s="1364"/>
      <c r="N263" s="1364"/>
      <c r="O263" s="1478"/>
      <c r="P263" s="1377" t="s">
        <v>4081</v>
      </c>
      <c r="Q263" s="1378" t="s">
        <v>4082</v>
      </c>
      <c r="R263" s="1367"/>
    </row>
    <row r="264" spans="1:18" ht="16.5" customHeight="1" x14ac:dyDescent="0.25">
      <c r="A264" s="1306" t="s">
        <v>4083</v>
      </c>
      <c r="B264" s="1363">
        <v>5</v>
      </c>
      <c r="C264" s="1363" t="s">
        <v>3298</v>
      </c>
      <c r="D264" s="1363"/>
      <c r="E264" s="1306"/>
      <c r="F264" s="1306"/>
      <c r="G264" s="1306"/>
      <c r="H264" s="1306" t="s">
        <v>4084</v>
      </c>
      <c r="I264" s="1306"/>
      <c r="J264" s="1306"/>
      <c r="K264" s="1306"/>
      <c r="L264" s="1306"/>
      <c r="M264" s="1364"/>
      <c r="N264" s="1364"/>
      <c r="O264" s="1478"/>
      <c r="P264" s="1378" t="s">
        <v>4085</v>
      </c>
      <c r="Q264" s="1378"/>
      <c r="R264" s="1367"/>
    </row>
    <row r="265" spans="1:18" ht="16.5" customHeight="1" x14ac:dyDescent="0.25">
      <c r="A265" s="1306" t="s">
        <v>4086</v>
      </c>
      <c r="B265" s="1363">
        <v>5</v>
      </c>
      <c r="C265" s="1363" t="s">
        <v>3298</v>
      </c>
      <c r="D265" s="1363"/>
      <c r="E265" s="1306"/>
      <c r="F265" s="1306"/>
      <c r="G265" s="1306"/>
      <c r="H265" s="1306" t="s">
        <v>4087</v>
      </c>
      <c r="I265" s="1306"/>
      <c r="J265" s="1306"/>
      <c r="K265" s="1306"/>
      <c r="L265" s="1306"/>
      <c r="M265" s="1364"/>
      <c r="N265" s="1364"/>
      <c r="O265" s="1478"/>
      <c r="P265" s="1377" t="s">
        <v>4088</v>
      </c>
      <c r="Q265" s="1378"/>
      <c r="R265" s="1367"/>
    </row>
    <row r="266" spans="1:18" ht="16.5" customHeight="1" x14ac:dyDescent="0.25">
      <c r="A266" s="1306" t="s">
        <v>4089</v>
      </c>
      <c r="B266" s="1363">
        <v>5</v>
      </c>
      <c r="C266" s="1363" t="s">
        <v>3298</v>
      </c>
      <c r="D266" s="1363"/>
      <c r="E266" s="1306"/>
      <c r="F266" s="1306"/>
      <c r="G266" s="1306"/>
      <c r="H266" s="1453" t="s">
        <v>4090</v>
      </c>
      <c r="I266" s="1454"/>
      <c r="J266" s="1454"/>
      <c r="K266" s="1454"/>
      <c r="L266" s="1454"/>
      <c r="M266" s="1454"/>
      <c r="N266" s="1454"/>
      <c r="O266" s="1509"/>
      <c r="P266" s="1378" t="s">
        <v>4091</v>
      </c>
      <c r="Q266" s="1378"/>
      <c r="R266" s="1367"/>
    </row>
    <row r="267" spans="1:18" ht="16.5" customHeight="1" x14ac:dyDescent="0.25">
      <c r="A267" s="1303" t="s">
        <v>4092</v>
      </c>
      <c r="B267" s="1348">
        <v>4</v>
      </c>
      <c r="C267" s="1348" t="s">
        <v>3286</v>
      </c>
      <c r="D267" s="1348"/>
      <c r="E267" s="1303"/>
      <c r="F267" s="1303"/>
      <c r="G267" s="1303" t="s">
        <v>4093</v>
      </c>
      <c r="H267" s="1303"/>
      <c r="I267" s="1303"/>
      <c r="J267" s="1303"/>
      <c r="K267" s="1303"/>
      <c r="L267" s="1303"/>
      <c r="M267" s="1303"/>
      <c r="N267" s="1411"/>
      <c r="O267" s="1491"/>
      <c r="P267" s="1406" t="s">
        <v>4094</v>
      </c>
      <c r="Q267" s="1407"/>
      <c r="R267" s="1385"/>
    </row>
    <row r="268" spans="1:18" ht="16.5" customHeight="1" x14ac:dyDescent="0.25">
      <c r="A268" s="1304" t="s">
        <v>4095</v>
      </c>
      <c r="B268" s="1353">
        <v>5</v>
      </c>
      <c r="C268" s="1353" t="s">
        <v>3286</v>
      </c>
      <c r="D268" s="1353"/>
      <c r="E268" s="1304"/>
      <c r="F268" s="1304"/>
      <c r="G268" s="1304"/>
      <c r="H268" s="1304" t="s">
        <v>4096</v>
      </c>
      <c r="I268" s="1304"/>
      <c r="J268" s="1304"/>
      <c r="K268" s="1304"/>
      <c r="L268" s="1304"/>
      <c r="M268" s="1370"/>
      <c r="N268" s="1370"/>
      <c r="O268" s="1479"/>
      <c r="P268" s="1371" t="s">
        <v>4097</v>
      </c>
      <c r="Q268" s="1372"/>
      <c r="R268" s="1385"/>
    </row>
    <row r="269" spans="1:18" ht="16.5" customHeight="1" x14ac:dyDescent="0.25">
      <c r="A269" s="1311" t="s">
        <v>4098</v>
      </c>
      <c r="B269" s="1387">
        <v>6</v>
      </c>
      <c r="C269" s="1387" t="s">
        <v>3298</v>
      </c>
      <c r="D269" s="1387"/>
      <c r="E269" s="1311"/>
      <c r="F269" s="1311"/>
      <c r="G269" s="1311"/>
      <c r="H269" s="1388"/>
      <c r="I269" s="1311" t="s">
        <v>4099</v>
      </c>
      <c r="J269" s="1311"/>
      <c r="K269" s="1311"/>
      <c r="L269" s="1311"/>
      <c r="M269" s="1311"/>
      <c r="N269" s="1388"/>
      <c r="O269" s="1484"/>
      <c r="P269" s="1392" t="s">
        <v>4100</v>
      </c>
      <c r="Q269" s="1374"/>
      <c r="R269" s="1367"/>
    </row>
    <row r="270" spans="1:18" ht="16.5" customHeight="1" x14ac:dyDescent="0.25">
      <c r="A270" s="1311" t="s">
        <v>4101</v>
      </c>
      <c r="B270" s="1387">
        <v>6</v>
      </c>
      <c r="C270" s="1387" t="s">
        <v>3298</v>
      </c>
      <c r="D270" s="1387"/>
      <c r="E270" s="1311"/>
      <c r="F270" s="1311"/>
      <c r="G270" s="1311"/>
      <c r="H270" s="1388"/>
      <c r="I270" s="1311" t="s">
        <v>4102</v>
      </c>
      <c r="J270" s="1311"/>
      <c r="K270" s="1311"/>
      <c r="L270" s="1311"/>
      <c r="M270" s="1311"/>
      <c r="N270" s="1388"/>
      <c r="O270" s="1484"/>
      <c r="P270" s="1392" t="s">
        <v>4103</v>
      </c>
      <c r="Q270" s="1374"/>
      <c r="R270" s="1367"/>
    </row>
    <row r="271" spans="1:18" ht="16.5" customHeight="1" x14ac:dyDescent="0.25">
      <c r="A271" s="1304" t="s">
        <v>4104</v>
      </c>
      <c r="B271" s="1353">
        <v>5</v>
      </c>
      <c r="C271" s="1353" t="s">
        <v>3286</v>
      </c>
      <c r="D271" s="1353"/>
      <c r="E271" s="1304"/>
      <c r="F271" s="1304"/>
      <c r="G271" s="1304"/>
      <c r="H271" s="1370"/>
      <c r="I271" s="1304" t="s">
        <v>4105</v>
      </c>
      <c r="J271" s="1304"/>
      <c r="K271" s="1304"/>
      <c r="L271" s="1304"/>
      <c r="M271" s="1304"/>
      <c r="N271" s="1370"/>
      <c r="O271" s="1479"/>
      <c r="P271" s="1371" t="s">
        <v>4106</v>
      </c>
      <c r="Q271" s="1372"/>
      <c r="R271" s="1385"/>
    </row>
    <row r="272" spans="1:18" ht="16.5" customHeight="1" x14ac:dyDescent="0.25">
      <c r="A272" s="1311" t="s">
        <v>4107</v>
      </c>
      <c r="B272" s="1387">
        <v>6</v>
      </c>
      <c r="C272" s="1387" t="s">
        <v>3298</v>
      </c>
      <c r="D272" s="1387"/>
      <c r="E272" s="1311"/>
      <c r="F272" s="1311"/>
      <c r="G272" s="1311"/>
      <c r="H272" s="1311"/>
      <c r="I272" s="1311"/>
      <c r="J272" s="1311" t="s">
        <v>4108</v>
      </c>
      <c r="K272" s="1311"/>
      <c r="L272" s="1311"/>
      <c r="M272" s="1311"/>
      <c r="N272" s="1388"/>
      <c r="O272" s="1484"/>
      <c r="P272" s="1392" t="s">
        <v>4109</v>
      </c>
      <c r="Q272" s="1374"/>
      <c r="R272" s="1367"/>
    </row>
    <row r="273" spans="1:18" ht="16.5" customHeight="1" x14ac:dyDescent="0.25">
      <c r="A273" s="1311" t="s">
        <v>4110</v>
      </c>
      <c r="B273" s="1387">
        <v>6</v>
      </c>
      <c r="C273" s="1387" t="s">
        <v>3298</v>
      </c>
      <c r="D273" s="1387"/>
      <c r="E273" s="1311"/>
      <c r="F273" s="1311"/>
      <c r="G273" s="1311"/>
      <c r="H273" s="1311"/>
      <c r="I273" s="1311"/>
      <c r="J273" s="1311" t="s">
        <v>4111</v>
      </c>
      <c r="K273" s="1311"/>
      <c r="L273" s="1311"/>
      <c r="M273" s="1311"/>
      <c r="N273" s="1388"/>
      <c r="O273" s="1484"/>
      <c r="P273" s="1392" t="s">
        <v>4112</v>
      </c>
      <c r="Q273" s="1374"/>
      <c r="R273" s="1367"/>
    </row>
    <row r="274" spans="1:18" ht="16.5" customHeight="1" x14ac:dyDescent="0.25">
      <c r="A274" s="1304" t="s">
        <v>4113</v>
      </c>
      <c r="B274" s="1353">
        <v>5</v>
      </c>
      <c r="C274" s="1353" t="s">
        <v>3286</v>
      </c>
      <c r="D274" s="1353"/>
      <c r="E274" s="1304"/>
      <c r="F274" s="1304"/>
      <c r="G274" s="1304"/>
      <c r="H274" s="1304" t="s">
        <v>4114</v>
      </c>
      <c r="I274" s="1304"/>
      <c r="J274" s="1304"/>
      <c r="K274" s="1304"/>
      <c r="L274" s="1304"/>
      <c r="M274" s="1370"/>
      <c r="N274" s="1370"/>
      <c r="O274" s="1479"/>
      <c r="P274" s="1371" t="s">
        <v>4115</v>
      </c>
      <c r="Q274" s="1372"/>
      <c r="R274" s="1385"/>
    </row>
    <row r="275" spans="1:18" ht="16.5" customHeight="1" x14ac:dyDescent="0.25">
      <c r="A275" s="1311" t="s">
        <v>4116</v>
      </c>
      <c r="B275" s="1387">
        <v>6</v>
      </c>
      <c r="C275" s="1387" t="s">
        <v>3298</v>
      </c>
      <c r="D275" s="1387"/>
      <c r="E275" s="1311"/>
      <c r="F275" s="1311"/>
      <c r="G275" s="1311"/>
      <c r="H275" s="1388"/>
      <c r="I275" s="1311" t="s">
        <v>4117</v>
      </c>
      <c r="J275" s="1311"/>
      <c r="K275" s="1311"/>
      <c r="L275" s="1311"/>
      <c r="M275" s="1311"/>
      <c r="N275" s="1388"/>
      <c r="O275" s="1484"/>
      <c r="P275" s="1392" t="s">
        <v>4118</v>
      </c>
      <c r="Q275" s="1374"/>
      <c r="R275" s="1367"/>
    </row>
    <row r="276" spans="1:18" ht="16.5" customHeight="1" x14ac:dyDescent="0.25">
      <c r="A276" s="1311" t="s">
        <v>4119</v>
      </c>
      <c r="B276" s="1387">
        <v>6</v>
      </c>
      <c r="C276" s="1387" t="s">
        <v>3298</v>
      </c>
      <c r="D276" s="1387"/>
      <c r="E276" s="1311"/>
      <c r="F276" s="1311"/>
      <c r="G276" s="1311"/>
      <c r="H276" s="1388"/>
      <c r="I276" s="1311" t="s">
        <v>4120</v>
      </c>
      <c r="J276" s="1311"/>
      <c r="K276" s="1311"/>
      <c r="L276" s="1311"/>
      <c r="M276" s="1311"/>
      <c r="N276" s="1388"/>
      <c r="O276" s="1484"/>
      <c r="P276" s="1392" t="s">
        <v>4121</v>
      </c>
      <c r="Q276" s="1374"/>
      <c r="R276" s="1367"/>
    </row>
    <row r="277" spans="1:18" ht="16.5" customHeight="1" x14ac:dyDescent="0.25">
      <c r="A277" s="1311" t="s">
        <v>4122</v>
      </c>
      <c r="B277" s="1387">
        <v>6</v>
      </c>
      <c r="C277" s="1387" t="s">
        <v>3298</v>
      </c>
      <c r="D277" s="1387"/>
      <c r="E277" s="1311"/>
      <c r="F277" s="1311"/>
      <c r="G277" s="1311"/>
      <c r="H277" s="1388"/>
      <c r="I277" s="1311" t="s">
        <v>4123</v>
      </c>
      <c r="J277" s="1311"/>
      <c r="K277" s="1311"/>
      <c r="L277" s="1311"/>
      <c r="M277" s="1311"/>
      <c r="N277" s="1388"/>
      <c r="O277" s="1484"/>
      <c r="P277" s="1392" t="s">
        <v>4124</v>
      </c>
      <c r="Q277" s="1374"/>
      <c r="R277" s="1367"/>
    </row>
    <row r="278" spans="1:18" ht="16.5" customHeight="1" x14ac:dyDescent="0.25">
      <c r="A278" s="1304" t="s">
        <v>4125</v>
      </c>
      <c r="B278" s="1353">
        <v>5</v>
      </c>
      <c r="C278" s="1353" t="s">
        <v>3286</v>
      </c>
      <c r="D278" s="1353"/>
      <c r="E278" s="1304"/>
      <c r="F278" s="1304"/>
      <c r="G278" s="1304"/>
      <c r="H278" s="1304" t="s">
        <v>4126</v>
      </c>
      <c r="I278" s="1304"/>
      <c r="J278" s="1304"/>
      <c r="K278" s="1304"/>
      <c r="L278" s="1304"/>
      <c r="M278" s="1370"/>
      <c r="N278" s="1370"/>
      <c r="O278" s="1479"/>
      <c r="P278" s="1371" t="s">
        <v>4127</v>
      </c>
      <c r="Q278" s="1372"/>
      <c r="R278" s="1385"/>
    </row>
    <row r="279" spans="1:18" ht="16.5" customHeight="1" x14ac:dyDescent="0.25">
      <c r="A279" s="1311" t="s">
        <v>4128</v>
      </c>
      <c r="B279" s="1387">
        <v>6</v>
      </c>
      <c r="C279" s="1387" t="s">
        <v>3298</v>
      </c>
      <c r="D279" s="1387"/>
      <c r="E279" s="1311"/>
      <c r="F279" s="1311"/>
      <c r="G279" s="1311"/>
      <c r="H279" s="1311"/>
      <c r="I279" s="1311" t="s">
        <v>4129</v>
      </c>
      <c r="J279" s="1311"/>
      <c r="K279" s="1311"/>
      <c r="L279" s="1311"/>
      <c r="M279" s="1311"/>
      <c r="N279" s="1388"/>
      <c r="O279" s="1484"/>
      <c r="P279" s="1392" t="s">
        <v>4130</v>
      </c>
      <c r="Q279" s="1374"/>
      <c r="R279" s="1367"/>
    </row>
    <row r="280" spans="1:18" ht="16.5" customHeight="1" x14ac:dyDescent="0.25">
      <c r="A280" s="1311" t="s">
        <v>4131</v>
      </c>
      <c r="B280" s="1387">
        <v>6</v>
      </c>
      <c r="C280" s="1387" t="s">
        <v>3298</v>
      </c>
      <c r="D280" s="1387"/>
      <c r="E280" s="1311"/>
      <c r="F280" s="1311"/>
      <c r="G280" s="1311"/>
      <c r="H280" s="1311"/>
      <c r="I280" s="1311" t="s">
        <v>4132</v>
      </c>
      <c r="J280" s="1311"/>
      <c r="K280" s="1311"/>
      <c r="L280" s="1311"/>
      <c r="M280" s="1311"/>
      <c r="N280" s="1388"/>
      <c r="O280" s="1484"/>
      <c r="P280" s="1392" t="s">
        <v>4133</v>
      </c>
      <c r="Q280" s="1374"/>
      <c r="R280" s="1367"/>
    </row>
    <row r="281" spans="1:18" ht="16.5" customHeight="1" x14ac:dyDescent="0.25">
      <c r="A281" s="1302" t="s">
        <v>4134</v>
      </c>
      <c r="B281" s="1341">
        <v>3</v>
      </c>
      <c r="C281" s="1341" t="s">
        <v>3286</v>
      </c>
      <c r="D281" s="1341"/>
      <c r="E281" s="1342"/>
      <c r="F281" s="1302" t="s">
        <v>519</v>
      </c>
      <c r="G281" s="1302"/>
      <c r="H281" s="1302"/>
      <c r="I281" s="1302"/>
      <c r="J281" s="1302"/>
      <c r="K281" s="1302"/>
      <c r="L281" s="1302"/>
      <c r="M281" s="1302"/>
      <c r="N281" s="1342"/>
      <c r="O281" s="1508"/>
      <c r="P281" s="1402" t="s">
        <v>4135</v>
      </c>
      <c r="Q281" s="1403" t="s">
        <v>4136</v>
      </c>
      <c r="R281" s="1385"/>
    </row>
    <row r="282" spans="1:18" ht="16.5" customHeight="1" x14ac:dyDescent="0.25">
      <c r="A282" s="1323" t="s">
        <v>4137</v>
      </c>
      <c r="B282" s="1455">
        <v>4</v>
      </c>
      <c r="C282" s="1455" t="s">
        <v>3298</v>
      </c>
      <c r="D282" s="1348"/>
      <c r="E282" s="1303"/>
      <c r="F282" s="1303"/>
      <c r="G282" s="1323" t="s">
        <v>521</v>
      </c>
      <c r="H282" s="1323"/>
      <c r="I282" s="1323"/>
      <c r="J282" s="1303"/>
      <c r="K282" s="1303"/>
      <c r="L282" s="1303"/>
      <c r="M282" s="1303"/>
      <c r="N282" s="1411"/>
      <c r="O282" s="1491"/>
      <c r="P282" s="1456" t="s">
        <v>4138</v>
      </c>
      <c r="Q282" s="1407"/>
      <c r="R282" s="1367"/>
    </row>
    <row r="283" spans="1:18" ht="16.5" customHeight="1" x14ac:dyDescent="0.25">
      <c r="A283" s="1323" t="s">
        <v>4139</v>
      </c>
      <c r="B283" s="1455">
        <v>4</v>
      </c>
      <c r="C283" s="1455" t="s">
        <v>3298</v>
      </c>
      <c r="D283" s="1348"/>
      <c r="E283" s="1303"/>
      <c r="F283" s="1303"/>
      <c r="G283" s="1323" t="s">
        <v>4140</v>
      </c>
      <c r="H283" s="1323"/>
      <c r="I283" s="1323"/>
      <c r="J283" s="1303"/>
      <c r="K283" s="1303"/>
      <c r="L283" s="1303"/>
      <c r="M283" s="1303"/>
      <c r="N283" s="1411"/>
      <c r="O283" s="1491"/>
      <c r="P283" s="1456" t="s">
        <v>4141</v>
      </c>
      <c r="Q283" s="1407"/>
      <c r="R283" s="1367"/>
    </row>
    <row r="284" spans="1:18" ht="16.5" customHeight="1" x14ac:dyDescent="0.25">
      <c r="A284" s="1323" t="s">
        <v>4142</v>
      </c>
      <c r="B284" s="1455">
        <v>4</v>
      </c>
      <c r="C284" s="1455" t="s">
        <v>3298</v>
      </c>
      <c r="D284" s="1348"/>
      <c r="E284" s="1303"/>
      <c r="F284" s="1303"/>
      <c r="G284" s="1323" t="s">
        <v>4143</v>
      </c>
      <c r="H284" s="1323"/>
      <c r="I284" s="1323"/>
      <c r="J284" s="1303"/>
      <c r="K284" s="1303"/>
      <c r="L284" s="1303"/>
      <c r="M284" s="1303"/>
      <c r="N284" s="1411"/>
      <c r="O284" s="1491"/>
      <c r="P284" s="1456"/>
      <c r="Q284" s="1407"/>
      <c r="R284" s="1399" t="s">
        <v>3374</v>
      </c>
    </row>
    <row r="285" spans="1:18" ht="16.5" customHeight="1" x14ac:dyDescent="0.25">
      <c r="A285" s="1302" t="s">
        <v>4144</v>
      </c>
      <c r="B285" s="1341">
        <v>3</v>
      </c>
      <c r="C285" s="1341" t="s">
        <v>3286</v>
      </c>
      <c r="D285" s="1341"/>
      <c r="E285" s="1342"/>
      <c r="F285" s="1302" t="s">
        <v>523</v>
      </c>
      <c r="G285" s="1302"/>
      <c r="H285" s="1302"/>
      <c r="I285" s="1302"/>
      <c r="J285" s="1302"/>
      <c r="K285" s="1302"/>
      <c r="L285" s="1302"/>
      <c r="M285" s="1302"/>
      <c r="N285" s="1342"/>
      <c r="O285" s="1508"/>
      <c r="P285" s="1402" t="s">
        <v>4145</v>
      </c>
      <c r="Q285" s="1403"/>
      <c r="R285" s="1385"/>
    </row>
    <row r="286" spans="1:18" ht="16.5" customHeight="1" x14ac:dyDescent="0.25">
      <c r="A286" s="1323" t="s">
        <v>4146</v>
      </c>
      <c r="B286" s="1455">
        <v>4</v>
      </c>
      <c r="C286" s="1455" t="s">
        <v>3298</v>
      </c>
      <c r="D286" s="1348"/>
      <c r="E286" s="1303"/>
      <c r="F286" s="1303"/>
      <c r="G286" s="1323" t="s">
        <v>4147</v>
      </c>
      <c r="H286" s="1323"/>
      <c r="I286" s="1323"/>
      <c r="J286" s="1303"/>
      <c r="K286" s="1303"/>
      <c r="L286" s="1303"/>
      <c r="M286" s="1303"/>
      <c r="N286" s="1411"/>
      <c r="O286" s="1491"/>
      <c r="P286" s="1456" t="s">
        <v>4148</v>
      </c>
      <c r="Q286" s="1457" t="s">
        <v>4149</v>
      </c>
      <c r="R286" s="1367"/>
    </row>
    <row r="287" spans="1:18" ht="16.5" customHeight="1" x14ac:dyDescent="0.25">
      <c r="A287" s="1323" t="s">
        <v>4150</v>
      </c>
      <c r="B287" s="1455">
        <v>4</v>
      </c>
      <c r="C287" s="1455" t="s">
        <v>3298</v>
      </c>
      <c r="D287" s="1348"/>
      <c r="E287" s="1303"/>
      <c r="F287" s="1303"/>
      <c r="G287" s="1323" t="s">
        <v>525</v>
      </c>
      <c r="H287" s="1323"/>
      <c r="I287" s="1323"/>
      <c r="J287" s="1303"/>
      <c r="K287" s="1303"/>
      <c r="L287" s="1303"/>
      <c r="M287" s="1303"/>
      <c r="N287" s="1411"/>
      <c r="O287" s="1491">
        <f>+'F Y U 2024 Presupuesto 15.09'!C70</f>
        <v>200000000</v>
      </c>
      <c r="P287" s="1456" t="s">
        <v>4151</v>
      </c>
      <c r="Q287" s="1457" t="s">
        <v>4152</v>
      </c>
      <c r="R287" s="1367"/>
    </row>
    <row r="288" spans="1:18" ht="16.5" customHeight="1" x14ac:dyDescent="0.25">
      <c r="A288" s="1323" t="s">
        <v>4153</v>
      </c>
      <c r="B288" s="1455">
        <v>4</v>
      </c>
      <c r="C288" s="1455" t="s">
        <v>3298</v>
      </c>
      <c r="D288" s="1348"/>
      <c r="E288" s="1303"/>
      <c r="F288" s="1303"/>
      <c r="G288" s="1323" t="s">
        <v>4154</v>
      </c>
      <c r="H288" s="1323"/>
      <c r="I288" s="1323"/>
      <c r="J288" s="1303"/>
      <c r="K288" s="1303"/>
      <c r="L288" s="1303"/>
      <c r="M288" s="1303"/>
      <c r="N288" s="1411"/>
      <c r="O288" s="1491"/>
      <c r="P288" s="1456" t="s">
        <v>4155</v>
      </c>
      <c r="Q288" s="1457"/>
      <c r="R288" s="1367"/>
    </row>
    <row r="289" spans="1:18" ht="16.5" customHeight="1" x14ac:dyDescent="0.25">
      <c r="A289" s="1323" t="s">
        <v>4156</v>
      </c>
      <c r="B289" s="1455">
        <v>4</v>
      </c>
      <c r="C289" s="1455" t="s">
        <v>3298</v>
      </c>
      <c r="D289" s="1348"/>
      <c r="E289" s="1303"/>
      <c r="F289" s="1303"/>
      <c r="G289" s="1323" t="s">
        <v>4157</v>
      </c>
      <c r="H289" s="1323"/>
      <c r="I289" s="1323"/>
      <c r="J289" s="1303"/>
      <c r="K289" s="1303"/>
      <c r="L289" s="1303"/>
      <c r="M289" s="1303"/>
      <c r="N289" s="1411"/>
      <c r="O289" s="1491"/>
      <c r="P289" s="1456" t="s">
        <v>4158</v>
      </c>
      <c r="Q289" s="1457"/>
      <c r="R289" s="1367"/>
    </row>
    <row r="290" spans="1:18" ht="16.5" customHeight="1" x14ac:dyDescent="0.25">
      <c r="A290" s="1323" t="s">
        <v>4159</v>
      </c>
      <c r="B290" s="1455">
        <v>4</v>
      </c>
      <c r="C290" s="1455" t="s">
        <v>3298</v>
      </c>
      <c r="D290" s="1348"/>
      <c r="E290" s="1303"/>
      <c r="F290" s="1303"/>
      <c r="G290" s="1323" t="s">
        <v>4160</v>
      </c>
      <c r="H290" s="1323"/>
      <c r="I290" s="1323"/>
      <c r="J290" s="1303"/>
      <c r="K290" s="1303"/>
      <c r="L290" s="1303"/>
      <c r="M290" s="1303"/>
      <c r="N290" s="1411"/>
      <c r="O290" s="1491"/>
      <c r="P290" s="1456" t="s">
        <v>4161</v>
      </c>
      <c r="Q290" s="1457"/>
      <c r="R290" s="1367"/>
    </row>
    <row r="291" spans="1:18" ht="16.5" customHeight="1" x14ac:dyDescent="0.25">
      <c r="A291" s="1302" t="s">
        <v>4162</v>
      </c>
      <c r="B291" s="1341">
        <v>3</v>
      </c>
      <c r="C291" s="1341" t="s">
        <v>3286</v>
      </c>
      <c r="D291" s="1341"/>
      <c r="E291" s="1342"/>
      <c r="F291" s="1302" t="s">
        <v>529</v>
      </c>
      <c r="G291" s="1302"/>
      <c r="H291" s="1302"/>
      <c r="I291" s="1302"/>
      <c r="J291" s="1302"/>
      <c r="K291" s="1302"/>
      <c r="L291" s="1302"/>
      <c r="M291" s="1302"/>
      <c r="N291" s="1342"/>
      <c r="O291" s="1508"/>
      <c r="P291" s="1402" t="s">
        <v>4163</v>
      </c>
      <c r="Q291" s="1403"/>
      <c r="R291" s="1385"/>
    </row>
    <row r="292" spans="1:18" ht="16.5" customHeight="1" x14ac:dyDescent="0.25">
      <c r="A292" s="1323" t="s">
        <v>4164</v>
      </c>
      <c r="B292" s="1455">
        <v>4</v>
      </c>
      <c r="C292" s="1455" t="s">
        <v>3298</v>
      </c>
      <c r="D292" s="1348"/>
      <c r="E292" s="1303"/>
      <c r="F292" s="1303"/>
      <c r="G292" s="1323" t="s">
        <v>4165</v>
      </c>
      <c r="H292" s="1323"/>
      <c r="I292" s="1323"/>
      <c r="J292" s="1458"/>
      <c r="K292" s="1303"/>
      <c r="L292" s="1303"/>
      <c r="M292" s="1411"/>
      <c r="N292" s="1411"/>
      <c r="O292" s="1491"/>
      <c r="P292" s="1456" t="s">
        <v>4166</v>
      </c>
      <c r="Q292" s="1457"/>
      <c r="R292" s="1367"/>
    </row>
    <row r="293" spans="1:18" ht="16.5" customHeight="1" x14ac:dyDescent="0.25">
      <c r="A293" s="1323" t="s">
        <v>4167</v>
      </c>
      <c r="B293" s="1455">
        <v>4</v>
      </c>
      <c r="C293" s="1455" t="s">
        <v>3298</v>
      </c>
      <c r="D293" s="1455"/>
      <c r="E293" s="1323"/>
      <c r="F293" s="1323"/>
      <c r="G293" s="1323" t="s">
        <v>531</v>
      </c>
      <c r="H293" s="1323"/>
      <c r="I293" s="1323"/>
      <c r="J293" s="1458"/>
      <c r="K293" s="1323"/>
      <c r="L293" s="1323"/>
      <c r="M293" s="1459"/>
      <c r="N293" s="1459"/>
      <c r="O293" s="1510">
        <f>+'F Y U 2024 Presupuesto 15.09'!C57+'F Y U 2024 Presupuesto 15.09'!C58+'F Y U 2024 Presupuesto 15.09'!C59+'F Y U 2024 Presupuesto 15.09'!C60+'F Y U 2024 Presupuesto 15.09'!C61+'F Y U 2024 Presupuesto 15.09'!C62+'F Y U 2024 Presupuesto 15.09'!C63+'F Y U 2024 Presupuesto 15.09'!C64+'F Y U 2024 Presupuesto 15.09'!C65+'F Y U 2024 Presupuesto 15.09'!C66+'F Y U 2024 Presupuesto 15.09'!C67+'F Y U 2024 Presupuesto 15.09'!C68+'F Y U 2024 Presupuesto 15.09'!C69+'F Y U 2024 Presupuesto 15.09'!C81+'F Y U 2024 Presupuesto 15.09'!C82+'F Y U 2024 Presupuesto 15.09'!C89+'F Y U 2024 Presupuesto 15.09'!C90+'F Y U 2024 Presupuesto 15.09'!C91+'F Y U 2024 Presupuesto 15.09'!C92</f>
        <v>671004000</v>
      </c>
      <c r="P293" s="1456" t="s">
        <v>4168</v>
      </c>
      <c r="Q293" s="1460"/>
      <c r="R293" s="1367"/>
    </row>
    <row r="294" spans="1:18" ht="16.5" customHeight="1" x14ac:dyDescent="0.25">
      <c r="A294" s="1323" t="s">
        <v>4169</v>
      </c>
      <c r="B294" s="1455">
        <v>4</v>
      </c>
      <c r="C294" s="1455" t="s">
        <v>3298</v>
      </c>
      <c r="D294" s="1455"/>
      <c r="E294" s="1323"/>
      <c r="F294" s="1323"/>
      <c r="G294" s="1323" t="s">
        <v>4170</v>
      </c>
      <c r="H294" s="1323"/>
      <c r="I294" s="1323"/>
      <c r="J294" s="1458"/>
      <c r="K294" s="1323"/>
      <c r="L294" s="1323"/>
      <c r="M294" s="1459"/>
      <c r="N294" s="1459"/>
      <c r="O294" s="1510"/>
      <c r="P294" s="1456" t="s">
        <v>4171</v>
      </c>
      <c r="Q294" s="1457"/>
      <c r="R294" s="1367"/>
    </row>
    <row r="295" spans="1:18" ht="16.5" customHeight="1" x14ac:dyDescent="0.25">
      <c r="A295" s="1323" t="s">
        <v>4172</v>
      </c>
      <c r="B295" s="1455">
        <v>4</v>
      </c>
      <c r="C295" s="1455" t="s">
        <v>3298</v>
      </c>
      <c r="D295" s="1348"/>
      <c r="E295" s="1303"/>
      <c r="F295" s="1303"/>
      <c r="G295" s="1323" t="s">
        <v>4173</v>
      </c>
      <c r="H295" s="1323"/>
      <c r="I295" s="1323"/>
      <c r="J295" s="1458"/>
      <c r="K295" s="1303"/>
      <c r="L295" s="1303"/>
      <c r="M295" s="1411"/>
      <c r="N295" s="1411"/>
      <c r="O295" s="1491"/>
      <c r="P295" s="1456" t="s">
        <v>4174</v>
      </c>
      <c r="Q295" s="1457"/>
      <c r="R295" s="1367"/>
    </row>
    <row r="296" spans="1:18" ht="16.5" customHeight="1" x14ac:dyDescent="0.25">
      <c r="A296" s="1323" t="s">
        <v>4175</v>
      </c>
      <c r="B296" s="1455">
        <v>4</v>
      </c>
      <c r="C296" s="1455" t="s">
        <v>3298</v>
      </c>
      <c r="D296" s="1348"/>
      <c r="E296" s="1303"/>
      <c r="F296" s="1303"/>
      <c r="G296" s="1323" t="s">
        <v>4176</v>
      </c>
      <c r="H296" s="1323"/>
      <c r="I296" s="1323"/>
      <c r="J296" s="1303"/>
      <c r="K296" s="1303"/>
      <c r="L296" s="1303"/>
      <c r="M296" s="1303"/>
      <c r="N296" s="1411"/>
      <c r="O296" s="1491"/>
      <c r="P296" s="1456" t="s">
        <v>4177</v>
      </c>
      <c r="Q296" s="1457"/>
      <c r="R296" s="1367"/>
    </row>
    <row r="297" spans="1:18" ht="16.5" customHeight="1" x14ac:dyDescent="0.25">
      <c r="A297" s="1324" t="s">
        <v>4178</v>
      </c>
      <c r="B297" s="1455">
        <v>4</v>
      </c>
      <c r="C297" s="1455" t="s">
        <v>3298</v>
      </c>
      <c r="D297" s="1461"/>
      <c r="E297" s="1462"/>
      <c r="F297" s="1462"/>
      <c r="G297" s="1324" t="s">
        <v>4179</v>
      </c>
      <c r="H297" s="1324"/>
      <c r="I297" s="1324"/>
      <c r="J297" s="1462"/>
      <c r="K297" s="1462"/>
      <c r="L297" s="1462"/>
      <c r="M297" s="1462"/>
      <c r="N297" s="1463"/>
      <c r="O297" s="1511"/>
      <c r="P297" s="1464" t="s">
        <v>4180</v>
      </c>
      <c r="Q297" s="1465"/>
      <c r="R297" s="1398"/>
    </row>
    <row r="298" spans="1:18" ht="16.5" customHeight="1" x14ac:dyDescent="0.25">
      <c r="A298" s="1302" t="s">
        <v>4181</v>
      </c>
      <c r="B298" s="1341">
        <v>3</v>
      </c>
      <c r="C298" s="1341" t="s">
        <v>3286</v>
      </c>
      <c r="D298" s="1341"/>
      <c r="E298" s="1342"/>
      <c r="F298" s="1302" t="s">
        <v>4182</v>
      </c>
      <c r="G298" s="1302"/>
      <c r="H298" s="1302"/>
      <c r="I298" s="1302"/>
      <c r="J298" s="1302"/>
      <c r="K298" s="1302"/>
      <c r="L298" s="1302"/>
      <c r="M298" s="1302"/>
      <c r="N298" s="1342"/>
      <c r="O298" s="1508"/>
      <c r="P298" s="1402" t="s">
        <v>4183</v>
      </c>
      <c r="Q298" s="1403"/>
      <c r="R298" s="1385"/>
    </row>
    <row r="299" spans="1:18" ht="16.5" customHeight="1" x14ac:dyDescent="0.25">
      <c r="A299" s="1303" t="s">
        <v>4184</v>
      </c>
      <c r="B299" s="1348">
        <v>4</v>
      </c>
      <c r="C299" s="1348" t="s">
        <v>3286</v>
      </c>
      <c r="D299" s="1348"/>
      <c r="E299" s="1303"/>
      <c r="F299" s="1303"/>
      <c r="G299" s="1303" t="s">
        <v>4185</v>
      </c>
      <c r="H299" s="1303"/>
      <c r="I299" s="1303"/>
      <c r="J299" s="1303"/>
      <c r="K299" s="1303"/>
      <c r="L299" s="1303"/>
      <c r="M299" s="1303"/>
      <c r="N299" s="1411"/>
      <c r="O299" s="1491"/>
      <c r="P299" s="1434" t="s">
        <v>4186</v>
      </c>
      <c r="Q299" s="1407" t="s">
        <v>4187</v>
      </c>
      <c r="R299" s="1385"/>
    </row>
    <row r="300" spans="1:18" ht="16.5" customHeight="1" x14ac:dyDescent="0.25">
      <c r="A300" s="1306" t="s">
        <v>4188</v>
      </c>
      <c r="B300" s="1363">
        <v>5</v>
      </c>
      <c r="C300" s="1363" t="s">
        <v>3298</v>
      </c>
      <c r="D300" s="1363"/>
      <c r="E300" s="1306"/>
      <c r="F300" s="1306"/>
      <c r="G300" s="1306"/>
      <c r="H300" s="1306" t="s">
        <v>4189</v>
      </c>
      <c r="I300" s="1306"/>
      <c r="J300" s="1306"/>
      <c r="K300" s="1306"/>
      <c r="L300" s="1306"/>
      <c r="M300" s="1364"/>
      <c r="N300" s="1364"/>
      <c r="O300" s="1478"/>
      <c r="P300" s="1377" t="s">
        <v>4190</v>
      </c>
      <c r="Q300" s="1378" t="s">
        <v>4191</v>
      </c>
      <c r="R300" s="1367"/>
    </row>
    <row r="301" spans="1:18" ht="16.5" customHeight="1" x14ac:dyDescent="0.25">
      <c r="A301" s="1306" t="s">
        <v>4192</v>
      </c>
      <c r="B301" s="1363">
        <v>5</v>
      </c>
      <c r="C301" s="1363" t="s">
        <v>3298</v>
      </c>
      <c r="D301" s="1363"/>
      <c r="E301" s="1306"/>
      <c r="F301" s="1306"/>
      <c r="G301" s="1306"/>
      <c r="H301" s="1306" t="s">
        <v>4193</v>
      </c>
      <c r="I301" s="1306"/>
      <c r="J301" s="1306"/>
      <c r="K301" s="1306"/>
      <c r="L301" s="1306"/>
      <c r="M301" s="1364"/>
      <c r="N301" s="1364"/>
      <c r="O301" s="1478"/>
      <c r="P301" s="1377" t="s">
        <v>4194</v>
      </c>
      <c r="Q301" s="1378"/>
      <c r="R301" s="1367"/>
    </row>
    <row r="302" spans="1:18" ht="16.5" customHeight="1" x14ac:dyDescent="0.25">
      <c r="A302" s="1304" t="s">
        <v>4195</v>
      </c>
      <c r="B302" s="1353">
        <v>5</v>
      </c>
      <c r="C302" s="1353" t="s">
        <v>3286</v>
      </c>
      <c r="D302" s="1353"/>
      <c r="E302" s="1304"/>
      <c r="F302" s="1304"/>
      <c r="G302" s="1304"/>
      <c r="H302" s="1304" t="s">
        <v>4196</v>
      </c>
      <c r="I302" s="1304"/>
      <c r="J302" s="1304"/>
      <c r="K302" s="1304"/>
      <c r="L302" s="1304"/>
      <c r="M302" s="1370"/>
      <c r="N302" s="1370"/>
      <c r="O302" s="1479"/>
      <c r="P302" s="1371" t="s">
        <v>4197</v>
      </c>
      <c r="Q302" s="1372" t="s">
        <v>4198</v>
      </c>
      <c r="R302" s="1385"/>
    </row>
    <row r="303" spans="1:18" ht="16.5" customHeight="1" x14ac:dyDescent="0.25">
      <c r="A303" s="1311" t="s">
        <v>4199</v>
      </c>
      <c r="B303" s="1387">
        <v>6</v>
      </c>
      <c r="C303" s="1387" t="s">
        <v>3298</v>
      </c>
      <c r="D303" s="1387"/>
      <c r="E303" s="1311"/>
      <c r="F303" s="1311"/>
      <c r="G303" s="1311"/>
      <c r="H303" s="1388"/>
      <c r="I303" s="1311" t="s">
        <v>4200</v>
      </c>
      <c r="J303" s="1311"/>
      <c r="K303" s="1311"/>
      <c r="L303" s="1311"/>
      <c r="M303" s="1311"/>
      <c r="N303" s="1388"/>
      <c r="O303" s="1484"/>
      <c r="P303" s="1392" t="s">
        <v>4201</v>
      </c>
      <c r="Q303" s="1374"/>
      <c r="R303" s="1367"/>
    </row>
    <row r="304" spans="1:18" ht="16.5" customHeight="1" x14ac:dyDescent="0.25">
      <c r="A304" s="1311" t="s">
        <v>4202</v>
      </c>
      <c r="B304" s="1387">
        <v>6</v>
      </c>
      <c r="C304" s="1387" t="s">
        <v>3298</v>
      </c>
      <c r="D304" s="1387"/>
      <c r="E304" s="1311"/>
      <c r="F304" s="1311"/>
      <c r="G304" s="1311"/>
      <c r="H304" s="1388"/>
      <c r="I304" s="1311" t="s">
        <v>4196</v>
      </c>
      <c r="J304" s="1311"/>
      <c r="K304" s="1311"/>
      <c r="L304" s="1311"/>
      <c r="M304" s="1311"/>
      <c r="N304" s="1388"/>
      <c r="O304" s="1484"/>
      <c r="P304" s="1392" t="s">
        <v>4203</v>
      </c>
      <c r="Q304" s="1374"/>
      <c r="R304" s="1367"/>
    </row>
    <row r="305" spans="1:18" ht="16.5" customHeight="1" x14ac:dyDescent="0.25">
      <c r="A305" s="1304" t="s">
        <v>4204</v>
      </c>
      <c r="B305" s="1353">
        <v>5</v>
      </c>
      <c r="C305" s="1353" t="s">
        <v>3286</v>
      </c>
      <c r="D305" s="1353"/>
      <c r="E305" s="1304"/>
      <c r="F305" s="1304"/>
      <c r="G305" s="1304"/>
      <c r="H305" s="1304" t="s">
        <v>4205</v>
      </c>
      <c r="I305" s="1304"/>
      <c r="J305" s="1304"/>
      <c r="K305" s="1304"/>
      <c r="L305" s="1304"/>
      <c r="M305" s="1370"/>
      <c r="N305" s="1370"/>
      <c r="O305" s="1479"/>
      <c r="P305" s="1371" t="s">
        <v>4206</v>
      </c>
      <c r="Q305" s="1372"/>
      <c r="R305" s="1385"/>
    </row>
    <row r="306" spans="1:18" ht="16.5" customHeight="1" x14ac:dyDescent="0.25">
      <c r="A306" s="1311" t="s">
        <v>4207</v>
      </c>
      <c r="B306" s="1387">
        <v>6</v>
      </c>
      <c r="C306" s="1387" t="s">
        <v>3298</v>
      </c>
      <c r="D306" s="1387"/>
      <c r="E306" s="1311"/>
      <c r="F306" s="1311"/>
      <c r="G306" s="1311"/>
      <c r="H306" s="1388"/>
      <c r="I306" s="1311" t="s">
        <v>4208</v>
      </c>
      <c r="J306" s="1311"/>
      <c r="K306" s="1311"/>
      <c r="L306" s="1311"/>
      <c r="M306" s="1311"/>
      <c r="N306" s="1388"/>
      <c r="O306" s="1484"/>
      <c r="P306" s="1392" t="s">
        <v>4209</v>
      </c>
      <c r="Q306" s="1374"/>
      <c r="R306" s="1367"/>
    </row>
    <row r="307" spans="1:18" ht="16.5" customHeight="1" x14ac:dyDescent="0.25">
      <c r="A307" s="1311" t="s">
        <v>4210</v>
      </c>
      <c r="B307" s="1387">
        <v>6</v>
      </c>
      <c r="C307" s="1387" t="s">
        <v>3298</v>
      </c>
      <c r="D307" s="1387"/>
      <c r="E307" s="1311"/>
      <c r="F307" s="1311"/>
      <c r="G307" s="1311"/>
      <c r="H307" s="1388"/>
      <c r="I307" s="1311" t="s">
        <v>4211</v>
      </c>
      <c r="J307" s="1311"/>
      <c r="K307" s="1311"/>
      <c r="L307" s="1311"/>
      <c r="M307" s="1311"/>
      <c r="N307" s="1388"/>
      <c r="O307" s="1484"/>
      <c r="P307" s="1392" t="s">
        <v>4212</v>
      </c>
      <c r="Q307" s="1374"/>
      <c r="R307" s="1367"/>
    </row>
    <row r="308" spans="1:18" ht="16.5" customHeight="1" x14ac:dyDescent="0.25">
      <c r="A308" s="1311" t="s">
        <v>4213</v>
      </c>
      <c r="B308" s="1387">
        <v>6</v>
      </c>
      <c r="C308" s="1387" t="s">
        <v>3298</v>
      </c>
      <c r="D308" s="1387"/>
      <c r="E308" s="1311"/>
      <c r="F308" s="1311"/>
      <c r="G308" s="1311"/>
      <c r="H308" s="1388"/>
      <c r="I308" s="1311" t="s">
        <v>4214</v>
      </c>
      <c r="J308" s="1311"/>
      <c r="K308" s="1311"/>
      <c r="L308" s="1311"/>
      <c r="M308" s="1311"/>
      <c r="N308" s="1388"/>
      <c r="O308" s="1484"/>
      <c r="P308" s="1392" t="s">
        <v>4215</v>
      </c>
      <c r="Q308" s="1374"/>
      <c r="R308" s="1367"/>
    </row>
    <row r="309" spans="1:18" ht="16.5" customHeight="1" x14ac:dyDescent="0.25">
      <c r="A309" s="1304" t="s">
        <v>4216</v>
      </c>
      <c r="B309" s="1353">
        <v>5</v>
      </c>
      <c r="C309" s="1353" t="s">
        <v>3286</v>
      </c>
      <c r="D309" s="1353"/>
      <c r="E309" s="1304"/>
      <c r="F309" s="1304"/>
      <c r="G309" s="1304"/>
      <c r="H309" s="1304" t="s">
        <v>4217</v>
      </c>
      <c r="I309" s="1304"/>
      <c r="J309" s="1304"/>
      <c r="K309" s="1304"/>
      <c r="L309" s="1304"/>
      <c r="M309" s="1370"/>
      <c r="N309" s="1370"/>
      <c r="O309" s="1479"/>
      <c r="P309" s="1371" t="s">
        <v>4218</v>
      </c>
      <c r="Q309" s="1372"/>
      <c r="R309" s="1385"/>
    </row>
    <row r="310" spans="1:18" ht="16.5" customHeight="1" x14ac:dyDescent="0.25">
      <c r="A310" s="1311" t="s">
        <v>4219</v>
      </c>
      <c r="B310" s="1387">
        <v>6</v>
      </c>
      <c r="C310" s="1387" t="s">
        <v>3298</v>
      </c>
      <c r="D310" s="1387"/>
      <c r="E310" s="1311"/>
      <c r="F310" s="1311"/>
      <c r="G310" s="1311"/>
      <c r="H310" s="1388"/>
      <c r="I310" s="1311" t="s">
        <v>4220</v>
      </c>
      <c r="J310" s="1311"/>
      <c r="K310" s="1311"/>
      <c r="L310" s="1311"/>
      <c r="M310" s="1311"/>
      <c r="N310" s="1388"/>
      <c r="O310" s="1484"/>
      <c r="P310" s="1392" t="s">
        <v>4221</v>
      </c>
      <c r="Q310" s="1374"/>
      <c r="R310" s="1367"/>
    </row>
    <row r="311" spans="1:18" ht="16.5" customHeight="1" x14ac:dyDescent="0.25">
      <c r="A311" s="1311" t="s">
        <v>4222</v>
      </c>
      <c r="B311" s="1387">
        <v>6</v>
      </c>
      <c r="C311" s="1387" t="s">
        <v>3298</v>
      </c>
      <c r="D311" s="1387"/>
      <c r="E311" s="1311"/>
      <c r="F311" s="1311"/>
      <c r="G311" s="1311"/>
      <c r="H311" s="1388"/>
      <c r="I311" s="1311" t="s">
        <v>4223</v>
      </c>
      <c r="J311" s="1311"/>
      <c r="K311" s="1311"/>
      <c r="L311" s="1311"/>
      <c r="M311" s="1311"/>
      <c r="N311" s="1388"/>
      <c r="O311" s="1484"/>
      <c r="P311" s="1392" t="s">
        <v>4224</v>
      </c>
      <c r="Q311" s="1374"/>
      <c r="R311" s="1367"/>
    </row>
    <row r="312" spans="1:18" ht="16.5" customHeight="1" x14ac:dyDescent="0.25">
      <c r="A312" s="1311" t="s">
        <v>4225</v>
      </c>
      <c r="B312" s="1387">
        <v>6</v>
      </c>
      <c r="C312" s="1387" t="s">
        <v>3298</v>
      </c>
      <c r="D312" s="1387"/>
      <c r="E312" s="1311"/>
      <c r="F312" s="1311"/>
      <c r="G312" s="1311"/>
      <c r="H312" s="1388"/>
      <c r="I312" s="1311" t="s">
        <v>4226</v>
      </c>
      <c r="J312" s="1311"/>
      <c r="K312" s="1311"/>
      <c r="L312" s="1311"/>
      <c r="M312" s="1311"/>
      <c r="N312" s="1388"/>
      <c r="O312" s="1484"/>
      <c r="P312" s="1392" t="s">
        <v>4218</v>
      </c>
      <c r="Q312" s="1374"/>
      <c r="R312" s="1367"/>
    </row>
    <row r="313" spans="1:18" ht="16.5" customHeight="1" x14ac:dyDescent="0.25">
      <c r="A313" s="1303" t="s">
        <v>4227</v>
      </c>
      <c r="B313" s="1348">
        <v>4</v>
      </c>
      <c r="C313" s="1348" t="s">
        <v>3286</v>
      </c>
      <c r="D313" s="1348"/>
      <c r="E313" s="1303"/>
      <c r="F313" s="1303"/>
      <c r="G313" s="1303" t="s">
        <v>4228</v>
      </c>
      <c r="H313" s="1303"/>
      <c r="I313" s="1303"/>
      <c r="J313" s="1303"/>
      <c r="K313" s="1303"/>
      <c r="L313" s="1303"/>
      <c r="M313" s="1303"/>
      <c r="N313" s="1411"/>
      <c r="O313" s="1491"/>
      <c r="P313" s="1406" t="s">
        <v>4229</v>
      </c>
      <c r="Q313" s="1407" t="s">
        <v>4230</v>
      </c>
      <c r="R313" s="1385"/>
    </row>
    <row r="314" spans="1:18" ht="16.5" customHeight="1" x14ac:dyDescent="0.25">
      <c r="A314" s="1306" t="s">
        <v>4231</v>
      </c>
      <c r="B314" s="1363">
        <v>5</v>
      </c>
      <c r="C314" s="1363" t="s">
        <v>3298</v>
      </c>
      <c r="D314" s="1353"/>
      <c r="E314" s="1304"/>
      <c r="F314" s="1304"/>
      <c r="G314" s="1304"/>
      <c r="H314" s="1306" t="s">
        <v>4232</v>
      </c>
      <c r="I314" s="1306"/>
      <c r="J314" s="1306"/>
      <c r="K314" s="1304"/>
      <c r="L314" s="1304"/>
      <c r="M314" s="1370"/>
      <c r="N314" s="1370"/>
      <c r="O314" s="1479"/>
      <c r="P314" s="1377" t="s">
        <v>4233</v>
      </c>
      <c r="Q314" s="1378"/>
      <c r="R314" s="1367"/>
    </row>
    <row r="315" spans="1:18" ht="16.5" customHeight="1" x14ac:dyDescent="0.25">
      <c r="A315" s="1302" t="s">
        <v>4234</v>
      </c>
      <c r="B315" s="1341">
        <v>3</v>
      </c>
      <c r="C315" s="1341" t="s">
        <v>3286</v>
      </c>
      <c r="D315" s="1341"/>
      <c r="E315" s="1342"/>
      <c r="F315" s="1302" t="s">
        <v>1720</v>
      </c>
      <c r="G315" s="1302"/>
      <c r="H315" s="1302"/>
      <c r="I315" s="1302"/>
      <c r="J315" s="1302"/>
      <c r="K315" s="1302"/>
      <c r="L315" s="1302"/>
      <c r="M315" s="1302"/>
      <c r="N315" s="1342"/>
      <c r="O315" s="1508"/>
      <c r="P315" s="1402" t="s">
        <v>4235</v>
      </c>
      <c r="Q315" s="1403" t="s">
        <v>4187</v>
      </c>
      <c r="R315" s="1385"/>
    </row>
    <row r="316" spans="1:18" ht="16.5" customHeight="1" x14ac:dyDescent="0.25">
      <c r="A316" s="1303" t="s">
        <v>4236</v>
      </c>
      <c r="B316" s="1348">
        <v>4</v>
      </c>
      <c r="C316" s="1348" t="s">
        <v>3286</v>
      </c>
      <c r="D316" s="1348"/>
      <c r="E316" s="1303"/>
      <c r="F316" s="1303"/>
      <c r="G316" s="1303" t="s">
        <v>1722</v>
      </c>
      <c r="H316" s="1303"/>
      <c r="I316" s="1303"/>
      <c r="J316" s="1303"/>
      <c r="K316" s="1303"/>
      <c r="L316" s="1303"/>
      <c r="M316" s="1303"/>
      <c r="N316" s="1411"/>
      <c r="O316" s="1491"/>
      <c r="P316" s="1406" t="s">
        <v>4237</v>
      </c>
      <c r="Q316" s="1407" t="s">
        <v>4238</v>
      </c>
      <c r="R316" s="1385"/>
    </row>
    <row r="317" spans="1:18" ht="16.5" customHeight="1" x14ac:dyDescent="0.25">
      <c r="A317" s="1306" t="s">
        <v>4239</v>
      </c>
      <c r="B317" s="1363">
        <v>5</v>
      </c>
      <c r="C317" s="1363" t="s">
        <v>3298</v>
      </c>
      <c r="D317" s="1363"/>
      <c r="E317" s="1306"/>
      <c r="F317" s="1306"/>
      <c r="G317" s="1306"/>
      <c r="H317" s="1306" t="s">
        <v>1301</v>
      </c>
      <c r="I317" s="1306"/>
      <c r="J317" s="1306"/>
      <c r="K317" s="1306"/>
      <c r="L317" s="1306"/>
      <c r="M317" s="1364"/>
      <c r="N317" s="1364"/>
      <c r="O317" s="1478"/>
      <c r="P317" s="1377" t="s">
        <v>4240</v>
      </c>
      <c r="Q317" s="1378" t="s">
        <v>4191</v>
      </c>
      <c r="R317" s="1367"/>
    </row>
    <row r="318" spans="1:18" ht="16.5" customHeight="1" x14ac:dyDescent="0.25">
      <c r="A318" s="1306" t="s">
        <v>4241</v>
      </c>
      <c r="B318" s="1363">
        <v>5</v>
      </c>
      <c r="C318" s="1363" t="s">
        <v>3298</v>
      </c>
      <c r="D318" s="1363"/>
      <c r="E318" s="1306"/>
      <c r="F318" s="1306"/>
      <c r="G318" s="1306"/>
      <c r="H318" s="1306" t="s">
        <v>4242</v>
      </c>
      <c r="I318" s="1306"/>
      <c r="J318" s="1306"/>
      <c r="K318" s="1306"/>
      <c r="L318" s="1306"/>
      <c r="M318" s="1364"/>
      <c r="N318" s="1364"/>
      <c r="O318" s="1478"/>
      <c r="P318" s="1377" t="s">
        <v>4243</v>
      </c>
      <c r="Q318" s="1378"/>
      <c r="R318" s="1367"/>
    </row>
    <row r="319" spans="1:18" ht="16.5" customHeight="1" x14ac:dyDescent="0.25">
      <c r="A319" s="1306" t="s">
        <v>4244</v>
      </c>
      <c r="B319" s="1363">
        <v>5</v>
      </c>
      <c r="C319" s="1363" t="s">
        <v>3298</v>
      </c>
      <c r="D319" s="1363"/>
      <c r="E319" s="1306"/>
      <c r="F319" s="1306"/>
      <c r="G319" s="1306"/>
      <c r="H319" s="1306" t="s">
        <v>4245</v>
      </c>
      <c r="I319" s="1306"/>
      <c r="J319" s="1306"/>
      <c r="K319" s="1306"/>
      <c r="L319" s="1306"/>
      <c r="M319" s="1364"/>
      <c r="N319" s="1364"/>
      <c r="O319" s="1478"/>
      <c r="P319" s="1377" t="s">
        <v>4246</v>
      </c>
      <c r="Q319" s="1378"/>
      <c r="R319" s="1367"/>
    </row>
    <row r="320" spans="1:18" ht="16.5" customHeight="1" x14ac:dyDescent="0.25">
      <c r="A320" s="1306" t="s">
        <v>4247</v>
      </c>
      <c r="B320" s="1363">
        <v>5</v>
      </c>
      <c r="C320" s="1363" t="s">
        <v>3298</v>
      </c>
      <c r="D320" s="1363"/>
      <c r="E320" s="1306"/>
      <c r="F320" s="1306"/>
      <c r="G320" s="1306"/>
      <c r="H320" s="1306" t="s">
        <v>4248</v>
      </c>
      <c r="I320" s="1306"/>
      <c r="J320" s="1306"/>
      <c r="K320" s="1306"/>
      <c r="L320" s="1306"/>
      <c r="M320" s="1364"/>
      <c r="N320" s="1364"/>
      <c r="O320" s="1478"/>
      <c r="P320" s="1377" t="s">
        <v>4249</v>
      </c>
      <c r="Q320" s="1378"/>
      <c r="R320" s="1367"/>
    </row>
    <row r="321" spans="1:18" ht="16.5" customHeight="1" x14ac:dyDescent="0.25">
      <c r="A321" s="1306" t="s">
        <v>4250</v>
      </c>
      <c r="B321" s="1363">
        <v>5</v>
      </c>
      <c r="C321" s="1363" t="s">
        <v>3298</v>
      </c>
      <c r="D321" s="1363"/>
      <c r="E321" s="1306"/>
      <c r="F321" s="1306"/>
      <c r="G321" s="1306"/>
      <c r="H321" s="1306" t="s">
        <v>4217</v>
      </c>
      <c r="I321" s="1306"/>
      <c r="J321" s="1306"/>
      <c r="K321" s="1306"/>
      <c r="L321" s="1306"/>
      <c r="M321" s="1364"/>
      <c r="N321" s="1364"/>
      <c r="O321" s="1478"/>
      <c r="P321" s="1377" t="s">
        <v>4251</v>
      </c>
      <c r="Q321" s="1378"/>
      <c r="R321" s="1367"/>
    </row>
    <row r="322" spans="1:18" ht="16.5" customHeight="1" x14ac:dyDescent="0.25">
      <c r="A322" s="1306" t="s">
        <v>4252</v>
      </c>
      <c r="B322" s="1363">
        <v>5</v>
      </c>
      <c r="C322" s="1363" t="s">
        <v>3298</v>
      </c>
      <c r="D322" s="1363"/>
      <c r="E322" s="1306"/>
      <c r="F322" s="1306"/>
      <c r="G322" s="1306"/>
      <c r="H322" s="1306" t="s">
        <v>4253</v>
      </c>
      <c r="I322" s="1306"/>
      <c r="J322" s="1306"/>
      <c r="K322" s="1306"/>
      <c r="L322" s="1306"/>
      <c r="M322" s="1364"/>
      <c r="N322" s="1364"/>
      <c r="O322" s="1478"/>
      <c r="P322" s="1377" t="s">
        <v>3926</v>
      </c>
      <c r="Q322" s="1378"/>
      <c r="R322" s="1367"/>
    </row>
    <row r="323" spans="1:18" ht="16.5" customHeight="1" x14ac:dyDescent="0.25">
      <c r="A323" s="1303" t="s">
        <v>4254</v>
      </c>
      <c r="B323" s="1348">
        <v>4</v>
      </c>
      <c r="C323" s="1348" t="s">
        <v>3286</v>
      </c>
      <c r="D323" s="1348"/>
      <c r="E323" s="1303"/>
      <c r="F323" s="1303"/>
      <c r="G323" s="1303" t="s">
        <v>4228</v>
      </c>
      <c r="H323" s="1303"/>
      <c r="I323" s="1303"/>
      <c r="J323" s="1303"/>
      <c r="K323" s="1303"/>
      <c r="L323" s="1303"/>
      <c r="M323" s="1303"/>
      <c r="N323" s="1411"/>
      <c r="O323" s="1491"/>
      <c r="P323" s="1406" t="s">
        <v>4255</v>
      </c>
      <c r="Q323" s="1407" t="s">
        <v>4256</v>
      </c>
      <c r="R323" s="1385"/>
    </row>
    <row r="324" spans="1:18" ht="16.5" customHeight="1" x14ac:dyDescent="0.25">
      <c r="A324" s="1306" t="s">
        <v>4257</v>
      </c>
      <c r="B324" s="1363">
        <v>5</v>
      </c>
      <c r="C324" s="1363" t="s">
        <v>3298</v>
      </c>
      <c r="D324" s="1363"/>
      <c r="E324" s="1306"/>
      <c r="F324" s="1306"/>
      <c r="G324" s="1306"/>
      <c r="H324" s="1306" t="s">
        <v>4090</v>
      </c>
      <c r="I324" s="1306"/>
      <c r="J324" s="1306"/>
      <c r="K324" s="1306"/>
      <c r="L324" s="1306"/>
      <c r="M324" s="1364"/>
      <c r="N324" s="1364"/>
      <c r="O324" s="1478"/>
      <c r="P324" s="1377" t="s">
        <v>4258</v>
      </c>
      <c r="Q324" s="1378"/>
      <c r="R324" s="1367"/>
    </row>
    <row r="325" spans="1:18" ht="16.5" customHeight="1" x14ac:dyDescent="0.25">
      <c r="A325" s="1302" t="s">
        <v>4259</v>
      </c>
      <c r="B325" s="1341">
        <v>3</v>
      </c>
      <c r="C325" s="1341" t="s">
        <v>3286</v>
      </c>
      <c r="D325" s="1341"/>
      <c r="E325" s="1342"/>
      <c r="F325" s="1302" t="s">
        <v>868</v>
      </c>
      <c r="G325" s="1302"/>
      <c r="H325" s="1302"/>
      <c r="I325" s="1302"/>
      <c r="J325" s="1302"/>
      <c r="K325" s="1302"/>
      <c r="L325" s="1302"/>
      <c r="M325" s="1302"/>
      <c r="N325" s="1342"/>
      <c r="O325" s="1508"/>
      <c r="P325" s="1466" t="s">
        <v>4260</v>
      </c>
      <c r="Q325" s="1403"/>
      <c r="R325" s="1385"/>
    </row>
    <row r="326" spans="1:18" ht="16.5" customHeight="1" x14ac:dyDescent="0.25">
      <c r="A326" s="1303" t="s">
        <v>4261</v>
      </c>
      <c r="B326" s="1348">
        <v>4</v>
      </c>
      <c r="C326" s="1348" t="s">
        <v>3286</v>
      </c>
      <c r="D326" s="1303"/>
      <c r="E326" s="1303"/>
      <c r="F326" s="1303"/>
      <c r="G326" s="1303" t="s">
        <v>4262</v>
      </c>
      <c r="H326" s="1303"/>
      <c r="I326" s="1303"/>
      <c r="J326" s="1303"/>
      <c r="K326" s="1303"/>
      <c r="L326" s="1303"/>
      <c r="M326" s="1303"/>
      <c r="N326" s="1303"/>
      <c r="O326" s="1506"/>
      <c r="P326" s="1434" t="s">
        <v>4263</v>
      </c>
      <c r="Q326" s="1467"/>
      <c r="R326" s="1385"/>
    </row>
    <row r="327" spans="1:18" ht="16.5" customHeight="1" x14ac:dyDescent="0.25">
      <c r="A327" s="1304" t="s">
        <v>4264</v>
      </c>
      <c r="B327" s="1353">
        <v>5</v>
      </c>
      <c r="C327" s="1353" t="s">
        <v>3286</v>
      </c>
      <c r="D327" s="1304"/>
      <c r="E327" s="1304"/>
      <c r="F327" s="1304"/>
      <c r="G327" s="1370"/>
      <c r="H327" s="1304" t="s">
        <v>4265</v>
      </c>
      <c r="I327" s="1304"/>
      <c r="J327" s="1304"/>
      <c r="K327" s="1304"/>
      <c r="L327" s="1304"/>
      <c r="M327" s="1304"/>
      <c r="N327" s="1304"/>
      <c r="O327" s="1497"/>
      <c r="P327" s="1436" t="s">
        <v>4266</v>
      </c>
      <c r="Q327" s="1437"/>
      <c r="R327" s="1385"/>
    </row>
    <row r="328" spans="1:18" ht="16.5" customHeight="1" x14ac:dyDescent="0.25">
      <c r="A328" s="1311" t="s">
        <v>4267</v>
      </c>
      <c r="B328" s="1387">
        <v>6</v>
      </c>
      <c r="C328" s="1387" t="s">
        <v>3298</v>
      </c>
      <c r="D328" s="1387"/>
      <c r="E328" s="1311"/>
      <c r="F328" s="1311"/>
      <c r="G328" s="1311"/>
      <c r="H328" s="1311"/>
      <c r="I328" s="1311" t="s">
        <v>4268</v>
      </c>
      <c r="J328" s="1311"/>
      <c r="K328" s="1311"/>
      <c r="L328" s="1311"/>
      <c r="M328" s="1311"/>
      <c r="N328" s="1388"/>
      <c r="O328" s="1484"/>
      <c r="P328" s="1389" t="s">
        <v>4269</v>
      </c>
      <c r="Q328" s="1374"/>
      <c r="R328" s="1367"/>
    </row>
    <row r="329" spans="1:18" ht="16.5" customHeight="1" x14ac:dyDescent="0.25">
      <c r="A329" s="1311" t="s">
        <v>4270</v>
      </c>
      <c r="B329" s="1387">
        <v>6</v>
      </c>
      <c r="C329" s="1387" t="s">
        <v>3298</v>
      </c>
      <c r="D329" s="1387"/>
      <c r="E329" s="1311"/>
      <c r="F329" s="1311"/>
      <c r="G329" s="1311"/>
      <c r="H329" s="1311"/>
      <c r="I329" s="1311" t="s">
        <v>4271</v>
      </c>
      <c r="J329" s="1311"/>
      <c r="K329" s="1311"/>
      <c r="L329" s="1311"/>
      <c r="M329" s="1311"/>
      <c r="N329" s="1388"/>
      <c r="O329" s="1484"/>
      <c r="P329" s="1389" t="s">
        <v>4272</v>
      </c>
      <c r="Q329" s="1374"/>
      <c r="R329" s="1367"/>
    </row>
    <row r="330" spans="1:18" ht="16.5" customHeight="1" x14ac:dyDescent="0.25">
      <c r="A330" s="1304" t="s">
        <v>4273</v>
      </c>
      <c r="B330" s="1353">
        <v>5</v>
      </c>
      <c r="C330" s="1353" t="s">
        <v>3286</v>
      </c>
      <c r="D330" s="1304"/>
      <c r="E330" s="1304"/>
      <c r="F330" s="1304"/>
      <c r="G330" s="1370"/>
      <c r="H330" s="1304" t="s">
        <v>4274</v>
      </c>
      <c r="I330" s="1304"/>
      <c r="J330" s="1304"/>
      <c r="K330" s="1304"/>
      <c r="L330" s="1304"/>
      <c r="M330" s="1304"/>
      <c r="N330" s="1304"/>
      <c r="O330" s="1497"/>
      <c r="P330" s="1436" t="s">
        <v>4275</v>
      </c>
      <c r="Q330" s="1437"/>
      <c r="R330" s="1385"/>
    </row>
    <row r="331" spans="1:18" ht="16.5" customHeight="1" x14ac:dyDescent="0.25">
      <c r="A331" s="1311" t="s">
        <v>4276</v>
      </c>
      <c r="B331" s="1387">
        <v>6</v>
      </c>
      <c r="C331" s="1387" t="s">
        <v>3298</v>
      </c>
      <c r="D331" s="1387"/>
      <c r="E331" s="1311"/>
      <c r="F331" s="1311"/>
      <c r="G331" s="1311"/>
      <c r="H331" s="1311"/>
      <c r="I331" s="1311" t="s">
        <v>4268</v>
      </c>
      <c r="J331" s="1311"/>
      <c r="K331" s="1311"/>
      <c r="L331" s="1311"/>
      <c r="M331" s="1311"/>
      <c r="N331" s="1388"/>
      <c r="O331" s="1484"/>
      <c r="P331" s="1389" t="s">
        <v>4277</v>
      </c>
      <c r="Q331" s="1374"/>
      <c r="R331" s="1367"/>
    </row>
    <row r="332" spans="1:18" ht="16.5" customHeight="1" x14ac:dyDescent="0.25">
      <c r="A332" s="1311" t="s">
        <v>4278</v>
      </c>
      <c r="B332" s="1387">
        <v>6</v>
      </c>
      <c r="C332" s="1387" t="s">
        <v>3298</v>
      </c>
      <c r="D332" s="1387"/>
      <c r="E332" s="1311"/>
      <c r="F332" s="1311"/>
      <c r="G332" s="1311"/>
      <c r="H332" s="1311"/>
      <c r="I332" s="1311" t="s">
        <v>4271</v>
      </c>
      <c r="J332" s="1311"/>
      <c r="K332" s="1311"/>
      <c r="L332" s="1311"/>
      <c r="M332" s="1311"/>
      <c r="N332" s="1388"/>
      <c r="O332" s="1484"/>
      <c r="P332" s="1389" t="s">
        <v>4279</v>
      </c>
      <c r="Q332" s="1374"/>
      <c r="R332" s="1367"/>
    </row>
    <row r="333" spans="1:18" ht="16.5" customHeight="1" x14ac:dyDescent="0.25">
      <c r="A333" s="1304" t="s">
        <v>4280</v>
      </c>
      <c r="B333" s="1353">
        <v>5</v>
      </c>
      <c r="C333" s="1353" t="s">
        <v>3286</v>
      </c>
      <c r="D333" s="1304"/>
      <c r="E333" s="1304"/>
      <c r="F333" s="1304"/>
      <c r="G333" s="1370"/>
      <c r="H333" s="1304" t="s">
        <v>4281</v>
      </c>
      <c r="I333" s="1304"/>
      <c r="J333" s="1304"/>
      <c r="K333" s="1304"/>
      <c r="L333" s="1304"/>
      <c r="M333" s="1304"/>
      <c r="N333" s="1304"/>
      <c r="O333" s="1497"/>
      <c r="P333" s="1436" t="s">
        <v>4282</v>
      </c>
      <c r="Q333" s="1437"/>
      <c r="R333" s="1385"/>
    </row>
    <row r="334" spans="1:18" ht="16.5" customHeight="1" x14ac:dyDescent="0.25">
      <c r="A334" s="1311" t="s">
        <v>4283</v>
      </c>
      <c r="B334" s="1387">
        <v>6</v>
      </c>
      <c r="C334" s="1387" t="s">
        <v>3298</v>
      </c>
      <c r="D334" s="1387"/>
      <c r="E334" s="1311"/>
      <c r="F334" s="1311"/>
      <c r="G334" s="1311"/>
      <c r="H334" s="1311"/>
      <c r="I334" s="1311" t="s">
        <v>4268</v>
      </c>
      <c r="J334" s="1311"/>
      <c r="K334" s="1311"/>
      <c r="L334" s="1311"/>
      <c r="M334" s="1311"/>
      <c r="N334" s="1388"/>
      <c r="O334" s="1484"/>
      <c r="P334" s="1389" t="s">
        <v>4284</v>
      </c>
      <c r="Q334" s="1374"/>
      <c r="R334" s="1367"/>
    </row>
    <row r="335" spans="1:18" ht="16.5" customHeight="1" x14ac:dyDescent="0.25">
      <c r="A335" s="1311" t="s">
        <v>4285</v>
      </c>
      <c r="B335" s="1387">
        <v>6</v>
      </c>
      <c r="C335" s="1387" t="s">
        <v>3298</v>
      </c>
      <c r="D335" s="1387"/>
      <c r="E335" s="1311"/>
      <c r="F335" s="1311"/>
      <c r="G335" s="1311"/>
      <c r="H335" s="1311"/>
      <c r="I335" s="1311" t="s">
        <v>4271</v>
      </c>
      <c r="J335" s="1311"/>
      <c r="K335" s="1311"/>
      <c r="L335" s="1311"/>
      <c r="M335" s="1311"/>
      <c r="N335" s="1388"/>
      <c r="O335" s="1484"/>
      <c r="P335" s="1389" t="s">
        <v>4286</v>
      </c>
      <c r="Q335" s="1374"/>
      <c r="R335" s="1367"/>
    </row>
    <row r="336" spans="1:18" ht="16.5" customHeight="1" x14ac:dyDescent="0.25">
      <c r="A336" s="1323" t="s">
        <v>4287</v>
      </c>
      <c r="B336" s="1455">
        <v>4</v>
      </c>
      <c r="C336" s="1455" t="s">
        <v>3298</v>
      </c>
      <c r="D336" s="1455"/>
      <c r="E336" s="1323"/>
      <c r="F336" s="1323"/>
      <c r="G336" s="1323" t="s">
        <v>495</v>
      </c>
      <c r="H336" s="1323"/>
      <c r="I336" s="1323"/>
      <c r="J336" s="1323"/>
      <c r="K336" s="1323"/>
      <c r="L336" s="1323"/>
      <c r="M336" s="1323"/>
      <c r="N336" s="1459"/>
      <c r="O336" s="1510"/>
      <c r="P336" s="1458" t="s">
        <v>4288</v>
      </c>
      <c r="Q336" s="1457"/>
      <c r="R336" s="1367"/>
    </row>
    <row r="337" spans="1:18" ht="16.5" customHeight="1" x14ac:dyDescent="0.25">
      <c r="A337" s="1303" t="s">
        <v>4289</v>
      </c>
      <c r="B337" s="1348">
        <v>4</v>
      </c>
      <c r="C337" s="1348" t="s">
        <v>3286</v>
      </c>
      <c r="D337" s="1303"/>
      <c r="E337" s="1303"/>
      <c r="F337" s="1303"/>
      <c r="G337" s="1303" t="s">
        <v>4290</v>
      </c>
      <c r="H337" s="1303"/>
      <c r="I337" s="1303"/>
      <c r="J337" s="1303"/>
      <c r="K337" s="1303"/>
      <c r="L337" s="1303"/>
      <c r="M337" s="1303"/>
      <c r="N337" s="1303"/>
      <c r="O337" s="1506"/>
      <c r="P337" s="1434" t="s">
        <v>4291</v>
      </c>
      <c r="Q337" s="1467"/>
      <c r="R337" s="1385"/>
    </row>
    <row r="338" spans="1:18" ht="16.5" customHeight="1" x14ac:dyDescent="0.25">
      <c r="A338" s="1306" t="s">
        <v>4292</v>
      </c>
      <c r="B338" s="1363">
        <v>5</v>
      </c>
      <c r="C338" s="1363" t="s">
        <v>3298</v>
      </c>
      <c r="D338" s="1304"/>
      <c r="E338" s="1304"/>
      <c r="F338" s="1304"/>
      <c r="G338" s="1364"/>
      <c r="H338" s="1306" t="s">
        <v>4293</v>
      </c>
      <c r="I338" s="1306"/>
      <c r="J338" s="1306"/>
      <c r="K338" s="1304"/>
      <c r="L338" s="1304"/>
      <c r="M338" s="1306"/>
      <c r="N338" s="1306"/>
      <c r="O338" s="1505"/>
      <c r="P338" s="1450" t="s">
        <v>4294</v>
      </c>
      <c r="Q338" s="1444"/>
      <c r="R338" s="1367"/>
    </row>
    <row r="339" spans="1:18" ht="16.5" customHeight="1" x14ac:dyDescent="0.25">
      <c r="A339" s="1306" t="s">
        <v>4295</v>
      </c>
      <c r="B339" s="1363">
        <v>5</v>
      </c>
      <c r="C339" s="1363" t="s">
        <v>3298</v>
      </c>
      <c r="D339" s="1304"/>
      <c r="E339" s="1304"/>
      <c r="F339" s="1304"/>
      <c r="G339" s="1364"/>
      <c r="H339" s="1307" t="s">
        <v>4296</v>
      </c>
      <c r="I339" s="1307"/>
      <c r="J339" s="1307"/>
      <c r="K339" s="1308"/>
      <c r="L339" s="1308"/>
      <c r="M339" s="1307"/>
      <c r="N339" s="1307"/>
      <c r="O339" s="1512"/>
      <c r="P339" s="1377" t="s">
        <v>4297</v>
      </c>
      <c r="Q339" s="1378"/>
      <c r="R339" s="1362"/>
    </row>
    <row r="340" spans="1:18" ht="16.5" customHeight="1" x14ac:dyDescent="0.25">
      <c r="A340" s="1303" t="s">
        <v>4298</v>
      </c>
      <c r="B340" s="1348">
        <v>4</v>
      </c>
      <c r="C340" s="1348" t="s">
        <v>3286</v>
      </c>
      <c r="D340" s="1303"/>
      <c r="E340" s="1303"/>
      <c r="F340" s="1303"/>
      <c r="G340" s="1303" t="s">
        <v>870</v>
      </c>
      <c r="H340" s="1303"/>
      <c r="I340" s="1303"/>
      <c r="J340" s="1303"/>
      <c r="K340" s="1303"/>
      <c r="L340" s="1303"/>
      <c r="M340" s="1303"/>
      <c r="N340" s="1303"/>
      <c r="O340" s="1506"/>
      <c r="P340" s="1434" t="s">
        <v>4299</v>
      </c>
      <c r="Q340" s="1467"/>
      <c r="R340" s="1385"/>
    </row>
    <row r="341" spans="1:18" ht="20.25" customHeight="1" x14ac:dyDescent="0.25">
      <c r="A341" s="1306" t="s">
        <v>4300</v>
      </c>
      <c r="B341" s="1363">
        <v>5</v>
      </c>
      <c r="C341" s="1363" t="s">
        <v>3298</v>
      </c>
      <c r="D341" s="1306"/>
      <c r="E341" s="1306"/>
      <c r="F341" s="1306"/>
      <c r="G341" s="1364"/>
      <c r="H341" s="1306" t="s">
        <v>872</v>
      </c>
      <c r="I341" s="1306"/>
      <c r="J341" s="1306"/>
      <c r="K341" s="1306"/>
      <c r="L341" s="1306"/>
      <c r="M341" s="1306"/>
      <c r="N341" s="1306"/>
      <c r="O341" s="1505"/>
      <c r="P341" s="1450" t="s">
        <v>4301</v>
      </c>
      <c r="Q341" s="1444" t="s">
        <v>4302</v>
      </c>
      <c r="R341" s="1367"/>
    </row>
    <row r="342" spans="1:18" ht="16.5" customHeight="1" x14ac:dyDescent="0.25">
      <c r="A342" s="1307" t="s">
        <v>4303</v>
      </c>
      <c r="B342" s="1363">
        <v>5</v>
      </c>
      <c r="C342" s="1363" t="s">
        <v>3298</v>
      </c>
      <c r="D342" s="1307"/>
      <c r="E342" s="1307"/>
      <c r="F342" s="1307"/>
      <c r="G342" s="1376"/>
      <c r="H342" s="1307" t="s">
        <v>1599</v>
      </c>
      <c r="I342" s="1307"/>
      <c r="J342" s="1307"/>
      <c r="K342" s="1307"/>
      <c r="L342" s="1307"/>
      <c r="M342" s="1307"/>
      <c r="N342" s="1307"/>
      <c r="O342" s="1512"/>
      <c r="P342" s="1377" t="s">
        <v>4304</v>
      </c>
      <c r="Q342" s="1378" t="s">
        <v>4302</v>
      </c>
      <c r="R342" s="1362"/>
    </row>
    <row r="343" spans="1:18" ht="16.5" customHeight="1" x14ac:dyDescent="0.25">
      <c r="A343" s="1307" t="s">
        <v>4305</v>
      </c>
      <c r="B343" s="1363">
        <v>5</v>
      </c>
      <c r="C343" s="1363" t="s">
        <v>3298</v>
      </c>
      <c r="D343" s="1307"/>
      <c r="E343" s="1307"/>
      <c r="F343" s="1307"/>
      <c r="G343" s="1376"/>
      <c r="H343" s="1307" t="s">
        <v>4306</v>
      </c>
      <c r="I343" s="1307"/>
      <c r="J343" s="1307"/>
      <c r="K343" s="1307"/>
      <c r="L343" s="1307"/>
      <c r="M343" s="1307"/>
      <c r="N343" s="1307"/>
      <c r="O343" s="1512">
        <f>+'F Y U 2024 Presupuesto 15.09'!C105</f>
        <v>2166183000</v>
      </c>
      <c r="P343" s="1377" t="s">
        <v>4307</v>
      </c>
      <c r="Q343" s="1378" t="s">
        <v>4302</v>
      </c>
      <c r="R343" s="1362"/>
    </row>
    <row r="344" spans="1:18" ht="16.5" customHeight="1" x14ac:dyDescent="0.25">
      <c r="A344" s="1306" t="s">
        <v>4308</v>
      </c>
      <c r="B344" s="1363">
        <v>5</v>
      </c>
      <c r="C344" s="1363" t="s">
        <v>3298</v>
      </c>
      <c r="D344" s="1306"/>
      <c r="E344" s="1306"/>
      <c r="F344" s="1306"/>
      <c r="G344" s="1364"/>
      <c r="H344" s="1306" t="s">
        <v>4309</v>
      </c>
      <c r="I344" s="1306"/>
      <c r="J344" s="1306"/>
      <c r="K344" s="1306"/>
      <c r="L344" s="1306"/>
      <c r="M344" s="1306"/>
      <c r="N344" s="1306"/>
      <c r="O344" s="1505"/>
      <c r="P344" s="1450" t="s">
        <v>4310</v>
      </c>
      <c r="Q344" s="1378" t="s">
        <v>4302</v>
      </c>
      <c r="R344" s="1367"/>
    </row>
    <row r="345" spans="1:18" ht="16.5" customHeight="1" x14ac:dyDescent="0.25">
      <c r="A345" s="1323" t="s">
        <v>4311</v>
      </c>
      <c r="B345" s="1455">
        <v>4</v>
      </c>
      <c r="C345" s="1455" t="s">
        <v>3298</v>
      </c>
      <c r="D345" s="1455"/>
      <c r="E345" s="1323"/>
      <c r="F345" s="1323"/>
      <c r="G345" s="1323" t="s">
        <v>4312</v>
      </c>
      <c r="H345" s="1323"/>
      <c r="I345" s="1323"/>
      <c r="J345" s="1323"/>
      <c r="K345" s="1323"/>
      <c r="L345" s="1323"/>
      <c r="M345" s="1323"/>
      <c r="N345" s="1459"/>
      <c r="O345" s="1510"/>
      <c r="P345" s="1458" t="s">
        <v>4313</v>
      </c>
      <c r="Q345" s="1457" t="s">
        <v>4314</v>
      </c>
      <c r="R345" s="1367"/>
    </row>
    <row r="346" spans="1:18" ht="16.5" customHeight="1" x14ac:dyDescent="0.25">
      <c r="A346" s="1303" t="s">
        <v>4315</v>
      </c>
      <c r="B346" s="1348">
        <v>4</v>
      </c>
      <c r="C346" s="1348" t="s">
        <v>3286</v>
      </c>
      <c r="D346" s="1348"/>
      <c r="E346" s="1303"/>
      <c r="F346" s="1303"/>
      <c r="G346" s="1303" t="s">
        <v>1542</v>
      </c>
      <c r="H346" s="1303"/>
      <c r="I346" s="1303"/>
      <c r="J346" s="1303"/>
      <c r="K346" s="1303"/>
      <c r="L346" s="1303"/>
      <c r="M346" s="1303"/>
      <c r="N346" s="1411"/>
      <c r="O346" s="1491"/>
      <c r="P346" s="1434" t="s">
        <v>4316</v>
      </c>
      <c r="Q346" s="1407"/>
      <c r="R346" s="1385"/>
    </row>
    <row r="347" spans="1:18" ht="16.5" customHeight="1" x14ac:dyDescent="0.25">
      <c r="A347" s="1306" t="s">
        <v>4317</v>
      </c>
      <c r="B347" s="1363">
        <v>5</v>
      </c>
      <c r="C347" s="1363" t="s">
        <v>3298</v>
      </c>
      <c r="D347" s="1306"/>
      <c r="E347" s="1306"/>
      <c r="F347" s="1306"/>
      <c r="G347" s="1306"/>
      <c r="H347" s="1306" t="s">
        <v>4318</v>
      </c>
      <c r="I347" s="1306"/>
      <c r="J347" s="1306"/>
      <c r="K347" s="1306"/>
      <c r="L347" s="1306"/>
      <c r="M347" s="1306"/>
      <c r="N347" s="1306"/>
      <c r="O347" s="1505"/>
      <c r="P347" s="1450" t="s">
        <v>4319</v>
      </c>
      <c r="Q347" s="1444" t="s">
        <v>4320</v>
      </c>
      <c r="R347" s="1367"/>
    </row>
    <row r="348" spans="1:18" ht="16.5" customHeight="1" x14ac:dyDescent="0.25">
      <c r="A348" s="1306" t="s">
        <v>4321</v>
      </c>
      <c r="B348" s="1363">
        <v>5</v>
      </c>
      <c r="C348" s="1363" t="s">
        <v>3298</v>
      </c>
      <c r="D348" s="1306"/>
      <c r="E348" s="1306"/>
      <c r="F348" s="1306"/>
      <c r="G348" s="1306"/>
      <c r="H348" s="1306" t="s">
        <v>1544</v>
      </c>
      <c r="I348" s="1306"/>
      <c r="J348" s="1306"/>
      <c r="K348" s="1306"/>
      <c r="L348" s="1306"/>
      <c r="M348" s="1306"/>
      <c r="N348" s="1306"/>
      <c r="O348" s="1505"/>
      <c r="P348" s="1450" t="s">
        <v>4322</v>
      </c>
      <c r="Q348" s="1444"/>
      <c r="R348" s="1367"/>
    </row>
    <row r="349" spans="1:18" ht="16.5" customHeight="1" x14ac:dyDescent="0.25">
      <c r="A349" s="1306" t="s">
        <v>4323</v>
      </c>
      <c r="B349" s="1363">
        <v>5</v>
      </c>
      <c r="C349" s="1363" t="s">
        <v>3298</v>
      </c>
      <c r="D349" s="1306"/>
      <c r="E349" s="1306"/>
      <c r="F349" s="1306"/>
      <c r="G349" s="1306"/>
      <c r="H349" s="1306" t="s">
        <v>4324</v>
      </c>
      <c r="I349" s="1306"/>
      <c r="J349" s="1306"/>
      <c r="K349" s="1306"/>
      <c r="L349" s="1306"/>
      <c r="M349" s="1306"/>
      <c r="N349" s="1306"/>
      <c r="O349" s="1505"/>
      <c r="P349" s="1450" t="s">
        <v>4325</v>
      </c>
      <c r="Q349" s="1444"/>
      <c r="R349" s="1367"/>
    </row>
    <row r="350" spans="1:18" ht="16.5" customHeight="1" x14ac:dyDescent="0.25">
      <c r="A350" s="1302" t="s">
        <v>4326</v>
      </c>
      <c r="B350" s="1341">
        <v>3</v>
      </c>
      <c r="C350" s="1341" t="s">
        <v>3286</v>
      </c>
      <c r="D350" s="1341"/>
      <c r="E350" s="1342"/>
      <c r="F350" s="1302" t="s">
        <v>1546</v>
      </c>
      <c r="G350" s="1302"/>
      <c r="H350" s="1302"/>
      <c r="I350" s="1302"/>
      <c r="J350" s="1302"/>
      <c r="K350" s="1302"/>
      <c r="L350" s="1302"/>
      <c r="M350" s="1302"/>
      <c r="N350" s="1342"/>
      <c r="O350" s="1508"/>
      <c r="P350" s="1402" t="s">
        <v>4327</v>
      </c>
      <c r="Q350" s="1403" t="s">
        <v>4328</v>
      </c>
      <c r="R350" s="1385"/>
    </row>
    <row r="351" spans="1:18" ht="16.5" customHeight="1" x14ac:dyDescent="0.25">
      <c r="A351" s="1323" t="s">
        <v>4329</v>
      </c>
      <c r="B351" s="1455">
        <v>4</v>
      </c>
      <c r="C351" s="1455" t="s">
        <v>3298</v>
      </c>
      <c r="D351" s="1455"/>
      <c r="E351" s="1323"/>
      <c r="F351" s="1323"/>
      <c r="G351" s="1323" t="s">
        <v>1548</v>
      </c>
      <c r="H351" s="1323"/>
      <c r="I351" s="1323"/>
      <c r="J351" s="1323"/>
      <c r="K351" s="1323"/>
      <c r="L351" s="1323"/>
      <c r="M351" s="1323"/>
      <c r="N351" s="1459"/>
      <c r="O351" s="1510">
        <f>+'F Y U 2024 Presupuesto 15.09'!C54</f>
        <v>200000000</v>
      </c>
      <c r="P351" s="1456" t="s">
        <v>4330</v>
      </c>
      <c r="Q351" s="1457"/>
      <c r="R351" s="1367"/>
    </row>
    <row r="352" spans="1:18" ht="16.5" customHeight="1" x14ac:dyDescent="0.25">
      <c r="A352" s="1302" t="s">
        <v>4331</v>
      </c>
      <c r="B352" s="1341">
        <v>3</v>
      </c>
      <c r="C352" s="1341" t="s">
        <v>3286</v>
      </c>
      <c r="D352" s="1341"/>
      <c r="E352" s="1342"/>
      <c r="F352" s="1302" t="s">
        <v>617</v>
      </c>
      <c r="G352" s="1302"/>
      <c r="H352" s="1302"/>
      <c r="I352" s="1302"/>
      <c r="J352" s="1302"/>
      <c r="K352" s="1302"/>
      <c r="L352" s="1302"/>
      <c r="M352" s="1302"/>
      <c r="N352" s="1342"/>
      <c r="O352" s="1508"/>
      <c r="P352" s="1402" t="s">
        <v>4332</v>
      </c>
      <c r="Q352" s="1403"/>
      <c r="R352" s="1385"/>
    </row>
    <row r="353" spans="1:18" ht="16.5" customHeight="1" x14ac:dyDescent="0.25">
      <c r="A353" s="1303" t="s">
        <v>4333</v>
      </c>
      <c r="B353" s="1348">
        <v>4</v>
      </c>
      <c r="C353" s="1348" t="s">
        <v>3286</v>
      </c>
      <c r="D353" s="1348"/>
      <c r="E353" s="1303"/>
      <c r="F353" s="1303"/>
      <c r="G353" s="1303" t="s">
        <v>619</v>
      </c>
      <c r="H353" s="1303"/>
      <c r="I353" s="1303"/>
      <c r="J353" s="1303"/>
      <c r="K353" s="1303"/>
      <c r="L353" s="1303"/>
      <c r="M353" s="1303"/>
      <c r="N353" s="1411"/>
      <c r="O353" s="1491"/>
      <c r="P353" s="1406" t="s">
        <v>4334</v>
      </c>
      <c r="Q353" s="1407" t="s">
        <v>4335</v>
      </c>
      <c r="R353" s="1385"/>
    </row>
    <row r="354" spans="1:18" ht="16.5" customHeight="1" x14ac:dyDescent="0.25">
      <c r="A354" s="1306" t="s">
        <v>4336</v>
      </c>
      <c r="B354" s="1363">
        <v>5</v>
      </c>
      <c r="C354" s="1363" t="s">
        <v>3298</v>
      </c>
      <c r="D354" s="1363"/>
      <c r="E354" s="1306"/>
      <c r="F354" s="1306"/>
      <c r="G354" s="1306"/>
      <c r="H354" s="1306" t="s">
        <v>4337</v>
      </c>
      <c r="I354" s="1306"/>
      <c r="J354" s="1306"/>
      <c r="K354" s="1306"/>
      <c r="L354" s="1306"/>
      <c r="M354" s="1364"/>
      <c r="N354" s="1364"/>
      <c r="O354" s="1478">
        <f>+'F Y U 2024 Presupuesto 15.09'!C37</f>
        <v>8000000000</v>
      </c>
      <c r="P354" s="1377" t="s">
        <v>4338</v>
      </c>
      <c r="Q354" s="1378"/>
      <c r="R354" s="1367"/>
    </row>
    <row r="355" spans="1:18" ht="16.5" customHeight="1" x14ac:dyDescent="0.25">
      <c r="A355" s="1303" t="s">
        <v>4339</v>
      </c>
      <c r="B355" s="1348">
        <v>4</v>
      </c>
      <c r="C355" s="1348" t="s">
        <v>3286</v>
      </c>
      <c r="D355" s="1348"/>
      <c r="E355" s="1303"/>
      <c r="F355" s="1303"/>
      <c r="G355" s="1303" t="s">
        <v>1573</v>
      </c>
      <c r="H355" s="1303"/>
      <c r="I355" s="1303"/>
      <c r="J355" s="1303"/>
      <c r="K355" s="1303"/>
      <c r="L355" s="1303"/>
      <c r="M355" s="1303"/>
      <c r="N355" s="1411"/>
      <c r="O355" s="1491"/>
      <c r="P355" s="1406" t="s">
        <v>4340</v>
      </c>
      <c r="Q355" s="1407" t="s">
        <v>3697</v>
      </c>
      <c r="R355" s="1385"/>
    </row>
    <row r="356" spans="1:18" ht="16.5" customHeight="1" x14ac:dyDescent="0.25">
      <c r="A356" s="1306" t="s">
        <v>4341</v>
      </c>
      <c r="B356" s="1363">
        <v>5</v>
      </c>
      <c r="C356" s="1363" t="s">
        <v>3298</v>
      </c>
      <c r="D356" s="1363"/>
      <c r="E356" s="1306"/>
      <c r="F356" s="1306"/>
      <c r="G356" s="1306"/>
      <c r="H356" s="1306" t="s">
        <v>621</v>
      </c>
      <c r="I356" s="1306"/>
      <c r="J356" s="1306"/>
      <c r="K356" s="1306"/>
      <c r="L356" s="1306"/>
      <c r="M356" s="1364"/>
      <c r="N356" s="1364"/>
      <c r="O356" s="1478">
        <f>+'F Y U 2024 Presupuesto 15.09'!C55</f>
        <v>9000000000</v>
      </c>
      <c r="P356" s="1377" t="s">
        <v>4342</v>
      </c>
      <c r="Q356" s="1378"/>
      <c r="R356" s="1367"/>
    </row>
    <row r="357" spans="1:18" ht="16.5" customHeight="1" x14ac:dyDescent="0.25">
      <c r="A357" s="1302" t="s">
        <v>4343</v>
      </c>
      <c r="B357" s="1341">
        <v>3</v>
      </c>
      <c r="C357" s="1341" t="s">
        <v>3286</v>
      </c>
      <c r="D357" s="1341"/>
      <c r="E357" s="1342"/>
      <c r="F357" s="1302" t="s">
        <v>623</v>
      </c>
      <c r="G357" s="1302"/>
      <c r="H357" s="1302"/>
      <c r="I357" s="1302"/>
      <c r="J357" s="1302"/>
      <c r="K357" s="1302"/>
      <c r="L357" s="1302"/>
      <c r="M357" s="1302"/>
      <c r="N357" s="1342"/>
      <c r="O357" s="1508"/>
      <c r="P357" s="1402" t="s">
        <v>4344</v>
      </c>
      <c r="Q357" s="1403"/>
      <c r="R357" s="1385"/>
    </row>
    <row r="358" spans="1:18" ht="16.5" customHeight="1" x14ac:dyDescent="0.25">
      <c r="A358" s="1323" t="s">
        <v>4345</v>
      </c>
      <c r="B358" s="1455">
        <v>4</v>
      </c>
      <c r="C358" s="1455" t="s">
        <v>3298</v>
      </c>
      <c r="D358" s="1455"/>
      <c r="E358" s="1455"/>
      <c r="F358" s="1455"/>
      <c r="G358" s="1323" t="s">
        <v>606</v>
      </c>
      <c r="H358" s="1323"/>
      <c r="I358" s="1323"/>
      <c r="J358" s="1455"/>
      <c r="K358" s="1455"/>
      <c r="L358" s="1455"/>
      <c r="M358" s="1455"/>
      <c r="N358" s="1455"/>
      <c r="O358" s="1513">
        <f>+'F Y U 2024 Presupuesto 15.09'!C56</f>
        <v>10000000</v>
      </c>
      <c r="P358" s="1456" t="s">
        <v>4346</v>
      </c>
      <c r="Q358" s="1468"/>
      <c r="R358" s="1367"/>
    </row>
    <row r="359" spans="1:18" ht="16.5" customHeight="1" x14ac:dyDescent="0.25">
      <c r="A359" s="1310"/>
      <c r="B359" s="1356"/>
      <c r="C359" s="1356"/>
      <c r="D359" s="1310"/>
      <c r="E359" s="1310"/>
      <c r="F359" s="1310"/>
      <c r="G359" s="1310"/>
      <c r="H359" s="1310"/>
      <c r="I359" s="1310"/>
      <c r="J359" s="1310"/>
      <c r="K359" s="1310"/>
      <c r="L359" s="1310"/>
      <c r="M359" s="1310"/>
      <c r="N359" s="1310"/>
      <c r="O359" s="1499"/>
      <c r="P359" s="1439"/>
      <c r="Q359" s="1310"/>
      <c r="R359" s="1367"/>
    </row>
    <row r="360" spans="1:18" ht="16.5" customHeight="1" x14ac:dyDescent="0.25">
      <c r="A360" s="1310"/>
      <c r="B360" s="1356"/>
      <c r="C360" s="1356"/>
      <c r="D360" s="1310"/>
      <c r="E360" s="1310"/>
      <c r="F360" s="1310"/>
      <c r="G360" s="1469"/>
      <c r="H360" s="1310"/>
      <c r="I360" s="1310"/>
      <c r="J360" s="1310"/>
      <c r="K360" s="1310"/>
      <c r="L360" s="1310"/>
      <c r="M360" s="1310"/>
      <c r="N360" s="1310"/>
      <c r="O360" s="1499"/>
      <c r="P360" s="1439"/>
      <c r="Q360" s="1310"/>
      <c r="R360" s="1367"/>
    </row>
    <row r="361" spans="1:18" ht="16.5" customHeight="1" x14ac:dyDescent="0.25">
      <c r="A361" s="1310"/>
      <c r="B361" s="1356"/>
      <c r="C361" s="1356"/>
      <c r="D361" s="1310"/>
      <c r="E361" s="1310"/>
      <c r="F361" s="1310"/>
      <c r="G361" s="1310"/>
      <c r="H361" s="1310"/>
      <c r="I361" s="1310"/>
      <c r="J361" s="1310"/>
      <c r="K361" s="1310"/>
      <c r="L361" s="1310"/>
      <c r="M361" s="1310"/>
      <c r="N361" s="1310"/>
      <c r="O361" s="1499"/>
      <c r="P361" s="1439"/>
      <c r="Q361" s="1310"/>
      <c r="R361" s="1367"/>
    </row>
    <row r="362" spans="1:18" ht="16.5" customHeight="1" x14ac:dyDescent="0.25">
      <c r="A362" s="1310"/>
      <c r="B362" s="1356"/>
      <c r="C362" s="1356"/>
      <c r="D362" s="1310"/>
      <c r="E362" s="1310"/>
      <c r="F362" s="1310"/>
      <c r="G362" s="1310"/>
      <c r="H362" s="1310"/>
      <c r="I362" s="1310"/>
      <c r="J362" s="1310"/>
      <c r="K362" s="1310"/>
      <c r="L362" s="1310"/>
      <c r="M362" s="1310"/>
      <c r="N362" s="1310"/>
      <c r="O362" s="1499"/>
      <c r="P362" s="1439"/>
      <c r="Q362" s="1310"/>
      <c r="R362" s="1367"/>
    </row>
    <row r="363" spans="1:18" ht="16.5" customHeight="1" x14ac:dyDescent="0.25">
      <c r="A363" s="1310"/>
      <c r="B363" s="1356"/>
      <c r="C363" s="1356"/>
      <c r="D363" s="1310"/>
      <c r="E363" s="1310"/>
      <c r="F363" s="1310"/>
      <c r="G363" s="1310"/>
      <c r="H363" s="1310"/>
      <c r="I363" s="1310"/>
      <c r="J363" s="1310"/>
      <c r="K363" s="1310"/>
      <c r="L363" s="1310"/>
      <c r="M363" s="1310"/>
      <c r="N363" s="1310"/>
      <c r="O363" s="1499"/>
      <c r="P363" s="1439"/>
      <c r="Q363" s="1310"/>
      <c r="R363" s="1367"/>
    </row>
    <row r="364" spans="1:18" ht="16.5" customHeight="1" x14ac:dyDescent="0.25">
      <c r="A364" s="1310"/>
      <c r="B364" s="1356"/>
      <c r="C364" s="1356"/>
      <c r="D364" s="1310"/>
      <c r="E364" s="1310"/>
      <c r="F364" s="1310"/>
      <c r="G364" s="1310"/>
      <c r="H364" s="1310"/>
      <c r="I364" s="1310"/>
      <c r="J364" s="1310"/>
      <c r="K364" s="1310"/>
      <c r="L364" s="1310"/>
      <c r="M364" s="1310"/>
      <c r="N364" s="1310"/>
      <c r="O364" s="1499"/>
      <c r="P364" s="1439"/>
      <c r="Q364" s="1310"/>
      <c r="R364" s="1367"/>
    </row>
    <row r="365" spans="1:18" ht="16.5" customHeight="1" x14ac:dyDescent="0.25">
      <c r="A365" s="1310"/>
      <c r="B365" s="1356"/>
      <c r="C365" s="1356"/>
      <c r="D365" s="1310"/>
      <c r="E365" s="1310"/>
      <c r="F365" s="1310"/>
      <c r="G365" s="1310"/>
      <c r="H365" s="1310"/>
      <c r="I365" s="1310"/>
      <c r="J365" s="1310"/>
      <c r="K365" s="1310"/>
      <c r="L365" s="1310"/>
      <c r="M365" s="1310"/>
      <c r="N365" s="1310"/>
      <c r="O365" s="1499"/>
      <c r="P365" s="1439"/>
      <c r="Q365" s="1310"/>
      <c r="R365" s="1367"/>
    </row>
    <row r="366" spans="1:18" ht="16.5" customHeight="1" x14ac:dyDescent="0.25">
      <c r="A366" s="1310"/>
      <c r="B366" s="1356"/>
      <c r="C366" s="1356"/>
      <c r="D366" s="1310"/>
      <c r="E366" s="1310"/>
      <c r="F366" s="1310"/>
      <c r="G366" s="1310"/>
      <c r="H366" s="1310"/>
      <c r="I366" s="1310"/>
      <c r="J366" s="1310"/>
      <c r="K366" s="1310"/>
      <c r="L366" s="1310"/>
      <c r="M366" s="1310"/>
      <c r="N366" s="1310"/>
      <c r="O366" s="1499"/>
      <c r="P366" s="1439"/>
      <c r="Q366" s="1310"/>
      <c r="R366" s="1367"/>
    </row>
    <row r="367" spans="1:18" ht="16.5" customHeight="1" x14ac:dyDescent="0.25">
      <c r="A367" s="1310"/>
      <c r="B367" s="1356"/>
      <c r="C367" s="1356"/>
      <c r="D367" s="1310"/>
      <c r="E367" s="1310"/>
      <c r="F367" s="1310"/>
      <c r="G367" s="1310"/>
      <c r="H367" s="1310"/>
      <c r="I367" s="1310"/>
      <c r="J367" s="1310"/>
      <c r="K367" s="1310"/>
      <c r="L367" s="1310"/>
      <c r="M367" s="1310"/>
      <c r="N367" s="1310"/>
      <c r="O367" s="1499"/>
      <c r="P367" s="1439"/>
      <c r="Q367" s="1310"/>
      <c r="R367" s="1367"/>
    </row>
    <row r="368" spans="1:18" ht="16.5" customHeight="1" x14ac:dyDescent="0.25">
      <c r="A368" s="1310"/>
      <c r="B368" s="1356"/>
      <c r="C368" s="1356"/>
      <c r="D368" s="1310"/>
      <c r="E368" s="1310"/>
      <c r="F368" s="1310"/>
      <c r="G368" s="1310"/>
      <c r="H368" s="1310"/>
      <c r="I368" s="1310"/>
      <c r="J368" s="1310"/>
      <c r="K368" s="1310"/>
      <c r="L368" s="1310"/>
      <c r="M368" s="1310"/>
      <c r="N368" s="1310"/>
      <c r="O368" s="1499"/>
      <c r="P368" s="1439"/>
      <c r="Q368" s="1310"/>
      <c r="R368" s="1367"/>
    </row>
    <row r="369" spans="1:18" ht="16.5" customHeight="1" x14ac:dyDescent="0.25">
      <c r="A369" s="1310"/>
      <c r="B369" s="1356"/>
      <c r="C369" s="1356"/>
      <c r="D369" s="1310"/>
      <c r="E369" s="1310"/>
      <c r="F369" s="1310"/>
      <c r="G369" s="1310"/>
      <c r="H369" s="1310"/>
      <c r="I369" s="1310"/>
      <c r="J369" s="1310"/>
      <c r="K369" s="1310"/>
      <c r="L369" s="1310"/>
      <c r="M369" s="1310"/>
      <c r="N369" s="1310"/>
      <c r="O369" s="1499"/>
      <c r="P369" s="1439"/>
      <c r="Q369" s="1310"/>
      <c r="R369" s="1367"/>
    </row>
    <row r="370" spans="1:18" ht="16.5" customHeight="1" x14ac:dyDescent="0.25">
      <c r="A370" s="1310"/>
      <c r="B370" s="1356"/>
      <c r="C370" s="1356"/>
      <c r="D370" s="1310"/>
      <c r="E370" s="1310"/>
      <c r="F370" s="1310"/>
      <c r="G370" s="1310"/>
      <c r="H370" s="1310"/>
      <c r="I370" s="1310"/>
      <c r="J370" s="1310"/>
      <c r="K370" s="1310"/>
      <c r="L370" s="1310"/>
      <c r="M370" s="1310"/>
      <c r="N370" s="1310"/>
      <c r="O370" s="1499"/>
      <c r="P370" s="1439"/>
      <c r="Q370" s="1310"/>
      <c r="R370" s="1367"/>
    </row>
    <row r="371" spans="1:18" ht="16.5" customHeight="1" x14ac:dyDescent="0.25">
      <c r="A371" s="1310"/>
      <c r="B371" s="1356"/>
      <c r="C371" s="1356"/>
      <c r="D371" s="1310"/>
      <c r="E371" s="1310"/>
      <c r="F371" s="1310"/>
      <c r="G371" s="1310"/>
      <c r="H371" s="1310"/>
      <c r="I371" s="1310"/>
      <c r="J371" s="1310"/>
      <c r="K371" s="1310"/>
      <c r="L371" s="1310"/>
      <c r="M371" s="1310"/>
      <c r="N371" s="1310"/>
      <c r="O371" s="1499"/>
      <c r="P371" s="1439"/>
      <c r="Q371" s="1310"/>
      <c r="R371" s="1367"/>
    </row>
    <row r="372" spans="1:18" ht="16.5" customHeight="1" x14ac:dyDescent="0.25">
      <c r="A372" s="1310"/>
      <c r="B372" s="1356"/>
      <c r="C372" s="1356"/>
      <c r="D372" s="1310"/>
      <c r="E372" s="1310"/>
      <c r="F372" s="1310"/>
      <c r="G372" s="1310"/>
      <c r="H372" s="1310"/>
      <c r="I372" s="1310"/>
      <c r="J372" s="1310"/>
      <c r="K372" s="1310"/>
      <c r="L372" s="1310"/>
      <c r="M372" s="1310"/>
      <c r="N372" s="1310"/>
      <c r="O372" s="1499"/>
      <c r="P372" s="1439"/>
      <c r="Q372" s="1310"/>
      <c r="R372" s="1367"/>
    </row>
    <row r="373" spans="1:18" ht="16.5" customHeight="1" x14ac:dyDescent="0.25">
      <c r="A373" s="1310"/>
      <c r="B373" s="1356"/>
      <c r="C373" s="1356"/>
      <c r="D373" s="1310"/>
      <c r="E373" s="1310"/>
      <c r="F373" s="1310"/>
      <c r="G373" s="1310"/>
      <c r="H373" s="1310"/>
      <c r="I373" s="1310"/>
      <c r="J373" s="1310"/>
      <c r="K373" s="1310"/>
      <c r="L373" s="1310"/>
      <c r="M373" s="1310"/>
      <c r="N373" s="1310"/>
      <c r="O373" s="1499"/>
      <c r="P373" s="1439"/>
      <c r="Q373" s="1310"/>
      <c r="R373" s="1367"/>
    </row>
    <row r="374" spans="1:18" ht="16.5" customHeight="1" x14ac:dyDescent="0.25">
      <c r="A374" s="1310"/>
      <c r="B374" s="1356"/>
      <c r="C374" s="1356"/>
      <c r="D374" s="1310"/>
      <c r="E374" s="1310"/>
      <c r="F374" s="1310"/>
      <c r="G374" s="1310"/>
      <c r="H374" s="1310"/>
      <c r="I374" s="1310"/>
      <c r="J374" s="1310"/>
      <c r="K374" s="1310"/>
      <c r="L374" s="1310"/>
      <c r="M374" s="1310"/>
      <c r="N374" s="1310"/>
      <c r="O374" s="1499"/>
      <c r="P374" s="1439"/>
      <c r="Q374" s="1310"/>
      <c r="R374" s="1367"/>
    </row>
    <row r="375" spans="1:18" ht="16.5" customHeight="1" x14ac:dyDescent="0.25">
      <c r="A375" s="1310"/>
      <c r="B375" s="1356"/>
      <c r="C375" s="1356"/>
      <c r="D375" s="1310"/>
      <c r="E375" s="1310"/>
      <c r="F375" s="1310"/>
      <c r="G375" s="1310"/>
      <c r="H375" s="1310"/>
      <c r="I375" s="1310"/>
      <c r="J375" s="1310"/>
      <c r="K375" s="1310"/>
      <c r="L375" s="1310"/>
      <c r="M375" s="1310"/>
      <c r="N375" s="1310"/>
      <c r="O375" s="1499"/>
      <c r="P375" s="1439"/>
      <c r="Q375" s="1310"/>
      <c r="R375" s="1367"/>
    </row>
    <row r="376" spans="1:18" ht="16.5" customHeight="1" x14ac:dyDescent="0.25">
      <c r="A376" s="1310"/>
      <c r="B376" s="1356"/>
      <c r="C376" s="1356"/>
      <c r="D376" s="1310"/>
      <c r="E376" s="1310"/>
      <c r="F376" s="1310"/>
      <c r="G376" s="1310"/>
      <c r="H376" s="1310"/>
      <c r="I376" s="1310"/>
      <c r="J376" s="1310"/>
      <c r="K376" s="1310"/>
      <c r="L376" s="1310"/>
      <c r="M376" s="1310"/>
      <c r="N376" s="1310"/>
      <c r="O376" s="1499"/>
      <c r="P376" s="1439"/>
      <c r="Q376" s="1310"/>
      <c r="R376" s="1367"/>
    </row>
    <row r="377" spans="1:18" ht="16.5" customHeight="1" x14ac:dyDescent="0.25">
      <c r="A377" s="1310"/>
      <c r="B377" s="1356"/>
      <c r="C377" s="1356"/>
      <c r="D377" s="1310"/>
      <c r="E377" s="1310"/>
      <c r="F377" s="1310"/>
      <c r="G377" s="1310"/>
      <c r="H377" s="1310"/>
      <c r="I377" s="1310"/>
      <c r="J377" s="1310"/>
      <c r="K377" s="1310"/>
      <c r="L377" s="1310"/>
      <c r="M377" s="1310"/>
      <c r="N377" s="1310"/>
      <c r="O377" s="1499"/>
      <c r="P377" s="1439"/>
      <c r="Q377" s="1310"/>
      <c r="R377" s="1367"/>
    </row>
    <row r="378" spans="1:18" ht="16.5" customHeight="1" x14ac:dyDescent="0.25">
      <c r="A378" s="1310"/>
      <c r="B378" s="1356"/>
      <c r="C378" s="1356"/>
      <c r="D378" s="1310"/>
      <c r="E378" s="1310"/>
      <c r="F378" s="1310"/>
      <c r="G378" s="1310"/>
      <c r="H378" s="1310"/>
      <c r="I378" s="1310"/>
      <c r="J378" s="1310"/>
      <c r="K378" s="1310"/>
      <c r="L378" s="1310"/>
      <c r="M378" s="1310"/>
      <c r="N378" s="1310"/>
      <c r="O378" s="1499"/>
      <c r="P378" s="1439"/>
      <c r="Q378" s="1310"/>
      <c r="R378" s="1367"/>
    </row>
    <row r="379" spans="1:18" ht="16.5" customHeight="1" x14ac:dyDescent="0.25">
      <c r="A379" s="1310"/>
      <c r="B379" s="1356"/>
      <c r="C379" s="1356"/>
      <c r="D379" s="1310"/>
      <c r="E379" s="1310"/>
      <c r="F379" s="1310"/>
      <c r="G379" s="1310"/>
      <c r="H379" s="1310"/>
      <c r="I379" s="1310"/>
      <c r="J379" s="1310"/>
      <c r="K379" s="1310"/>
      <c r="L379" s="1310"/>
      <c r="M379" s="1310"/>
      <c r="N379" s="1310"/>
      <c r="O379" s="1499"/>
      <c r="P379" s="1439"/>
      <c r="Q379" s="1310"/>
      <c r="R379" s="1367"/>
    </row>
    <row r="380" spans="1:18" ht="16.5" customHeight="1" x14ac:dyDescent="0.25">
      <c r="A380" s="1310"/>
      <c r="B380" s="1356"/>
      <c r="C380" s="1356"/>
      <c r="D380" s="1310"/>
      <c r="E380" s="1310"/>
      <c r="F380" s="1310"/>
      <c r="G380" s="1310"/>
      <c r="H380" s="1310"/>
      <c r="I380" s="1310"/>
      <c r="J380" s="1310"/>
      <c r="K380" s="1310"/>
      <c r="L380" s="1310"/>
      <c r="M380" s="1310"/>
      <c r="N380" s="1310"/>
      <c r="O380" s="1499"/>
      <c r="P380" s="1439"/>
      <c r="Q380" s="1310"/>
      <c r="R380" s="1367"/>
    </row>
    <row r="381" spans="1:18" ht="16.5" customHeight="1" x14ac:dyDescent="0.25">
      <c r="A381" s="1310"/>
      <c r="B381" s="1356"/>
      <c r="C381" s="1356"/>
      <c r="D381" s="1310"/>
      <c r="E381" s="1310"/>
      <c r="F381" s="1310"/>
      <c r="G381" s="1310"/>
      <c r="H381" s="1310"/>
      <c r="I381" s="1310"/>
      <c r="J381" s="1310"/>
      <c r="K381" s="1310"/>
      <c r="L381" s="1310"/>
      <c r="M381" s="1310"/>
      <c r="N381" s="1310"/>
      <c r="O381" s="1499"/>
      <c r="P381" s="1439"/>
      <c r="Q381" s="1310"/>
      <c r="R381" s="1367"/>
    </row>
    <row r="382" spans="1:18" ht="16.5" customHeight="1" x14ac:dyDescent="0.25">
      <c r="A382" s="1310"/>
      <c r="B382" s="1356"/>
      <c r="C382" s="1356"/>
      <c r="D382" s="1310"/>
      <c r="E382" s="1310"/>
      <c r="F382" s="1310"/>
      <c r="G382" s="1310"/>
      <c r="H382" s="1310"/>
      <c r="I382" s="1310"/>
      <c r="J382" s="1310"/>
      <c r="K382" s="1310"/>
      <c r="L382" s="1310"/>
      <c r="M382" s="1310"/>
      <c r="N382" s="1310"/>
      <c r="O382" s="1499"/>
      <c r="P382" s="1439"/>
      <c r="Q382" s="1310"/>
      <c r="R382" s="1367"/>
    </row>
    <row r="383" spans="1:18" ht="16.5" customHeight="1" x14ac:dyDescent="0.25">
      <c r="A383" s="1310"/>
      <c r="B383" s="1356"/>
      <c r="C383" s="1356"/>
      <c r="D383" s="1310"/>
      <c r="E383" s="1310"/>
      <c r="F383" s="1310"/>
      <c r="G383" s="1310"/>
      <c r="H383" s="1310"/>
      <c r="I383" s="1310"/>
      <c r="J383" s="1310"/>
      <c r="K383" s="1310"/>
      <c r="L383" s="1310"/>
      <c r="M383" s="1310"/>
      <c r="N383" s="1310"/>
      <c r="O383" s="1499"/>
      <c r="P383" s="1439"/>
      <c r="Q383" s="1310"/>
      <c r="R383" s="1367"/>
    </row>
    <row r="384" spans="1:18" ht="16.5" customHeight="1" x14ac:dyDescent="0.25">
      <c r="A384" s="1310"/>
      <c r="B384" s="1356"/>
      <c r="C384" s="1356"/>
      <c r="D384" s="1310"/>
      <c r="E384" s="1310"/>
      <c r="F384" s="1310"/>
      <c r="G384" s="1310"/>
      <c r="H384" s="1310"/>
      <c r="I384" s="1310"/>
      <c r="J384" s="1310"/>
      <c r="K384" s="1310"/>
      <c r="L384" s="1310"/>
      <c r="M384" s="1310"/>
      <c r="N384" s="1310"/>
      <c r="O384" s="1499"/>
      <c r="P384" s="1439"/>
      <c r="Q384" s="1310"/>
      <c r="R384" s="1367"/>
    </row>
    <row r="385" spans="1:18" ht="16.5" customHeight="1" x14ac:dyDescent="0.25">
      <c r="A385" s="1310"/>
      <c r="B385" s="1356"/>
      <c r="C385" s="1356"/>
      <c r="D385" s="1310"/>
      <c r="E385" s="1310"/>
      <c r="F385" s="1310"/>
      <c r="G385" s="1310"/>
      <c r="H385" s="1310"/>
      <c r="I385" s="1310"/>
      <c r="J385" s="1310"/>
      <c r="K385" s="1310"/>
      <c r="L385" s="1310"/>
      <c r="M385" s="1310"/>
      <c r="N385" s="1310"/>
      <c r="O385" s="1499"/>
      <c r="P385" s="1439"/>
      <c r="Q385" s="1310"/>
      <c r="R385" s="1367"/>
    </row>
    <row r="386" spans="1:18" ht="16.5" customHeight="1" x14ac:dyDescent="0.25">
      <c r="A386" s="1310"/>
      <c r="B386" s="1356"/>
      <c r="C386" s="1356"/>
      <c r="D386" s="1310"/>
      <c r="E386" s="1310"/>
      <c r="F386" s="1310"/>
      <c r="G386" s="1310"/>
      <c r="H386" s="1310"/>
      <c r="I386" s="1310"/>
      <c r="J386" s="1310"/>
      <c r="K386" s="1310"/>
      <c r="L386" s="1310"/>
      <c r="M386" s="1310"/>
      <c r="N386" s="1310"/>
      <c r="O386" s="1499"/>
      <c r="P386" s="1439"/>
      <c r="Q386" s="1310"/>
      <c r="R386" s="1367"/>
    </row>
    <row r="387" spans="1:18" ht="16.5" customHeight="1" x14ac:dyDescent="0.25">
      <c r="A387" s="1310"/>
      <c r="B387" s="1356"/>
      <c r="C387" s="1356"/>
      <c r="D387" s="1310"/>
      <c r="E387" s="1310"/>
      <c r="F387" s="1310"/>
      <c r="G387" s="1310"/>
      <c r="H387" s="1310"/>
      <c r="I387" s="1310"/>
      <c r="J387" s="1310"/>
      <c r="K387" s="1310"/>
      <c r="L387" s="1310"/>
      <c r="M387" s="1310"/>
      <c r="N387" s="1310"/>
      <c r="O387" s="1499"/>
      <c r="P387" s="1439"/>
      <c r="Q387" s="1310"/>
      <c r="R387" s="1367"/>
    </row>
    <row r="388" spans="1:18" ht="16.5" customHeight="1" x14ac:dyDescent="0.25">
      <c r="A388" s="1310"/>
      <c r="B388" s="1356"/>
      <c r="C388" s="1356"/>
      <c r="D388" s="1310"/>
      <c r="E388" s="1310"/>
      <c r="F388" s="1310"/>
      <c r="G388" s="1310"/>
      <c r="H388" s="1310"/>
      <c r="I388" s="1310"/>
      <c r="J388" s="1310"/>
      <c r="K388" s="1310"/>
      <c r="L388" s="1310"/>
      <c r="M388" s="1310"/>
      <c r="N388" s="1310"/>
      <c r="O388" s="1499"/>
      <c r="P388" s="1439"/>
      <c r="Q388" s="1310"/>
      <c r="R388" s="1367"/>
    </row>
    <row r="389" spans="1:18" ht="16.5" customHeight="1" x14ac:dyDescent="0.25">
      <c r="A389" s="1310"/>
      <c r="B389" s="1356"/>
      <c r="C389" s="1356"/>
      <c r="D389" s="1310"/>
      <c r="E389" s="1310"/>
      <c r="F389" s="1310"/>
      <c r="G389" s="1310"/>
      <c r="H389" s="1310"/>
      <c r="I389" s="1310"/>
      <c r="J389" s="1310"/>
      <c r="K389" s="1310"/>
      <c r="L389" s="1310"/>
      <c r="M389" s="1310"/>
      <c r="N389" s="1310"/>
      <c r="O389" s="1499"/>
      <c r="P389" s="1439"/>
      <c r="Q389" s="1310"/>
      <c r="R389" s="1367"/>
    </row>
    <row r="390" spans="1:18" ht="16.5" customHeight="1" x14ac:dyDescent="0.25">
      <c r="A390" s="1310"/>
      <c r="B390" s="1356"/>
      <c r="C390" s="1356"/>
      <c r="D390" s="1310"/>
      <c r="E390" s="1310"/>
      <c r="F390" s="1310"/>
      <c r="G390" s="1310"/>
      <c r="H390" s="1310"/>
      <c r="I390" s="1310"/>
      <c r="J390" s="1310"/>
      <c r="K390" s="1310"/>
      <c r="L390" s="1310"/>
      <c r="M390" s="1310"/>
      <c r="N390" s="1310"/>
      <c r="O390" s="1499"/>
      <c r="P390" s="1439"/>
      <c r="Q390" s="1310"/>
      <c r="R390" s="1367"/>
    </row>
    <row r="391" spans="1:18" ht="16.5" customHeight="1" x14ac:dyDescent="0.25">
      <c r="A391" s="1310"/>
      <c r="B391" s="1356"/>
      <c r="C391" s="1356"/>
      <c r="D391" s="1310"/>
      <c r="E391" s="1310"/>
      <c r="F391" s="1310"/>
      <c r="G391" s="1310"/>
      <c r="H391" s="1310"/>
      <c r="I391" s="1310"/>
      <c r="J391" s="1310"/>
      <c r="K391" s="1310"/>
      <c r="L391" s="1310"/>
      <c r="M391" s="1310"/>
      <c r="N391" s="1310"/>
      <c r="O391" s="1499"/>
      <c r="P391" s="1439"/>
      <c r="Q391" s="1310"/>
      <c r="R391" s="1367"/>
    </row>
    <row r="392" spans="1:18" ht="16.5" customHeight="1" x14ac:dyDescent="0.25">
      <c r="A392" s="1310"/>
      <c r="B392" s="1356"/>
      <c r="C392" s="1356"/>
      <c r="D392" s="1310"/>
      <c r="E392" s="1310"/>
      <c r="F392" s="1310"/>
      <c r="G392" s="1310"/>
      <c r="H392" s="1310"/>
      <c r="I392" s="1310"/>
      <c r="J392" s="1310"/>
      <c r="K392" s="1310"/>
      <c r="L392" s="1310"/>
      <c r="M392" s="1310"/>
      <c r="N392" s="1310"/>
      <c r="O392" s="1499"/>
      <c r="P392" s="1439"/>
      <c r="Q392" s="1310"/>
      <c r="R392" s="1367"/>
    </row>
    <row r="393" spans="1:18" ht="16.5" customHeight="1" x14ac:dyDescent="0.25">
      <c r="A393" s="1310"/>
      <c r="B393" s="1356"/>
      <c r="C393" s="1356"/>
      <c r="D393" s="1310"/>
      <c r="E393" s="1310"/>
      <c r="F393" s="1310"/>
      <c r="G393" s="1310"/>
      <c r="H393" s="1310"/>
      <c r="I393" s="1310"/>
      <c r="J393" s="1310"/>
      <c r="K393" s="1310"/>
      <c r="L393" s="1310"/>
      <c r="M393" s="1310"/>
      <c r="N393" s="1310"/>
      <c r="O393" s="1499"/>
      <c r="P393" s="1439"/>
      <c r="Q393" s="1310"/>
      <c r="R393" s="1367"/>
    </row>
    <row r="394" spans="1:18" ht="16.5" customHeight="1" x14ac:dyDescent="0.25">
      <c r="A394" s="1310"/>
      <c r="B394" s="1356"/>
      <c r="C394" s="1356"/>
      <c r="D394" s="1310"/>
      <c r="E394" s="1310"/>
      <c r="F394" s="1310"/>
      <c r="G394" s="1310"/>
      <c r="H394" s="1310"/>
      <c r="I394" s="1310"/>
      <c r="J394" s="1310"/>
      <c r="K394" s="1310"/>
      <c r="L394" s="1310"/>
      <c r="M394" s="1310"/>
      <c r="N394" s="1310"/>
      <c r="O394" s="1499"/>
      <c r="P394" s="1439"/>
      <c r="Q394" s="1310"/>
      <c r="R394" s="1367"/>
    </row>
    <row r="395" spans="1:18" ht="16.5" customHeight="1" x14ac:dyDescent="0.25">
      <c r="A395" s="1310"/>
      <c r="B395" s="1356"/>
      <c r="C395" s="1356"/>
      <c r="D395" s="1310"/>
      <c r="E395" s="1310"/>
      <c r="F395" s="1310"/>
      <c r="G395" s="1310"/>
      <c r="H395" s="1310"/>
      <c r="I395" s="1310"/>
      <c r="J395" s="1310"/>
      <c r="K395" s="1310"/>
      <c r="L395" s="1310"/>
      <c r="M395" s="1310"/>
      <c r="N395" s="1310"/>
      <c r="O395" s="1499"/>
      <c r="P395" s="1439"/>
      <c r="Q395" s="1310"/>
      <c r="R395" s="1367"/>
    </row>
    <row r="396" spans="1:18" ht="16.5" customHeight="1" x14ac:dyDescent="0.25">
      <c r="A396" s="1310"/>
      <c r="B396" s="1356"/>
      <c r="C396" s="1356"/>
      <c r="D396" s="1310"/>
      <c r="E396" s="1310"/>
      <c r="F396" s="1310"/>
      <c r="G396" s="1310"/>
      <c r="H396" s="1310"/>
      <c r="I396" s="1310"/>
      <c r="J396" s="1310"/>
      <c r="K396" s="1310"/>
      <c r="L396" s="1310"/>
      <c r="M396" s="1310"/>
      <c r="N396" s="1310"/>
      <c r="O396" s="1499"/>
      <c r="P396" s="1439"/>
      <c r="Q396" s="1310"/>
      <c r="R396" s="1367"/>
    </row>
    <row r="397" spans="1:18" ht="16.5" customHeight="1" x14ac:dyDescent="0.25">
      <c r="A397" s="1310"/>
      <c r="B397" s="1356"/>
      <c r="C397" s="1356"/>
      <c r="D397" s="1310"/>
      <c r="E397" s="1310"/>
      <c r="F397" s="1310"/>
      <c r="G397" s="1310"/>
      <c r="H397" s="1310"/>
      <c r="I397" s="1310"/>
      <c r="J397" s="1310"/>
      <c r="K397" s="1310"/>
      <c r="L397" s="1310"/>
      <c r="M397" s="1310"/>
      <c r="N397" s="1310"/>
      <c r="O397" s="1499"/>
      <c r="P397" s="1439"/>
      <c r="Q397" s="1310"/>
      <c r="R397" s="1367"/>
    </row>
    <row r="398" spans="1:18" ht="16.5" customHeight="1" x14ac:dyDescent="0.25">
      <c r="A398" s="1310"/>
      <c r="B398" s="1356"/>
      <c r="C398" s="1356"/>
      <c r="D398" s="1310"/>
      <c r="E398" s="1310"/>
      <c r="F398" s="1310"/>
      <c r="G398" s="1310"/>
      <c r="H398" s="1310"/>
      <c r="I398" s="1310"/>
      <c r="J398" s="1310"/>
      <c r="K398" s="1310"/>
      <c r="L398" s="1310"/>
      <c r="M398" s="1310"/>
      <c r="N398" s="1310"/>
      <c r="O398" s="1499"/>
      <c r="P398" s="1439"/>
      <c r="Q398" s="1310"/>
      <c r="R398" s="1367"/>
    </row>
    <row r="399" spans="1:18" ht="16.5" customHeight="1" x14ac:dyDescent="0.25">
      <c r="A399" s="1310"/>
      <c r="B399" s="1356"/>
      <c r="C399" s="1356"/>
      <c r="D399" s="1310"/>
      <c r="E399" s="1310"/>
      <c r="F399" s="1310"/>
      <c r="G399" s="1310"/>
      <c r="H399" s="1310"/>
      <c r="I399" s="1310"/>
      <c r="J399" s="1310"/>
      <c r="K399" s="1310"/>
      <c r="L399" s="1310"/>
      <c r="M399" s="1310"/>
      <c r="N399" s="1310"/>
      <c r="O399" s="1499"/>
      <c r="P399" s="1439"/>
      <c r="Q399" s="1310"/>
      <c r="R399" s="1367"/>
    </row>
    <row r="400" spans="1:18" ht="16.5" customHeight="1" x14ac:dyDescent="0.25">
      <c r="A400" s="1310"/>
      <c r="B400" s="1356"/>
      <c r="C400" s="1356"/>
      <c r="D400" s="1310"/>
      <c r="E400" s="1310"/>
      <c r="F400" s="1310"/>
      <c r="G400" s="1310"/>
      <c r="H400" s="1310"/>
      <c r="I400" s="1310"/>
      <c r="J400" s="1310"/>
      <c r="K400" s="1310"/>
      <c r="L400" s="1310"/>
      <c r="M400" s="1310"/>
      <c r="N400" s="1310"/>
      <c r="O400" s="1499"/>
      <c r="P400" s="1439"/>
      <c r="Q400" s="1310"/>
      <c r="R400" s="1367"/>
    </row>
    <row r="401" spans="1:18" ht="16.5" customHeight="1" x14ac:dyDescent="0.25">
      <c r="A401" s="1310"/>
      <c r="B401" s="1356"/>
      <c r="C401" s="1356"/>
      <c r="D401" s="1310"/>
      <c r="E401" s="1310"/>
      <c r="F401" s="1310"/>
      <c r="G401" s="1310"/>
      <c r="H401" s="1310"/>
      <c r="I401" s="1310"/>
      <c r="J401" s="1310"/>
      <c r="K401" s="1310"/>
      <c r="L401" s="1310"/>
      <c r="M401" s="1310"/>
      <c r="N401" s="1310"/>
      <c r="O401" s="1499"/>
      <c r="P401" s="1439"/>
      <c r="Q401" s="1310"/>
      <c r="R401" s="1367"/>
    </row>
    <row r="402" spans="1:18" ht="16.5" customHeight="1" x14ac:dyDescent="0.25">
      <c r="A402" s="1310"/>
      <c r="B402" s="1356"/>
      <c r="C402" s="1356"/>
      <c r="D402" s="1310"/>
      <c r="E402" s="1310"/>
      <c r="F402" s="1310"/>
      <c r="G402" s="1310"/>
      <c r="H402" s="1310"/>
      <c r="I402" s="1310"/>
      <c r="J402" s="1310"/>
      <c r="K402" s="1310"/>
      <c r="L402" s="1310"/>
      <c r="M402" s="1310"/>
      <c r="N402" s="1310"/>
      <c r="O402" s="1499"/>
      <c r="P402" s="1439"/>
      <c r="Q402" s="1310"/>
      <c r="R402" s="1367"/>
    </row>
    <row r="403" spans="1:18" ht="16.5" customHeight="1" x14ac:dyDescent="0.25">
      <c r="A403" s="1310"/>
      <c r="B403" s="1356"/>
      <c r="C403" s="1356"/>
      <c r="D403" s="1310"/>
      <c r="E403" s="1310"/>
      <c r="F403" s="1310"/>
      <c r="G403" s="1310"/>
      <c r="H403" s="1310"/>
      <c r="I403" s="1310"/>
      <c r="J403" s="1310"/>
      <c r="K403" s="1310"/>
      <c r="L403" s="1310"/>
      <c r="M403" s="1310"/>
      <c r="N403" s="1310"/>
      <c r="O403" s="1499"/>
      <c r="P403" s="1439"/>
      <c r="Q403" s="1310"/>
      <c r="R403" s="1367"/>
    </row>
    <row r="404" spans="1:18" ht="16.5" customHeight="1" x14ac:dyDescent="0.25">
      <c r="A404" s="1310"/>
      <c r="B404" s="1356"/>
      <c r="C404" s="1356"/>
      <c r="D404" s="1310"/>
      <c r="E404" s="1310"/>
      <c r="F404" s="1310"/>
      <c r="G404" s="1310"/>
      <c r="H404" s="1310"/>
      <c r="I404" s="1310"/>
      <c r="J404" s="1310"/>
      <c r="K404" s="1310"/>
      <c r="L404" s="1310"/>
      <c r="M404" s="1310"/>
      <c r="N404" s="1310"/>
      <c r="O404" s="1499"/>
      <c r="P404" s="1439"/>
      <c r="Q404" s="1310"/>
      <c r="R404" s="1367"/>
    </row>
    <row r="405" spans="1:18" ht="16.5" customHeight="1" x14ac:dyDescent="0.25">
      <c r="A405" s="1310"/>
      <c r="B405" s="1356"/>
      <c r="C405" s="1356"/>
      <c r="D405" s="1310"/>
      <c r="E405" s="1310"/>
      <c r="F405" s="1310"/>
      <c r="G405" s="1310"/>
      <c r="H405" s="1310"/>
      <c r="I405" s="1310"/>
      <c r="J405" s="1310"/>
      <c r="K405" s="1310"/>
      <c r="L405" s="1310"/>
      <c r="M405" s="1310"/>
      <c r="N405" s="1310"/>
      <c r="O405" s="1499"/>
      <c r="P405" s="1439"/>
      <c r="Q405" s="1310"/>
      <c r="R405" s="1367"/>
    </row>
    <row r="406" spans="1:18" ht="16.5" customHeight="1" x14ac:dyDescent="0.25">
      <c r="A406" s="1310"/>
      <c r="B406" s="1356"/>
      <c r="C406" s="1356"/>
      <c r="D406" s="1310"/>
      <c r="E406" s="1310"/>
      <c r="F406" s="1310"/>
      <c r="G406" s="1310"/>
      <c r="H406" s="1310"/>
      <c r="I406" s="1310"/>
      <c r="J406" s="1310"/>
      <c r="K406" s="1310"/>
      <c r="L406" s="1310"/>
      <c r="M406" s="1310"/>
      <c r="N406" s="1310"/>
      <c r="O406" s="1499"/>
      <c r="P406" s="1439"/>
      <c r="Q406" s="1310"/>
      <c r="R406" s="1367"/>
    </row>
    <row r="407" spans="1:18" ht="16.5" customHeight="1" x14ac:dyDescent="0.25">
      <c r="A407" s="1310"/>
      <c r="B407" s="1356"/>
      <c r="C407" s="1356"/>
      <c r="D407" s="1310"/>
      <c r="E407" s="1310"/>
      <c r="F407" s="1310"/>
      <c r="G407" s="1310"/>
      <c r="H407" s="1310"/>
      <c r="I407" s="1310"/>
      <c r="J407" s="1310"/>
      <c r="K407" s="1310"/>
      <c r="L407" s="1310"/>
      <c r="M407" s="1310"/>
      <c r="N407" s="1310"/>
      <c r="O407" s="1499"/>
      <c r="P407" s="1439"/>
      <c r="Q407" s="1310"/>
      <c r="R407" s="1367"/>
    </row>
    <row r="408" spans="1:18" ht="16.5" customHeight="1" x14ac:dyDescent="0.25">
      <c r="A408" s="1310"/>
      <c r="B408" s="1356"/>
      <c r="C408" s="1356"/>
      <c r="D408" s="1310"/>
      <c r="E408" s="1310"/>
      <c r="F408" s="1310"/>
      <c r="G408" s="1310"/>
      <c r="H408" s="1310"/>
      <c r="I408" s="1310"/>
      <c r="J408" s="1310"/>
      <c r="K408" s="1310"/>
      <c r="L408" s="1310"/>
      <c r="M408" s="1310"/>
      <c r="N408" s="1310"/>
      <c r="O408" s="1499"/>
      <c r="P408" s="1439"/>
      <c r="Q408" s="1310"/>
      <c r="R408" s="1367"/>
    </row>
    <row r="409" spans="1:18" ht="16.5" customHeight="1" x14ac:dyDescent="0.25">
      <c r="A409" s="1310"/>
      <c r="B409" s="1356"/>
      <c r="C409" s="1356"/>
      <c r="D409" s="1310"/>
      <c r="E409" s="1310"/>
      <c r="F409" s="1310"/>
      <c r="G409" s="1310"/>
      <c r="H409" s="1310"/>
      <c r="I409" s="1310"/>
      <c r="J409" s="1310"/>
      <c r="K409" s="1310"/>
      <c r="L409" s="1310"/>
      <c r="M409" s="1310"/>
      <c r="N409" s="1310"/>
      <c r="O409" s="1499"/>
      <c r="P409" s="1439"/>
      <c r="Q409" s="1310"/>
      <c r="R409" s="1367"/>
    </row>
    <row r="410" spans="1:18" ht="16.5" customHeight="1" x14ac:dyDescent="0.25">
      <c r="A410" s="1310"/>
      <c r="B410" s="1356"/>
      <c r="C410" s="1356"/>
      <c r="D410" s="1310"/>
      <c r="E410" s="1310"/>
      <c r="F410" s="1310"/>
      <c r="G410" s="1310"/>
      <c r="H410" s="1310"/>
      <c r="I410" s="1310"/>
      <c r="J410" s="1310"/>
      <c r="K410" s="1310"/>
      <c r="L410" s="1310"/>
      <c r="M410" s="1310"/>
      <c r="N410" s="1310"/>
      <c r="O410" s="1499"/>
      <c r="P410" s="1439"/>
      <c r="Q410" s="1310"/>
      <c r="R410" s="1367"/>
    </row>
    <row r="411" spans="1:18" ht="16.5" customHeight="1" x14ac:dyDescent="0.25">
      <c r="A411" s="1310"/>
      <c r="B411" s="1356"/>
      <c r="C411" s="1356"/>
      <c r="D411" s="1310"/>
      <c r="E411" s="1310"/>
      <c r="F411" s="1310"/>
      <c r="G411" s="1310"/>
      <c r="H411" s="1310"/>
      <c r="I411" s="1310"/>
      <c r="J411" s="1310"/>
      <c r="K411" s="1310"/>
      <c r="L411" s="1310"/>
      <c r="M411" s="1310"/>
      <c r="N411" s="1310"/>
      <c r="O411" s="1499"/>
      <c r="P411" s="1439"/>
      <c r="Q411" s="1310"/>
      <c r="R411" s="1367"/>
    </row>
    <row r="412" spans="1:18" ht="16.5" customHeight="1" x14ac:dyDescent="0.25">
      <c r="A412" s="1310"/>
      <c r="B412" s="1356"/>
      <c r="C412" s="1356"/>
      <c r="D412" s="1310"/>
      <c r="E412" s="1310"/>
      <c r="F412" s="1310"/>
      <c r="G412" s="1310"/>
      <c r="H412" s="1310"/>
      <c r="I412" s="1310"/>
      <c r="J412" s="1310"/>
      <c r="K412" s="1310"/>
      <c r="L412" s="1310"/>
      <c r="M412" s="1310"/>
      <c r="N412" s="1310"/>
      <c r="O412" s="1499"/>
      <c r="P412" s="1439"/>
      <c r="Q412" s="1310"/>
      <c r="R412" s="1367"/>
    </row>
    <row r="413" spans="1:18" ht="16.5" customHeight="1" x14ac:dyDescent="0.25">
      <c r="A413" s="1310"/>
      <c r="B413" s="1356"/>
      <c r="C413" s="1356"/>
      <c r="D413" s="1310"/>
      <c r="E413" s="1310"/>
      <c r="F413" s="1310"/>
      <c r="G413" s="1310"/>
      <c r="H413" s="1310"/>
      <c r="I413" s="1310"/>
      <c r="J413" s="1310"/>
      <c r="K413" s="1310"/>
      <c r="L413" s="1310"/>
      <c r="M413" s="1310"/>
      <c r="N413" s="1310"/>
      <c r="O413" s="1499"/>
      <c r="P413" s="1439"/>
      <c r="Q413" s="1310"/>
      <c r="R413" s="1367"/>
    </row>
    <row r="414" spans="1:18" ht="16.5" customHeight="1" x14ac:dyDescent="0.25">
      <c r="A414" s="1310"/>
      <c r="B414" s="1356"/>
      <c r="C414" s="1356"/>
      <c r="D414" s="1310"/>
      <c r="E414" s="1310"/>
      <c r="F414" s="1310"/>
      <c r="G414" s="1310"/>
      <c r="H414" s="1310"/>
      <c r="I414" s="1310"/>
      <c r="J414" s="1310"/>
      <c r="K414" s="1310"/>
      <c r="L414" s="1310"/>
      <c r="M414" s="1310"/>
      <c r="N414" s="1310"/>
      <c r="O414" s="1499"/>
      <c r="P414" s="1439"/>
      <c r="Q414" s="1310"/>
      <c r="R414" s="1367"/>
    </row>
    <row r="415" spans="1:18" ht="16.5" customHeight="1" x14ac:dyDescent="0.25">
      <c r="A415" s="1310"/>
      <c r="B415" s="1356"/>
      <c r="C415" s="1356"/>
      <c r="D415" s="1310"/>
      <c r="E415" s="1310"/>
      <c r="F415" s="1310"/>
      <c r="G415" s="1310"/>
      <c r="H415" s="1310"/>
      <c r="I415" s="1310"/>
      <c r="J415" s="1310"/>
      <c r="K415" s="1310"/>
      <c r="L415" s="1310"/>
      <c r="M415" s="1310"/>
      <c r="N415" s="1310"/>
      <c r="O415" s="1499"/>
      <c r="P415" s="1439"/>
      <c r="Q415" s="1310"/>
      <c r="R415" s="1367"/>
    </row>
    <row r="416" spans="1:18" ht="16.5" customHeight="1" x14ac:dyDescent="0.25">
      <c r="A416" s="1310"/>
      <c r="B416" s="1356"/>
      <c r="C416" s="1356"/>
      <c r="D416" s="1310"/>
      <c r="E416" s="1310"/>
      <c r="F416" s="1310"/>
      <c r="G416" s="1310"/>
      <c r="H416" s="1310"/>
      <c r="I416" s="1310"/>
      <c r="J416" s="1310"/>
      <c r="K416" s="1310"/>
      <c r="L416" s="1310"/>
      <c r="M416" s="1310"/>
      <c r="N416" s="1310"/>
      <c r="O416" s="1499"/>
      <c r="P416" s="1439"/>
      <c r="Q416" s="1310"/>
      <c r="R416" s="1367"/>
    </row>
    <row r="417" spans="1:18" ht="16.5" customHeight="1" x14ac:dyDescent="0.25">
      <c r="A417" s="1310"/>
      <c r="B417" s="1356"/>
      <c r="C417" s="1356"/>
      <c r="D417" s="1310"/>
      <c r="E417" s="1310"/>
      <c r="F417" s="1310"/>
      <c r="G417" s="1310"/>
      <c r="H417" s="1310"/>
      <c r="I417" s="1310"/>
      <c r="J417" s="1310"/>
      <c r="K417" s="1310"/>
      <c r="L417" s="1310"/>
      <c r="M417" s="1310"/>
      <c r="N417" s="1310"/>
      <c r="O417" s="1499"/>
      <c r="P417" s="1439"/>
      <c r="Q417" s="1310"/>
      <c r="R417" s="1367"/>
    </row>
    <row r="418" spans="1:18" ht="16.5" customHeight="1" x14ac:dyDescent="0.25">
      <c r="A418" s="1310"/>
      <c r="B418" s="1356"/>
      <c r="C418" s="1356"/>
      <c r="D418" s="1310"/>
      <c r="E418" s="1310"/>
      <c r="F418" s="1310"/>
      <c r="G418" s="1310"/>
      <c r="H418" s="1310"/>
      <c r="I418" s="1310"/>
      <c r="J418" s="1310"/>
      <c r="K418" s="1310"/>
      <c r="L418" s="1310"/>
      <c r="M418" s="1310"/>
      <c r="N418" s="1310"/>
      <c r="O418" s="1499"/>
      <c r="P418" s="1439"/>
      <c r="Q418" s="1310"/>
      <c r="R418" s="1367"/>
    </row>
    <row r="419" spans="1:18" ht="16.5" customHeight="1" x14ac:dyDescent="0.25">
      <c r="A419" s="1310"/>
      <c r="B419" s="1356"/>
      <c r="C419" s="1356"/>
      <c r="D419" s="1310"/>
      <c r="E419" s="1310"/>
      <c r="F419" s="1310"/>
      <c r="G419" s="1310"/>
      <c r="H419" s="1310"/>
      <c r="I419" s="1310"/>
      <c r="J419" s="1310"/>
      <c r="K419" s="1310"/>
      <c r="L419" s="1310"/>
      <c r="M419" s="1310"/>
      <c r="N419" s="1310"/>
      <c r="O419" s="1499"/>
      <c r="P419" s="1439"/>
      <c r="Q419" s="1310"/>
      <c r="R419" s="1367"/>
    </row>
    <row r="420" spans="1:18" ht="16.5" customHeight="1" x14ac:dyDescent="0.25">
      <c r="A420" s="1310"/>
      <c r="B420" s="1356"/>
      <c r="C420" s="1356"/>
      <c r="D420" s="1310"/>
      <c r="E420" s="1310"/>
      <c r="F420" s="1310"/>
      <c r="G420" s="1310"/>
      <c r="H420" s="1310"/>
      <c r="I420" s="1310"/>
      <c r="J420" s="1310"/>
      <c r="K420" s="1310"/>
      <c r="L420" s="1310"/>
      <c r="M420" s="1310"/>
      <c r="N420" s="1310"/>
      <c r="O420" s="1499"/>
      <c r="P420" s="1439"/>
      <c r="Q420" s="1310"/>
      <c r="R420" s="1367"/>
    </row>
    <row r="421" spans="1:18" ht="16.5" customHeight="1" x14ac:dyDescent="0.25">
      <c r="A421" s="1310"/>
      <c r="B421" s="1356"/>
      <c r="C421" s="1356"/>
      <c r="D421" s="1310"/>
      <c r="E421" s="1310"/>
      <c r="F421" s="1310"/>
      <c r="G421" s="1310"/>
      <c r="H421" s="1310"/>
      <c r="I421" s="1310"/>
      <c r="J421" s="1310"/>
      <c r="K421" s="1310"/>
      <c r="L421" s="1310"/>
      <c r="M421" s="1310"/>
      <c r="N421" s="1310"/>
      <c r="O421" s="1499"/>
      <c r="P421" s="1439"/>
      <c r="Q421" s="1310"/>
      <c r="R421" s="1367"/>
    </row>
    <row r="422" spans="1:18" ht="16.5" customHeight="1" x14ac:dyDescent="0.25">
      <c r="A422" s="1310"/>
      <c r="B422" s="1356"/>
      <c r="C422" s="1356"/>
      <c r="D422" s="1310"/>
      <c r="E422" s="1310"/>
      <c r="F422" s="1310"/>
      <c r="G422" s="1310"/>
      <c r="H422" s="1310"/>
      <c r="I422" s="1310"/>
      <c r="J422" s="1310"/>
      <c r="K422" s="1310"/>
      <c r="L422" s="1310"/>
      <c r="M422" s="1310"/>
      <c r="N422" s="1310"/>
      <c r="O422" s="1499"/>
      <c r="P422" s="1439"/>
      <c r="Q422" s="1310"/>
      <c r="R422" s="1367"/>
    </row>
    <row r="423" spans="1:18" ht="16.5" customHeight="1" x14ac:dyDescent="0.25">
      <c r="A423" s="1310"/>
      <c r="B423" s="1356"/>
      <c r="C423" s="1356"/>
      <c r="D423" s="1310"/>
      <c r="E423" s="1310"/>
      <c r="F423" s="1310"/>
      <c r="G423" s="1310"/>
      <c r="H423" s="1310"/>
      <c r="I423" s="1310"/>
      <c r="J423" s="1310"/>
      <c r="K423" s="1310"/>
      <c r="L423" s="1310"/>
      <c r="M423" s="1310"/>
      <c r="N423" s="1310"/>
      <c r="O423" s="1499"/>
      <c r="P423" s="1439"/>
      <c r="Q423" s="1310"/>
      <c r="R423" s="1367"/>
    </row>
    <row r="424" spans="1:18" ht="16.5" customHeight="1" x14ac:dyDescent="0.25">
      <c r="A424" s="1310"/>
      <c r="B424" s="1356"/>
      <c r="C424" s="1356"/>
      <c r="D424" s="1310"/>
      <c r="E424" s="1310"/>
      <c r="F424" s="1310"/>
      <c r="G424" s="1310"/>
      <c r="H424" s="1310"/>
      <c r="I424" s="1310"/>
      <c r="J424" s="1310"/>
      <c r="K424" s="1310"/>
      <c r="L424" s="1310"/>
      <c r="M424" s="1310"/>
      <c r="N424" s="1310"/>
      <c r="O424" s="1499"/>
      <c r="P424" s="1439"/>
      <c r="Q424" s="1310"/>
      <c r="R424" s="1367"/>
    </row>
    <row r="425" spans="1:18" ht="16.5" customHeight="1" x14ac:dyDescent="0.25">
      <c r="A425" s="1310"/>
      <c r="B425" s="1356"/>
      <c r="C425" s="1356"/>
      <c r="D425" s="1310"/>
      <c r="E425" s="1310"/>
      <c r="F425" s="1310"/>
      <c r="G425" s="1310"/>
      <c r="H425" s="1310"/>
      <c r="I425" s="1310"/>
      <c r="J425" s="1310"/>
      <c r="K425" s="1310"/>
      <c r="L425" s="1310"/>
      <c r="M425" s="1310"/>
      <c r="N425" s="1310"/>
      <c r="O425" s="1499"/>
      <c r="P425" s="1439"/>
      <c r="Q425" s="1310"/>
      <c r="R425" s="1367"/>
    </row>
    <row r="426" spans="1:18" ht="16.5" customHeight="1" x14ac:dyDescent="0.25">
      <c r="A426" s="1310"/>
      <c r="B426" s="1356"/>
      <c r="C426" s="1356"/>
      <c r="D426" s="1310"/>
      <c r="E426" s="1310"/>
      <c r="F426" s="1310"/>
      <c r="G426" s="1310"/>
      <c r="H426" s="1310"/>
      <c r="I426" s="1310"/>
      <c r="J426" s="1310"/>
      <c r="K426" s="1310"/>
      <c r="L426" s="1310"/>
      <c r="M426" s="1310"/>
      <c r="N426" s="1310"/>
      <c r="O426" s="1499"/>
      <c r="P426" s="1439"/>
      <c r="Q426" s="1310"/>
      <c r="R426" s="1367"/>
    </row>
    <row r="427" spans="1:18" ht="16.5" customHeight="1" x14ac:dyDescent="0.25">
      <c r="A427" s="1310"/>
      <c r="B427" s="1356"/>
      <c r="C427" s="1356"/>
      <c r="D427" s="1310"/>
      <c r="E427" s="1310"/>
      <c r="F427" s="1310"/>
      <c r="G427" s="1310"/>
      <c r="H427" s="1310"/>
      <c r="I427" s="1310"/>
      <c r="J427" s="1310"/>
      <c r="K427" s="1310"/>
      <c r="L427" s="1310"/>
      <c r="M427" s="1310"/>
      <c r="N427" s="1310"/>
      <c r="O427" s="1499"/>
      <c r="P427" s="1439"/>
      <c r="Q427" s="1310"/>
      <c r="R427" s="1367"/>
    </row>
    <row r="428" spans="1:18" ht="16.5" customHeight="1" x14ac:dyDescent="0.25">
      <c r="A428" s="1310"/>
      <c r="B428" s="1356"/>
      <c r="C428" s="1356"/>
      <c r="D428" s="1310"/>
      <c r="E428" s="1310"/>
      <c r="F428" s="1310"/>
      <c r="G428" s="1310"/>
      <c r="H428" s="1310"/>
      <c r="I428" s="1310"/>
      <c r="J428" s="1310"/>
      <c r="K428" s="1310"/>
      <c r="L428" s="1310"/>
      <c r="M428" s="1310"/>
      <c r="N428" s="1310"/>
      <c r="O428" s="1499"/>
      <c r="P428" s="1439"/>
      <c r="Q428" s="1310"/>
      <c r="R428" s="1367"/>
    </row>
    <row r="429" spans="1:18" ht="16.5" customHeight="1" x14ac:dyDescent="0.25">
      <c r="A429" s="1310"/>
      <c r="B429" s="1356"/>
      <c r="C429" s="1356"/>
      <c r="D429" s="1310"/>
      <c r="E429" s="1310"/>
      <c r="F429" s="1310"/>
      <c r="G429" s="1310"/>
      <c r="H429" s="1310"/>
      <c r="I429" s="1310"/>
      <c r="J429" s="1310"/>
      <c r="K429" s="1310"/>
      <c r="L429" s="1310"/>
      <c r="M429" s="1310"/>
      <c r="N429" s="1310"/>
      <c r="O429" s="1499"/>
      <c r="P429" s="1439"/>
      <c r="Q429" s="1310"/>
      <c r="R429" s="1367"/>
    </row>
    <row r="430" spans="1:18" ht="16.5" customHeight="1" x14ac:dyDescent="0.25">
      <c r="A430" s="1310"/>
      <c r="B430" s="1356"/>
      <c r="C430" s="1356"/>
      <c r="D430" s="1310"/>
      <c r="E430" s="1310"/>
      <c r="F430" s="1310"/>
      <c r="G430" s="1310"/>
      <c r="H430" s="1310"/>
      <c r="I430" s="1310"/>
      <c r="J430" s="1310"/>
      <c r="K430" s="1310"/>
      <c r="L430" s="1310"/>
      <c r="M430" s="1310"/>
      <c r="N430" s="1310"/>
      <c r="O430" s="1499"/>
      <c r="P430" s="1439"/>
      <c r="Q430" s="1310"/>
      <c r="R430" s="1367"/>
    </row>
    <row r="431" spans="1:18" ht="16.5" customHeight="1" x14ac:dyDescent="0.25">
      <c r="A431" s="1310"/>
      <c r="B431" s="1356"/>
      <c r="C431" s="1356"/>
      <c r="D431" s="1310"/>
      <c r="E431" s="1310"/>
      <c r="F431" s="1310"/>
      <c r="G431" s="1310"/>
      <c r="H431" s="1310"/>
      <c r="I431" s="1310"/>
      <c r="J431" s="1310"/>
      <c r="K431" s="1310"/>
      <c r="L431" s="1310"/>
      <c r="M431" s="1310"/>
      <c r="N431" s="1310"/>
      <c r="O431" s="1499"/>
      <c r="P431" s="1439"/>
      <c r="Q431" s="1310"/>
      <c r="R431" s="1367"/>
    </row>
    <row r="432" spans="1:18" ht="16.5" customHeight="1" x14ac:dyDescent="0.25">
      <c r="A432" s="1310"/>
      <c r="B432" s="1356"/>
      <c r="C432" s="1356"/>
      <c r="D432" s="1310"/>
      <c r="E432" s="1310"/>
      <c r="F432" s="1310"/>
      <c r="G432" s="1310"/>
      <c r="H432" s="1310"/>
      <c r="I432" s="1310"/>
      <c r="J432" s="1310"/>
      <c r="K432" s="1310"/>
      <c r="L432" s="1310"/>
      <c r="M432" s="1310"/>
      <c r="N432" s="1310"/>
      <c r="O432" s="1499"/>
      <c r="P432" s="1439"/>
      <c r="Q432" s="1310"/>
      <c r="R432" s="1367"/>
    </row>
    <row r="433" spans="1:18" ht="16.5" customHeight="1" x14ac:dyDescent="0.25">
      <c r="A433" s="1310"/>
      <c r="B433" s="1356"/>
      <c r="C433" s="1356"/>
      <c r="D433" s="1310"/>
      <c r="E433" s="1310"/>
      <c r="F433" s="1310"/>
      <c r="G433" s="1310"/>
      <c r="H433" s="1310"/>
      <c r="I433" s="1310"/>
      <c r="J433" s="1310"/>
      <c r="K433" s="1310"/>
      <c r="L433" s="1310"/>
      <c r="M433" s="1310"/>
      <c r="N433" s="1310"/>
      <c r="O433" s="1499"/>
      <c r="P433" s="1439"/>
      <c r="Q433" s="1310"/>
      <c r="R433" s="1367"/>
    </row>
    <row r="434" spans="1:18" ht="16.5" customHeight="1" x14ac:dyDescent="0.25">
      <c r="A434" s="1310"/>
      <c r="B434" s="1356"/>
      <c r="C434" s="1356"/>
      <c r="D434" s="1310"/>
      <c r="E434" s="1310"/>
      <c r="F434" s="1310"/>
      <c r="G434" s="1310"/>
      <c r="H434" s="1310"/>
      <c r="I434" s="1310"/>
      <c r="J434" s="1310"/>
      <c r="K434" s="1310"/>
      <c r="L434" s="1310"/>
      <c r="M434" s="1310"/>
      <c r="N434" s="1310"/>
      <c r="O434" s="1499"/>
      <c r="P434" s="1439"/>
      <c r="Q434" s="1310"/>
      <c r="R434" s="1367"/>
    </row>
    <row r="435" spans="1:18" ht="16.5" customHeight="1" x14ac:dyDescent="0.25">
      <c r="A435" s="1310"/>
      <c r="B435" s="1356"/>
      <c r="C435" s="1356"/>
      <c r="D435" s="1310"/>
      <c r="E435" s="1310"/>
      <c r="F435" s="1310"/>
      <c r="G435" s="1310"/>
      <c r="H435" s="1310"/>
      <c r="I435" s="1310"/>
      <c r="J435" s="1310"/>
      <c r="K435" s="1310"/>
      <c r="L435" s="1310"/>
      <c r="M435" s="1310"/>
      <c r="N435" s="1310"/>
      <c r="O435" s="1499"/>
      <c r="P435" s="1439"/>
      <c r="Q435" s="1310"/>
      <c r="R435" s="1367"/>
    </row>
    <row r="436" spans="1:18" ht="16.5" customHeight="1" x14ac:dyDescent="0.25">
      <c r="A436" s="1310"/>
      <c r="B436" s="1356"/>
      <c r="C436" s="1356"/>
      <c r="D436" s="1310"/>
      <c r="E436" s="1310"/>
      <c r="F436" s="1310"/>
      <c r="G436" s="1310"/>
      <c r="H436" s="1310"/>
      <c r="I436" s="1310"/>
      <c r="J436" s="1310"/>
      <c r="K436" s="1310"/>
      <c r="L436" s="1310"/>
      <c r="M436" s="1310"/>
      <c r="N436" s="1310"/>
      <c r="O436" s="1499"/>
      <c r="P436" s="1439"/>
      <c r="Q436" s="1310"/>
      <c r="R436" s="1367"/>
    </row>
    <row r="437" spans="1:18" ht="16.5" customHeight="1" x14ac:dyDescent="0.25">
      <c r="A437" s="1310"/>
      <c r="B437" s="1356"/>
      <c r="C437" s="1356"/>
      <c r="D437" s="1310"/>
      <c r="E437" s="1310"/>
      <c r="F437" s="1310"/>
      <c r="G437" s="1310"/>
      <c r="H437" s="1310"/>
      <c r="I437" s="1310"/>
      <c r="J437" s="1310"/>
      <c r="K437" s="1310"/>
      <c r="L437" s="1310"/>
      <c r="M437" s="1310"/>
      <c r="N437" s="1310"/>
      <c r="O437" s="1499"/>
      <c r="P437" s="1439"/>
      <c r="Q437" s="1310"/>
      <c r="R437" s="1367"/>
    </row>
    <row r="438" spans="1:18" ht="16.5" customHeight="1" x14ac:dyDescent="0.25">
      <c r="A438" s="1310"/>
      <c r="B438" s="1356"/>
      <c r="C438" s="1356"/>
      <c r="D438" s="1310"/>
      <c r="E438" s="1310"/>
      <c r="F438" s="1310"/>
      <c r="G438" s="1310"/>
      <c r="H438" s="1310"/>
      <c r="I438" s="1310"/>
      <c r="J438" s="1310"/>
      <c r="K438" s="1310"/>
      <c r="L438" s="1310"/>
      <c r="M438" s="1310"/>
      <c r="N438" s="1310"/>
      <c r="O438" s="1499"/>
      <c r="P438" s="1439"/>
      <c r="Q438" s="1310"/>
      <c r="R438" s="1367"/>
    </row>
    <row r="439" spans="1:18" ht="16.5" customHeight="1" x14ac:dyDescent="0.25">
      <c r="A439" s="1310"/>
      <c r="B439" s="1356"/>
      <c r="C439" s="1356"/>
      <c r="D439" s="1310"/>
      <c r="E439" s="1310"/>
      <c r="F439" s="1310"/>
      <c r="G439" s="1310"/>
      <c r="H439" s="1310"/>
      <c r="I439" s="1310"/>
      <c r="J439" s="1310"/>
      <c r="K439" s="1310"/>
      <c r="L439" s="1310"/>
      <c r="M439" s="1310"/>
      <c r="N439" s="1310"/>
      <c r="O439" s="1499"/>
      <c r="P439" s="1439"/>
      <c r="Q439" s="1310"/>
      <c r="R439" s="1367"/>
    </row>
    <row r="440" spans="1:18" ht="16.5" customHeight="1" x14ac:dyDescent="0.25">
      <c r="A440" s="1310"/>
      <c r="B440" s="1356"/>
      <c r="C440" s="1356"/>
      <c r="D440" s="1310"/>
      <c r="E440" s="1310"/>
      <c r="F440" s="1310"/>
      <c r="G440" s="1310"/>
      <c r="H440" s="1310"/>
      <c r="I440" s="1310"/>
      <c r="J440" s="1310"/>
      <c r="K440" s="1310"/>
      <c r="L440" s="1310"/>
      <c r="M440" s="1310"/>
      <c r="N440" s="1310"/>
      <c r="O440" s="1499"/>
      <c r="P440" s="1439"/>
      <c r="Q440" s="1310"/>
      <c r="R440" s="1367"/>
    </row>
    <row r="441" spans="1:18" ht="16.5" customHeight="1" x14ac:dyDescent="0.25">
      <c r="A441" s="1310"/>
      <c r="B441" s="1356"/>
      <c r="C441" s="1356"/>
      <c r="D441" s="1310"/>
      <c r="E441" s="1310"/>
      <c r="F441" s="1310"/>
      <c r="G441" s="1310"/>
      <c r="H441" s="1310"/>
      <c r="I441" s="1310"/>
      <c r="J441" s="1310"/>
      <c r="K441" s="1310"/>
      <c r="L441" s="1310"/>
      <c r="M441" s="1310"/>
      <c r="N441" s="1310"/>
      <c r="O441" s="1499"/>
      <c r="P441" s="1439"/>
      <c r="Q441" s="1310"/>
      <c r="R441" s="1367"/>
    </row>
    <row r="442" spans="1:18" ht="16.5" customHeight="1" x14ac:dyDescent="0.25">
      <c r="A442" s="1310"/>
      <c r="B442" s="1356"/>
      <c r="C442" s="1356"/>
      <c r="D442" s="1310"/>
      <c r="E442" s="1310"/>
      <c r="F442" s="1310"/>
      <c r="G442" s="1310"/>
      <c r="H442" s="1310"/>
      <c r="I442" s="1310"/>
      <c r="J442" s="1310"/>
      <c r="K442" s="1310"/>
      <c r="L442" s="1310"/>
      <c r="M442" s="1310"/>
      <c r="N442" s="1310"/>
      <c r="O442" s="1499"/>
      <c r="P442" s="1439"/>
      <c r="Q442" s="1310"/>
      <c r="R442" s="1367"/>
    </row>
    <row r="443" spans="1:18" ht="16.5" customHeight="1" x14ac:dyDescent="0.25">
      <c r="A443" s="1310"/>
      <c r="B443" s="1356"/>
      <c r="C443" s="1356"/>
      <c r="D443" s="1310"/>
      <c r="E443" s="1310"/>
      <c r="F443" s="1310"/>
      <c r="G443" s="1310"/>
      <c r="H443" s="1310"/>
      <c r="I443" s="1310"/>
      <c r="J443" s="1310"/>
      <c r="K443" s="1310"/>
      <c r="L443" s="1310"/>
      <c r="M443" s="1310"/>
      <c r="N443" s="1310"/>
      <c r="O443" s="1499"/>
      <c r="P443" s="1439"/>
      <c r="Q443" s="1310"/>
      <c r="R443" s="1367"/>
    </row>
    <row r="444" spans="1:18" ht="16.5" customHeight="1" x14ac:dyDescent="0.25">
      <c r="A444" s="1310"/>
      <c r="B444" s="1356"/>
      <c r="C444" s="1356"/>
      <c r="D444" s="1310"/>
      <c r="E444" s="1310"/>
      <c r="F444" s="1310"/>
      <c r="G444" s="1310"/>
      <c r="H444" s="1310"/>
      <c r="I444" s="1310"/>
      <c r="J444" s="1310"/>
      <c r="K444" s="1310"/>
      <c r="L444" s="1310"/>
      <c r="M444" s="1310"/>
      <c r="N444" s="1310"/>
      <c r="O444" s="1499"/>
      <c r="P444" s="1439"/>
      <c r="Q444" s="1310"/>
      <c r="R444" s="1367"/>
    </row>
    <row r="445" spans="1:18" ht="16.5" customHeight="1" x14ac:dyDescent="0.25">
      <c r="A445" s="1310"/>
      <c r="B445" s="1356"/>
      <c r="C445" s="1356"/>
      <c r="D445" s="1310"/>
      <c r="E445" s="1310"/>
      <c r="F445" s="1310"/>
      <c r="G445" s="1310"/>
      <c r="H445" s="1310"/>
      <c r="I445" s="1310"/>
      <c r="J445" s="1310"/>
      <c r="K445" s="1310"/>
      <c r="L445" s="1310"/>
      <c r="M445" s="1310"/>
      <c r="N445" s="1310"/>
      <c r="O445" s="1499"/>
      <c r="P445" s="1439"/>
      <c r="Q445" s="1310"/>
      <c r="R445" s="1367"/>
    </row>
    <row r="446" spans="1:18" ht="16.5" customHeight="1" x14ac:dyDescent="0.25">
      <c r="A446" s="1310"/>
      <c r="B446" s="1356"/>
      <c r="C446" s="1356"/>
      <c r="D446" s="1310"/>
      <c r="E446" s="1310"/>
      <c r="F446" s="1310"/>
      <c r="G446" s="1310"/>
      <c r="H446" s="1310"/>
      <c r="I446" s="1310"/>
      <c r="J446" s="1310"/>
      <c r="K446" s="1310"/>
      <c r="L446" s="1310"/>
      <c r="M446" s="1310"/>
      <c r="N446" s="1310"/>
      <c r="O446" s="1499"/>
      <c r="P446" s="1439"/>
      <c r="Q446" s="1310"/>
      <c r="R446" s="1367"/>
    </row>
    <row r="447" spans="1:18" ht="16.5" customHeight="1" x14ac:dyDescent="0.25">
      <c r="A447" s="1310"/>
      <c r="B447" s="1356"/>
      <c r="C447" s="1356"/>
      <c r="D447" s="1310"/>
      <c r="E447" s="1310"/>
      <c r="F447" s="1310"/>
      <c r="G447" s="1310"/>
      <c r="H447" s="1310"/>
      <c r="I447" s="1310"/>
      <c r="J447" s="1310"/>
      <c r="K447" s="1310"/>
      <c r="L447" s="1310"/>
      <c r="M447" s="1310"/>
      <c r="N447" s="1310"/>
      <c r="O447" s="1499"/>
      <c r="P447" s="1439"/>
      <c r="Q447" s="1310"/>
      <c r="R447" s="1367"/>
    </row>
    <row r="448" spans="1:18" ht="16.5" customHeight="1" x14ac:dyDescent="0.25">
      <c r="A448" s="1310"/>
      <c r="B448" s="1356"/>
      <c r="C448" s="1356"/>
      <c r="D448" s="1310"/>
      <c r="E448" s="1310"/>
      <c r="F448" s="1310"/>
      <c r="G448" s="1310"/>
      <c r="H448" s="1310"/>
      <c r="I448" s="1310"/>
      <c r="J448" s="1310"/>
      <c r="K448" s="1310"/>
      <c r="L448" s="1310"/>
      <c r="M448" s="1310"/>
      <c r="N448" s="1310"/>
      <c r="O448" s="1499"/>
      <c r="P448" s="1439"/>
      <c r="Q448" s="1310"/>
      <c r="R448" s="1367"/>
    </row>
    <row r="449" spans="1:18" ht="16.5" customHeight="1" x14ac:dyDescent="0.25">
      <c r="A449" s="1310"/>
      <c r="B449" s="1356"/>
      <c r="C449" s="1356"/>
      <c r="D449" s="1310"/>
      <c r="E449" s="1310"/>
      <c r="F449" s="1310"/>
      <c r="G449" s="1310"/>
      <c r="H449" s="1310"/>
      <c r="I449" s="1310"/>
      <c r="J449" s="1310"/>
      <c r="K449" s="1310"/>
      <c r="L449" s="1310"/>
      <c r="M449" s="1310"/>
      <c r="N449" s="1310"/>
      <c r="O449" s="1499"/>
      <c r="P449" s="1439"/>
      <c r="Q449" s="1310"/>
      <c r="R449" s="1367"/>
    </row>
    <row r="450" spans="1:18" ht="16.5" customHeight="1" x14ac:dyDescent="0.25">
      <c r="A450" s="1310"/>
      <c r="B450" s="1356"/>
      <c r="C450" s="1356"/>
      <c r="D450" s="1310"/>
      <c r="E450" s="1310"/>
      <c r="F450" s="1310"/>
      <c r="G450" s="1310"/>
      <c r="H450" s="1310"/>
      <c r="I450" s="1310"/>
      <c r="J450" s="1310"/>
      <c r="K450" s="1310"/>
      <c r="L450" s="1310"/>
      <c r="M450" s="1310"/>
      <c r="N450" s="1310"/>
      <c r="O450" s="1499"/>
      <c r="P450" s="1439"/>
      <c r="Q450" s="1310"/>
      <c r="R450" s="1367"/>
    </row>
    <row r="451" spans="1:18" ht="16.5" customHeight="1" x14ac:dyDescent="0.25">
      <c r="A451" s="1310"/>
      <c r="B451" s="1356"/>
      <c r="C451" s="1356"/>
      <c r="D451" s="1310"/>
      <c r="E451" s="1310"/>
      <c r="F451" s="1310"/>
      <c r="G451" s="1310"/>
      <c r="H451" s="1310"/>
      <c r="I451" s="1310"/>
      <c r="J451" s="1310"/>
      <c r="K451" s="1310"/>
      <c r="L451" s="1310"/>
      <c r="M451" s="1310"/>
      <c r="N451" s="1310"/>
      <c r="O451" s="1499"/>
      <c r="P451" s="1439"/>
      <c r="Q451" s="1310"/>
      <c r="R451" s="1367"/>
    </row>
    <row r="452" spans="1:18" ht="16.5" customHeight="1" x14ac:dyDescent="0.25">
      <c r="A452" s="1310"/>
      <c r="B452" s="1356"/>
      <c r="C452" s="1356"/>
      <c r="D452" s="1310"/>
      <c r="E452" s="1310"/>
      <c r="F452" s="1310"/>
      <c r="G452" s="1310"/>
      <c r="H452" s="1310"/>
      <c r="I452" s="1310"/>
      <c r="J452" s="1310"/>
      <c r="K452" s="1310"/>
      <c r="L452" s="1310"/>
      <c r="M452" s="1310"/>
      <c r="N452" s="1310"/>
      <c r="O452" s="1499"/>
      <c r="P452" s="1439"/>
      <c r="Q452" s="1310"/>
      <c r="R452" s="1367"/>
    </row>
    <row r="453" spans="1:18" ht="16.5" customHeight="1" x14ac:dyDescent="0.25">
      <c r="A453" s="1310"/>
      <c r="B453" s="1356"/>
      <c r="C453" s="1356"/>
      <c r="D453" s="1310"/>
      <c r="E453" s="1310"/>
      <c r="F453" s="1310"/>
      <c r="G453" s="1310"/>
      <c r="H453" s="1310"/>
      <c r="I453" s="1310"/>
      <c r="J453" s="1310"/>
      <c r="K453" s="1310"/>
      <c r="L453" s="1310"/>
      <c r="M453" s="1310"/>
      <c r="N453" s="1310"/>
      <c r="O453" s="1499"/>
      <c r="P453" s="1439"/>
      <c r="Q453" s="1310"/>
      <c r="R453" s="1367"/>
    </row>
  </sheetData>
  <mergeCells count="8">
    <mergeCell ref="R2:R3"/>
    <mergeCell ref="J1:Q1"/>
    <mergeCell ref="A2:A3"/>
    <mergeCell ref="B2:B3"/>
    <mergeCell ref="C2:C3"/>
    <mergeCell ref="D2:N3"/>
    <mergeCell ref="P2:P3"/>
    <mergeCell ref="Q2:Q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42464-F92C-4A1A-A8D5-B58AFB69DD14}">
  <sheetPr>
    <tabColor rgb="FF00B050"/>
  </sheetPr>
  <dimension ref="A1:K92"/>
  <sheetViews>
    <sheetView workbookViewId="0">
      <selection activeCell="B40" sqref="B40"/>
    </sheetView>
  </sheetViews>
  <sheetFormatPr baseColWidth="10" defaultColWidth="11.42578125" defaultRowHeight="24" x14ac:dyDescent="0.25"/>
  <cols>
    <col min="1" max="1" width="42.5703125" style="1288" customWidth="1"/>
    <col min="2" max="2" width="44.28515625" style="1286" customWidth="1"/>
    <col min="3" max="3" width="34" style="1286" customWidth="1"/>
    <col min="4" max="7" width="11.42578125" style="1285"/>
    <col min="8" max="8" width="28.5703125" style="1285" customWidth="1"/>
    <col min="9" max="10" width="32.5703125" style="1285" bestFit="1" customWidth="1"/>
    <col min="11" max="11" width="28.42578125" style="1285" customWidth="1"/>
    <col min="12" max="16384" width="11.42578125" style="1285"/>
  </cols>
  <sheetData>
    <row r="1" spans="1:3" ht="45" x14ac:dyDescent="0.25">
      <c r="A1" s="1275" t="s">
        <v>946</v>
      </c>
      <c r="B1" s="1276" t="s">
        <v>3267</v>
      </c>
      <c r="C1" s="1276" t="s">
        <v>956</v>
      </c>
    </row>
    <row r="2" spans="1:3" x14ac:dyDescent="0.25">
      <c r="A2" s="1278" t="s">
        <v>950</v>
      </c>
      <c r="B2" s="1279">
        <f>+B3+B4</f>
        <v>208123169000</v>
      </c>
      <c r="C2" s="1280">
        <f t="shared" ref="C2:C9" si="0">+B2/$B$9</f>
        <v>0.40947097492014106</v>
      </c>
    </row>
    <row r="3" spans="1:3" x14ac:dyDescent="0.25">
      <c r="A3" s="1281" t="s">
        <v>951</v>
      </c>
      <c r="B3" s="1282">
        <f>+'F Y U 2024 Presupuesto OK RED'!C7</f>
        <v>32803406000</v>
      </c>
      <c r="C3" s="1283">
        <f t="shared" si="0"/>
        <v>6.4538910780861714E-2</v>
      </c>
    </row>
    <row r="4" spans="1:3" x14ac:dyDescent="0.25">
      <c r="A4" s="1281" t="s">
        <v>952</v>
      </c>
      <c r="B4" s="1282">
        <f>SUM('F Y U 2024 Presupuesto OK RED'!C8:C51)+'F Y U 2024 Presupuesto OK RED'!C111+'F Y U 2024 Presupuesto OK RED'!C115</f>
        <v>175319763000</v>
      </c>
      <c r="C4" s="1283">
        <f t="shared" si="0"/>
        <v>0.34493206413927935</v>
      </c>
    </row>
    <row r="5" spans="1:3" x14ac:dyDescent="0.25">
      <c r="A5" s="1278" t="s">
        <v>954</v>
      </c>
      <c r="B5" s="1279">
        <f>+'F Y U 2024 Presupuesto OK RED'!C71</f>
        <v>9817000000</v>
      </c>
      <c r="C5" s="1280">
        <f t="shared" si="0"/>
        <v>1.9314411653952014E-2</v>
      </c>
    </row>
    <row r="6" spans="1:3" x14ac:dyDescent="0.25">
      <c r="A6" s="1278" t="s">
        <v>953</v>
      </c>
      <c r="B6" s="1279">
        <f>+B7+B8</f>
        <v>290333144000</v>
      </c>
      <c r="C6" s="1280">
        <f t="shared" si="0"/>
        <v>0.57121461342590696</v>
      </c>
    </row>
    <row r="7" spans="1:3" hidden="1" x14ac:dyDescent="0.25">
      <c r="A7" s="1281" t="s">
        <v>958</v>
      </c>
      <c r="B7" s="1282">
        <f>+'F Y U 2024 Presupuesto OK RED'!C84</f>
        <v>219289311000</v>
      </c>
      <c r="C7" s="1283">
        <f t="shared" si="0"/>
        <v>0.43143974981822425</v>
      </c>
    </row>
    <row r="8" spans="1:3" hidden="1" x14ac:dyDescent="0.25">
      <c r="A8" s="1281" t="s">
        <v>959</v>
      </c>
      <c r="B8" s="1282">
        <f>+'F Y U 2024 Presupuesto OK RED'!C108</f>
        <v>71043833000</v>
      </c>
      <c r="C8" s="1283">
        <f t="shared" si="0"/>
        <v>0.13977486360768265</v>
      </c>
    </row>
    <row r="9" spans="1:3" ht="45" x14ac:dyDescent="0.25">
      <c r="A9" s="1277" t="s">
        <v>949</v>
      </c>
      <c r="B9" s="1284">
        <f>+B6+B5+B2</f>
        <v>508273313000</v>
      </c>
      <c r="C9" s="1280">
        <f t="shared" si="0"/>
        <v>1</v>
      </c>
    </row>
    <row r="12" spans="1:3" ht="45" x14ac:dyDescent="0.25">
      <c r="A12" s="1275" t="s">
        <v>3268</v>
      </c>
      <c r="B12" s="1276" t="s">
        <v>3267</v>
      </c>
      <c r="C12" s="1276" t="s">
        <v>956</v>
      </c>
    </row>
    <row r="13" spans="1:3" ht="45" x14ac:dyDescent="0.25">
      <c r="A13" s="1278" t="s">
        <v>2127</v>
      </c>
      <c r="B13" s="1279">
        <f>SUM(B14:B24)</f>
        <v>157753937382.48801</v>
      </c>
      <c r="C13" s="1280">
        <f>+B13/$B$32</f>
        <v>0.31037226104076021</v>
      </c>
    </row>
    <row r="14" spans="1:3" ht="48" hidden="1" x14ac:dyDescent="0.25">
      <c r="A14" s="1281" t="str">
        <f>+'F Y U 2024 Presupuesto OK RED'!B141</f>
        <v xml:space="preserve">   Asamblea Departamental</v>
      </c>
      <c r="B14" s="1287">
        <f>+'F Y U 2024 Presupuesto OK RED'!C141</f>
        <v>4668913388</v>
      </c>
      <c r="C14" s="1289">
        <f>+B14/$B$32</f>
        <v>9.1858322453376579E-3</v>
      </c>
    </row>
    <row r="15" spans="1:3" ht="48" hidden="1" x14ac:dyDescent="0.25">
      <c r="A15" s="1281" t="str">
        <f>+'F Y U 2024 Presupuesto OK RED'!B142</f>
        <v xml:space="preserve">   Contraloría Departamental RO</v>
      </c>
      <c r="B15" s="1287">
        <f>+'F Y U 2024 Presupuesto OK RED'!C142</f>
        <v>4107414585.888</v>
      </c>
      <c r="C15" s="1289">
        <f t="shared" ref="C15:C31" si="1">+B15/$B$32</f>
        <v>8.0811140007423527E-3</v>
      </c>
    </row>
    <row r="16" spans="1:3" ht="72" hidden="1" x14ac:dyDescent="0.25">
      <c r="A16" s="1281" t="str">
        <f>+'F Y U 2024 Presupuesto OK RED'!B143</f>
        <v xml:space="preserve">   Contraloría Departamental Cuota de Fiscalizacion</v>
      </c>
      <c r="B16" s="1287">
        <f>+'F Y U 2024 Presupuesto OK RED'!C143</f>
        <v>681193000</v>
      </c>
      <c r="C16" s="1289">
        <f t="shared" si="1"/>
        <v>1.3402100456137859E-3</v>
      </c>
    </row>
    <row r="17" spans="1:11" ht="48" hidden="1" x14ac:dyDescent="0.25">
      <c r="A17" s="1281" t="str">
        <f>+'F Y U 2024 Presupuesto OK RED'!B144</f>
        <v>Acuerdo de Pago Fonpet 2024</v>
      </c>
      <c r="B17" s="1287">
        <f>+'F Y U 2024 Presupuesto OK RED'!C144</f>
        <v>2538098716</v>
      </c>
      <c r="C17" s="1289">
        <f t="shared" si="1"/>
        <v>4.9935706854630788E-3</v>
      </c>
    </row>
    <row r="18" spans="1:11" ht="96" hidden="1" x14ac:dyDescent="0.25">
      <c r="A18" s="1281" t="str">
        <f>+'F Y U 2024 Presupuesto OK RED'!B145</f>
        <v xml:space="preserve">  Funcionamiento Gobernación Administracion Central RO</v>
      </c>
      <c r="B18" s="1287">
        <f>+'F Y U 2024 Presupuesto OK RED'!C145</f>
        <v>51886509235</v>
      </c>
      <c r="C18" s="1289">
        <f t="shared" si="1"/>
        <v>0.10208387477349219</v>
      </c>
    </row>
    <row r="19" spans="1:11" ht="72" hidden="1" x14ac:dyDescent="0.25">
      <c r="A19" s="1281" t="str">
        <f>+'F Y U 2024 Presupuesto OK RED'!B146</f>
        <v xml:space="preserve"> Funcionamiento Educacion RO pago universidad</v>
      </c>
      <c r="B19" s="1287">
        <f>+'F Y U 2024 Presupuesto OK RED'!C146</f>
        <v>7000000000</v>
      </c>
      <c r="C19" s="1289">
        <f t="shared" si="1"/>
        <v>1.3772117915622299E-2</v>
      </c>
    </row>
    <row r="20" spans="1:11" ht="48" hidden="1" x14ac:dyDescent="0.25">
      <c r="A20" s="1281" t="str">
        <f>+'F Y U 2024 Presupuesto OK RED'!B147</f>
        <v xml:space="preserve"> Funcionamiento Salud RO</v>
      </c>
      <c r="B20" s="1287">
        <f>+'F Y U 2024 Presupuesto OK RED'!C147</f>
        <v>5863258961.6000004</v>
      </c>
      <c r="C20" s="1289">
        <f t="shared" si="1"/>
        <v>1.1535641969854909E-2</v>
      </c>
    </row>
    <row r="21" spans="1:11" ht="48" hidden="1" x14ac:dyDescent="0.25">
      <c r="A21" s="1281" t="str">
        <f>+'F Y U 2024 Presupuesto OK RED'!B148</f>
        <v xml:space="preserve"> Funcionamiento Salud Destinado</v>
      </c>
      <c r="B21" s="1287">
        <f>+'F Y U 2024 Presupuesto OK RED'!C148</f>
        <v>10015793400</v>
      </c>
      <c r="C21" s="1289">
        <f t="shared" si="1"/>
        <v>1.9705526817615938E-2</v>
      </c>
    </row>
    <row r="22" spans="1:11" ht="72" hidden="1" x14ac:dyDescent="0.25">
      <c r="A22" s="1281" t="str">
        <f>+'F Y U 2024 Presupuesto OK RED'!B149</f>
        <v xml:space="preserve">   Gobernación Destinado a Funcionamiento</v>
      </c>
      <c r="B22" s="1287">
        <f>+'F Y U 2024 Presupuesto OK RED'!C149</f>
        <v>25968006000</v>
      </c>
      <c r="C22" s="1289">
        <f t="shared" si="1"/>
        <v>5.1090634380798187E-2</v>
      </c>
    </row>
    <row r="23" spans="1:11" ht="48" hidden="1" x14ac:dyDescent="0.25">
      <c r="A23" s="1281" t="str">
        <f>+'F Y U 2024 Presupuesto OK RED'!B150</f>
        <v xml:space="preserve">Transfrencias de Capital Ro </v>
      </c>
      <c r="B23" s="1287">
        <f>+'F Y U 2024 Presupuesto OK RED'!C150</f>
        <v>17103048096</v>
      </c>
      <c r="C23" s="1289">
        <f t="shared" si="1"/>
        <v>3.3649313584953065E-2</v>
      </c>
    </row>
    <row r="24" spans="1:11" ht="67.5" hidden="1" x14ac:dyDescent="0.25">
      <c r="A24" s="1281" t="str">
        <f>+'F Y U 2024 Presupuesto OK RED'!B151</f>
        <v>Transferencias de Capital</v>
      </c>
      <c r="B24" s="1287">
        <f>+'F Y U 2024 Presupuesto OK RED'!C151</f>
        <v>27921702000</v>
      </c>
      <c r="C24" s="1289">
        <f t="shared" si="1"/>
        <v>5.4934424621266707E-2</v>
      </c>
      <c r="H24" s="1276" t="s">
        <v>3270</v>
      </c>
      <c r="I24" s="1276" t="s">
        <v>3272</v>
      </c>
      <c r="J24" s="1276" t="s">
        <v>3273</v>
      </c>
      <c r="K24" s="1276" t="s">
        <v>3271</v>
      </c>
    </row>
    <row r="25" spans="1:11" x14ac:dyDescent="0.25">
      <c r="A25" s="1278" t="s">
        <v>3269</v>
      </c>
      <c r="B25" s="1279">
        <f>+B26+B27</f>
        <v>11236130586.506001</v>
      </c>
      <c r="C25" s="1280">
        <f>+B25/$B$32</f>
        <v>2.2106473621812995E-2</v>
      </c>
      <c r="H25" s="1279">
        <v>2023</v>
      </c>
      <c r="I25" s="1287"/>
      <c r="J25" s="1287">
        <v>25826027193.809998</v>
      </c>
      <c r="K25" s="1289">
        <v>0.4225111958168099</v>
      </c>
    </row>
    <row r="26" spans="1:11" hidden="1" x14ac:dyDescent="0.25">
      <c r="A26" s="1281" t="str">
        <f>+'F Y U 2024 Presupuesto OK RED'!B155</f>
        <v xml:space="preserve">   Con Recursos ACPM</v>
      </c>
      <c r="B26" s="1287">
        <f>+'F Y U 2024 Presupuesto OK RED'!C155</f>
        <v>2871110000</v>
      </c>
      <c r="C26" s="1289">
        <f t="shared" si="1"/>
        <v>5.6487522098174767E-3</v>
      </c>
      <c r="H26" s="1279">
        <v>2022</v>
      </c>
      <c r="I26" s="1287">
        <v>26249586900.420002</v>
      </c>
      <c r="J26" s="1287">
        <v>18155236506.93</v>
      </c>
      <c r="K26" s="1289">
        <v>0.2522098215554669</v>
      </c>
    </row>
    <row r="27" spans="1:11" hidden="1" x14ac:dyDescent="0.25">
      <c r="A27" s="1281" t="str">
        <f>+'F Y U 2024 Presupuesto OK RED'!B156</f>
        <v xml:space="preserve">   Con Recursos RO</v>
      </c>
      <c r="B27" s="1287">
        <f>+'F Y U 2024 Presupuesto OK RED'!C156</f>
        <v>8365020586.5060005</v>
      </c>
      <c r="C27" s="1289">
        <f t="shared" si="1"/>
        <v>1.6457721411995519E-2</v>
      </c>
      <c r="H27" s="1279">
        <v>2021</v>
      </c>
      <c r="I27" s="1287">
        <v>22354500899.290001</v>
      </c>
      <c r="J27" s="1287">
        <v>14498557825.059999</v>
      </c>
      <c r="K27" s="1289"/>
    </row>
    <row r="28" spans="1:11" x14ac:dyDescent="0.25">
      <c r="A28" s="1278" t="s">
        <v>1857</v>
      </c>
      <c r="B28" s="1279">
        <f>+B29+B30+B31</f>
        <v>339283245031.00604</v>
      </c>
      <c r="C28" s="1280">
        <f>+B28/$B$32</f>
        <v>0.66752126533742695</v>
      </c>
      <c r="H28" s="1279">
        <v>2020</v>
      </c>
      <c r="I28" s="1287">
        <v>18917988354.079998</v>
      </c>
      <c r="J28" s="1287">
        <v>9545682767.7299976</v>
      </c>
      <c r="K28" s="1289"/>
    </row>
    <row r="29" spans="1:11" ht="48" hidden="1" x14ac:dyDescent="0.25">
      <c r="A29" s="1281" t="str">
        <f>+'F Y U 2024 Presupuesto OK RED'!B158</f>
        <v xml:space="preserve">   Inversión Con Recursos Ordinarios</v>
      </c>
      <c r="B29" s="1282">
        <f>+'F Y U 2024 Presupuesto OK RED'!C158</f>
        <v>28687911431.006027</v>
      </c>
      <c r="C29" s="1289">
        <f t="shared" si="1"/>
        <v>5.6441899854391978E-2</v>
      </c>
      <c r="H29" s="1279">
        <v>2019</v>
      </c>
      <c r="I29" s="1287">
        <v>20224736059.34</v>
      </c>
      <c r="J29" s="1287">
        <v>15372972039.52</v>
      </c>
      <c r="K29" s="1289"/>
    </row>
    <row r="30" spans="1:11" hidden="1" x14ac:dyDescent="0.25">
      <c r="A30" s="1281" t="str">
        <f>+'F Y U 2024 Presupuesto OK RED'!B159</f>
        <v xml:space="preserve">   I.C.D.E.</v>
      </c>
      <c r="B30" s="1282">
        <f>+'F Y U 2024 Presupuesto OK RED'!C159</f>
        <v>30277983000</v>
      </c>
      <c r="C30" s="1289">
        <f t="shared" si="1"/>
        <v>5.9570278874743914E-2</v>
      </c>
      <c r="H30" s="1279">
        <v>2018</v>
      </c>
      <c r="I30" s="1287">
        <v>17781602508.57</v>
      </c>
      <c r="J30" s="1287">
        <v>14110792382.150002</v>
      </c>
      <c r="K30" s="1289"/>
    </row>
    <row r="31" spans="1:11" hidden="1" x14ac:dyDescent="0.25">
      <c r="A31" s="1281" t="str">
        <f>+'F Y U 2024 Presupuesto OK RED'!B160</f>
        <v xml:space="preserve">   Fondos Especiales</v>
      </c>
      <c r="B31" s="1282">
        <f>+'F Y U 2024 Presupuesto OK RED'!C160</f>
        <v>280317350600</v>
      </c>
      <c r="C31" s="1289">
        <f t="shared" si="1"/>
        <v>0.55150908660829101</v>
      </c>
    </row>
    <row r="32" spans="1:11" ht="45" x14ac:dyDescent="0.25">
      <c r="A32" s="1277" t="s">
        <v>949</v>
      </c>
      <c r="B32" s="1284">
        <f>+B28+B25+B13</f>
        <v>508273313000</v>
      </c>
      <c r="C32" s="1290">
        <f>+C28+C25+C13</f>
        <v>1</v>
      </c>
    </row>
    <row r="35" spans="1:4" ht="72" x14ac:dyDescent="0.25">
      <c r="A35" s="1288" t="s">
        <v>3222</v>
      </c>
    </row>
    <row r="36" spans="1:4" x14ac:dyDescent="0.25">
      <c r="A36" s="1275" t="s">
        <v>970</v>
      </c>
      <c r="B36" s="1276" t="s">
        <v>971</v>
      </c>
      <c r="C36" s="1276" t="s">
        <v>956</v>
      </c>
    </row>
    <row r="37" spans="1:4" ht="45" hidden="1" x14ac:dyDescent="0.25">
      <c r="A37" s="1278" t="s">
        <v>972</v>
      </c>
      <c r="B37" s="1282">
        <v>111521205024</v>
      </c>
      <c r="C37" s="1283">
        <v>1</v>
      </c>
    </row>
    <row r="38" spans="1:4" ht="67.5" x14ac:dyDescent="0.25">
      <c r="A38" s="1278" t="s">
        <v>3277</v>
      </c>
      <c r="B38" s="1282">
        <v>67287866912.599998</v>
      </c>
      <c r="C38" s="1283">
        <v>0.60336387952514736</v>
      </c>
    </row>
    <row r="39" spans="1:4" ht="45" x14ac:dyDescent="0.25">
      <c r="A39" s="1278" t="s">
        <v>3278</v>
      </c>
      <c r="B39" s="1282">
        <v>44530025111.400024</v>
      </c>
      <c r="C39" s="1283">
        <v>0.39929648448308025</v>
      </c>
    </row>
    <row r="45" spans="1:4" ht="97.5" x14ac:dyDescent="0.25">
      <c r="A45" s="958" t="s">
        <v>1929</v>
      </c>
      <c r="B45" s="958">
        <v>2022</v>
      </c>
      <c r="C45" s="958">
        <v>2023</v>
      </c>
      <c r="D45" s="958">
        <v>2024</v>
      </c>
    </row>
    <row r="46" spans="1:4" x14ac:dyDescent="0.2">
      <c r="A46" s="1727"/>
      <c r="B46" s="1728"/>
      <c r="C46" s="390"/>
      <c r="D46" s="390"/>
    </row>
    <row r="47" spans="1:4" x14ac:dyDescent="0.2">
      <c r="A47" s="392" t="s">
        <v>1843</v>
      </c>
      <c r="B47" s="392">
        <v>3162607596</v>
      </c>
      <c r="C47" s="390">
        <f>+'F y U 2022 Incremento Salarial'!C175</f>
        <v>0</v>
      </c>
      <c r="D47" s="390"/>
    </row>
    <row r="48" spans="1:4" x14ac:dyDescent="0.2">
      <c r="A48" s="392" t="s">
        <v>1930</v>
      </c>
      <c r="B48" s="392">
        <v>3094984325.7410383</v>
      </c>
      <c r="C48" s="390">
        <f>+'F y U 2022 Incremento Salarial'!C176</f>
        <v>0</v>
      </c>
      <c r="D48" s="390"/>
    </row>
    <row r="49" spans="1:4" x14ac:dyDescent="0.2">
      <c r="A49" s="392" t="s">
        <v>1931</v>
      </c>
      <c r="B49" s="392">
        <v>561606231</v>
      </c>
      <c r="C49" s="390">
        <f>+'F y U 2022 Incremento Salarial'!C177</f>
        <v>0</v>
      </c>
      <c r="D49" s="390"/>
    </row>
    <row r="50" spans="1:4" x14ac:dyDescent="0.2">
      <c r="A50" s="392" t="s">
        <v>1932</v>
      </c>
      <c r="B50" s="392">
        <v>49806517044.222534</v>
      </c>
      <c r="C50" s="390">
        <f>+'F y U 2022 Incremento Salarial'!C178+2</f>
        <v>2</v>
      </c>
      <c r="D50" s="390"/>
    </row>
    <row r="51" spans="1:4" x14ac:dyDescent="0.2">
      <c r="A51" s="393" t="s">
        <v>1933</v>
      </c>
      <c r="B51" s="394">
        <f>+B50+B49+B48+B47</f>
        <v>56625715196.96357</v>
      </c>
      <c r="C51" s="1266">
        <f>+C50+C49+C48+C47</f>
        <v>2</v>
      </c>
      <c r="D51" s="394"/>
    </row>
    <row r="52" spans="1:4" x14ac:dyDescent="0.2">
      <c r="A52" s="396" t="s">
        <v>1934</v>
      </c>
      <c r="B52" s="396">
        <v>1375178644.6444929</v>
      </c>
      <c r="C52" s="390">
        <f>+'F y U 2022 Presupuesto'!E67+'F y U 2022 Presupuesto'!E99</f>
        <v>40847103</v>
      </c>
      <c r="D52" s="618"/>
    </row>
    <row r="53" spans="1:4" x14ac:dyDescent="0.2">
      <c r="A53" s="396" t="s">
        <v>1935</v>
      </c>
      <c r="B53" s="396">
        <v>367964989.9518804</v>
      </c>
      <c r="C53" s="390">
        <f>+'F y U 2022 Presupuesto'!E69+'F y U 2022 Presupuesto'!E100</f>
        <v>0</v>
      </c>
      <c r="D53" s="618"/>
    </row>
    <row r="54" spans="1:4" x14ac:dyDescent="0.2">
      <c r="A54" s="396" t="s">
        <v>1936</v>
      </c>
      <c r="B54" s="396">
        <v>881634893.373667</v>
      </c>
      <c r="C54" s="390">
        <f>+'F y U 2022 Presupuesto'!E75+'F y U 2022 Presupuesto'!E106</f>
        <v>0</v>
      </c>
      <c r="D54" s="618"/>
    </row>
    <row r="55" spans="1:4" x14ac:dyDescent="0.2">
      <c r="A55" s="396" t="s">
        <v>1937</v>
      </c>
      <c r="B55" s="396">
        <v>7051715200.7532034</v>
      </c>
      <c r="C55" s="390">
        <f>+'F y U 2022 Presupuesto'!E79+'F y U 2022 Presupuesto'!E109</f>
        <v>0</v>
      </c>
      <c r="D55" s="618"/>
    </row>
    <row r="56" spans="1:4" x14ac:dyDescent="0.2">
      <c r="A56" s="396" t="s">
        <v>1938</v>
      </c>
      <c r="B56" s="396"/>
      <c r="C56" s="390">
        <f>+'F y U 2022 Incremento Salarial'!C180</f>
        <v>0</v>
      </c>
      <c r="D56" s="618"/>
    </row>
    <row r="57" spans="1:4" x14ac:dyDescent="0.2">
      <c r="A57" s="396" t="s">
        <v>1939</v>
      </c>
      <c r="B57" s="396"/>
      <c r="C57" s="390">
        <f>+'F y U 2022 Incremento Salarial'!C179</f>
        <v>0</v>
      </c>
      <c r="D57" s="618"/>
    </row>
    <row r="58" spans="1:4" x14ac:dyDescent="0.2">
      <c r="A58" s="396" t="s">
        <v>1940</v>
      </c>
      <c r="B58" s="396">
        <v>2227322217.5984659</v>
      </c>
      <c r="C58" s="390">
        <f>+'F y U 2022 Presupuesto'!E53</f>
        <v>0</v>
      </c>
      <c r="D58" s="618"/>
    </row>
    <row r="59" spans="1:4" x14ac:dyDescent="0.2">
      <c r="A59" s="396" t="s">
        <v>1941</v>
      </c>
      <c r="B59" s="396">
        <v>1662180759.4018402</v>
      </c>
      <c r="C59" s="390">
        <f>+'F y U 2022 Presupuesto'!E56</f>
        <v>316121</v>
      </c>
      <c r="D59" s="618"/>
    </row>
    <row r="60" spans="1:4" x14ac:dyDescent="0.2">
      <c r="A60" s="396" t="s">
        <v>1942</v>
      </c>
      <c r="B60" s="396">
        <v>5730162847.5923834</v>
      </c>
      <c r="C60" s="390">
        <f>+'F y U 2022 Presupuesto'!C157</f>
        <v>0</v>
      </c>
      <c r="D60" s="618"/>
    </row>
    <row r="61" spans="1:4" x14ac:dyDescent="0.2">
      <c r="A61" s="396" t="s">
        <v>1943</v>
      </c>
      <c r="B61" s="396">
        <v>10000000000</v>
      </c>
      <c r="C61" s="390">
        <f>+'F y U 2022 Presupuesto'!E76</f>
        <v>0</v>
      </c>
      <c r="D61" s="618"/>
    </row>
    <row r="62" spans="1:4" x14ac:dyDescent="0.2">
      <c r="A62" s="396" t="s">
        <v>1944</v>
      </c>
      <c r="B62" s="396">
        <v>598673730.34547281</v>
      </c>
      <c r="C62" s="390">
        <f>+'F y U 2022 Presupuesto'!C155</f>
        <v>0</v>
      </c>
      <c r="D62" s="618"/>
    </row>
    <row r="63" spans="1:4" x14ac:dyDescent="0.2">
      <c r="A63" s="396" t="s">
        <v>1945</v>
      </c>
      <c r="B63" s="396">
        <v>863361084.91110301</v>
      </c>
      <c r="C63" s="390">
        <f>+'F y U 2022 Presupuesto'!E57+'F y U 2022 Presupuesto'!E60+'F y U 2022 Presupuesto'!E85+'F y U 2022 Presupuesto'!E78</f>
        <v>0</v>
      </c>
      <c r="D63" s="618"/>
    </row>
    <row r="64" spans="1:4" x14ac:dyDescent="0.2">
      <c r="A64" s="396" t="s">
        <v>1946</v>
      </c>
      <c r="B64" s="396">
        <v>855248186.20781827</v>
      </c>
      <c r="C64" s="390">
        <f>+'F y U 2022 Presupuesto'!C153</f>
        <v>0</v>
      </c>
      <c r="D64" s="618"/>
    </row>
    <row r="65" spans="1:4" x14ac:dyDescent="0.2">
      <c r="A65" s="396" t="s">
        <v>1947</v>
      </c>
      <c r="B65" s="396">
        <v>997308455.64110398</v>
      </c>
      <c r="C65" s="390">
        <f>+'F y U 2022 Presupuesto'!E55</f>
        <v>481528</v>
      </c>
      <c r="D65" s="618"/>
    </row>
    <row r="66" spans="1:4" x14ac:dyDescent="0.2">
      <c r="A66" s="396" t="s">
        <v>1948</v>
      </c>
      <c r="B66" s="396"/>
      <c r="C66" s="390">
        <v>1150000000</v>
      </c>
      <c r="D66" s="618"/>
    </row>
    <row r="67" spans="1:4" x14ac:dyDescent="0.2">
      <c r="A67" s="396" t="s">
        <v>1949</v>
      </c>
      <c r="B67" s="396">
        <v>1031383983.486022</v>
      </c>
      <c r="C67" s="390">
        <f>+'F y U 2022 Presupuesto'!E68</f>
        <v>0</v>
      </c>
      <c r="D67" s="618"/>
    </row>
    <row r="68" spans="1:4" x14ac:dyDescent="0.2">
      <c r="A68" s="393" t="s">
        <v>1933</v>
      </c>
      <c r="B68" s="394">
        <f>SUM(B52:B67)</f>
        <v>33642134993.907455</v>
      </c>
      <c r="C68" s="1266">
        <f>SUM(C52:C67)</f>
        <v>1191644752</v>
      </c>
      <c r="D68" s="394"/>
    </row>
    <row r="69" spans="1:4" x14ac:dyDescent="0.25">
      <c r="A69" s="959" t="s">
        <v>1953</v>
      </c>
      <c r="B69" s="959">
        <v>84624655480</v>
      </c>
      <c r="C69" s="1267">
        <f>+'F Y U 2023 Prespupuesto'!C196</f>
        <v>0</v>
      </c>
      <c r="D69" s="959">
        <f>+'F Y U 2024 Presupuesto OK RED'!C196</f>
        <v>0</v>
      </c>
    </row>
    <row r="70" spans="1:4" x14ac:dyDescent="0.2">
      <c r="A70" s="1729"/>
      <c r="B70" s="1730"/>
      <c r="C70" s="390"/>
      <c r="D70" s="390"/>
    </row>
    <row r="71" spans="1:4" x14ac:dyDescent="0.25">
      <c r="A71" s="959" t="s">
        <v>1854</v>
      </c>
      <c r="B71" s="959">
        <v>12057299351</v>
      </c>
      <c r="C71" s="1267">
        <f>+'F Y U 2023 Prespupuesto'!C198</f>
        <v>0</v>
      </c>
      <c r="D71" s="959">
        <f>+'F Y U 2024 Presupuesto OK RED'!C198</f>
        <v>0</v>
      </c>
    </row>
    <row r="72" spans="1:4" x14ac:dyDescent="0.2">
      <c r="A72" s="1729"/>
      <c r="B72" s="1730"/>
      <c r="C72" s="390"/>
      <c r="D72" s="390"/>
    </row>
    <row r="73" spans="1:4" x14ac:dyDescent="0.25">
      <c r="A73" s="959" t="s">
        <v>1861</v>
      </c>
      <c r="B73" s="959">
        <f>+B74+B75+B76</f>
        <v>267617824690.3606</v>
      </c>
      <c r="C73" s="1267">
        <f>+C74+C75+C76</f>
        <v>0</v>
      </c>
      <c r="D73" s="959">
        <f>+'F Y U 2024 Presupuesto OK RED'!C205</f>
        <v>0</v>
      </c>
    </row>
    <row r="74" spans="1:4" x14ac:dyDescent="0.25">
      <c r="A74" s="401" t="s">
        <v>1958</v>
      </c>
      <c r="B74" s="396">
        <v>18002584295</v>
      </c>
      <c r="C74" s="390">
        <f>+'F Y U 2023 Prespupuesto'!C202</f>
        <v>0</v>
      </c>
      <c r="D74" s="390">
        <f>+'F Y U 2024 Presupuesto OK RED'!C202</f>
        <v>0</v>
      </c>
    </row>
    <row r="75" spans="1:4" x14ac:dyDescent="0.25">
      <c r="A75" s="401" t="s">
        <v>1859</v>
      </c>
      <c r="B75" s="396">
        <v>19015345408.3606</v>
      </c>
      <c r="C75" s="390">
        <f>+'F Y U 2023 Prespupuesto'!C203</f>
        <v>0</v>
      </c>
      <c r="D75" s="390">
        <f>+'F Y U 2024 Presupuesto OK RED'!C203</f>
        <v>0</v>
      </c>
    </row>
    <row r="76" spans="1:4" x14ac:dyDescent="0.25">
      <c r="A76" s="401" t="s">
        <v>1860</v>
      </c>
      <c r="B76" s="396">
        <v>230599894987</v>
      </c>
      <c r="C76" s="390">
        <f>+'F Y U 2023 Prespupuesto'!C204</f>
        <v>0</v>
      </c>
      <c r="D76" s="390">
        <f>+'F Y U 2024 Presupuesto OK RED'!C204</f>
        <v>0</v>
      </c>
    </row>
    <row r="77" spans="1:4" x14ac:dyDescent="0.25">
      <c r="A77" s="401"/>
      <c r="B77" s="396"/>
      <c r="C77" s="390"/>
      <c r="D77" s="390"/>
    </row>
    <row r="78" spans="1:4" ht="45" x14ac:dyDescent="0.25">
      <c r="A78" s="960" t="s">
        <v>1965</v>
      </c>
      <c r="B78" s="959">
        <f>+B79+B80+B81</f>
        <v>0</v>
      </c>
      <c r="C78" s="1267">
        <f>SUM(C79:C84)</f>
        <v>0</v>
      </c>
      <c r="D78" s="959">
        <f>SUM(D79:D84)</f>
        <v>33454400000</v>
      </c>
    </row>
    <row r="79" spans="1:4" x14ac:dyDescent="0.2">
      <c r="A79" s="923" t="s">
        <v>1790</v>
      </c>
      <c r="B79" s="396">
        <v>0</v>
      </c>
      <c r="C79" s="390">
        <f>+'F Y U 2023 Prespupuesto'!E79</f>
        <v>0</v>
      </c>
      <c r="D79" s="390">
        <f>+'F Y U 2024 Presupuesto OK RED'!C75</f>
        <v>0</v>
      </c>
    </row>
    <row r="80" spans="1:4" x14ac:dyDescent="0.2">
      <c r="A80" s="923" t="s">
        <v>1791</v>
      </c>
      <c r="B80" s="396">
        <v>0</v>
      </c>
      <c r="C80" s="390">
        <f>+'F Y U 2023 Prespupuesto'!E80</f>
        <v>0</v>
      </c>
      <c r="D80" s="390"/>
    </row>
    <row r="81" spans="1:4" x14ac:dyDescent="0.2">
      <c r="A81" s="923" t="s">
        <v>1064</v>
      </c>
      <c r="B81" s="396">
        <v>0</v>
      </c>
      <c r="C81" s="390">
        <f>+'F Y U 2023 Prespupuesto'!E82</f>
        <v>0</v>
      </c>
      <c r="D81" s="390">
        <f>+'F Y U 2024 Presupuesto OK RED'!C77</f>
        <v>33454400000</v>
      </c>
    </row>
    <row r="82" spans="1:4" x14ac:dyDescent="0.2">
      <c r="A82" s="379" t="s">
        <v>3248</v>
      </c>
      <c r="B82" s="396"/>
      <c r="C82" s="390">
        <f>+'F Y U 2023 Prespupuesto'!C195+'F Y U 2023 Prespupuesto'!C194+'F Y U 2023 Prespupuesto'!C189</f>
        <v>0</v>
      </c>
      <c r="D82" s="390">
        <f>+'F Y U 2024 Presupuesto OK RED'!C195+'F Y U 2024 Presupuesto OK RED'!C194</f>
        <v>0</v>
      </c>
    </row>
    <row r="83" spans="1:4" x14ac:dyDescent="0.2">
      <c r="A83" s="379" t="s">
        <v>3249</v>
      </c>
      <c r="B83" s="396"/>
      <c r="C83" s="390"/>
      <c r="D83" s="390">
        <f>+'F Y U 2024 Presupuesto OK RED'!C190</f>
        <v>0</v>
      </c>
    </row>
    <row r="84" spans="1:4" x14ac:dyDescent="0.2">
      <c r="A84" s="379" t="s">
        <v>3246</v>
      </c>
      <c r="B84" s="396">
        <v>0</v>
      </c>
      <c r="C84" s="390">
        <f>+'F Y U 2023 Prespupuesto'!C192</f>
        <v>0</v>
      </c>
      <c r="D84" s="390">
        <f>+'F Y U 2024 Presupuesto OK RED'!C191+'F Y U 2024 Presupuesto OK RED'!C192</f>
        <v>0</v>
      </c>
    </row>
    <row r="85" spans="1:4" x14ac:dyDescent="0.2">
      <c r="A85" s="379"/>
      <c r="B85" s="396"/>
      <c r="C85" s="390"/>
      <c r="D85" s="390"/>
    </row>
    <row r="86" spans="1:4" ht="45" x14ac:dyDescent="0.25">
      <c r="A86" s="960" t="s">
        <v>1967</v>
      </c>
      <c r="B86" s="959">
        <f>+B73+B79+B80+B81+B84</f>
        <v>267617824690.3606</v>
      </c>
      <c r="C86" s="1267">
        <f>+C73+C79+C80+C81+C84+C82</f>
        <v>0</v>
      </c>
      <c r="D86" s="959">
        <f>+D73+D79+D80+D81+D84+D82+D83</f>
        <v>33454400000</v>
      </c>
    </row>
    <row r="87" spans="1:4" x14ac:dyDescent="0.2">
      <c r="A87" s="379"/>
      <c r="B87" s="396"/>
      <c r="C87" s="390"/>
      <c r="D87" s="390"/>
    </row>
    <row r="88" spans="1:4" x14ac:dyDescent="0.2">
      <c r="A88" s="379"/>
      <c r="B88" s="396"/>
      <c r="C88" s="390"/>
      <c r="D88" s="390"/>
    </row>
    <row r="89" spans="1:4" ht="63" x14ac:dyDescent="0.25">
      <c r="A89" s="961" t="s">
        <v>1968</v>
      </c>
      <c r="B89" s="961">
        <f>+B73+B71+B69</f>
        <v>364299779521.3606</v>
      </c>
      <c r="C89" s="1268">
        <f>+C73+C71+C69</f>
        <v>0</v>
      </c>
      <c r="D89" s="961">
        <f>+D73+D71+D69</f>
        <v>0</v>
      </c>
    </row>
    <row r="90" spans="1:4" x14ac:dyDescent="0.2">
      <c r="A90" s="405"/>
      <c r="B90" s="405"/>
      <c r="C90" s="390"/>
      <c r="D90" s="390"/>
    </row>
    <row r="91" spans="1:4" x14ac:dyDescent="0.35">
      <c r="A91" s="962" t="s">
        <v>1971</v>
      </c>
      <c r="B91" s="963"/>
      <c r="C91" s="1274" t="e">
        <f>+C86/C89</f>
        <v>#DIV/0!</v>
      </c>
      <c r="D91" s="963"/>
    </row>
    <row r="92" spans="1:4" x14ac:dyDescent="0.35">
      <c r="A92" s="962" t="s">
        <v>3247</v>
      </c>
      <c r="B92" s="963"/>
      <c r="C92" s="1274" t="e">
        <f>+D86/D89</f>
        <v>#DIV/0!</v>
      </c>
      <c r="D92" s="963"/>
    </row>
  </sheetData>
  <mergeCells count="3">
    <mergeCell ref="A46:B46"/>
    <mergeCell ref="A70:B70"/>
    <mergeCell ref="A72:B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4"/>
  <sheetViews>
    <sheetView topLeftCell="A39" zoomScale="154" zoomScaleNormal="154" workbookViewId="0">
      <selection activeCell="C49" sqref="C49"/>
    </sheetView>
  </sheetViews>
  <sheetFormatPr baseColWidth="10" defaultColWidth="11.42578125" defaultRowHeight="15" x14ac:dyDescent="0.25"/>
  <cols>
    <col min="1" max="1" width="11.42578125" style="7"/>
    <col min="2" max="2" width="48.140625" style="7" bestFit="1" customWidth="1"/>
    <col min="3" max="3" width="48" style="8" customWidth="1"/>
    <col min="4" max="4" width="19.5703125" style="9" bestFit="1" customWidth="1"/>
    <col min="5" max="5" width="2.5703125" style="9" customWidth="1"/>
    <col min="6" max="6" width="36" style="9" customWidth="1"/>
    <col min="7" max="7" width="18.85546875" style="32" hidden="1" customWidth="1"/>
    <col min="8" max="8" width="18.7109375" style="38" bestFit="1" customWidth="1"/>
    <col min="9" max="16384" width="11.42578125" style="7"/>
  </cols>
  <sheetData>
    <row r="1" spans="1:8" x14ac:dyDescent="0.25">
      <c r="A1" s="7" t="s">
        <v>222</v>
      </c>
      <c r="B1" s="7" t="s">
        <v>223</v>
      </c>
      <c r="C1" s="8" t="s">
        <v>224</v>
      </c>
      <c r="G1" s="32" t="s">
        <v>225</v>
      </c>
    </row>
    <row r="2" spans="1:8" x14ac:dyDescent="0.25">
      <c r="A2" s="7" t="s">
        <v>226</v>
      </c>
      <c r="B2" s="7" t="s">
        <v>227</v>
      </c>
      <c r="C2" s="8" t="s">
        <v>228</v>
      </c>
      <c r="G2" s="32">
        <v>135535026442.8</v>
      </c>
    </row>
    <row r="3" spans="1:8" x14ac:dyDescent="0.25">
      <c r="A3" s="7" t="s">
        <v>226</v>
      </c>
      <c r="B3" s="7" t="s">
        <v>229</v>
      </c>
      <c r="C3" s="8" t="s">
        <v>230</v>
      </c>
      <c r="G3" s="32">
        <v>127022897078.8</v>
      </c>
    </row>
    <row r="4" spans="1:8" x14ac:dyDescent="0.25">
      <c r="A4" s="7" t="s">
        <v>226</v>
      </c>
      <c r="B4" s="7" t="s">
        <v>231</v>
      </c>
      <c r="C4" s="8" t="s">
        <v>232</v>
      </c>
      <c r="G4" s="32">
        <v>100297234309.8</v>
      </c>
    </row>
    <row r="5" spans="1:8" x14ac:dyDescent="0.25">
      <c r="A5" s="7" t="s">
        <v>226</v>
      </c>
      <c r="B5" s="7" t="s">
        <v>233</v>
      </c>
      <c r="C5" s="8" t="s">
        <v>234</v>
      </c>
      <c r="D5" s="33" t="s">
        <v>235</v>
      </c>
      <c r="E5" s="33"/>
      <c r="F5" s="33" t="s">
        <v>236</v>
      </c>
      <c r="G5" s="34">
        <v>18334260464</v>
      </c>
      <c r="H5" s="39" t="s">
        <v>237</v>
      </c>
    </row>
    <row r="6" spans="1:8" customFormat="1" x14ac:dyDescent="0.25">
      <c r="A6" s="13">
        <v>20</v>
      </c>
      <c r="B6" s="13" t="s">
        <v>238</v>
      </c>
      <c r="C6" s="14" t="s">
        <v>239</v>
      </c>
      <c r="D6" s="15">
        <v>18095781361</v>
      </c>
      <c r="E6" s="97"/>
      <c r="F6" s="11">
        <v>18334260464</v>
      </c>
      <c r="G6" s="32">
        <v>18334260464</v>
      </c>
      <c r="H6" s="40">
        <f>+D6-F6</f>
        <v>-238479103</v>
      </c>
    </row>
    <row r="7" spans="1:8" x14ac:dyDescent="0.25">
      <c r="A7" s="7" t="s">
        <v>226</v>
      </c>
      <c r="B7" s="7" t="s">
        <v>240</v>
      </c>
      <c r="C7" s="8" t="s">
        <v>241</v>
      </c>
      <c r="G7" s="32">
        <v>81962973845.800003</v>
      </c>
    </row>
    <row r="8" spans="1:8" x14ac:dyDescent="0.25">
      <c r="A8" s="1" t="s">
        <v>226</v>
      </c>
      <c r="B8" s="1" t="s">
        <v>242</v>
      </c>
      <c r="C8" s="2" t="s">
        <v>243</v>
      </c>
      <c r="D8" s="3">
        <v>17120461821</v>
      </c>
      <c r="E8" s="98"/>
      <c r="F8" s="9">
        <f>SUM(F9:F18)</f>
        <v>16621807593.799999</v>
      </c>
      <c r="G8" s="32">
        <v>16621807593.799999</v>
      </c>
      <c r="H8" s="38">
        <f t="shared" ref="H8:H18" si="0">+D8-F8</f>
        <v>498654227.20000076</v>
      </c>
    </row>
    <row r="9" spans="1:8" customFormat="1" x14ac:dyDescent="0.25">
      <c r="A9" s="4">
        <v>1</v>
      </c>
      <c r="B9" s="4" t="s">
        <v>244</v>
      </c>
      <c r="C9" s="5" t="s">
        <v>245</v>
      </c>
      <c r="D9" s="6">
        <v>688242564.92531717</v>
      </c>
      <c r="E9" s="11"/>
      <c r="F9" s="11">
        <v>668196665</v>
      </c>
      <c r="G9" s="32">
        <v>668196665</v>
      </c>
      <c r="H9" s="40">
        <f t="shared" si="0"/>
        <v>20045899.925317168</v>
      </c>
    </row>
    <row r="10" spans="1:8" customFormat="1" x14ac:dyDescent="0.25">
      <c r="A10" s="4">
        <v>13</v>
      </c>
      <c r="B10" s="4" t="s">
        <v>246</v>
      </c>
      <c r="C10" s="5" t="s">
        <v>245</v>
      </c>
      <c r="D10" s="6">
        <v>513613854.61558002</v>
      </c>
      <c r="E10" s="11"/>
      <c r="F10" s="11">
        <v>498654227.80000001</v>
      </c>
      <c r="G10" s="32">
        <v>498654227.80000001</v>
      </c>
      <c r="H10" s="40">
        <f t="shared" si="0"/>
        <v>14959626.81558001</v>
      </c>
    </row>
    <row r="11" spans="1:8" customFormat="1" x14ac:dyDescent="0.25">
      <c r="A11" s="4">
        <v>20</v>
      </c>
      <c r="B11" s="4" t="s">
        <v>247</v>
      </c>
      <c r="C11" s="5" t="s">
        <v>245</v>
      </c>
      <c r="D11" s="6">
        <v>3420668271.5873232</v>
      </c>
      <c r="E11" s="11"/>
      <c r="F11" s="11">
        <v>3321037157</v>
      </c>
      <c r="G11" s="32">
        <v>3321037157</v>
      </c>
      <c r="H11" s="40">
        <f t="shared" si="0"/>
        <v>99631114.587323189</v>
      </c>
    </row>
    <row r="12" spans="1:8" customFormat="1" x14ac:dyDescent="0.25">
      <c r="A12" s="4">
        <v>52</v>
      </c>
      <c r="B12" s="4" t="s">
        <v>248</v>
      </c>
      <c r="C12" s="5" t="s">
        <v>245</v>
      </c>
      <c r="D12" s="6">
        <v>205445541.84623203</v>
      </c>
      <c r="E12" s="11"/>
      <c r="F12" s="11">
        <v>199461691.12</v>
      </c>
      <c r="G12" s="32">
        <v>199461691.12</v>
      </c>
      <c r="H12" s="40">
        <f t="shared" si="0"/>
        <v>5983850.726232022</v>
      </c>
    </row>
    <row r="13" spans="1:8" customFormat="1" x14ac:dyDescent="0.25">
      <c r="A13" s="4">
        <v>53</v>
      </c>
      <c r="B13" s="4" t="s">
        <v>249</v>
      </c>
      <c r="C13" s="5" t="s">
        <v>245</v>
      </c>
      <c r="D13" s="6">
        <v>308168312.76934803</v>
      </c>
      <c r="E13" s="11"/>
      <c r="F13" s="11">
        <v>299192536.68000001</v>
      </c>
      <c r="G13" s="32">
        <v>299192536.68000001</v>
      </c>
      <c r="H13" s="40">
        <f t="shared" si="0"/>
        <v>8975776.0893480182</v>
      </c>
    </row>
    <row r="14" spans="1:8" customFormat="1" ht="30" x14ac:dyDescent="0.25">
      <c r="A14" s="4">
        <v>1</v>
      </c>
      <c r="B14" s="4" t="s">
        <v>250</v>
      </c>
      <c r="C14" s="5" t="s">
        <v>251</v>
      </c>
      <c r="D14" s="6">
        <v>1605899319.5324068</v>
      </c>
      <c r="E14" s="11"/>
      <c r="F14" s="11">
        <v>1559125553</v>
      </c>
      <c r="G14" s="32">
        <v>1559125553</v>
      </c>
      <c r="H14" s="40">
        <f t="shared" si="0"/>
        <v>46773766.532406807</v>
      </c>
    </row>
    <row r="15" spans="1:8" customFormat="1" ht="30" x14ac:dyDescent="0.25">
      <c r="A15" s="4">
        <v>13</v>
      </c>
      <c r="B15" s="4" t="s">
        <v>252</v>
      </c>
      <c r="C15" s="5" t="s">
        <v>251</v>
      </c>
      <c r="D15" s="6">
        <v>1198432327.5050201</v>
      </c>
      <c r="E15" s="11"/>
      <c r="F15" s="11">
        <v>1163526531.5999999</v>
      </c>
      <c r="G15" s="32">
        <v>1163526531.5999999</v>
      </c>
      <c r="H15" s="40">
        <f t="shared" si="0"/>
        <v>34905795.905020237</v>
      </c>
    </row>
    <row r="16" spans="1:8" customFormat="1" ht="30" x14ac:dyDescent="0.25">
      <c r="A16" s="4">
        <v>20</v>
      </c>
      <c r="B16" s="4" t="s">
        <v>253</v>
      </c>
      <c r="C16" s="5" t="s">
        <v>251</v>
      </c>
      <c r="D16" s="6">
        <v>7981559300.7137537</v>
      </c>
      <c r="E16" s="11"/>
      <c r="F16" s="11">
        <v>7749086700</v>
      </c>
      <c r="G16" s="32">
        <v>7749086700</v>
      </c>
      <c r="H16" s="40">
        <f t="shared" si="0"/>
        <v>232472600.7137537</v>
      </c>
    </row>
    <row r="17" spans="1:8" customFormat="1" ht="30" x14ac:dyDescent="0.25">
      <c r="A17" s="4">
        <v>52</v>
      </c>
      <c r="B17" s="4" t="s">
        <v>254</v>
      </c>
      <c r="C17" s="5" t="s">
        <v>251</v>
      </c>
      <c r="D17" s="6">
        <v>479372931.00200802</v>
      </c>
      <c r="E17" s="11"/>
      <c r="F17" s="11">
        <v>465410612.63999999</v>
      </c>
      <c r="G17" s="32">
        <v>465410612.63999999</v>
      </c>
      <c r="H17" s="40">
        <f t="shared" si="0"/>
        <v>13962318.362008035</v>
      </c>
    </row>
    <row r="18" spans="1:8" customFormat="1" ht="30" x14ac:dyDescent="0.25">
      <c r="A18" s="4">
        <v>53</v>
      </c>
      <c r="B18" s="4" t="s">
        <v>255</v>
      </c>
      <c r="C18" s="5" t="s">
        <v>251</v>
      </c>
      <c r="D18" s="6">
        <v>719059396.50301206</v>
      </c>
      <c r="E18" s="11"/>
      <c r="F18" s="11">
        <v>698115918.96000004</v>
      </c>
      <c r="G18" s="32">
        <v>698115918.96000004</v>
      </c>
      <c r="H18" s="40">
        <f t="shared" si="0"/>
        <v>20943477.543012023</v>
      </c>
    </row>
    <row r="19" spans="1:8" customFormat="1" x14ac:dyDescent="0.25">
      <c r="A19" s="13">
        <v>20</v>
      </c>
      <c r="B19" s="13" t="s">
        <v>256</v>
      </c>
      <c r="C19" s="14" t="s">
        <v>257</v>
      </c>
      <c r="D19" s="15">
        <v>693652915</v>
      </c>
      <c r="E19" s="97"/>
      <c r="F19" s="11"/>
      <c r="G19" s="32">
        <v>673449432</v>
      </c>
      <c r="H19" s="40"/>
    </row>
    <row r="20" spans="1:8" ht="30" x14ac:dyDescent="0.25">
      <c r="A20" s="7" t="s">
        <v>226</v>
      </c>
      <c r="B20" s="7" t="s">
        <v>258</v>
      </c>
      <c r="C20" s="8" t="s">
        <v>259</v>
      </c>
      <c r="G20" s="32">
        <v>251730003</v>
      </c>
    </row>
    <row r="21" spans="1:8" ht="30" x14ac:dyDescent="0.25">
      <c r="A21" s="7" t="s">
        <v>226</v>
      </c>
      <c r="B21" s="7" t="s">
        <v>260</v>
      </c>
      <c r="C21" s="8" t="s">
        <v>259</v>
      </c>
      <c r="D21" s="25" t="s">
        <v>261</v>
      </c>
      <c r="E21" s="25"/>
      <c r="G21" s="32">
        <v>251730003</v>
      </c>
    </row>
    <row r="22" spans="1:8" customFormat="1" ht="30" x14ac:dyDescent="0.25">
      <c r="A22" s="19">
        <v>145</v>
      </c>
      <c r="B22" s="19" t="s">
        <v>262</v>
      </c>
      <c r="C22" s="20" t="s">
        <v>259</v>
      </c>
      <c r="D22" s="18">
        <f>149729169+116259628</f>
        <v>265988797</v>
      </c>
      <c r="E22" s="9"/>
      <c r="F22" s="11">
        <v>251730003</v>
      </c>
      <c r="G22" s="32">
        <v>251730003</v>
      </c>
      <c r="H22" s="40">
        <f>+D22-F22</f>
        <v>14258794</v>
      </c>
    </row>
    <row r="23" spans="1:8" ht="30" x14ac:dyDescent="0.25">
      <c r="A23" s="7" t="s">
        <v>226</v>
      </c>
      <c r="B23" s="7" t="s">
        <v>263</v>
      </c>
      <c r="C23" s="8" t="s">
        <v>264</v>
      </c>
      <c r="G23" s="32">
        <v>5029922036</v>
      </c>
    </row>
    <row r="24" spans="1:8" x14ac:dyDescent="0.25">
      <c r="A24" s="7" t="s">
        <v>226</v>
      </c>
      <c r="B24" s="7" t="s">
        <v>265</v>
      </c>
      <c r="C24" s="8" t="s">
        <v>266</v>
      </c>
      <c r="G24" s="32">
        <v>3690557412.6999998</v>
      </c>
    </row>
    <row r="25" spans="1:8" customFormat="1" x14ac:dyDescent="0.25">
      <c r="A25" s="22">
        <v>20</v>
      </c>
      <c r="B25" s="22" t="s">
        <v>267</v>
      </c>
      <c r="C25" s="23" t="s">
        <v>268</v>
      </c>
      <c r="D25" s="24">
        <v>0</v>
      </c>
      <c r="E25" s="11"/>
      <c r="F25" s="11">
        <v>644525552.5</v>
      </c>
      <c r="G25" s="32">
        <v>644525552.5</v>
      </c>
      <c r="H25" s="40">
        <f t="shared" ref="H25:H32" si="1">+D25-F25</f>
        <v>-644525552.5</v>
      </c>
    </row>
    <row r="26" spans="1:8" customFormat="1" x14ac:dyDescent="0.25">
      <c r="A26" s="13">
        <v>20</v>
      </c>
      <c r="B26" s="13" t="s">
        <v>269</v>
      </c>
      <c r="C26" s="14" t="s">
        <v>270</v>
      </c>
      <c r="D26" s="15">
        <v>2994583375</v>
      </c>
      <c r="E26" s="97"/>
      <c r="F26" s="11">
        <v>3046031860.1999998</v>
      </c>
      <c r="G26" s="32">
        <v>3046031860.1999998</v>
      </c>
      <c r="H26" s="40">
        <f t="shared" si="1"/>
        <v>-51448485.199999809</v>
      </c>
    </row>
    <row r="27" spans="1:8" ht="30" x14ac:dyDescent="0.25">
      <c r="A27" s="7" t="s">
        <v>226</v>
      </c>
      <c r="B27" s="7" t="s">
        <v>271</v>
      </c>
      <c r="C27" s="8" t="s">
        <v>272</v>
      </c>
      <c r="G27" s="32">
        <v>1339364623.3</v>
      </c>
    </row>
    <row r="28" spans="1:8" customFormat="1" ht="30" x14ac:dyDescent="0.25">
      <c r="A28" s="13">
        <v>20</v>
      </c>
      <c r="B28" s="13" t="s">
        <v>273</v>
      </c>
      <c r="C28" s="14" t="s">
        <v>274</v>
      </c>
      <c r="D28" s="15">
        <f>2325192551*44.8%</f>
        <v>1041686262.8479999</v>
      </c>
      <c r="E28" s="11"/>
      <c r="F28" s="11">
        <v>33922397.5</v>
      </c>
      <c r="G28" s="32">
        <v>33922397.5</v>
      </c>
      <c r="H28" s="40">
        <f t="shared" si="1"/>
        <v>1007763865.3479999</v>
      </c>
    </row>
    <row r="29" spans="1:8" customFormat="1" ht="30" x14ac:dyDescent="0.25">
      <c r="A29" s="13">
        <v>20</v>
      </c>
      <c r="B29" s="13" t="s">
        <v>275</v>
      </c>
      <c r="C29" s="14" t="s">
        <v>276</v>
      </c>
      <c r="D29" s="15">
        <f>2325192551*55.2%</f>
        <v>1283506288.1520002</v>
      </c>
      <c r="E29" s="11"/>
      <c r="F29" s="11">
        <v>1305442225.8</v>
      </c>
      <c r="G29" s="32">
        <v>1305442225.8</v>
      </c>
      <c r="H29" s="40">
        <f t="shared" si="1"/>
        <v>-21935937.647999763</v>
      </c>
    </row>
    <row r="30" spans="1:8" ht="30" x14ac:dyDescent="0.25">
      <c r="A30" s="7" t="s">
        <v>226</v>
      </c>
      <c r="B30" s="7" t="s">
        <v>277</v>
      </c>
      <c r="C30" s="8" t="s">
        <v>278</v>
      </c>
      <c r="G30" s="32">
        <v>17698214959</v>
      </c>
    </row>
    <row r="31" spans="1:8" customFormat="1" ht="30" x14ac:dyDescent="0.25">
      <c r="A31" s="13">
        <v>20</v>
      </c>
      <c r="B31" s="13" t="s">
        <v>279</v>
      </c>
      <c r="C31" s="14" t="s">
        <v>280</v>
      </c>
      <c r="D31" s="15">
        <v>15386487440</v>
      </c>
      <c r="E31" s="97"/>
      <c r="F31" s="31">
        <v>16781818042</v>
      </c>
      <c r="G31" s="32">
        <v>16781818042</v>
      </c>
      <c r="H31" s="40">
        <f t="shared" si="1"/>
        <v>-1395330602</v>
      </c>
    </row>
    <row r="32" spans="1:8" customFormat="1" ht="30" x14ac:dyDescent="0.25">
      <c r="A32" s="13">
        <v>20</v>
      </c>
      <c r="B32" s="13" t="s">
        <v>281</v>
      </c>
      <c r="C32" s="14" t="s">
        <v>282</v>
      </c>
      <c r="D32" s="15">
        <v>503513293</v>
      </c>
      <c r="E32" s="97"/>
      <c r="F32" s="31">
        <v>916396917</v>
      </c>
      <c r="G32" s="32">
        <v>916396917</v>
      </c>
      <c r="H32" s="40">
        <f t="shared" si="1"/>
        <v>-412883624</v>
      </c>
    </row>
    <row r="33" spans="1:8" x14ac:dyDescent="0.25">
      <c r="A33" s="7" t="s">
        <v>226</v>
      </c>
      <c r="B33" s="7" t="s">
        <v>283</v>
      </c>
      <c r="C33" s="8" t="s">
        <v>284</v>
      </c>
      <c r="G33" s="32">
        <v>9248945181</v>
      </c>
    </row>
    <row r="34" spans="1:8" ht="30" x14ac:dyDescent="0.25">
      <c r="A34" s="7" t="s">
        <v>226</v>
      </c>
      <c r="B34" s="7" t="s">
        <v>285</v>
      </c>
      <c r="C34" s="8" t="s">
        <v>286</v>
      </c>
      <c r="G34" s="32">
        <v>9248945181</v>
      </c>
    </row>
    <row r="35" spans="1:8" customFormat="1" ht="30" x14ac:dyDescent="0.25">
      <c r="A35" s="13">
        <v>20</v>
      </c>
      <c r="B35" s="13" t="s">
        <v>287</v>
      </c>
      <c r="C35" s="14" t="s">
        <v>288</v>
      </c>
      <c r="D35" s="15">
        <v>9526413536</v>
      </c>
      <c r="E35" s="97"/>
      <c r="F35" s="11">
        <v>9248945181</v>
      </c>
      <c r="G35" s="32">
        <v>9248945181</v>
      </c>
      <c r="H35" s="40">
        <f t="shared" ref="H35:H49" si="2">+D35-F35</f>
        <v>277468355</v>
      </c>
    </row>
    <row r="36" spans="1:8" customFormat="1" x14ac:dyDescent="0.25">
      <c r="A36" s="13">
        <v>20</v>
      </c>
      <c r="B36" s="13" t="s">
        <v>289</v>
      </c>
      <c r="C36" s="14" t="s">
        <v>290</v>
      </c>
      <c r="D36" s="15">
        <v>7947476705</v>
      </c>
      <c r="E36" s="97"/>
      <c r="F36" s="11">
        <v>7715996801</v>
      </c>
      <c r="G36" s="32">
        <v>7715996801</v>
      </c>
      <c r="H36" s="40">
        <f t="shared" si="2"/>
        <v>231479904</v>
      </c>
    </row>
    <row r="37" spans="1:8" customFormat="1" x14ac:dyDescent="0.25">
      <c r="A37" s="35">
        <v>42</v>
      </c>
      <c r="B37" s="35" t="s">
        <v>291</v>
      </c>
      <c r="C37" s="36" t="s">
        <v>292</v>
      </c>
      <c r="D37" s="37">
        <v>78468208</v>
      </c>
      <c r="E37" s="11"/>
      <c r="F37" s="11">
        <v>1648000000</v>
      </c>
      <c r="G37" s="32">
        <v>1648000000</v>
      </c>
      <c r="H37" s="40">
        <f t="shared" si="2"/>
        <v>-1569531792</v>
      </c>
    </row>
    <row r="38" spans="1:8" x14ac:dyDescent="0.25">
      <c r="A38" s="7" t="s">
        <v>226</v>
      </c>
      <c r="B38" s="7" t="s">
        <v>293</v>
      </c>
      <c r="C38" s="8" t="s">
        <v>294</v>
      </c>
      <c r="G38" s="32">
        <v>23074907840</v>
      </c>
    </row>
    <row r="39" spans="1:8" customFormat="1" x14ac:dyDescent="0.25">
      <c r="A39" s="13">
        <v>6</v>
      </c>
      <c r="B39" s="13" t="s">
        <v>295</v>
      </c>
      <c r="C39" s="14" t="s">
        <v>296</v>
      </c>
      <c r="D39" s="15">
        <v>3629729311.2000003</v>
      </c>
      <c r="E39" s="11"/>
      <c r="F39" s="31">
        <v>3524009040</v>
      </c>
      <c r="G39" s="32">
        <v>3524009040</v>
      </c>
      <c r="H39" s="40">
        <f t="shared" si="2"/>
        <v>105720271.20000029</v>
      </c>
    </row>
    <row r="40" spans="1:8" customFormat="1" x14ac:dyDescent="0.25">
      <c r="A40" s="4">
        <v>178</v>
      </c>
      <c r="B40" s="4" t="s">
        <v>297</v>
      </c>
      <c r="C40" s="5" t="s">
        <v>296</v>
      </c>
      <c r="D40" s="6">
        <v>907432327.80000007</v>
      </c>
      <c r="E40" s="11"/>
      <c r="F40" s="31">
        <v>881002260</v>
      </c>
      <c r="G40" s="32">
        <v>881002260</v>
      </c>
      <c r="H40" s="40">
        <f t="shared" si="2"/>
        <v>26430067.800000072</v>
      </c>
    </row>
    <row r="41" spans="1:8" customFormat="1" x14ac:dyDescent="0.25">
      <c r="A41" s="13">
        <v>4</v>
      </c>
      <c r="B41" s="13" t="s">
        <v>298</v>
      </c>
      <c r="C41" s="14" t="s">
        <v>299</v>
      </c>
      <c r="D41" s="15">
        <v>7056699903</v>
      </c>
      <c r="E41" s="97"/>
      <c r="F41" s="11">
        <v>4453257220.1000004</v>
      </c>
      <c r="G41" s="32">
        <v>4453257220.1000004</v>
      </c>
      <c r="H41" s="40">
        <f t="shared" si="2"/>
        <v>2603442682.8999996</v>
      </c>
    </row>
    <row r="42" spans="1:8" customFormat="1" x14ac:dyDescent="0.25">
      <c r="A42" s="4">
        <v>176</v>
      </c>
      <c r="B42" s="4" t="s">
        <v>300</v>
      </c>
      <c r="C42" s="5" t="s">
        <v>299</v>
      </c>
      <c r="D42" s="6"/>
      <c r="E42" s="97"/>
      <c r="F42" s="11">
        <v>1370232990.8</v>
      </c>
      <c r="G42" s="32">
        <v>1370232990.8</v>
      </c>
      <c r="H42" s="40">
        <f t="shared" si="2"/>
        <v>-1370232990.8</v>
      </c>
    </row>
    <row r="43" spans="1:8" customFormat="1" x14ac:dyDescent="0.25">
      <c r="A43" s="4">
        <v>177</v>
      </c>
      <c r="B43" s="4" t="s">
        <v>301</v>
      </c>
      <c r="C43" s="5" t="s">
        <v>299</v>
      </c>
      <c r="D43" s="6"/>
      <c r="E43" s="97"/>
      <c r="F43" s="11">
        <v>1027674743.1</v>
      </c>
      <c r="G43" s="32">
        <v>1027674743.1</v>
      </c>
      <c r="H43" s="40">
        <f t="shared" si="2"/>
        <v>-1027674743.1</v>
      </c>
    </row>
    <row r="44" spans="1:8" customFormat="1" ht="30" x14ac:dyDescent="0.25">
      <c r="A44" s="13">
        <v>8</v>
      </c>
      <c r="B44" s="13" t="s">
        <v>302</v>
      </c>
      <c r="C44" s="14" t="s">
        <v>303</v>
      </c>
      <c r="D44" s="15">
        <v>8761326000</v>
      </c>
      <c r="E44" s="97"/>
      <c r="F44" s="31">
        <v>10000000000</v>
      </c>
      <c r="G44" s="32">
        <v>10000000000</v>
      </c>
      <c r="H44" s="40">
        <f t="shared" si="2"/>
        <v>-1238674000</v>
      </c>
    </row>
    <row r="45" spans="1:8" customFormat="1" x14ac:dyDescent="0.25">
      <c r="A45" s="13">
        <v>5</v>
      </c>
      <c r="B45" s="13" t="s">
        <v>304</v>
      </c>
      <c r="C45" s="14" t="s">
        <v>305</v>
      </c>
      <c r="D45" s="15">
        <v>374658708</v>
      </c>
      <c r="E45" s="97"/>
      <c r="F45" s="31">
        <v>363746317.19999999</v>
      </c>
      <c r="G45" s="32">
        <v>363746317.19999999</v>
      </c>
      <c r="H45" s="40">
        <f t="shared" si="2"/>
        <v>10912390.800000012</v>
      </c>
    </row>
    <row r="46" spans="1:8" customFormat="1" x14ac:dyDescent="0.25">
      <c r="A46" s="4">
        <v>33</v>
      </c>
      <c r="B46" s="4" t="s">
        <v>306</v>
      </c>
      <c r="C46" s="5" t="s">
        <v>305</v>
      </c>
      <c r="D46" s="6"/>
      <c r="E46" s="11"/>
      <c r="F46" s="31">
        <v>181873158.59999999</v>
      </c>
      <c r="G46" s="32">
        <v>181873158.59999999</v>
      </c>
      <c r="H46" s="40">
        <f t="shared" si="2"/>
        <v>-181873158.59999999</v>
      </c>
    </row>
    <row r="47" spans="1:8" customFormat="1" x14ac:dyDescent="0.25">
      <c r="A47" s="4">
        <v>34</v>
      </c>
      <c r="B47" s="4" t="s">
        <v>307</v>
      </c>
      <c r="C47" s="5" t="s">
        <v>305</v>
      </c>
      <c r="D47" s="6"/>
      <c r="E47" s="11"/>
      <c r="F47" s="31">
        <v>181873158.59999999</v>
      </c>
      <c r="G47" s="32">
        <v>181873158.59999999</v>
      </c>
      <c r="H47" s="40">
        <f t="shared" si="2"/>
        <v>-181873158.59999999</v>
      </c>
    </row>
    <row r="48" spans="1:8" customFormat="1" x14ac:dyDescent="0.25">
      <c r="A48" s="4">
        <v>39</v>
      </c>
      <c r="B48" s="4" t="s">
        <v>308</v>
      </c>
      <c r="C48" s="5" t="s">
        <v>305</v>
      </c>
      <c r="D48" s="6"/>
      <c r="E48" s="11"/>
      <c r="F48" s="31">
        <v>909365793</v>
      </c>
      <c r="G48" s="32">
        <v>909365793</v>
      </c>
      <c r="H48" s="40">
        <f t="shared" si="2"/>
        <v>-909365793</v>
      </c>
    </row>
    <row r="49" spans="1:8" customFormat="1" x14ac:dyDescent="0.25">
      <c r="A49" s="4">
        <v>41</v>
      </c>
      <c r="B49" s="4" t="s">
        <v>309</v>
      </c>
      <c r="C49" s="5" t="s">
        <v>305</v>
      </c>
      <c r="D49" s="6"/>
      <c r="E49" s="11"/>
      <c r="F49" s="31">
        <v>181873158.59999999</v>
      </c>
      <c r="G49" s="32">
        <v>181873158.59999999</v>
      </c>
      <c r="H49" s="40">
        <f t="shared" si="2"/>
        <v>-181873158.59999999</v>
      </c>
    </row>
    <row r="50" spans="1:8" x14ac:dyDescent="0.25">
      <c r="A50" s="7" t="s">
        <v>226</v>
      </c>
      <c r="B50" s="7" t="s">
        <v>310</v>
      </c>
      <c r="C50" s="8" t="s">
        <v>311</v>
      </c>
      <c r="G50" s="32">
        <v>26725662769</v>
      </c>
    </row>
    <row r="51" spans="1:8" x14ac:dyDescent="0.25">
      <c r="A51" s="7" t="s">
        <v>226</v>
      </c>
      <c r="B51" s="7" t="s">
        <v>312</v>
      </c>
      <c r="C51" s="8" t="s">
        <v>313</v>
      </c>
      <c r="G51" s="32">
        <v>561606231</v>
      </c>
    </row>
    <row r="52" spans="1:8" x14ac:dyDescent="0.25">
      <c r="A52" s="7" t="s">
        <v>226</v>
      </c>
      <c r="B52" s="7" t="s">
        <v>314</v>
      </c>
      <c r="C52" s="8" t="s">
        <v>315</v>
      </c>
      <c r="G52" s="32">
        <v>561606231</v>
      </c>
    </row>
    <row r="53" spans="1:8" x14ac:dyDescent="0.25">
      <c r="A53" s="7" t="s">
        <v>226</v>
      </c>
      <c r="B53" s="7" t="s">
        <v>316</v>
      </c>
      <c r="C53" s="8" t="s">
        <v>317</v>
      </c>
      <c r="G53" s="32">
        <v>561606231</v>
      </c>
    </row>
    <row r="54" spans="1:8" x14ac:dyDescent="0.25">
      <c r="A54" s="7" t="s">
        <v>226</v>
      </c>
      <c r="B54" s="7" t="s">
        <v>318</v>
      </c>
      <c r="C54" s="8" t="s">
        <v>317</v>
      </c>
      <c r="G54" s="32">
        <v>561606231</v>
      </c>
    </row>
    <row r="55" spans="1:8" x14ac:dyDescent="0.25">
      <c r="A55" s="7" t="s">
        <v>226</v>
      </c>
      <c r="B55" s="7" t="s">
        <v>319</v>
      </c>
      <c r="C55" s="8" t="s">
        <v>317</v>
      </c>
      <c r="G55" s="32">
        <v>561606231</v>
      </c>
    </row>
    <row r="56" spans="1:8" x14ac:dyDescent="0.25">
      <c r="A56" s="7" t="s">
        <v>226</v>
      </c>
      <c r="B56" s="7" t="s">
        <v>320</v>
      </c>
      <c r="C56" s="8" t="s">
        <v>317</v>
      </c>
      <c r="G56" s="32">
        <v>561606231</v>
      </c>
    </row>
    <row r="57" spans="1:8" x14ac:dyDescent="0.25">
      <c r="A57" s="7" t="s">
        <v>226</v>
      </c>
      <c r="B57" s="7" t="s">
        <v>321</v>
      </c>
      <c r="C57" s="8" t="s">
        <v>317</v>
      </c>
      <c r="G57" s="32">
        <v>561606231</v>
      </c>
    </row>
    <row r="58" spans="1:8" customFormat="1" x14ac:dyDescent="0.25">
      <c r="A58" s="22">
        <v>18</v>
      </c>
      <c r="B58" s="22" t="s">
        <v>322</v>
      </c>
      <c r="C58" s="23" t="s">
        <v>323</v>
      </c>
      <c r="D58" s="24"/>
      <c r="E58" s="11"/>
      <c r="F58" s="31">
        <v>41853216</v>
      </c>
      <c r="G58" s="32">
        <v>41853216</v>
      </c>
      <c r="H58" s="40">
        <f t="shared" ref="H58:H66" si="3">+D58-F58</f>
        <v>-41853216</v>
      </c>
    </row>
    <row r="59" spans="1:8" customFormat="1" x14ac:dyDescent="0.25">
      <c r="A59" s="22">
        <v>18</v>
      </c>
      <c r="B59" s="22" t="s">
        <v>324</v>
      </c>
      <c r="C59" s="23" t="s">
        <v>325</v>
      </c>
      <c r="D59" s="24"/>
      <c r="E59" s="11"/>
      <c r="F59" s="31">
        <v>30899619</v>
      </c>
      <c r="G59" s="32">
        <v>30899619</v>
      </c>
      <c r="H59" s="40">
        <f t="shared" si="3"/>
        <v>-30899619</v>
      </c>
    </row>
    <row r="60" spans="1:8" customFormat="1" x14ac:dyDescent="0.25">
      <c r="A60" s="22">
        <v>18</v>
      </c>
      <c r="B60" s="22" t="s">
        <v>326</v>
      </c>
      <c r="C60" s="23" t="s">
        <v>327</v>
      </c>
      <c r="D60" s="24"/>
      <c r="E60" s="11"/>
      <c r="F60" s="31">
        <v>155952492</v>
      </c>
      <c r="G60" s="32">
        <v>155952492</v>
      </c>
      <c r="H60" s="40">
        <f t="shared" si="3"/>
        <v>-155952492</v>
      </c>
    </row>
    <row r="61" spans="1:8" customFormat="1" x14ac:dyDescent="0.25">
      <c r="A61" s="22">
        <v>18</v>
      </c>
      <c r="B61" s="22" t="s">
        <v>328</v>
      </c>
      <c r="C61" s="23" t="s">
        <v>329</v>
      </c>
      <c r="D61" s="24"/>
      <c r="E61" s="11"/>
      <c r="F61" s="31">
        <v>25815251</v>
      </c>
      <c r="G61" s="32">
        <v>25815251</v>
      </c>
      <c r="H61" s="40">
        <f t="shared" si="3"/>
        <v>-25815251</v>
      </c>
    </row>
    <row r="62" spans="1:8" customFormat="1" x14ac:dyDescent="0.25">
      <c r="A62" s="22">
        <v>18</v>
      </c>
      <c r="B62" s="22" t="s">
        <v>330</v>
      </c>
      <c r="C62" s="23" t="s">
        <v>331</v>
      </c>
      <c r="D62" s="24"/>
      <c r="E62" s="11"/>
      <c r="F62" s="31">
        <v>19467313</v>
      </c>
      <c r="G62" s="32">
        <v>19467313</v>
      </c>
      <c r="H62" s="40">
        <f t="shared" si="3"/>
        <v>-19467313</v>
      </c>
    </row>
    <row r="63" spans="1:8" customFormat="1" ht="30" x14ac:dyDescent="0.25">
      <c r="A63" s="22">
        <v>18</v>
      </c>
      <c r="B63" s="22" t="s">
        <v>332</v>
      </c>
      <c r="C63" s="23" t="s">
        <v>333</v>
      </c>
      <c r="D63" s="24"/>
      <c r="E63" s="11"/>
      <c r="F63" s="31">
        <v>5009624</v>
      </c>
      <c r="G63" s="32">
        <v>5009624</v>
      </c>
      <c r="H63" s="40">
        <f t="shared" si="3"/>
        <v>-5009624</v>
      </c>
    </row>
    <row r="64" spans="1:8" customFormat="1" x14ac:dyDescent="0.25">
      <c r="A64" s="22">
        <v>18</v>
      </c>
      <c r="B64" s="22" t="s">
        <v>334</v>
      </c>
      <c r="C64" s="23" t="s">
        <v>335</v>
      </c>
      <c r="D64" s="24"/>
      <c r="E64" s="11"/>
      <c r="F64" s="31">
        <v>5450081</v>
      </c>
      <c r="G64" s="32">
        <v>5450081</v>
      </c>
      <c r="H64" s="40">
        <f t="shared" si="3"/>
        <v>-5450081</v>
      </c>
    </row>
    <row r="65" spans="1:8" customFormat="1" x14ac:dyDescent="0.25">
      <c r="A65" s="22">
        <v>18</v>
      </c>
      <c r="B65" s="22" t="s">
        <v>336</v>
      </c>
      <c r="C65" s="23" t="s">
        <v>337</v>
      </c>
      <c r="D65" s="24"/>
      <c r="E65" s="11"/>
      <c r="F65" s="31">
        <v>12264815</v>
      </c>
      <c r="G65" s="32">
        <v>12264815</v>
      </c>
      <c r="H65" s="40">
        <f t="shared" si="3"/>
        <v>-12264815</v>
      </c>
    </row>
    <row r="66" spans="1:8" customFormat="1" x14ac:dyDescent="0.25">
      <c r="A66" s="22">
        <v>18</v>
      </c>
      <c r="B66" s="22" t="s">
        <v>338</v>
      </c>
      <c r="C66" s="23" t="s">
        <v>339</v>
      </c>
      <c r="D66" s="24"/>
      <c r="E66" s="11"/>
      <c r="F66" s="31">
        <v>264893820</v>
      </c>
      <c r="G66" s="32">
        <v>264893820</v>
      </c>
      <c r="H66" s="40">
        <f t="shared" si="3"/>
        <v>-264893820</v>
      </c>
    </row>
    <row r="67" spans="1:8" x14ac:dyDescent="0.25">
      <c r="A67" s="7" t="s">
        <v>226</v>
      </c>
      <c r="B67" s="7" t="s">
        <v>340</v>
      </c>
      <c r="C67" s="8" t="s">
        <v>341</v>
      </c>
      <c r="G67" s="32">
        <v>100940000</v>
      </c>
    </row>
    <row r="68" spans="1:8" ht="30" x14ac:dyDescent="0.25">
      <c r="A68" s="7" t="s">
        <v>226</v>
      </c>
      <c r="B68" s="7" t="s">
        <v>342</v>
      </c>
      <c r="C68" s="8" t="s">
        <v>343</v>
      </c>
      <c r="G68" s="32">
        <v>100940000</v>
      </c>
    </row>
    <row r="69" spans="1:8" customFormat="1" ht="30" x14ac:dyDescent="0.25">
      <c r="A69" s="22">
        <v>20</v>
      </c>
      <c r="B69" s="22" t="s">
        <v>344</v>
      </c>
      <c r="C69" s="23" t="s">
        <v>343</v>
      </c>
      <c r="D69" s="24"/>
      <c r="E69" s="11"/>
      <c r="F69" s="31">
        <v>100940000</v>
      </c>
      <c r="G69" s="32">
        <v>100940000</v>
      </c>
      <c r="H69" s="40">
        <f t="shared" ref="H69:H77" si="4">+D69-F69</f>
        <v>-100940000</v>
      </c>
    </row>
    <row r="70" spans="1:8" customFormat="1" ht="30" x14ac:dyDescent="0.25">
      <c r="A70" s="22">
        <v>190</v>
      </c>
      <c r="B70" s="22" t="s">
        <v>345</v>
      </c>
      <c r="C70" s="23" t="s">
        <v>346</v>
      </c>
      <c r="D70" s="24"/>
      <c r="E70" s="11"/>
      <c r="F70" s="31">
        <v>6651616460</v>
      </c>
      <c r="G70" s="32">
        <v>0</v>
      </c>
      <c r="H70" s="40">
        <f t="shared" si="4"/>
        <v>-6651616460</v>
      </c>
    </row>
    <row r="71" spans="1:8" x14ac:dyDescent="0.25">
      <c r="A71" s="7" t="s">
        <v>226</v>
      </c>
      <c r="B71" s="7" t="s">
        <v>347</v>
      </c>
      <c r="C71" s="8" t="s">
        <v>348</v>
      </c>
      <c r="G71" s="32">
        <v>4572757556</v>
      </c>
      <c r="H71" s="40">
        <f t="shared" si="4"/>
        <v>0</v>
      </c>
    </row>
    <row r="72" spans="1:8" x14ac:dyDescent="0.25">
      <c r="A72" s="7" t="s">
        <v>226</v>
      </c>
      <c r="B72" s="7" t="s">
        <v>349</v>
      </c>
      <c r="C72" s="8" t="s">
        <v>350</v>
      </c>
      <c r="G72" s="32">
        <v>3590753695</v>
      </c>
      <c r="H72" s="40">
        <f t="shared" si="4"/>
        <v>0</v>
      </c>
    </row>
    <row r="73" spans="1:8" customFormat="1" x14ac:dyDescent="0.25">
      <c r="A73" s="13">
        <v>20</v>
      </c>
      <c r="B73" s="13" t="s">
        <v>351</v>
      </c>
      <c r="C73" s="14" t="s">
        <v>352</v>
      </c>
      <c r="D73" s="15">
        <v>15000000</v>
      </c>
      <c r="E73" s="11"/>
      <c r="F73" s="31">
        <v>30000000</v>
      </c>
      <c r="G73" s="32">
        <v>30000000</v>
      </c>
      <c r="H73" s="40">
        <f t="shared" si="4"/>
        <v>-15000000</v>
      </c>
    </row>
    <row r="74" spans="1:8" customFormat="1" x14ac:dyDescent="0.25">
      <c r="A74" s="22">
        <v>20</v>
      </c>
      <c r="B74" s="22" t="s">
        <v>353</v>
      </c>
      <c r="C74" s="23" t="s">
        <v>354</v>
      </c>
      <c r="D74" s="24"/>
      <c r="E74" s="11"/>
      <c r="F74" s="31">
        <v>0</v>
      </c>
      <c r="G74" s="32">
        <v>0</v>
      </c>
      <c r="H74" s="40">
        <f t="shared" si="4"/>
        <v>0</v>
      </c>
    </row>
    <row r="75" spans="1:8" customFormat="1" x14ac:dyDescent="0.25">
      <c r="A75" s="13">
        <v>20</v>
      </c>
      <c r="B75" s="13" t="s">
        <v>355</v>
      </c>
      <c r="C75" s="14" t="s">
        <v>356</v>
      </c>
      <c r="D75" s="15">
        <v>175000000</v>
      </c>
      <c r="E75" s="11"/>
      <c r="F75" s="31">
        <v>150000000</v>
      </c>
      <c r="G75" s="32">
        <v>150000000</v>
      </c>
      <c r="H75" s="40">
        <f t="shared" si="4"/>
        <v>25000000</v>
      </c>
    </row>
    <row r="76" spans="1:8" customFormat="1" x14ac:dyDescent="0.25">
      <c r="A76" s="22">
        <v>20</v>
      </c>
      <c r="B76" s="22" t="s">
        <v>357</v>
      </c>
      <c r="C76" s="23" t="s">
        <v>358</v>
      </c>
      <c r="D76" s="24"/>
      <c r="E76" s="11"/>
      <c r="F76" s="31">
        <v>0</v>
      </c>
      <c r="G76" s="32">
        <v>0</v>
      </c>
      <c r="H76" s="40">
        <f t="shared" si="4"/>
        <v>0</v>
      </c>
    </row>
    <row r="77" spans="1:8" customFormat="1" x14ac:dyDescent="0.25">
      <c r="A77" s="22">
        <v>20</v>
      </c>
      <c r="B77" s="22" t="s">
        <v>359</v>
      </c>
      <c r="C77" s="23" t="s">
        <v>360</v>
      </c>
      <c r="D77" s="24"/>
      <c r="E77" s="11"/>
      <c r="F77" s="31">
        <v>0</v>
      </c>
      <c r="G77" s="32">
        <v>0</v>
      </c>
      <c r="H77" s="40">
        <f t="shared" si="4"/>
        <v>0</v>
      </c>
    </row>
    <row r="78" spans="1:8" x14ac:dyDescent="0.25">
      <c r="A78" s="7" t="s">
        <v>226</v>
      </c>
      <c r="B78" s="7" t="s">
        <v>361</v>
      </c>
      <c r="C78" s="8" t="s">
        <v>362</v>
      </c>
      <c r="G78" s="32">
        <v>3410753695</v>
      </c>
    </row>
    <row r="79" spans="1:8" x14ac:dyDescent="0.25">
      <c r="A79" s="7" t="s">
        <v>226</v>
      </c>
      <c r="B79" s="7" t="s">
        <v>363</v>
      </c>
      <c r="C79" s="8" t="s">
        <v>228</v>
      </c>
      <c r="G79" s="32">
        <v>3410753695</v>
      </c>
    </row>
    <row r="80" spans="1:8" x14ac:dyDescent="0.25">
      <c r="A80" s="7" t="s">
        <v>226</v>
      </c>
      <c r="B80" s="7" t="s">
        <v>364</v>
      </c>
      <c r="C80" s="8" t="s">
        <v>230</v>
      </c>
      <c r="G80" s="32">
        <v>3410753695</v>
      </c>
    </row>
    <row r="81" spans="1:8" x14ac:dyDescent="0.25">
      <c r="A81" s="7" t="s">
        <v>226</v>
      </c>
      <c r="B81" s="7" t="s">
        <v>365</v>
      </c>
      <c r="C81" s="8" t="s">
        <v>366</v>
      </c>
      <c r="G81" s="32">
        <v>3410753695</v>
      </c>
    </row>
    <row r="82" spans="1:8" x14ac:dyDescent="0.25">
      <c r="A82" s="7" t="s">
        <v>226</v>
      </c>
      <c r="B82" s="7" t="s">
        <v>367</v>
      </c>
      <c r="C82" s="8" t="s">
        <v>234</v>
      </c>
      <c r="G82" s="32">
        <v>3410753695</v>
      </c>
    </row>
    <row r="83" spans="1:8" customFormat="1" x14ac:dyDescent="0.25">
      <c r="A83" s="13">
        <v>20</v>
      </c>
      <c r="B83" s="13" t="s">
        <v>368</v>
      </c>
      <c r="C83" s="14" t="s">
        <v>369</v>
      </c>
      <c r="D83" s="15">
        <v>2282349720</v>
      </c>
      <c r="E83" s="11"/>
      <c r="F83" s="31">
        <v>3410753695</v>
      </c>
      <c r="G83" s="32">
        <v>3410753695</v>
      </c>
      <c r="H83" s="40">
        <f>+D83-F83</f>
        <v>-1128403975</v>
      </c>
    </row>
    <row r="84" spans="1:8" customFormat="1" x14ac:dyDescent="0.25">
      <c r="A84" s="13">
        <v>20</v>
      </c>
      <c r="B84" s="13" t="s">
        <v>370</v>
      </c>
      <c r="C84" s="14" t="s">
        <v>371</v>
      </c>
      <c r="D84" s="15">
        <v>7920583</v>
      </c>
      <c r="E84" s="11"/>
      <c r="F84" s="31">
        <v>0</v>
      </c>
      <c r="G84" s="32">
        <v>0</v>
      </c>
      <c r="H84" s="40">
        <f>+D84-F84</f>
        <v>7920583</v>
      </c>
    </row>
    <row r="85" spans="1:8" customFormat="1" ht="30" x14ac:dyDescent="0.25">
      <c r="A85" s="22">
        <v>20</v>
      </c>
      <c r="B85" s="22" t="s">
        <v>372</v>
      </c>
      <c r="C85" s="23" t="s">
        <v>373</v>
      </c>
      <c r="D85" s="24"/>
      <c r="E85" s="11"/>
      <c r="F85" s="31">
        <v>0</v>
      </c>
      <c r="G85" s="32">
        <v>0</v>
      </c>
      <c r="H85" s="40">
        <f>+D85-F85</f>
        <v>0</v>
      </c>
    </row>
    <row r="86" spans="1:8" customFormat="1" ht="30" x14ac:dyDescent="0.25">
      <c r="A86" s="22">
        <v>20</v>
      </c>
      <c r="B86" s="22" t="s">
        <v>374</v>
      </c>
      <c r="C86" s="23" t="s">
        <v>375</v>
      </c>
      <c r="D86" s="24"/>
      <c r="E86" s="11"/>
      <c r="F86" s="31">
        <v>0</v>
      </c>
      <c r="G86" s="32">
        <v>0</v>
      </c>
      <c r="H86" s="40">
        <f>+D86-F86</f>
        <v>0</v>
      </c>
    </row>
    <row r="87" spans="1:8" x14ac:dyDescent="0.25">
      <c r="A87" s="7" t="s">
        <v>226</v>
      </c>
      <c r="B87" s="7" t="s">
        <v>376</v>
      </c>
      <c r="C87" s="8" t="s">
        <v>377</v>
      </c>
      <c r="G87" s="32">
        <v>982003861</v>
      </c>
    </row>
    <row r="88" spans="1:8" x14ac:dyDescent="0.25">
      <c r="A88" s="7" t="s">
        <v>226</v>
      </c>
      <c r="B88" s="7" t="s">
        <v>378</v>
      </c>
      <c r="C88" s="8" t="s">
        <v>228</v>
      </c>
      <c r="G88" s="32">
        <v>982003861</v>
      </c>
    </row>
    <row r="89" spans="1:8" x14ac:dyDescent="0.25">
      <c r="A89" s="7" t="s">
        <v>226</v>
      </c>
      <c r="B89" s="7" t="s">
        <v>379</v>
      </c>
      <c r="C89" s="8" t="s">
        <v>230</v>
      </c>
      <c r="G89" s="32">
        <v>982003861</v>
      </c>
    </row>
    <row r="90" spans="1:8" x14ac:dyDescent="0.25">
      <c r="A90" s="7" t="s">
        <v>226</v>
      </c>
      <c r="B90" s="7" t="s">
        <v>380</v>
      </c>
      <c r="C90" s="8" t="s">
        <v>366</v>
      </c>
      <c r="G90" s="32">
        <v>982003861</v>
      </c>
    </row>
    <row r="91" spans="1:8" x14ac:dyDescent="0.25">
      <c r="A91" s="7" t="s">
        <v>226</v>
      </c>
      <c r="B91" s="7" t="s">
        <v>381</v>
      </c>
      <c r="C91" s="8" t="s">
        <v>382</v>
      </c>
      <c r="G91" s="32">
        <v>982003861</v>
      </c>
    </row>
    <row r="92" spans="1:8" customFormat="1" ht="30" x14ac:dyDescent="0.25">
      <c r="A92" s="13">
        <v>20</v>
      </c>
      <c r="B92" s="13" t="s">
        <v>383</v>
      </c>
      <c r="C92" s="14" t="s">
        <v>384</v>
      </c>
      <c r="D92" s="15">
        <v>868223930</v>
      </c>
      <c r="E92" s="11"/>
      <c r="F92" s="31">
        <v>982003861</v>
      </c>
      <c r="G92" s="32">
        <v>982003861</v>
      </c>
      <c r="H92" s="40">
        <f>+D92-F92</f>
        <v>-113779931</v>
      </c>
    </row>
    <row r="93" spans="1:8" x14ac:dyDescent="0.25">
      <c r="A93" s="7" t="s">
        <v>226</v>
      </c>
      <c r="B93" s="7" t="s">
        <v>385</v>
      </c>
      <c r="C93" s="8" t="s">
        <v>386</v>
      </c>
      <c r="G93" s="32">
        <v>363287619</v>
      </c>
    </row>
    <row r="94" spans="1:8" x14ac:dyDescent="0.25">
      <c r="A94" s="7" t="s">
        <v>226</v>
      </c>
      <c r="B94" s="7" t="s">
        <v>387</v>
      </c>
      <c r="C94" s="8" t="s">
        <v>388</v>
      </c>
      <c r="G94" s="32">
        <v>0</v>
      </c>
    </row>
    <row r="95" spans="1:8" customFormat="1" x14ac:dyDescent="0.25">
      <c r="A95" s="22">
        <v>20</v>
      </c>
      <c r="B95" s="22" t="s">
        <v>389</v>
      </c>
      <c r="C95" s="23" t="s">
        <v>390</v>
      </c>
      <c r="D95" s="24"/>
      <c r="E95" s="11"/>
      <c r="F95" s="31">
        <v>0</v>
      </c>
      <c r="G95" s="32">
        <v>0</v>
      </c>
      <c r="H95" s="40">
        <f>+D95-F95</f>
        <v>0</v>
      </c>
    </row>
    <row r="96" spans="1:8" ht="30" x14ac:dyDescent="0.25">
      <c r="A96" s="7" t="s">
        <v>226</v>
      </c>
      <c r="B96" s="7" t="s">
        <v>391</v>
      </c>
      <c r="C96" s="8" t="s">
        <v>392</v>
      </c>
      <c r="G96" s="32">
        <v>363287619</v>
      </c>
    </row>
    <row r="97" spans="1:8" ht="30" x14ac:dyDescent="0.25">
      <c r="A97" s="7" t="s">
        <v>226</v>
      </c>
      <c r="B97" s="7" t="s">
        <v>393</v>
      </c>
      <c r="C97" s="8" t="s">
        <v>394</v>
      </c>
      <c r="G97" s="32">
        <v>118460356</v>
      </c>
    </row>
    <row r="98" spans="1:8" x14ac:dyDescent="0.25">
      <c r="A98" s="7" t="s">
        <v>226</v>
      </c>
      <c r="B98" s="7" t="s">
        <v>395</v>
      </c>
      <c r="C98" s="8" t="s">
        <v>396</v>
      </c>
      <c r="G98" s="32">
        <v>118460356</v>
      </c>
    </row>
    <row r="99" spans="1:8" customFormat="1" ht="30" x14ac:dyDescent="0.25">
      <c r="A99" s="13">
        <v>20</v>
      </c>
      <c r="B99" s="13" t="s">
        <v>397</v>
      </c>
      <c r="C99" s="14" t="s">
        <v>398</v>
      </c>
      <c r="D99" s="15"/>
      <c r="E99" s="11"/>
      <c r="F99" s="31">
        <v>118460356</v>
      </c>
      <c r="G99" s="32">
        <v>118460356</v>
      </c>
      <c r="H99" s="40">
        <f>+D99-F99</f>
        <v>-118460356</v>
      </c>
    </row>
    <row r="100" spans="1:8" ht="30" x14ac:dyDescent="0.25">
      <c r="A100" s="7" t="s">
        <v>226</v>
      </c>
      <c r="B100" s="7" t="s">
        <v>399</v>
      </c>
      <c r="C100" s="8" t="s">
        <v>400</v>
      </c>
      <c r="G100" s="32">
        <v>244827263</v>
      </c>
    </row>
    <row r="101" spans="1:8" x14ac:dyDescent="0.25">
      <c r="A101" s="7" t="s">
        <v>226</v>
      </c>
      <c r="B101" s="7" t="s">
        <v>401</v>
      </c>
      <c r="C101" s="8" t="s">
        <v>402</v>
      </c>
      <c r="G101" s="32">
        <v>244827263</v>
      </c>
    </row>
    <row r="102" spans="1:8" customFormat="1" ht="30" x14ac:dyDescent="0.25">
      <c r="A102" s="22">
        <v>20</v>
      </c>
      <c r="B102" s="22" t="s">
        <v>403</v>
      </c>
      <c r="C102" s="23" t="s">
        <v>404</v>
      </c>
      <c r="D102" s="24"/>
      <c r="E102" s="11"/>
      <c r="F102" s="31">
        <v>244827263</v>
      </c>
      <c r="G102" s="32">
        <v>244827263</v>
      </c>
      <c r="H102" s="40">
        <f>+D102-F102</f>
        <v>-244827263</v>
      </c>
    </row>
    <row r="103" spans="1:8" x14ac:dyDescent="0.25">
      <c r="A103" s="7" t="s">
        <v>226</v>
      </c>
      <c r="B103" s="7" t="s">
        <v>405</v>
      </c>
      <c r="C103" s="8" t="s">
        <v>406</v>
      </c>
      <c r="G103" s="32">
        <v>9233352286</v>
      </c>
    </row>
    <row r="104" spans="1:8" x14ac:dyDescent="0.25">
      <c r="A104" s="7" t="s">
        <v>226</v>
      </c>
      <c r="B104" s="7" t="s">
        <v>407</v>
      </c>
      <c r="C104" s="8" t="s">
        <v>408</v>
      </c>
      <c r="G104" s="32">
        <v>2751236459</v>
      </c>
    </row>
    <row r="105" spans="1:8" customFormat="1" x14ac:dyDescent="0.25">
      <c r="A105" s="13">
        <v>27</v>
      </c>
      <c r="B105" s="13" t="s">
        <v>409</v>
      </c>
      <c r="C105" s="14" t="s">
        <v>410</v>
      </c>
      <c r="D105" s="15">
        <v>2991799289</v>
      </c>
      <c r="E105" s="11"/>
      <c r="F105" s="31">
        <v>2874955324</v>
      </c>
      <c r="G105" s="32">
        <v>2751236459</v>
      </c>
      <c r="H105" s="40">
        <f>+D105-F105</f>
        <v>116843965</v>
      </c>
    </row>
    <row r="106" spans="1:8" x14ac:dyDescent="0.25">
      <c r="A106" s="7" t="s">
        <v>226</v>
      </c>
      <c r="B106" s="7" t="s">
        <v>411</v>
      </c>
      <c r="C106" s="8" t="s">
        <v>412</v>
      </c>
      <c r="G106" s="32">
        <v>5127472595</v>
      </c>
    </row>
    <row r="107" spans="1:8" x14ac:dyDescent="0.25">
      <c r="A107" s="7" t="s">
        <v>226</v>
      </c>
      <c r="B107" s="7" t="s">
        <v>413</v>
      </c>
      <c r="C107" s="8" t="s">
        <v>414</v>
      </c>
      <c r="G107" s="32">
        <v>5127472595</v>
      </c>
    </row>
    <row r="108" spans="1:8" customFormat="1" x14ac:dyDescent="0.25">
      <c r="A108" s="22">
        <v>20</v>
      </c>
      <c r="B108" s="22" t="s">
        <v>415</v>
      </c>
      <c r="C108" s="23" t="s">
        <v>416</v>
      </c>
      <c r="D108" s="24"/>
      <c r="E108" s="11"/>
      <c r="F108" s="31">
        <v>4864434453</v>
      </c>
      <c r="G108" s="32">
        <v>4864434453</v>
      </c>
      <c r="H108" s="40">
        <f>+D108-F108</f>
        <v>-4864434453</v>
      </c>
    </row>
    <row r="109" spans="1:8" customFormat="1" ht="30" x14ac:dyDescent="0.25">
      <c r="A109" s="19">
        <v>47</v>
      </c>
      <c r="B109" s="19" t="s">
        <v>417</v>
      </c>
      <c r="C109" s="20" t="s">
        <v>418</v>
      </c>
      <c r="D109" s="21">
        <v>270929286</v>
      </c>
      <c r="E109" s="11"/>
      <c r="F109" s="31">
        <v>263038142</v>
      </c>
      <c r="G109" s="32">
        <v>263038142</v>
      </c>
      <c r="H109" s="40">
        <f>+D109-F109</f>
        <v>7891144</v>
      </c>
    </row>
    <row r="110" spans="1:8" ht="30" x14ac:dyDescent="0.25">
      <c r="A110" s="7" t="s">
        <v>226</v>
      </c>
      <c r="B110" s="7" t="s">
        <v>419</v>
      </c>
      <c r="C110" s="8" t="s">
        <v>420</v>
      </c>
      <c r="G110" s="32">
        <v>0</v>
      </c>
    </row>
    <row r="111" spans="1:8" x14ac:dyDescent="0.25">
      <c r="A111" s="7" t="s">
        <v>226</v>
      </c>
      <c r="B111" s="7" t="s">
        <v>421</v>
      </c>
      <c r="C111" s="8" t="s">
        <v>422</v>
      </c>
      <c r="G111" s="32">
        <v>0</v>
      </c>
    </row>
    <row r="112" spans="1:8" x14ac:dyDescent="0.25">
      <c r="A112" s="7" t="s">
        <v>226</v>
      </c>
      <c r="B112" s="7" t="s">
        <v>423</v>
      </c>
      <c r="C112" s="8" t="s">
        <v>424</v>
      </c>
      <c r="G112" s="32">
        <v>0</v>
      </c>
    </row>
    <row r="113" spans="1:8" customFormat="1" x14ac:dyDescent="0.25">
      <c r="A113" s="22">
        <v>134</v>
      </c>
      <c r="B113" s="22" t="s">
        <v>425</v>
      </c>
      <c r="C113" s="23" t="s">
        <v>426</v>
      </c>
      <c r="D113" s="24"/>
      <c r="E113" s="11"/>
      <c r="F113" s="31">
        <v>0</v>
      </c>
      <c r="G113" s="32">
        <v>0</v>
      </c>
      <c r="H113" s="40">
        <f>+D113-F113</f>
        <v>0</v>
      </c>
    </row>
    <row r="114" spans="1:8" ht="30" x14ac:dyDescent="0.25">
      <c r="A114" s="7" t="s">
        <v>226</v>
      </c>
      <c r="B114" s="7" t="s">
        <v>427</v>
      </c>
      <c r="C114" s="8" t="s">
        <v>428</v>
      </c>
      <c r="G114" s="32">
        <v>250000000</v>
      </c>
    </row>
    <row r="115" spans="1:8" x14ac:dyDescent="0.25">
      <c r="A115" s="7" t="s">
        <v>226</v>
      </c>
      <c r="B115" s="7" t="s">
        <v>429</v>
      </c>
      <c r="C115" s="8" t="s">
        <v>430</v>
      </c>
      <c r="G115" s="32">
        <v>250000000</v>
      </c>
    </row>
    <row r="116" spans="1:8" x14ac:dyDescent="0.25">
      <c r="A116" s="7" t="s">
        <v>226</v>
      </c>
      <c r="B116" s="7" t="s">
        <v>431</v>
      </c>
      <c r="C116" s="8" t="s">
        <v>430</v>
      </c>
      <c r="G116" s="32">
        <v>250000000</v>
      </c>
    </row>
    <row r="117" spans="1:8" x14ac:dyDescent="0.25">
      <c r="A117" s="7" t="s">
        <v>226</v>
      </c>
      <c r="B117" s="7" t="s">
        <v>432</v>
      </c>
      <c r="C117" s="8" t="s">
        <v>430</v>
      </c>
      <c r="G117" s="32">
        <v>250000000</v>
      </c>
    </row>
    <row r="118" spans="1:8" x14ac:dyDescent="0.25">
      <c r="A118" s="7" t="s">
        <v>226</v>
      </c>
      <c r="B118" s="7" t="s">
        <v>433</v>
      </c>
      <c r="C118" s="8" t="s">
        <v>430</v>
      </c>
      <c r="G118" s="32">
        <v>250000000</v>
      </c>
    </row>
    <row r="119" spans="1:8" x14ac:dyDescent="0.25">
      <c r="A119" s="7" t="s">
        <v>226</v>
      </c>
      <c r="B119" s="7" t="s">
        <v>434</v>
      </c>
      <c r="C119" s="8" t="s">
        <v>430</v>
      </c>
      <c r="G119" s="32">
        <v>250000000</v>
      </c>
    </row>
    <row r="120" spans="1:8" customFormat="1" x14ac:dyDescent="0.25">
      <c r="A120" s="22">
        <v>196</v>
      </c>
      <c r="B120" s="22" t="s">
        <v>435</v>
      </c>
      <c r="C120" s="23" t="s">
        <v>436</v>
      </c>
      <c r="D120" s="24"/>
      <c r="E120" s="11"/>
      <c r="F120" s="31">
        <v>0</v>
      </c>
      <c r="G120" s="32">
        <v>0</v>
      </c>
      <c r="H120" s="40">
        <f>+D120-F120</f>
        <v>0</v>
      </c>
    </row>
    <row r="121" spans="1:8" customFormat="1" x14ac:dyDescent="0.25">
      <c r="A121" s="22">
        <v>56</v>
      </c>
      <c r="B121" s="22" t="s">
        <v>437</v>
      </c>
      <c r="C121" s="23" t="s">
        <v>438</v>
      </c>
      <c r="D121" s="24"/>
      <c r="E121" s="11"/>
      <c r="F121" s="31">
        <v>4000000000</v>
      </c>
      <c r="G121" s="32">
        <v>0</v>
      </c>
      <c r="H121" s="40">
        <f>+D121-F121</f>
        <v>-4000000000</v>
      </c>
    </row>
    <row r="122" spans="1:8" customFormat="1" ht="30" x14ac:dyDescent="0.25">
      <c r="A122" s="22">
        <v>201</v>
      </c>
      <c r="B122" s="22" t="s">
        <v>439</v>
      </c>
      <c r="C122" s="23" t="s">
        <v>440</v>
      </c>
      <c r="D122" s="24"/>
      <c r="E122" s="11"/>
      <c r="F122" s="31">
        <v>0</v>
      </c>
      <c r="G122" s="32">
        <v>0</v>
      </c>
      <c r="H122" s="40">
        <f>+D122-F122</f>
        <v>0</v>
      </c>
    </row>
    <row r="123" spans="1:8" customFormat="1" x14ac:dyDescent="0.25">
      <c r="A123" s="13">
        <v>56</v>
      </c>
      <c r="B123" s="13" t="s">
        <v>441</v>
      </c>
      <c r="C123" s="14" t="s">
        <v>442</v>
      </c>
      <c r="D123" s="15">
        <v>250000000</v>
      </c>
      <c r="E123" s="11"/>
      <c r="F123" s="31">
        <v>429440187.83999997</v>
      </c>
      <c r="G123" s="32">
        <v>250000000</v>
      </c>
      <c r="H123" s="40">
        <f>+D123-F123</f>
        <v>-179440187.83999997</v>
      </c>
    </row>
    <row r="124" spans="1:8" x14ac:dyDescent="0.25">
      <c r="A124" s="7" t="s">
        <v>226</v>
      </c>
      <c r="B124" s="7" t="s">
        <v>443</v>
      </c>
      <c r="C124" s="8" t="s">
        <v>444</v>
      </c>
      <c r="G124" s="32">
        <v>1078643232</v>
      </c>
      <c r="H124" s="40"/>
    </row>
    <row r="125" spans="1:8" x14ac:dyDescent="0.25">
      <c r="A125" s="7" t="s">
        <v>226</v>
      </c>
      <c r="B125" s="7" t="s">
        <v>445</v>
      </c>
      <c r="C125" s="8" t="s">
        <v>446</v>
      </c>
      <c r="G125" s="32">
        <v>1078643232</v>
      </c>
    </row>
    <row r="126" spans="1:8" x14ac:dyDescent="0.25">
      <c r="A126" s="7" t="s">
        <v>226</v>
      </c>
      <c r="B126" s="7" t="s">
        <v>447</v>
      </c>
      <c r="C126" s="8" t="s">
        <v>446</v>
      </c>
      <c r="G126" s="32">
        <v>1078643232</v>
      </c>
    </row>
    <row r="127" spans="1:8" x14ac:dyDescent="0.25">
      <c r="A127" s="7" t="s">
        <v>226</v>
      </c>
      <c r="B127" s="7" t="s">
        <v>448</v>
      </c>
      <c r="C127" s="8" t="s">
        <v>446</v>
      </c>
      <c r="G127" s="32">
        <v>1078643232</v>
      </c>
    </row>
    <row r="128" spans="1:8" x14ac:dyDescent="0.25">
      <c r="A128" s="16" t="s">
        <v>226</v>
      </c>
      <c r="B128" s="16" t="s">
        <v>449</v>
      </c>
      <c r="C128" s="17" t="s">
        <v>446</v>
      </c>
      <c r="D128" s="18">
        <v>854197207</v>
      </c>
      <c r="G128" s="32">
        <v>1078643232</v>
      </c>
    </row>
    <row r="129" spans="1:8" customFormat="1" x14ac:dyDescent="0.25">
      <c r="A129" s="19">
        <v>20</v>
      </c>
      <c r="B129" s="19" t="s">
        <v>450</v>
      </c>
      <c r="C129" s="20" t="s">
        <v>451</v>
      </c>
      <c r="D129" s="21"/>
      <c r="E129" s="11"/>
      <c r="F129" s="31">
        <v>11237546</v>
      </c>
      <c r="G129" s="32">
        <v>11237546</v>
      </c>
      <c r="H129" s="40">
        <f t="shared" ref="H129:H152" si="5">+D129-F129</f>
        <v>-11237546</v>
      </c>
    </row>
    <row r="130" spans="1:8" customFormat="1" x14ac:dyDescent="0.25">
      <c r="A130" s="19">
        <v>20</v>
      </c>
      <c r="B130" s="19" t="s">
        <v>452</v>
      </c>
      <c r="C130" s="20" t="s">
        <v>453</v>
      </c>
      <c r="D130" s="21"/>
      <c r="E130" s="11"/>
      <c r="F130" s="31">
        <v>1435233</v>
      </c>
      <c r="G130" s="32">
        <v>1435233</v>
      </c>
      <c r="H130" s="40">
        <f t="shared" si="5"/>
        <v>-1435233</v>
      </c>
    </row>
    <row r="131" spans="1:8" customFormat="1" x14ac:dyDescent="0.25">
      <c r="A131" s="19">
        <v>20</v>
      </c>
      <c r="B131" s="19" t="s">
        <v>454</v>
      </c>
      <c r="C131" s="20" t="s">
        <v>455</v>
      </c>
      <c r="D131" s="21"/>
      <c r="E131" s="11"/>
      <c r="F131" s="31">
        <v>161247758</v>
      </c>
      <c r="G131" s="32">
        <v>161247758</v>
      </c>
      <c r="H131" s="40">
        <f t="shared" si="5"/>
        <v>-161247758</v>
      </c>
    </row>
    <row r="132" spans="1:8" customFormat="1" x14ac:dyDescent="0.25">
      <c r="A132" s="19">
        <v>20</v>
      </c>
      <c r="B132" s="19" t="s">
        <v>456</v>
      </c>
      <c r="C132" s="20" t="s">
        <v>457</v>
      </c>
      <c r="D132" s="21"/>
      <c r="E132" s="11"/>
      <c r="F132" s="31">
        <v>52430603</v>
      </c>
      <c r="G132" s="32">
        <v>52430603</v>
      </c>
      <c r="H132" s="40">
        <f t="shared" si="5"/>
        <v>-52430603</v>
      </c>
    </row>
    <row r="133" spans="1:8" customFormat="1" x14ac:dyDescent="0.25">
      <c r="A133" s="19">
        <v>20</v>
      </c>
      <c r="B133" s="19" t="s">
        <v>458</v>
      </c>
      <c r="C133" s="20" t="s">
        <v>459</v>
      </c>
      <c r="D133" s="21"/>
      <c r="E133" s="11"/>
      <c r="F133" s="31">
        <v>14507585</v>
      </c>
      <c r="G133" s="32">
        <v>14507585</v>
      </c>
      <c r="H133" s="40">
        <f t="shared" si="5"/>
        <v>-14507585</v>
      </c>
    </row>
    <row r="134" spans="1:8" customFormat="1" x14ac:dyDescent="0.25">
      <c r="A134" s="19">
        <v>20</v>
      </c>
      <c r="B134" s="19" t="s">
        <v>460</v>
      </c>
      <c r="C134" s="20" t="s">
        <v>461</v>
      </c>
      <c r="D134" s="21"/>
      <c r="E134" s="11"/>
      <c r="F134" s="31">
        <v>1707717</v>
      </c>
      <c r="G134" s="32">
        <v>1707717</v>
      </c>
      <c r="H134" s="40">
        <f t="shared" si="5"/>
        <v>-1707717</v>
      </c>
    </row>
    <row r="135" spans="1:8" customFormat="1" x14ac:dyDescent="0.25">
      <c r="A135" s="19">
        <v>20</v>
      </c>
      <c r="B135" s="19" t="s">
        <v>462</v>
      </c>
      <c r="C135" s="20" t="s">
        <v>463</v>
      </c>
      <c r="D135" s="21"/>
      <c r="E135" s="11"/>
      <c r="F135" s="31">
        <v>385274670</v>
      </c>
      <c r="G135" s="32">
        <v>385274670</v>
      </c>
      <c r="H135" s="40">
        <f t="shared" si="5"/>
        <v>-385274670</v>
      </c>
    </row>
    <row r="136" spans="1:8" customFormat="1" x14ac:dyDescent="0.25">
      <c r="A136" s="19">
        <v>20</v>
      </c>
      <c r="B136" s="19" t="s">
        <v>464</v>
      </c>
      <c r="C136" s="20" t="s">
        <v>465</v>
      </c>
      <c r="D136" s="21"/>
      <c r="E136" s="11"/>
      <c r="F136" s="31">
        <v>0</v>
      </c>
      <c r="G136" s="32">
        <v>0</v>
      </c>
      <c r="H136" s="40">
        <f t="shared" si="5"/>
        <v>0</v>
      </c>
    </row>
    <row r="137" spans="1:8" customFormat="1" x14ac:dyDescent="0.25">
      <c r="A137" s="19">
        <v>20</v>
      </c>
      <c r="B137" s="19" t="s">
        <v>466</v>
      </c>
      <c r="C137" s="20" t="s">
        <v>335</v>
      </c>
      <c r="D137" s="21"/>
      <c r="E137" s="11"/>
      <c r="F137" s="31">
        <v>10852642</v>
      </c>
      <c r="G137" s="32">
        <v>10852642</v>
      </c>
      <c r="H137" s="40">
        <f t="shared" si="5"/>
        <v>-10852642</v>
      </c>
    </row>
    <row r="138" spans="1:8" customFormat="1" x14ac:dyDescent="0.25">
      <c r="A138" s="19">
        <v>20</v>
      </c>
      <c r="B138" s="19" t="s">
        <v>467</v>
      </c>
      <c r="C138" s="20" t="s">
        <v>339</v>
      </c>
      <c r="D138" s="21"/>
      <c r="E138" s="11"/>
      <c r="F138" s="31">
        <v>2573292</v>
      </c>
      <c r="G138" s="32">
        <v>2573292</v>
      </c>
      <c r="H138" s="40">
        <f t="shared" si="5"/>
        <v>-2573292</v>
      </c>
    </row>
    <row r="139" spans="1:8" customFormat="1" x14ac:dyDescent="0.25">
      <c r="A139" s="19">
        <v>20</v>
      </c>
      <c r="B139" s="19" t="s">
        <v>468</v>
      </c>
      <c r="C139" s="20" t="s">
        <v>469</v>
      </c>
      <c r="D139" s="21"/>
      <c r="E139" s="11"/>
      <c r="F139" s="31">
        <v>66661092</v>
      </c>
      <c r="G139" s="32">
        <v>66661092</v>
      </c>
      <c r="H139" s="40">
        <f t="shared" si="5"/>
        <v>-66661092</v>
      </c>
    </row>
    <row r="140" spans="1:8" customFormat="1" x14ac:dyDescent="0.25">
      <c r="A140" s="19">
        <v>20</v>
      </c>
      <c r="B140" s="19" t="s">
        <v>470</v>
      </c>
      <c r="C140" s="20" t="s">
        <v>471</v>
      </c>
      <c r="D140" s="21"/>
      <c r="E140" s="11"/>
      <c r="F140" s="31">
        <v>1624169</v>
      </c>
      <c r="G140" s="32">
        <v>1624169</v>
      </c>
      <c r="H140" s="40">
        <f t="shared" si="5"/>
        <v>-1624169</v>
      </c>
    </row>
    <row r="141" spans="1:8" customFormat="1" x14ac:dyDescent="0.25">
      <c r="A141" s="19">
        <v>20</v>
      </c>
      <c r="B141" s="19" t="s">
        <v>472</v>
      </c>
      <c r="C141" s="20" t="s">
        <v>473</v>
      </c>
      <c r="D141" s="21"/>
      <c r="E141" s="11"/>
      <c r="F141" s="31">
        <v>9825603</v>
      </c>
      <c r="G141" s="32">
        <v>9825603</v>
      </c>
      <c r="H141" s="40">
        <f t="shared" si="5"/>
        <v>-9825603</v>
      </c>
    </row>
    <row r="142" spans="1:8" customFormat="1" x14ac:dyDescent="0.25">
      <c r="A142" s="19">
        <v>20</v>
      </c>
      <c r="B142" s="19" t="s">
        <v>474</v>
      </c>
      <c r="C142" s="20" t="s">
        <v>475</v>
      </c>
      <c r="D142" s="21"/>
      <c r="E142" s="11"/>
      <c r="F142" s="31">
        <v>171803807</v>
      </c>
      <c r="G142" s="32">
        <v>171803807</v>
      </c>
      <c r="H142" s="40">
        <f t="shared" si="5"/>
        <v>-171803807</v>
      </c>
    </row>
    <row r="143" spans="1:8" customFormat="1" x14ac:dyDescent="0.25">
      <c r="A143" s="19">
        <v>20</v>
      </c>
      <c r="B143" s="19" t="s">
        <v>476</v>
      </c>
      <c r="C143" s="20" t="s">
        <v>477</v>
      </c>
      <c r="D143" s="21"/>
      <c r="E143" s="11"/>
      <c r="F143" s="31">
        <v>7740190</v>
      </c>
      <c r="G143" s="32">
        <v>7740190</v>
      </c>
      <c r="H143" s="40">
        <f t="shared" si="5"/>
        <v>-7740190</v>
      </c>
    </row>
    <row r="144" spans="1:8" customFormat="1" x14ac:dyDescent="0.25">
      <c r="A144" s="19">
        <v>20</v>
      </c>
      <c r="B144" s="19" t="s">
        <v>478</v>
      </c>
      <c r="C144" s="20" t="s">
        <v>479</v>
      </c>
      <c r="D144" s="21"/>
      <c r="E144" s="11"/>
      <c r="F144" s="31">
        <v>0</v>
      </c>
      <c r="G144" s="32">
        <v>0</v>
      </c>
      <c r="H144" s="40">
        <f t="shared" si="5"/>
        <v>0</v>
      </c>
    </row>
    <row r="145" spans="1:8" customFormat="1" x14ac:dyDescent="0.25">
      <c r="A145" s="19">
        <v>20</v>
      </c>
      <c r="B145" s="19" t="s">
        <v>480</v>
      </c>
      <c r="C145" s="20" t="s">
        <v>481</v>
      </c>
      <c r="D145" s="21"/>
      <c r="E145" s="11"/>
      <c r="F145" s="31">
        <v>14644034</v>
      </c>
      <c r="G145" s="32">
        <v>14644034</v>
      </c>
      <c r="H145" s="40">
        <f t="shared" si="5"/>
        <v>-14644034</v>
      </c>
    </row>
    <row r="146" spans="1:8" customFormat="1" x14ac:dyDescent="0.25">
      <c r="A146" s="19">
        <v>20</v>
      </c>
      <c r="B146" s="19" t="s">
        <v>482</v>
      </c>
      <c r="C146" s="20" t="s">
        <v>483</v>
      </c>
      <c r="D146" s="21"/>
      <c r="E146" s="11"/>
      <c r="F146" s="31">
        <v>17070959</v>
      </c>
      <c r="G146" s="32">
        <v>17070959</v>
      </c>
      <c r="H146" s="40">
        <f t="shared" si="5"/>
        <v>-17070959</v>
      </c>
    </row>
    <row r="147" spans="1:8" customFormat="1" x14ac:dyDescent="0.25">
      <c r="A147" s="19">
        <v>20</v>
      </c>
      <c r="B147" s="19" t="s">
        <v>484</v>
      </c>
      <c r="C147" s="20" t="s">
        <v>485</v>
      </c>
      <c r="D147" s="21"/>
      <c r="E147" s="11"/>
      <c r="F147" s="31">
        <v>10957545</v>
      </c>
      <c r="G147" s="32">
        <v>10957545</v>
      </c>
      <c r="H147" s="40">
        <f t="shared" si="5"/>
        <v>-10957545</v>
      </c>
    </row>
    <row r="148" spans="1:8" customFormat="1" x14ac:dyDescent="0.25">
      <c r="A148" s="19">
        <v>20</v>
      </c>
      <c r="B148" s="19" t="s">
        <v>486</v>
      </c>
      <c r="C148" s="20" t="s">
        <v>487</v>
      </c>
      <c r="D148" s="21"/>
      <c r="E148" s="11"/>
      <c r="F148" s="31">
        <v>106488022</v>
      </c>
      <c r="G148" s="32">
        <v>106488022</v>
      </c>
      <c r="H148" s="40">
        <f t="shared" si="5"/>
        <v>-106488022</v>
      </c>
    </row>
    <row r="149" spans="1:8" customFormat="1" x14ac:dyDescent="0.25">
      <c r="A149" s="19">
        <v>20</v>
      </c>
      <c r="B149" s="19" t="s">
        <v>488</v>
      </c>
      <c r="C149" s="20" t="s">
        <v>489</v>
      </c>
      <c r="D149" s="21"/>
      <c r="E149" s="11"/>
      <c r="F149" s="31">
        <v>14755257</v>
      </c>
      <c r="G149" s="32">
        <v>14755257</v>
      </c>
      <c r="H149" s="40">
        <f t="shared" si="5"/>
        <v>-14755257</v>
      </c>
    </row>
    <row r="150" spans="1:8" customFormat="1" x14ac:dyDescent="0.25">
      <c r="A150" s="19">
        <v>20</v>
      </c>
      <c r="B150" s="19" t="s">
        <v>490</v>
      </c>
      <c r="C150" s="20" t="s">
        <v>491</v>
      </c>
      <c r="D150" s="21"/>
      <c r="E150" s="11"/>
      <c r="F150" s="31">
        <v>298343</v>
      </c>
      <c r="G150" s="32">
        <v>298343</v>
      </c>
      <c r="H150" s="40">
        <f t="shared" si="5"/>
        <v>-298343</v>
      </c>
    </row>
    <row r="151" spans="1:8" customFormat="1" x14ac:dyDescent="0.25">
      <c r="A151" s="19">
        <v>20</v>
      </c>
      <c r="B151" s="19" t="s">
        <v>492</v>
      </c>
      <c r="C151" s="20" t="s">
        <v>493</v>
      </c>
      <c r="D151" s="21"/>
      <c r="E151" s="11"/>
      <c r="F151" s="31">
        <v>15507165</v>
      </c>
      <c r="G151" s="32">
        <v>15507165</v>
      </c>
      <c r="H151" s="40">
        <f t="shared" si="5"/>
        <v>-15507165</v>
      </c>
    </row>
    <row r="152" spans="1:8" customFormat="1" ht="30" x14ac:dyDescent="0.25">
      <c r="A152" s="22">
        <v>20</v>
      </c>
      <c r="B152" s="22" t="s">
        <v>494</v>
      </c>
      <c r="C152" s="23" t="s">
        <v>495</v>
      </c>
      <c r="D152" s="24"/>
      <c r="E152" s="11"/>
      <c r="F152" s="31">
        <v>26000000</v>
      </c>
      <c r="G152" s="32">
        <v>26000000</v>
      </c>
      <c r="H152" s="40">
        <f t="shared" si="5"/>
        <v>-26000000</v>
      </c>
    </row>
    <row r="153" spans="1:8" x14ac:dyDescent="0.25">
      <c r="A153" s="7" t="s">
        <v>226</v>
      </c>
      <c r="B153" s="7" t="s">
        <v>496</v>
      </c>
      <c r="C153" s="8" t="s">
        <v>497</v>
      </c>
      <c r="G153" s="32">
        <v>11893719077</v>
      </c>
    </row>
    <row r="154" spans="1:8" ht="45" x14ac:dyDescent="0.25">
      <c r="A154" s="7" t="s">
        <v>226</v>
      </c>
      <c r="B154" s="7" t="s">
        <v>498</v>
      </c>
      <c r="C154" s="8" t="s">
        <v>499</v>
      </c>
      <c r="G154" s="32">
        <v>11893719077</v>
      </c>
    </row>
    <row r="155" spans="1:8" ht="30" x14ac:dyDescent="0.25">
      <c r="A155" s="7" t="s">
        <v>226</v>
      </c>
      <c r="B155" s="7" t="s">
        <v>500</v>
      </c>
      <c r="C155" s="8" t="s">
        <v>501</v>
      </c>
      <c r="G155" s="32">
        <v>11893719077</v>
      </c>
    </row>
    <row r="156" spans="1:8" ht="30" x14ac:dyDescent="0.25">
      <c r="A156" s="7" t="s">
        <v>226</v>
      </c>
      <c r="B156" s="7" t="s">
        <v>502</v>
      </c>
      <c r="C156" s="8" t="s">
        <v>503</v>
      </c>
      <c r="G156" s="32">
        <v>611631082</v>
      </c>
    </row>
    <row r="157" spans="1:8" ht="30" x14ac:dyDescent="0.25">
      <c r="A157" s="7" t="s">
        <v>226</v>
      </c>
      <c r="B157" s="7" t="s">
        <v>504</v>
      </c>
      <c r="C157" s="8" t="s">
        <v>505</v>
      </c>
      <c r="G157" s="32">
        <v>611631082</v>
      </c>
    </row>
    <row r="158" spans="1:8" customFormat="1" ht="30" x14ac:dyDescent="0.25">
      <c r="A158">
        <v>179</v>
      </c>
      <c r="B158" t="s">
        <v>506</v>
      </c>
      <c r="C158" s="10" t="s">
        <v>505</v>
      </c>
      <c r="D158" s="27">
        <v>527983630</v>
      </c>
      <c r="E158" s="25"/>
      <c r="F158" s="31">
        <v>611631082</v>
      </c>
      <c r="G158" s="32">
        <v>611631082</v>
      </c>
      <c r="H158" s="40">
        <f>+D158-F158</f>
        <v>-83647452</v>
      </c>
    </row>
    <row r="159" spans="1:8" x14ac:dyDescent="0.25">
      <c r="A159" s="7" t="s">
        <v>226</v>
      </c>
      <c r="B159" s="7" t="s">
        <v>507</v>
      </c>
      <c r="C159" s="8" t="s">
        <v>508</v>
      </c>
      <c r="G159" s="32">
        <v>11282087995</v>
      </c>
    </row>
    <row r="160" spans="1:8" ht="30" x14ac:dyDescent="0.25">
      <c r="A160" s="7" t="s">
        <v>226</v>
      </c>
      <c r="B160" s="7" t="s">
        <v>509</v>
      </c>
      <c r="C160" s="8" t="s">
        <v>510</v>
      </c>
      <c r="G160" s="32">
        <v>11282087995</v>
      </c>
    </row>
    <row r="161" spans="1:8" customFormat="1" ht="30" x14ac:dyDescent="0.25">
      <c r="A161" s="19">
        <v>20</v>
      </c>
      <c r="B161" s="19" t="s">
        <v>511</v>
      </c>
      <c r="C161" s="20" t="s">
        <v>512</v>
      </c>
      <c r="D161" s="21">
        <v>8095748990</v>
      </c>
      <c r="E161" s="11"/>
      <c r="F161" s="31">
        <v>9577110505</v>
      </c>
      <c r="G161" s="32">
        <v>9577110505</v>
      </c>
      <c r="H161" s="40">
        <f>+D161-F161</f>
        <v>-1481361515</v>
      </c>
    </row>
    <row r="162" spans="1:8" customFormat="1" ht="30" x14ac:dyDescent="0.25">
      <c r="A162" s="19">
        <v>35</v>
      </c>
      <c r="B162" s="19" t="s">
        <v>513</v>
      </c>
      <c r="C162" s="20" t="s">
        <v>512</v>
      </c>
      <c r="D162" s="21">
        <v>2463923606</v>
      </c>
      <c r="E162" s="11"/>
      <c r="F162" s="31">
        <v>1704977490</v>
      </c>
      <c r="G162" s="32">
        <v>1704977490</v>
      </c>
      <c r="H162" s="40">
        <f>+D162-F162</f>
        <v>758946116</v>
      </c>
    </row>
    <row r="163" spans="1:8" customFormat="1" ht="29.25" customHeight="1" x14ac:dyDescent="0.25">
      <c r="A163" s="19">
        <v>35</v>
      </c>
      <c r="B163" s="19" t="s">
        <v>514</v>
      </c>
      <c r="C163" s="20" t="s">
        <v>515</v>
      </c>
      <c r="D163" s="21">
        <v>6511798100</v>
      </c>
      <c r="E163" s="11"/>
      <c r="F163" s="11"/>
      <c r="G163" s="32"/>
      <c r="H163" s="40"/>
    </row>
    <row r="164" spans="1:8" x14ac:dyDescent="0.25">
      <c r="A164" s="7" t="s">
        <v>226</v>
      </c>
      <c r="B164" s="7" t="s">
        <v>516</v>
      </c>
      <c r="C164" s="8" t="s">
        <v>517</v>
      </c>
      <c r="G164" s="32">
        <v>8512129364</v>
      </c>
    </row>
    <row r="165" spans="1:8" x14ac:dyDescent="0.25">
      <c r="A165" s="7" t="s">
        <v>226</v>
      </c>
      <c r="B165" s="7" t="s">
        <v>518</v>
      </c>
      <c r="C165" s="8" t="s">
        <v>519</v>
      </c>
      <c r="G165" s="32">
        <v>237442518</v>
      </c>
    </row>
    <row r="166" spans="1:8" customFormat="1" x14ac:dyDescent="0.25">
      <c r="A166" s="22">
        <v>20</v>
      </c>
      <c r="B166" s="22" t="s">
        <v>520</v>
      </c>
      <c r="C166" s="23" t="s">
        <v>521</v>
      </c>
      <c r="D166" s="24"/>
      <c r="E166" s="11"/>
      <c r="F166" s="31">
        <v>237442518</v>
      </c>
      <c r="G166" s="32">
        <v>237442518</v>
      </c>
      <c r="H166" s="40">
        <f>+D166-F166</f>
        <v>-237442518</v>
      </c>
    </row>
    <row r="167" spans="1:8" ht="30" x14ac:dyDescent="0.25">
      <c r="A167" s="7" t="s">
        <v>226</v>
      </c>
      <c r="B167" s="7" t="s">
        <v>522</v>
      </c>
      <c r="C167" s="8" t="s">
        <v>523</v>
      </c>
      <c r="G167" s="32">
        <v>0</v>
      </c>
    </row>
    <row r="168" spans="1:8" x14ac:dyDescent="0.25">
      <c r="A168" s="7" t="s">
        <v>226</v>
      </c>
      <c r="B168" s="7" t="s">
        <v>524</v>
      </c>
      <c r="C168" s="8" t="s">
        <v>525</v>
      </c>
      <c r="G168" s="32">
        <v>0</v>
      </c>
    </row>
    <row r="169" spans="1:8" customFormat="1" x14ac:dyDescent="0.25">
      <c r="A169">
        <v>20</v>
      </c>
      <c r="B169" t="s">
        <v>526</v>
      </c>
      <c r="C169" s="10" t="s">
        <v>527</v>
      </c>
      <c r="D169" s="11"/>
      <c r="E169" s="11"/>
      <c r="F169" s="31">
        <v>0</v>
      </c>
      <c r="G169" s="32">
        <v>0</v>
      </c>
      <c r="H169" s="40"/>
    </row>
    <row r="170" spans="1:8" x14ac:dyDescent="0.25">
      <c r="A170" s="7" t="s">
        <v>226</v>
      </c>
      <c r="B170" s="7" t="s">
        <v>528</v>
      </c>
      <c r="C170" s="8" t="s">
        <v>529</v>
      </c>
      <c r="G170" s="32">
        <v>778657488</v>
      </c>
    </row>
    <row r="171" spans="1:8" x14ac:dyDescent="0.25">
      <c r="A171" s="7" t="s">
        <v>226</v>
      </c>
      <c r="B171" s="7" t="s">
        <v>530</v>
      </c>
      <c r="C171" s="8" t="s">
        <v>531</v>
      </c>
      <c r="G171" s="32">
        <v>778657488</v>
      </c>
    </row>
    <row r="172" spans="1:8" x14ac:dyDescent="0.25">
      <c r="A172" s="7" t="s">
        <v>226</v>
      </c>
      <c r="B172" s="7" t="s">
        <v>532</v>
      </c>
      <c r="C172" s="8" t="s">
        <v>228</v>
      </c>
      <c r="G172" s="32">
        <v>778657488</v>
      </c>
    </row>
    <row r="173" spans="1:8" x14ac:dyDescent="0.25">
      <c r="A173" s="7" t="s">
        <v>226</v>
      </c>
      <c r="B173" s="7" t="s">
        <v>533</v>
      </c>
      <c r="C173" s="8" t="s">
        <v>230</v>
      </c>
      <c r="G173" s="32">
        <v>778657488</v>
      </c>
    </row>
    <row r="174" spans="1:8" x14ac:dyDescent="0.25">
      <c r="A174" s="7" t="s">
        <v>226</v>
      </c>
      <c r="B174" s="7" t="s">
        <v>534</v>
      </c>
      <c r="C174" s="8" t="s">
        <v>232</v>
      </c>
      <c r="G174" s="32">
        <v>725167525</v>
      </c>
    </row>
    <row r="175" spans="1:8" x14ac:dyDescent="0.25">
      <c r="A175" s="7" t="s">
        <v>226</v>
      </c>
      <c r="B175" s="7" t="s">
        <v>535</v>
      </c>
      <c r="C175" s="8" t="s">
        <v>234</v>
      </c>
      <c r="G175" s="32">
        <v>50000000</v>
      </c>
    </row>
    <row r="176" spans="1:8" customFormat="1" ht="30" x14ac:dyDescent="0.25">
      <c r="A176" s="13">
        <v>20</v>
      </c>
      <c r="B176" s="13" t="s">
        <v>536</v>
      </c>
      <c r="C176" s="14" t="s">
        <v>537</v>
      </c>
      <c r="D176" s="15">
        <f>+'[1]PROYECCIÓN INGRESOS POR RENDIMI'!$I$7</f>
        <v>4190679</v>
      </c>
      <c r="E176" s="11"/>
      <c r="F176" s="31">
        <v>50000000</v>
      </c>
      <c r="G176" s="32">
        <v>50000000</v>
      </c>
      <c r="H176" s="40">
        <f>+D176-F176</f>
        <v>-45809321</v>
      </c>
    </row>
    <row r="177" spans="1:8" x14ac:dyDescent="0.25">
      <c r="A177" s="7" t="s">
        <v>226</v>
      </c>
      <c r="B177" s="7" t="s">
        <v>538</v>
      </c>
      <c r="C177" s="8" t="s">
        <v>241</v>
      </c>
      <c r="G177" s="32">
        <v>675167525</v>
      </c>
    </row>
    <row r="178" spans="1:8" x14ac:dyDescent="0.25">
      <c r="A178" s="7" t="s">
        <v>226</v>
      </c>
      <c r="B178" s="7" t="s">
        <v>539</v>
      </c>
      <c r="C178" s="8" t="s">
        <v>243</v>
      </c>
      <c r="G178" s="32">
        <v>200000000</v>
      </c>
    </row>
    <row r="179" spans="1:8" customFormat="1" x14ac:dyDescent="0.25">
      <c r="A179" s="13">
        <v>20</v>
      </c>
      <c r="B179" s="13" t="s">
        <v>540</v>
      </c>
      <c r="C179" s="14" t="s">
        <v>245</v>
      </c>
      <c r="D179" s="15">
        <f>+'[1]PROYECCIÓN INGRESOS POR RENDIMI'!$I$10</f>
        <v>549472</v>
      </c>
      <c r="E179" s="11"/>
      <c r="F179" s="31">
        <v>60000000</v>
      </c>
      <c r="G179" s="32">
        <v>60000000</v>
      </c>
      <c r="H179" s="40">
        <f>+D179-F179</f>
        <v>-59450528</v>
      </c>
    </row>
    <row r="180" spans="1:8" customFormat="1" ht="30" x14ac:dyDescent="0.25">
      <c r="A180" s="13">
        <v>20</v>
      </c>
      <c r="B180" s="13" t="s">
        <v>541</v>
      </c>
      <c r="C180" s="14" t="s">
        <v>251</v>
      </c>
      <c r="D180" s="15">
        <f>+'[1]PROYECCIÓN INGRESOS POR RENDIMI'!$I$11</f>
        <v>29512487</v>
      </c>
      <c r="E180" s="11"/>
      <c r="F180" s="31">
        <v>140000000</v>
      </c>
      <c r="G180" s="32">
        <v>140000000</v>
      </c>
      <c r="H180" s="40">
        <f>+D180-F180</f>
        <v>-110487513</v>
      </c>
    </row>
    <row r="181" spans="1:8" ht="30" x14ac:dyDescent="0.25">
      <c r="A181" s="7" t="s">
        <v>226</v>
      </c>
      <c r="B181" s="7" t="s">
        <v>542</v>
      </c>
      <c r="C181" s="8" t="s">
        <v>264</v>
      </c>
      <c r="G181" s="32">
        <v>31000000</v>
      </c>
    </row>
    <row r="182" spans="1:8" x14ac:dyDescent="0.25">
      <c r="A182" s="7" t="s">
        <v>226</v>
      </c>
      <c r="B182" s="7" t="s">
        <v>543</v>
      </c>
      <c r="C182" s="8" t="s">
        <v>266</v>
      </c>
      <c r="G182" s="32">
        <v>30000000</v>
      </c>
    </row>
    <row r="183" spans="1:8" customFormat="1" x14ac:dyDescent="0.25">
      <c r="A183" s="13">
        <v>20</v>
      </c>
      <c r="B183" s="13" t="s">
        <v>544</v>
      </c>
      <c r="C183" s="14" t="s">
        <v>268</v>
      </c>
      <c r="D183" s="15">
        <f>+'[1]PROYECCIÓN INGRESOS POR RENDIMI'!$I$14</f>
        <v>100000</v>
      </c>
      <c r="E183" s="11"/>
      <c r="F183" s="31">
        <v>5100000</v>
      </c>
      <c r="G183" s="32">
        <v>5100000</v>
      </c>
      <c r="H183" s="40">
        <f t="shared" ref="H183:H246" si="6">+D183-F183</f>
        <v>-5000000</v>
      </c>
    </row>
    <row r="184" spans="1:8" customFormat="1" x14ac:dyDescent="0.25">
      <c r="A184" s="13">
        <v>20</v>
      </c>
      <c r="B184" s="13" t="s">
        <v>545</v>
      </c>
      <c r="C184" s="14" t="s">
        <v>270</v>
      </c>
      <c r="D184" s="15">
        <f>+'[1]PROYECCIÓN INGRESOS POR RENDIMI'!$I$15</f>
        <v>100000</v>
      </c>
      <c r="E184" s="11"/>
      <c r="F184" s="31">
        <v>24900000</v>
      </c>
      <c r="G184" s="32">
        <v>24900000</v>
      </c>
      <c r="H184" s="40">
        <f t="shared" si="6"/>
        <v>-24800000</v>
      </c>
    </row>
    <row r="185" spans="1:8" customFormat="1" x14ac:dyDescent="0.25">
      <c r="A185" s="13">
        <v>145</v>
      </c>
      <c r="B185" s="13" t="s">
        <v>546</v>
      </c>
      <c r="C185" s="14" t="s">
        <v>547</v>
      </c>
      <c r="D185" s="26">
        <f>+'[1]PROYECCIÓN INGRESOS POR RENDIMI'!$I$16</f>
        <v>3333655</v>
      </c>
      <c r="E185" s="96"/>
      <c r="F185" s="31">
        <v>0</v>
      </c>
      <c r="G185" s="32">
        <v>0</v>
      </c>
      <c r="H185" s="40">
        <f t="shared" si="6"/>
        <v>3333655</v>
      </c>
    </row>
    <row r="186" spans="1:8" ht="30" x14ac:dyDescent="0.25">
      <c r="A186" s="7" t="s">
        <v>226</v>
      </c>
      <c r="B186" s="7" t="s">
        <v>548</v>
      </c>
      <c r="C186" s="8" t="s">
        <v>272</v>
      </c>
      <c r="G186" s="32">
        <v>1000000</v>
      </c>
      <c r="H186" s="40"/>
    </row>
    <row r="187" spans="1:8" customFormat="1" ht="30" x14ac:dyDescent="0.25">
      <c r="A187" s="13">
        <v>20</v>
      </c>
      <c r="B187" s="13" t="s">
        <v>549</v>
      </c>
      <c r="C187" s="14" t="s">
        <v>274</v>
      </c>
      <c r="D187" s="26">
        <f>+'[1]PROYECCIÓN INGRESOS POR RENDIMI'!$I$18</f>
        <v>54739</v>
      </c>
      <c r="E187" s="96"/>
      <c r="F187" s="31">
        <v>0</v>
      </c>
      <c r="G187" s="32">
        <v>0</v>
      </c>
      <c r="H187" s="40">
        <f t="shared" si="6"/>
        <v>54739</v>
      </c>
    </row>
    <row r="188" spans="1:8" customFormat="1" ht="30" x14ac:dyDescent="0.25">
      <c r="A188" s="13">
        <v>20</v>
      </c>
      <c r="B188" s="13" t="s">
        <v>550</v>
      </c>
      <c r="C188" s="14" t="s">
        <v>276</v>
      </c>
      <c r="D188" s="26">
        <f>+'[1]PROYECCIÓN INGRESOS POR RENDIMI'!$I$19</f>
        <v>42431209</v>
      </c>
      <c r="E188" s="96"/>
      <c r="F188" s="31">
        <v>1000000</v>
      </c>
      <c r="G188" s="32">
        <v>1000000</v>
      </c>
      <c r="H188" s="40">
        <f t="shared" si="6"/>
        <v>41431209</v>
      </c>
    </row>
    <row r="189" spans="1:8" customFormat="1" x14ac:dyDescent="0.25">
      <c r="A189" s="13">
        <v>179</v>
      </c>
      <c r="B189" s="13" t="s">
        <v>551</v>
      </c>
      <c r="C189" s="14" t="s">
        <v>552</v>
      </c>
      <c r="D189" s="26">
        <f>+'[1]PROYECCIÓN INGRESOS POR RENDIMI'!$I$20</f>
        <v>727410</v>
      </c>
      <c r="E189" s="96"/>
      <c r="F189" s="31">
        <v>0</v>
      </c>
      <c r="G189" s="32">
        <v>0</v>
      </c>
      <c r="H189" s="40">
        <f t="shared" si="6"/>
        <v>727410</v>
      </c>
    </row>
    <row r="190" spans="1:8" ht="30" x14ac:dyDescent="0.25">
      <c r="A190" s="7" t="s">
        <v>226</v>
      </c>
      <c r="B190" s="7" t="s">
        <v>553</v>
      </c>
      <c r="C190" s="8" t="s">
        <v>278</v>
      </c>
      <c r="G190" s="32">
        <v>200000000</v>
      </c>
      <c r="H190" s="40"/>
    </row>
    <row r="191" spans="1:8" customFormat="1" ht="30" x14ac:dyDescent="0.25">
      <c r="A191" s="13">
        <v>20</v>
      </c>
      <c r="B191" s="13" t="s">
        <v>554</v>
      </c>
      <c r="C191" s="14" t="s">
        <v>280</v>
      </c>
      <c r="D191" s="15">
        <f>+'[1]PROYECCIÓN INGRESOS POR RENDIMI'!$I$22</f>
        <v>19668036</v>
      </c>
      <c r="E191" s="11"/>
      <c r="F191" s="31">
        <v>190000000</v>
      </c>
      <c r="G191" s="32">
        <v>190000000</v>
      </c>
      <c r="H191" s="40">
        <f t="shared" si="6"/>
        <v>-170331964</v>
      </c>
    </row>
    <row r="192" spans="1:8" customFormat="1" ht="30" x14ac:dyDescent="0.25">
      <c r="A192" s="13">
        <v>20</v>
      </c>
      <c r="B192" s="13" t="s">
        <v>555</v>
      </c>
      <c r="C192" s="14" t="s">
        <v>282</v>
      </c>
      <c r="D192" s="15">
        <f>+'[1]PROYECCIÓN INGRESOS POR RENDIMI'!$I$23</f>
        <v>1763511</v>
      </c>
      <c r="E192" s="11"/>
      <c r="F192" s="31">
        <v>10000000</v>
      </c>
      <c r="G192" s="32">
        <v>10000000</v>
      </c>
      <c r="H192" s="40">
        <f t="shared" si="6"/>
        <v>-8236489</v>
      </c>
    </row>
    <row r="193" spans="1:8" x14ac:dyDescent="0.25">
      <c r="A193" s="7" t="s">
        <v>226</v>
      </c>
      <c r="B193" s="7" t="s">
        <v>556</v>
      </c>
      <c r="C193" s="8" t="s">
        <v>284</v>
      </c>
      <c r="G193" s="32">
        <v>100000000</v>
      </c>
      <c r="H193" s="40">
        <f t="shared" si="6"/>
        <v>0</v>
      </c>
    </row>
    <row r="194" spans="1:8" ht="30" x14ac:dyDescent="0.25">
      <c r="A194" s="7" t="s">
        <v>226</v>
      </c>
      <c r="B194" s="7" t="s">
        <v>557</v>
      </c>
      <c r="C194" s="8" t="s">
        <v>286</v>
      </c>
      <c r="G194" s="32">
        <v>100000000</v>
      </c>
      <c r="H194" s="40">
        <f t="shared" si="6"/>
        <v>0</v>
      </c>
    </row>
    <row r="195" spans="1:8" customFormat="1" ht="30" x14ac:dyDescent="0.25">
      <c r="A195" s="13">
        <v>20</v>
      </c>
      <c r="B195" s="13" t="s">
        <v>558</v>
      </c>
      <c r="C195" s="14" t="s">
        <v>288</v>
      </c>
      <c r="D195" s="15">
        <v>110000000</v>
      </c>
      <c r="E195" s="11"/>
      <c r="F195" s="31">
        <v>100000000</v>
      </c>
      <c r="G195" s="32">
        <v>100000000</v>
      </c>
      <c r="H195" s="40">
        <f t="shared" si="6"/>
        <v>10000000</v>
      </c>
    </row>
    <row r="196" spans="1:8" customFormat="1" x14ac:dyDescent="0.25">
      <c r="A196" s="13">
        <v>20</v>
      </c>
      <c r="B196" s="13" t="s">
        <v>559</v>
      </c>
      <c r="C196" s="14" t="s">
        <v>290</v>
      </c>
      <c r="D196" s="15">
        <v>30000000</v>
      </c>
      <c r="E196" s="11"/>
      <c r="F196" s="31">
        <v>18000000</v>
      </c>
      <c r="G196" s="32">
        <v>18000000</v>
      </c>
      <c r="H196" s="40">
        <f t="shared" si="6"/>
        <v>12000000</v>
      </c>
    </row>
    <row r="197" spans="1:8" customFormat="1" x14ac:dyDescent="0.25">
      <c r="A197" s="13">
        <v>20</v>
      </c>
      <c r="B197" s="13" t="s">
        <v>560</v>
      </c>
      <c r="C197" s="14" t="s">
        <v>257</v>
      </c>
      <c r="D197" s="15">
        <v>100000</v>
      </c>
      <c r="E197" s="11"/>
      <c r="F197" s="31">
        <v>1000000</v>
      </c>
      <c r="G197" s="32">
        <v>1000000</v>
      </c>
      <c r="H197" s="40">
        <f t="shared" si="6"/>
        <v>-900000</v>
      </c>
    </row>
    <row r="198" spans="1:8" customFormat="1" x14ac:dyDescent="0.25">
      <c r="A198" s="13">
        <v>42</v>
      </c>
      <c r="B198" s="13" t="s">
        <v>561</v>
      </c>
      <c r="C198" s="14" t="s">
        <v>292</v>
      </c>
      <c r="D198" s="15">
        <v>2314305</v>
      </c>
      <c r="E198" s="11"/>
      <c r="F198" s="31">
        <v>76182726</v>
      </c>
      <c r="G198" s="32">
        <v>76182726</v>
      </c>
      <c r="H198" s="40">
        <f t="shared" si="6"/>
        <v>-73868421</v>
      </c>
    </row>
    <row r="199" spans="1:8" x14ac:dyDescent="0.25">
      <c r="A199" s="7" t="s">
        <v>226</v>
      </c>
      <c r="B199" s="7" t="s">
        <v>562</v>
      </c>
      <c r="C199" s="8" t="s">
        <v>294</v>
      </c>
      <c r="G199" s="32">
        <v>48984799</v>
      </c>
      <c r="H199" s="40">
        <f t="shared" si="6"/>
        <v>0</v>
      </c>
    </row>
    <row r="200" spans="1:8" customFormat="1" x14ac:dyDescent="0.25">
      <c r="A200" s="13">
        <v>6</v>
      </c>
      <c r="B200" s="13" t="s">
        <v>563</v>
      </c>
      <c r="C200" s="14" t="s">
        <v>296</v>
      </c>
      <c r="D200" s="15">
        <v>1300016</v>
      </c>
      <c r="E200" s="11"/>
      <c r="F200" s="31">
        <v>2530534</v>
      </c>
      <c r="G200" s="32">
        <v>2530534</v>
      </c>
      <c r="H200" s="40">
        <f t="shared" si="6"/>
        <v>-1230518</v>
      </c>
    </row>
    <row r="201" spans="1:8" customFormat="1" x14ac:dyDescent="0.25">
      <c r="A201" s="13">
        <v>178</v>
      </c>
      <c r="B201" s="13" t="s">
        <v>564</v>
      </c>
      <c r="C201" s="14" t="s">
        <v>296</v>
      </c>
      <c r="D201" s="15">
        <v>325004</v>
      </c>
      <c r="E201" s="11"/>
      <c r="F201" s="31">
        <v>632633</v>
      </c>
      <c r="G201" s="32">
        <v>632633</v>
      </c>
      <c r="H201" s="40">
        <f t="shared" si="6"/>
        <v>-307629</v>
      </c>
    </row>
    <row r="202" spans="1:8" customFormat="1" x14ac:dyDescent="0.25">
      <c r="A202" s="13">
        <v>4</v>
      </c>
      <c r="B202" s="13" t="s">
        <v>565</v>
      </c>
      <c r="C202" s="14" t="s">
        <v>299</v>
      </c>
      <c r="D202" s="15">
        <v>1564967</v>
      </c>
      <c r="E202" s="11"/>
      <c r="F202" s="31">
        <v>16073375</v>
      </c>
      <c r="G202" s="32">
        <v>16073375</v>
      </c>
      <c r="H202" s="40">
        <f t="shared" si="6"/>
        <v>-14508408</v>
      </c>
    </row>
    <row r="203" spans="1:8" customFormat="1" x14ac:dyDescent="0.25">
      <c r="A203" s="13">
        <v>176</v>
      </c>
      <c r="B203" s="13" t="s">
        <v>566</v>
      </c>
      <c r="C203" s="14" t="s">
        <v>299</v>
      </c>
      <c r="D203" s="15">
        <v>481528</v>
      </c>
      <c r="E203" s="11"/>
      <c r="F203" s="31">
        <v>4945654</v>
      </c>
      <c r="G203" s="32">
        <v>4945654</v>
      </c>
      <c r="H203" s="40">
        <f t="shared" si="6"/>
        <v>-4464126</v>
      </c>
    </row>
    <row r="204" spans="1:8" customFormat="1" x14ac:dyDescent="0.25">
      <c r="A204" s="13">
        <v>177</v>
      </c>
      <c r="B204" s="13" t="s">
        <v>567</v>
      </c>
      <c r="C204" s="14" t="s">
        <v>299</v>
      </c>
      <c r="D204" s="15">
        <v>361146</v>
      </c>
      <c r="E204" s="11"/>
      <c r="F204" s="31">
        <v>3709240</v>
      </c>
      <c r="G204" s="32">
        <v>3709240</v>
      </c>
      <c r="H204" s="40">
        <f t="shared" si="6"/>
        <v>-3348094</v>
      </c>
    </row>
    <row r="205" spans="1:8" customFormat="1" x14ac:dyDescent="0.25">
      <c r="A205" s="13">
        <v>5</v>
      </c>
      <c r="B205" s="13" t="s">
        <v>568</v>
      </c>
      <c r="C205" s="14" t="s">
        <v>305</v>
      </c>
      <c r="D205" s="15">
        <v>316121</v>
      </c>
      <c r="E205" s="11"/>
      <c r="F205" s="31">
        <v>4218673</v>
      </c>
      <c r="G205" s="32">
        <v>4218673</v>
      </c>
      <c r="H205" s="40">
        <f t="shared" si="6"/>
        <v>-3902552</v>
      </c>
    </row>
    <row r="206" spans="1:8" customFormat="1" x14ac:dyDescent="0.25">
      <c r="A206" s="13">
        <v>33</v>
      </c>
      <c r="B206" s="13" t="s">
        <v>569</v>
      </c>
      <c r="C206" s="14" t="s">
        <v>305</v>
      </c>
      <c r="D206" s="15">
        <v>158060</v>
      </c>
      <c r="E206" s="11"/>
      <c r="F206" s="31">
        <v>2109336</v>
      </c>
      <c r="G206" s="32">
        <v>2109336</v>
      </c>
      <c r="H206" s="40">
        <f t="shared" si="6"/>
        <v>-1951276</v>
      </c>
    </row>
    <row r="207" spans="1:8" customFormat="1" x14ac:dyDescent="0.25">
      <c r="A207" s="13">
        <v>34</v>
      </c>
      <c r="B207" s="13" t="s">
        <v>570</v>
      </c>
      <c r="C207" s="14" t="s">
        <v>305</v>
      </c>
      <c r="D207" s="15">
        <v>158060</v>
      </c>
      <c r="E207" s="11"/>
      <c r="F207" s="31">
        <v>2109336</v>
      </c>
      <c r="G207" s="32">
        <v>2109336</v>
      </c>
      <c r="H207" s="40">
        <f t="shared" si="6"/>
        <v>-1951276</v>
      </c>
    </row>
    <row r="208" spans="1:8" customFormat="1" x14ac:dyDescent="0.25">
      <c r="A208" s="13">
        <v>39</v>
      </c>
      <c r="B208" s="13" t="s">
        <v>571</v>
      </c>
      <c r="C208" s="14" t="s">
        <v>305</v>
      </c>
      <c r="D208" s="15">
        <v>790301</v>
      </c>
      <c r="E208" s="11"/>
      <c r="F208" s="31">
        <v>10546682</v>
      </c>
      <c r="G208" s="32">
        <v>10546682</v>
      </c>
      <c r="H208" s="40">
        <f t="shared" si="6"/>
        <v>-9756381</v>
      </c>
    </row>
    <row r="209" spans="1:8" customFormat="1" x14ac:dyDescent="0.25">
      <c r="A209" s="13">
        <v>41</v>
      </c>
      <c r="B209" s="13" t="s">
        <v>572</v>
      </c>
      <c r="C209" s="14" t="s">
        <v>305</v>
      </c>
      <c r="D209" s="15">
        <v>158060</v>
      </c>
      <c r="E209" s="11"/>
      <c r="F209" s="31">
        <v>2109336</v>
      </c>
      <c r="G209" s="32">
        <v>2109336</v>
      </c>
      <c r="H209" s="40">
        <f t="shared" si="6"/>
        <v>-1951276</v>
      </c>
    </row>
    <row r="210" spans="1:8" x14ac:dyDescent="0.25">
      <c r="A210" s="7" t="s">
        <v>226</v>
      </c>
      <c r="B210" s="7" t="s">
        <v>573</v>
      </c>
      <c r="C210" s="8" t="s">
        <v>311</v>
      </c>
      <c r="G210" s="32">
        <v>53489963</v>
      </c>
      <c r="H210" s="40">
        <f t="shared" si="6"/>
        <v>0</v>
      </c>
    </row>
    <row r="211" spans="1:8" x14ac:dyDescent="0.25">
      <c r="A211" s="7" t="s">
        <v>226</v>
      </c>
      <c r="B211" s="7" t="s">
        <v>574</v>
      </c>
      <c r="C211" s="8" t="s">
        <v>341</v>
      </c>
      <c r="G211" s="32">
        <v>0</v>
      </c>
      <c r="H211" s="40">
        <f t="shared" si="6"/>
        <v>0</v>
      </c>
    </row>
    <row r="212" spans="1:8" x14ac:dyDescent="0.25">
      <c r="A212" s="7" t="s">
        <v>226</v>
      </c>
      <c r="B212" s="7" t="s">
        <v>575</v>
      </c>
      <c r="C212" s="8" t="s">
        <v>350</v>
      </c>
      <c r="G212" s="32">
        <v>0</v>
      </c>
      <c r="H212" s="40">
        <f t="shared" si="6"/>
        <v>0</v>
      </c>
    </row>
    <row r="213" spans="1:8" customFormat="1" x14ac:dyDescent="0.25">
      <c r="A213" s="13">
        <v>20</v>
      </c>
      <c r="B213" s="13" t="s">
        <v>576</v>
      </c>
      <c r="C213" s="14" t="s">
        <v>352</v>
      </c>
      <c r="D213" s="15">
        <v>1898</v>
      </c>
      <c r="E213" s="11"/>
      <c r="F213" s="31">
        <v>0</v>
      </c>
      <c r="G213" s="32">
        <v>0</v>
      </c>
      <c r="H213" s="40">
        <f t="shared" si="6"/>
        <v>1898</v>
      </c>
    </row>
    <row r="214" spans="1:8" customFormat="1" x14ac:dyDescent="0.25">
      <c r="A214" s="13">
        <v>20</v>
      </c>
      <c r="B214" s="13" t="s">
        <v>577</v>
      </c>
      <c r="C214" s="14" t="s">
        <v>354</v>
      </c>
      <c r="D214" s="15">
        <v>2338</v>
      </c>
      <c r="E214" s="11"/>
      <c r="F214" s="31">
        <v>0</v>
      </c>
      <c r="G214" s="32">
        <v>0</v>
      </c>
      <c r="H214" s="40">
        <f t="shared" si="6"/>
        <v>2338</v>
      </c>
    </row>
    <row r="215" spans="1:8" customFormat="1" x14ac:dyDescent="0.25">
      <c r="A215" s="13">
        <v>20</v>
      </c>
      <c r="B215" s="13" t="s">
        <v>578</v>
      </c>
      <c r="C215" s="14" t="s">
        <v>356</v>
      </c>
      <c r="D215" s="15">
        <v>76392</v>
      </c>
      <c r="E215" s="11"/>
      <c r="F215" s="31">
        <v>0</v>
      </c>
      <c r="G215" s="32">
        <v>0</v>
      </c>
      <c r="H215" s="40">
        <f t="shared" si="6"/>
        <v>76392</v>
      </c>
    </row>
    <row r="216" spans="1:8" customFormat="1" x14ac:dyDescent="0.25">
      <c r="A216" s="13">
        <v>20</v>
      </c>
      <c r="B216" s="13" t="s">
        <v>579</v>
      </c>
      <c r="C216" s="14" t="s">
        <v>358</v>
      </c>
      <c r="D216" s="15">
        <v>100000</v>
      </c>
      <c r="E216" s="11"/>
      <c r="F216" s="31">
        <v>0</v>
      </c>
      <c r="G216" s="32">
        <v>0</v>
      </c>
      <c r="H216" s="40">
        <f t="shared" si="6"/>
        <v>100000</v>
      </c>
    </row>
    <row r="217" spans="1:8" customFormat="1" ht="30" x14ac:dyDescent="0.25">
      <c r="A217" s="13">
        <v>20</v>
      </c>
      <c r="B217" s="13" t="s">
        <v>580</v>
      </c>
      <c r="C217" s="14" t="s">
        <v>581</v>
      </c>
      <c r="D217" s="15">
        <v>44686</v>
      </c>
      <c r="E217" s="11"/>
      <c r="F217" s="31">
        <v>0</v>
      </c>
      <c r="G217" s="32">
        <v>0</v>
      </c>
      <c r="H217" s="40">
        <f t="shared" si="6"/>
        <v>44686</v>
      </c>
    </row>
    <row r="218" spans="1:8" customFormat="1" x14ac:dyDescent="0.25">
      <c r="A218" s="13">
        <v>20</v>
      </c>
      <c r="B218" s="13" t="s">
        <v>582</v>
      </c>
      <c r="C218" s="14" t="s">
        <v>371</v>
      </c>
      <c r="D218" s="15">
        <v>792</v>
      </c>
      <c r="E218" s="11"/>
      <c r="F218" s="31">
        <v>0</v>
      </c>
      <c r="G218" s="32">
        <v>0</v>
      </c>
      <c r="H218" s="40">
        <f t="shared" si="6"/>
        <v>792</v>
      </c>
    </row>
    <row r="219" spans="1:8" customFormat="1" ht="30" x14ac:dyDescent="0.25">
      <c r="A219" s="13">
        <v>20</v>
      </c>
      <c r="B219" s="13" t="s">
        <v>583</v>
      </c>
      <c r="C219" s="14" t="s">
        <v>373</v>
      </c>
      <c r="D219" s="15">
        <v>100000</v>
      </c>
      <c r="E219" s="11"/>
      <c r="F219" s="31">
        <v>0</v>
      </c>
      <c r="G219" s="32">
        <v>0</v>
      </c>
      <c r="H219" s="40">
        <f t="shared" si="6"/>
        <v>100000</v>
      </c>
    </row>
    <row r="220" spans="1:8" customFormat="1" ht="30" x14ac:dyDescent="0.25">
      <c r="A220" s="13">
        <v>20</v>
      </c>
      <c r="B220" s="13" t="s">
        <v>584</v>
      </c>
      <c r="C220" s="14" t="s">
        <v>375</v>
      </c>
      <c r="D220" s="15">
        <v>10</v>
      </c>
      <c r="E220" s="11"/>
      <c r="F220" s="31">
        <v>0</v>
      </c>
      <c r="G220" s="32">
        <v>0</v>
      </c>
      <c r="H220" s="40">
        <f t="shared" si="6"/>
        <v>10</v>
      </c>
    </row>
    <row r="221" spans="1:8" x14ac:dyDescent="0.25">
      <c r="A221" s="7" t="s">
        <v>226</v>
      </c>
      <c r="B221" s="7" t="s">
        <v>585</v>
      </c>
      <c r="C221" s="8" t="s">
        <v>386</v>
      </c>
      <c r="G221" s="32">
        <v>0</v>
      </c>
      <c r="H221" s="40">
        <f t="shared" si="6"/>
        <v>0</v>
      </c>
    </row>
    <row r="222" spans="1:8" customFormat="1" ht="30" x14ac:dyDescent="0.25">
      <c r="A222" s="13">
        <v>20</v>
      </c>
      <c r="B222" s="13" t="s">
        <v>586</v>
      </c>
      <c r="C222" s="14" t="s">
        <v>398</v>
      </c>
      <c r="D222" s="15">
        <v>100000</v>
      </c>
      <c r="E222" s="11"/>
      <c r="F222" s="31">
        <v>0</v>
      </c>
      <c r="G222" s="32">
        <v>0</v>
      </c>
      <c r="H222" s="40">
        <f t="shared" si="6"/>
        <v>100000</v>
      </c>
    </row>
    <row r="223" spans="1:8" customFormat="1" ht="30" x14ac:dyDescent="0.25">
      <c r="A223" s="13">
        <v>20</v>
      </c>
      <c r="B223" s="13" t="s">
        <v>587</v>
      </c>
      <c r="C223" s="14" t="s">
        <v>404</v>
      </c>
      <c r="D223" s="15">
        <v>100000</v>
      </c>
      <c r="E223" s="11"/>
      <c r="F223" s="31">
        <v>0</v>
      </c>
      <c r="G223" s="32">
        <v>0</v>
      </c>
      <c r="H223" s="40">
        <f t="shared" si="6"/>
        <v>100000</v>
      </c>
    </row>
    <row r="224" spans="1:8" customFormat="1" x14ac:dyDescent="0.25">
      <c r="A224" s="13">
        <v>20</v>
      </c>
      <c r="B224" s="13" t="s">
        <v>588</v>
      </c>
      <c r="C224" s="14" t="s">
        <v>390</v>
      </c>
      <c r="D224" s="15">
        <v>489132</v>
      </c>
      <c r="E224" s="11"/>
      <c r="F224" s="31">
        <v>0</v>
      </c>
      <c r="G224" s="32">
        <v>0</v>
      </c>
      <c r="H224" s="40">
        <f t="shared" si="6"/>
        <v>489132</v>
      </c>
    </row>
    <row r="225" spans="1:8" x14ac:dyDescent="0.25">
      <c r="A225" s="7" t="s">
        <v>226</v>
      </c>
      <c r="B225" s="7" t="s">
        <v>589</v>
      </c>
      <c r="C225" s="8" t="s">
        <v>406</v>
      </c>
      <c r="G225" s="32">
        <v>53489963</v>
      </c>
      <c r="H225" s="40">
        <f t="shared" si="6"/>
        <v>0</v>
      </c>
    </row>
    <row r="226" spans="1:8" x14ac:dyDescent="0.25">
      <c r="A226" s="7" t="s">
        <v>226</v>
      </c>
      <c r="B226" s="7" t="s">
        <v>590</v>
      </c>
      <c r="C226" s="8" t="s">
        <v>408</v>
      </c>
      <c r="G226" s="32">
        <v>1774762</v>
      </c>
      <c r="H226" s="40">
        <f t="shared" si="6"/>
        <v>0</v>
      </c>
    </row>
    <row r="227" spans="1:8" customFormat="1" x14ac:dyDescent="0.25">
      <c r="A227" s="13">
        <v>27</v>
      </c>
      <c r="B227" s="13" t="s">
        <v>591</v>
      </c>
      <c r="C227" s="14" t="s">
        <v>410</v>
      </c>
      <c r="D227" s="15">
        <v>311522</v>
      </c>
      <c r="E227" s="11"/>
      <c r="F227" s="31">
        <v>1774762</v>
      </c>
      <c r="G227" s="32">
        <v>1774762</v>
      </c>
      <c r="H227" s="40">
        <f t="shared" si="6"/>
        <v>-1463240</v>
      </c>
    </row>
    <row r="228" spans="1:8" ht="30" x14ac:dyDescent="0.25">
      <c r="A228" s="7" t="s">
        <v>226</v>
      </c>
      <c r="B228" s="7" t="s">
        <v>592</v>
      </c>
      <c r="C228" s="8" t="s">
        <v>428</v>
      </c>
      <c r="G228" s="32">
        <v>51715201</v>
      </c>
      <c r="H228" s="40">
        <f t="shared" si="6"/>
        <v>0</v>
      </c>
    </row>
    <row r="229" spans="1:8" x14ac:dyDescent="0.25">
      <c r="A229" s="7" t="s">
        <v>226</v>
      </c>
      <c r="B229" s="7" t="s">
        <v>593</v>
      </c>
      <c r="C229" s="8" t="s">
        <v>430</v>
      </c>
      <c r="G229" s="32">
        <v>51715201</v>
      </c>
      <c r="H229" s="40">
        <f t="shared" si="6"/>
        <v>0</v>
      </c>
    </row>
    <row r="230" spans="1:8" customFormat="1" ht="30" x14ac:dyDescent="0.25">
      <c r="A230" s="13">
        <v>136</v>
      </c>
      <c r="B230" s="13" t="s">
        <v>594</v>
      </c>
      <c r="C230" s="14" t="s">
        <v>595</v>
      </c>
      <c r="D230" s="15">
        <v>39724450</v>
      </c>
      <c r="E230" s="11"/>
      <c r="F230" s="31">
        <v>51715201</v>
      </c>
      <c r="G230" s="32">
        <v>51715201</v>
      </c>
      <c r="H230" s="40">
        <f t="shared" si="6"/>
        <v>-11990751</v>
      </c>
    </row>
    <row r="231" spans="1:8" customFormat="1" x14ac:dyDescent="0.25">
      <c r="A231" s="13">
        <v>134</v>
      </c>
      <c r="B231" s="13" t="s">
        <v>596</v>
      </c>
      <c r="C231" s="14" t="s">
        <v>597</v>
      </c>
      <c r="D231" s="15">
        <v>78</v>
      </c>
      <c r="E231" s="11"/>
      <c r="F231" s="31">
        <v>0</v>
      </c>
      <c r="G231" s="32">
        <v>0</v>
      </c>
      <c r="H231" s="40">
        <f t="shared" si="6"/>
        <v>78</v>
      </c>
    </row>
    <row r="232" spans="1:8" customFormat="1" x14ac:dyDescent="0.25">
      <c r="A232" s="13">
        <v>20</v>
      </c>
      <c r="B232" s="13" t="s">
        <v>598</v>
      </c>
      <c r="C232" s="14" t="s">
        <v>416</v>
      </c>
      <c r="D232" s="15">
        <v>1207424</v>
      </c>
      <c r="E232" s="11"/>
      <c r="F232" s="31">
        <v>0</v>
      </c>
      <c r="G232" s="32">
        <v>0</v>
      </c>
      <c r="H232" s="40">
        <f t="shared" si="6"/>
        <v>1207424</v>
      </c>
    </row>
    <row r="233" spans="1:8" customFormat="1" x14ac:dyDescent="0.25">
      <c r="A233" s="13">
        <v>20</v>
      </c>
      <c r="B233" s="13" t="s">
        <v>599</v>
      </c>
      <c r="C233" s="14" t="s">
        <v>446</v>
      </c>
      <c r="D233" s="15">
        <v>15280896</v>
      </c>
      <c r="E233" s="11"/>
      <c r="F233" s="31">
        <v>0</v>
      </c>
      <c r="G233" s="32">
        <v>0</v>
      </c>
      <c r="H233" s="40">
        <f t="shared" si="6"/>
        <v>15280896</v>
      </c>
    </row>
    <row r="234" spans="1:8" customFormat="1" ht="30" x14ac:dyDescent="0.25">
      <c r="A234" s="13">
        <v>20</v>
      </c>
      <c r="B234" s="13" t="s">
        <v>600</v>
      </c>
      <c r="C234" s="14" t="s">
        <v>512</v>
      </c>
      <c r="D234" s="15">
        <v>580513</v>
      </c>
      <c r="E234" s="11"/>
      <c r="F234" s="31">
        <v>0</v>
      </c>
      <c r="G234" s="32">
        <v>0</v>
      </c>
      <c r="H234" s="40">
        <f t="shared" si="6"/>
        <v>580513</v>
      </c>
    </row>
    <row r="235" spans="1:8" customFormat="1" ht="30" x14ac:dyDescent="0.25">
      <c r="A235" s="13">
        <v>35</v>
      </c>
      <c r="B235" s="13" t="s">
        <v>601</v>
      </c>
      <c r="C235" s="14" t="s">
        <v>512</v>
      </c>
      <c r="D235" s="26">
        <v>101024</v>
      </c>
      <c r="E235" s="96"/>
      <c r="F235" s="31">
        <v>0</v>
      </c>
      <c r="G235" s="32">
        <v>0</v>
      </c>
      <c r="H235" s="40">
        <f t="shared" si="6"/>
        <v>101024</v>
      </c>
    </row>
    <row r="236" spans="1:8" customFormat="1" ht="30" x14ac:dyDescent="0.25">
      <c r="A236" s="13">
        <v>20</v>
      </c>
      <c r="B236" s="13" t="s">
        <v>602</v>
      </c>
      <c r="C236" s="14" t="s">
        <v>495</v>
      </c>
      <c r="D236" s="15">
        <v>100000</v>
      </c>
      <c r="E236" s="11"/>
      <c r="F236" s="31">
        <v>0</v>
      </c>
      <c r="G236" s="32">
        <v>0</v>
      </c>
      <c r="H236" s="40">
        <f t="shared" si="6"/>
        <v>100000</v>
      </c>
    </row>
    <row r="237" spans="1:8" customFormat="1" x14ac:dyDescent="0.25">
      <c r="A237" s="13">
        <v>20</v>
      </c>
      <c r="B237" s="13" t="s">
        <v>603</v>
      </c>
      <c r="C237" s="14" t="s">
        <v>604</v>
      </c>
      <c r="D237" s="15">
        <v>7196</v>
      </c>
      <c r="E237" s="11"/>
      <c r="F237" s="31">
        <v>0</v>
      </c>
      <c r="G237" s="32">
        <v>0</v>
      </c>
      <c r="H237" s="40">
        <f t="shared" si="6"/>
        <v>7196</v>
      </c>
    </row>
    <row r="238" spans="1:8" customFormat="1" x14ac:dyDescent="0.25">
      <c r="A238" s="13">
        <v>20</v>
      </c>
      <c r="B238" s="13" t="s">
        <v>605</v>
      </c>
      <c r="C238" s="14" t="s">
        <v>606</v>
      </c>
      <c r="D238" s="15">
        <v>1147</v>
      </c>
      <c r="E238" s="11"/>
      <c r="F238" s="31">
        <v>0</v>
      </c>
      <c r="G238" s="32">
        <v>0</v>
      </c>
      <c r="H238" s="40">
        <f t="shared" si="6"/>
        <v>1147</v>
      </c>
    </row>
    <row r="239" spans="1:8" customFormat="1" x14ac:dyDescent="0.25">
      <c r="A239" s="13">
        <v>18</v>
      </c>
      <c r="B239" s="13" t="s">
        <v>607</v>
      </c>
      <c r="C239" s="14" t="s">
        <v>317</v>
      </c>
      <c r="D239" s="15">
        <v>47177</v>
      </c>
      <c r="E239" s="11"/>
      <c r="F239" s="31">
        <v>0</v>
      </c>
      <c r="G239" s="32">
        <v>0</v>
      </c>
      <c r="H239" s="40">
        <f t="shared" si="6"/>
        <v>47177</v>
      </c>
    </row>
    <row r="240" spans="1:8" customFormat="1" x14ac:dyDescent="0.25">
      <c r="A240" s="13">
        <v>1</v>
      </c>
      <c r="B240" s="13" t="s">
        <v>608</v>
      </c>
      <c r="C240" s="14" t="s">
        <v>606</v>
      </c>
      <c r="D240" s="15">
        <v>100000</v>
      </c>
      <c r="E240" s="11"/>
      <c r="F240" s="31">
        <v>0</v>
      </c>
      <c r="G240" s="32">
        <v>0</v>
      </c>
      <c r="H240" s="40">
        <f t="shared" si="6"/>
        <v>100000</v>
      </c>
    </row>
    <row r="241" spans="1:8" customFormat="1" x14ac:dyDescent="0.25">
      <c r="A241" s="13">
        <v>4</v>
      </c>
      <c r="B241" s="13" t="s">
        <v>609</v>
      </c>
      <c r="C241" s="14" t="s">
        <v>606</v>
      </c>
      <c r="D241" s="15">
        <v>100000</v>
      </c>
      <c r="E241" s="11"/>
      <c r="F241" s="31">
        <v>0</v>
      </c>
      <c r="G241" s="32">
        <v>0</v>
      </c>
      <c r="H241" s="40">
        <f t="shared" si="6"/>
        <v>100000</v>
      </c>
    </row>
    <row r="242" spans="1:8" customFormat="1" x14ac:dyDescent="0.25">
      <c r="A242" s="13">
        <v>6</v>
      </c>
      <c r="B242" s="13" t="s">
        <v>610</v>
      </c>
      <c r="C242" s="14" t="s">
        <v>606</v>
      </c>
      <c r="D242" s="15">
        <v>100000</v>
      </c>
      <c r="E242" s="11"/>
      <c r="F242" s="31">
        <v>0</v>
      </c>
      <c r="G242" s="32">
        <v>0</v>
      </c>
      <c r="H242" s="40">
        <f t="shared" si="6"/>
        <v>100000</v>
      </c>
    </row>
    <row r="243" spans="1:8" customFormat="1" x14ac:dyDescent="0.25">
      <c r="A243" s="13">
        <v>13</v>
      </c>
      <c r="B243" s="13" t="s">
        <v>611</v>
      </c>
      <c r="C243" s="14" t="s">
        <v>606</v>
      </c>
      <c r="D243" s="15">
        <v>100000</v>
      </c>
      <c r="E243" s="11"/>
      <c r="F243" s="31">
        <v>0</v>
      </c>
      <c r="G243" s="32">
        <v>0</v>
      </c>
      <c r="H243" s="40">
        <f t="shared" si="6"/>
        <v>100000</v>
      </c>
    </row>
    <row r="244" spans="1:8" customFormat="1" x14ac:dyDescent="0.25">
      <c r="A244" s="13">
        <v>20</v>
      </c>
      <c r="B244" s="13" t="s">
        <v>612</v>
      </c>
      <c r="C244" s="14" t="s">
        <v>606</v>
      </c>
      <c r="D244" s="15">
        <v>100000</v>
      </c>
      <c r="E244" s="11"/>
      <c r="F244" s="31">
        <v>0</v>
      </c>
      <c r="G244" s="32">
        <v>0</v>
      </c>
      <c r="H244" s="40">
        <f t="shared" si="6"/>
        <v>100000</v>
      </c>
    </row>
    <row r="245" spans="1:8" customFormat="1" x14ac:dyDescent="0.25">
      <c r="A245" s="13">
        <v>46</v>
      </c>
      <c r="B245" s="13" t="s">
        <v>613</v>
      </c>
      <c r="C245" s="14" t="s">
        <v>606</v>
      </c>
      <c r="D245" s="15">
        <v>10417355</v>
      </c>
      <c r="E245" s="11"/>
      <c r="F245" s="31">
        <v>0</v>
      </c>
      <c r="G245" s="32">
        <v>0</v>
      </c>
      <c r="H245" s="40">
        <f t="shared" si="6"/>
        <v>10417355</v>
      </c>
    </row>
    <row r="246" spans="1:8" customFormat="1" x14ac:dyDescent="0.25">
      <c r="A246" s="13">
        <v>88</v>
      </c>
      <c r="B246" s="13" t="s">
        <v>614</v>
      </c>
      <c r="C246" s="14" t="s">
        <v>606</v>
      </c>
      <c r="D246" s="15">
        <v>100000</v>
      </c>
      <c r="E246" s="11"/>
      <c r="F246" s="31">
        <v>0</v>
      </c>
      <c r="G246" s="32">
        <v>0</v>
      </c>
      <c r="H246" s="40">
        <f t="shared" si="6"/>
        <v>100000</v>
      </c>
    </row>
    <row r="247" spans="1:8" customFormat="1" x14ac:dyDescent="0.25">
      <c r="A247" s="13">
        <v>20</v>
      </c>
      <c r="B247" s="13" t="s">
        <v>615</v>
      </c>
      <c r="C247" s="14" t="s">
        <v>527</v>
      </c>
      <c r="D247" s="15">
        <v>21455</v>
      </c>
      <c r="E247" s="11"/>
      <c r="F247" s="31">
        <v>0</v>
      </c>
      <c r="G247" s="32">
        <v>0</v>
      </c>
      <c r="H247" s="40">
        <f t="shared" ref="H247:H310" si="7">+D247-F247</f>
        <v>21455</v>
      </c>
    </row>
    <row r="248" spans="1:8" x14ac:dyDescent="0.25">
      <c r="A248" s="7" t="s">
        <v>226</v>
      </c>
      <c r="B248" s="7" t="s">
        <v>616</v>
      </c>
      <c r="C248" s="8" t="s">
        <v>617</v>
      </c>
      <c r="G248" s="32">
        <v>7000000000</v>
      </c>
      <c r="H248" s="40">
        <f t="shared" si="7"/>
        <v>0</v>
      </c>
    </row>
    <row r="249" spans="1:8" ht="30" x14ac:dyDescent="0.25">
      <c r="A249" s="7" t="s">
        <v>226</v>
      </c>
      <c r="B249" s="7" t="s">
        <v>618</v>
      </c>
      <c r="C249" s="8" t="s">
        <v>619</v>
      </c>
      <c r="G249" s="32">
        <v>7000000000</v>
      </c>
      <c r="H249" s="40">
        <f t="shared" si="7"/>
        <v>0</v>
      </c>
    </row>
    <row r="250" spans="1:8" customFormat="1" x14ac:dyDescent="0.25">
      <c r="A250">
        <v>136</v>
      </c>
      <c r="B250" t="s">
        <v>620</v>
      </c>
      <c r="C250" s="10" t="s">
        <v>621</v>
      </c>
      <c r="D250" s="11"/>
      <c r="E250" s="11"/>
      <c r="F250" s="11"/>
      <c r="G250" s="32">
        <v>7000000000</v>
      </c>
      <c r="H250" s="40">
        <f t="shared" si="7"/>
        <v>0</v>
      </c>
    </row>
    <row r="251" spans="1:8" x14ac:dyDescent="0.25">
      <c r="A251" s="7" t="s">
        <v>226</v>
      </c>
      <c r="B251" s="7" t="s">
        <v>622</v>
      </c>
      <c r="C251" s="8" t="s">
        <v>623</v>
      </c>
      <c r="G251" s="32">
        <v>496029358</v>
      </c>
      <c r="H251" s="40">
        <f t="shared" si="7"/>
        <v>0</v>
      </c>
    </row>
    <row r="252" spans="1:8" customFormat="1" x14ac:dyDescent="0.25">
      <c r="A252" s="22">
        <v>1</v>
      </c>
      <c r="B252" s="22" t="s">
        <v>624</v>
      </c>
      <c r="C252" s="23" t="s">
        <v>606</v>
      </c>
      <c r="D252" s="24"/>
      <c r="E252" s="11"/>
      <c r="F252" s="31">
        <v>0</v>
      </c>
      <c r="G252" s="32">
        <v>0</v>
      </c>
      <c r="H252" s="40">
        <f t="shared" si="7"/>
        <v>0</v>
      </c>
    </row>
    <row r="253" spans="1:8" customFormat="1" x14ac:dyDescent="0.25">
      <c r="A253" s="22">
        <v>4</v>
      </c>
      <c r="B253" s="22" t="s">
        <v>625</v>
      </c>
      <c r="C253" s="23" t="s">
        <v>606</v>
      </c>
      <c r="D253" s="24"/>
      <c r="E253" s="11"/>
      <c r="F253" s="31">
        <v>0</v>
      </c>
      <c r="G253" s="32">
        <v>0</v>
      </c>
      <c r="H253" s="40">
        <f t="shared" si="7"/>
        <v>0</v>
      </c>
    </row>
    <row r="254" spans="1:8" customFormat="1" x14ac:dyDescent="0.25">
      <c r="A254" s="22">
        <v>6</v>
      </c>
      <c r="B254" s="22" t="s">
        <v>626</v>
      </c>
      <c r="C254" s="23" t="s">
        <v>606</v>
      </c>
      <c r="D254" s="24"/>
      <c r="E254" s="11"/>
      <c r="F254" s="31">
        <v>0</v>
      </c>
      <c r="G254" s="32">
        <v>0</v>
      </c>
      <c r="H254" s="40">
        <f t="shared" si="7"/>
        <v>0</v>
      </c>
    </row>
    <row r="255" spans="1:8" customFormat="1" x14ac:dyDescent="0.25">
      <c r="A255" s="22">
        <v>13</v>
      </c>
      <c r="B255" s="22" t="s">
        <v>627</v>
      </c>
      <c r="C255" s="23" t="s">
        <v>606</v>
      </c>
      <c r="D255" s="24"/>
      <c r="E255" s="11"/>
      <c r="F255" s="31">
        <v>0</v>
      </c>
      <c r="G255" s="32">
        <v>0</v>
      </c>
      <c r="H255" s="40">
        <f t="shared" si="7"/>
        <v>0</v>
      </c>
    </row>
    <row r="256" spans="1:8" customFormat="1" x14ac:dyDescent="0.25">
      <c r="A256" s="22">
        <v>20</v>
      </c>
      <c r="B256" s="22" t="s">
        <v>628</v>
      </c>
      <c r="C256" s="23" t="s">
        <v>606</v>
      </c>
      <c r="D256" s="24"/>
      <c r="E256" s="11"/>
      <c r="F256" s="31">
        <v>496029358</v>
      </c>
      <c r="G256" s="32">
        <v>496029358</v>
      </c>
      <c r="H256" s="40">
        <f t="shared" si="7"/>
        <v>-496029358</v>
      </c>
    </row>
    <row r="257" spans="1:8" customFormat="1" x14ac:dyDescent="0.25">
      <c r="A257" s="22">
        <v>46</v>
      </c>
      <c r="B257" s="22" t="s">
        <v>629</v>
      </c>
      <c r="C257" s="23" t="s">
        <v>606</v>
      </c>
      <c r="D257" s="24"/>
      <c r="E257" s="11"/>
      <c r="F257" s="31">
        <v>0</v>
      </c>
      <c r="G257" s="32">
        <v>0</v>
      </c>
      <c r="H257" s="40">
        <f t="shared" si="7"/>
        <v>0</v>
      </c>
    </row>
    <row r="258" spans="1:8" customFormat="1" x14ac:dyDescent="0.25">
      <c r="A258" s="22">
        <v>88</v>
      </c>
      <c r="B258" s="22" t="s">
        <v>630</v>
      </c>
      <c r="C258" s="23" t="s">
        <v>606</v>
      </c>
      <c r="D258" s="24"/>
      <c r="E258" s="11"/>
      <c r="F258" s="31">
        <v>0</v>
      </c>
      <c r="G258" s="32">
        <v>0</v>
      </c>
      <c r="H258" s="40">
        <f t="shared" si="7"/>
        <v>0</v>
      </c>
    </row>
    <row r="259" spans="1:8" customFormat="1" x14ac:dyDescent="0.25">
      <c r="A259" s="22">
        <v>91</v>
      </c>
      <c r="B259" s="22" t="s">
        <v>631</v>
      </c>
      <c r="C259" s="23" t="s">
        <v>606</v>
      </c>
      <c r="D259" s="24"/>
      <c r="E259" s="11"/>
      <c r="F259" s="31">
        <v>0</v>
      </c>
      <c r="G259" s="32">
        <v>0</v>
      </c>
      <c r="H259" s="40">
        <f t="shared" si="7"/>
        <v>0</v>
      </c>
    </row>
    <row r="260" spans="1:8" x14ac:dyDescent="0.25">
      <c r="A260" s="7" t="s">
        <v>226</v>
      </c>
      <c r="B260" s="7" t="s">
        <v>632</v>
      </c>
      <c r="C260" s="8" t="s">
        <v>228</v>
      </c>
      <c r="G260" s="32">
        <v>182020000000</v>
      </c>
      <c r="H260" s="40">
        <f t="shared" si="7"/>
        <v>0</v>
      </c>
    </row>
    <row r="261" spans="1:8" x14ac:dyDescent="0.25">
      <c r="A261" s="7" t="s">
        <v>226</v>
      </c>
      <c r="B261" s="7" t="s">
        <v>633</v>
      </c>
      <c r="C261" s="8" t="s">
        <v>230</v>
      </c>
      <c r="G261" s="32">
        <v>181740000000</v>
      </c>
      <c r="H261" s="40">
        <f t="shared" si="7"/>
        <v>0</v>
      </c>
    </row>
    <row r="262" spans="1:8" x14ac:dyDescent="0.25">
      <c r="A262" s="7" t="s">
        <v>226</v>
      </c>
      <c r="B262" s="7" t="s">
        <v>634</v>
      </c>
      <c r="C262" s="8" t="s">
        <v>311</v>
      </c>
      <c r="G262" s="32">
        <v>181740000000</v>
      </c>
      <c r="H262" s="40">
        <f t="shared" si="7"/>
        <v>0</v>
      </c>
    </row>
    <row r="263" spans="1:8" x14ac:dyDescent="0.25">
      <c r="A263" s="7" t="s">
        <v>226</v>
      </c>
      <c r="B263" s="7" t="s">
        <v>635</v>
      </c>
      <c r="C263" s="8" t="s">
        <v>406</v>
      </c>
      <c r="G263" s="32">
        <v>181740000000</v>
      </c>
      <c r="H263" s="40">
        <f t="shared" si="7"/>
        <v>0</v>
      </c>
    </row>
    <row r="264" spans="1:8" x14ac:dyDescent="0.25">
      <c r="A264" s="7" t="s">
        <v>226</v>
      </c>
      <c r="B264" s="7" t="s">
        <v>636</v>
      </c>
      <c r="C264" s="8" t="s">
        <v>408</v>
      </c>
      <c r="G264" s="32">
        <v>168900000000</v>
      </c>
      <c r="H264" s="40">
        <f t="shared" si="7"/>
        <v>0</v>
      </c>
    </row>
    <row r="265" spans="1:8" x14ac:dyDescent="0.25">
      <c r="A265" s="7" t="s">
        <v>226</v>
      </c>
      <c r="B265" s="7" t="s">
        <v>637</v>
      </c>
      <c r="C265" s="8" t="s">
        <v>638</v>
      </c>
      <c r="G265" s="32">
        <v>168900000000</v>
      </c>
      <c r="H265" s="40">
        <f t="shared" si="7"/>
        <v>0</v>
      </c>
    </row>
    <row r="266" spans="1:8" customFormat="1" x14ac:dyDescent="0.25">
      <c r="A266" s="13">
        <v>25</v>
      </c>
      <c r="B266" s="13" t="s">
        <v>639</v>
      </c>
      <c r="C266" s="14" t="s">
        <v>640</v>
      </c>
      <c r="D266" s="15">
        <f>148302000000+1463000000+622000000</f>
        <v>150387000000</v>
      </c>
      <c r="E266" s="11"/>
      <c r="F266" s="31">
        <v>143225523562</v>
      </c>
      <c r="G266" s="32">
        <v>143755000000</v>
      </c>
      <c r="H266" s="40">
        <f t="shared" si="7"/>
        <v>7161476438</v>
      </c>
    </row>
    <row r="267" spans="1:8" customFormat="1" x14ac:dyDescent="0.25">
      <c r="A267" s="13">
        <v>26</v>
      </c>
      <c r="B267" s="13" t="s">
        <v>641</v>
      </c>
      <c r="C267" s="14" t="s">
        <v>640</v>
      </c>
      <c r="D267" s="15">
        <v>29000000000</v>
      </c>
      <c r="E267" s="11"/>
      <c r="F267" s="31">
        <v>25145000000</v>
      </c>
      <c r="G267" s="32">
        <v>25145000000</v>
      </c>
      <c r="H267" s="40">
        <f t="shared" si="7"/>
        <v>3855000000</v>
      </c>
    </row>
    <row r="268" spans="1:8" ht="30" x14ac:dyDescent="0.25">
      <c r="A268" s="7" t="s">
        <v>226</v>
      </c>
      <c r="B268" s="7" t="s">
        <v>642</v>
      </c>
      <c r="C268" s="8" t="s">
        <v>428</v>
      </c>
      <c r="G268" s="32">
        <v>12840000000</v>
      </c>
      <c r="H268" s="40">
        <f t="shared" si="7"/>
        <v>0</v>
      </c>
    </row>
    <row r="269" spans="1:8" x14ac:dyDescent="0.25">
      <c r="A269" s="7" t="s">
        <v>226</v>
      </c>
      <c r="B269" s="7" t="s">
        <v>643</v>
      </c>
      <c r="C269" s="8" t="s">
        <v>430</v>
      </c>
      <c r="G269" s="32">
        <v>12840000000</v>
      </c>
      <c r="H269" s="40">
        <f t="shared" si="7"/>
        <v>0</v>
      </c>
    </row>
    <row r="270" spans="1:8" x14ac:dyDescent="0.25">
      <c r="A270" s="7" t="s">
        <v>226</v>
      </c>
      <c r="B270" s="7" t="s">
        <v>644</v>
      </c>
      <c r="C270" s="8" t="s">
        <v>430</v>
      </c>
      <c r="G270" s="32">
        <v>12840000000</v>
      </c>
      <c r="H270" s="40">
        <f t="shared" si="7"/>
        <v>0</v>
      </c>
    </row>
    <row r="271" spans="1:8" x14ac:dyDescent="0.25">
      <c r="A271" s="7" t="s">
        <v>226</v>
      </c>
      <c r="B271" s="7" t="s">
        <v>645</v>
      </c>
      <c r="C271" s="8" t="s">
        <v>430</v>
      </c>
      <c r="G271" s="32">
        <v>12840000000</v>
      </c>
      <c r="H271" s="40">
        <f t="shared" si="7"/>
        <v>0</v>
      </c>
    </row>
    <row r="272" spans="1:8" x14ac:dyDescent="0.25">
      <c r="A272" s="7" t="s">
        <v>226</v>
      </c>
      <c r="B272" s="7" t="s">
        <v>646</v>
      </c>
      <c r="C272" s="8" t="s">
        <v>430</v>
      </c>
      <c r="G272" s="32">
        <v>12840000000</v>
      </c>
      <c r="H272" s="40">
        <f t="shared" si="7"/>
        <v>0</v>
      </c>
    </row>
    <row r="273" spans="1:8" x14ac:dyDescent="0.25">
      <c r="A273" s="7" t="s">
        <v>226</v>
      </c>
      <c r="B273" s="7" t="s">
        <v>647</v>
      </c>
      <c r="C273" s="8" t="s">
        <v>430</v>
      </c>
      <c r="G273" s="32">
        <v>12840000000</v>
      </c>
      <c r="H273" s="40">
        <f t="shared" si="7"/>
        <v>0</v>
      </c>
    </row>
    <row r="274" spans="1:8" customFormat="1" ht="30" x14ac:dyDescent="0.25">
      <c r="A274" s="13">
        <v>81</v>
      </c>
      <c r="B274" s="13" t="s">
        <v>648</v>
      </c>
      <c r="C274" s="14" t="s">
        <v>649</v>
      </c>
      <c r="D274" s="15">
        <v>11000000000</v>
      </c>
      <c r="E274" s="11"/>
      <c r="F274" s="31">
        <v>10028847786</v>
      </c>
      <c r="G274" s="32">
        <v>12840000000</v>
      </c>
      <c r="H274" s="40">
        <f t="shared" si="7"/>
        <v>971152214</v>
      </c>
    </row>
    <row r="275" spans="1:8" customFormat="1" x14ac:dyDescent="0.25">
      <c r="A275" s="22">
        <v>172</v>
      </c>
      <c r="B275" s="22" t="s">
        <v>650</v>
      </c>
      <c r="C275" s="23" t="s">
        <v>477</v>
      </c>
      <c r="D275" s="24"/>
      <c r="E275" s="11"/>
      <c r="F275" s="31">
        <v>0</v>
      </c>
      <c r="G275" s="32">
        <v>0</v>
      </c>
      <c r="H275" s="40">
        <f t="shared" si="7"/>
        <v>0</v>
      </c>
    </row>
    <row r="276" spans="1:8" customFormat="1" x14ac:dyDescent="0.25">
      <c r="A276" s="22">
        <v>172</v>
      </c>
      <c r="B276" s="22" t="s">
        <v>651</v>
      </c>
      <c r="C276" s="23" t="s">
        <v>652</v>
      </c>
      <c r="D276" s="24"/>
      <c r="E276" s="11"/>
      <c r="F276" s="31">
        <v>0</v>
      </c>
      <c r="G276" s="32">
        <v>0</v>
      </c>
      <c r="H276" s="40">
        <f t="shared" si="7"/>
        <v>0</v>
      </c>
    </row>
    <row r="277" spans="1:8" customFormat="1" x14ac:dyDescent="0.25">
      <c r="A277" s="22">
        <v>172</v>
      </c>
      <c r="B277" s="22" t="s">
        <v>653</v>
      </c>
      <c r="C277" s="23" t="s">
        <v>479</v>
      </c>
      <c r="D277" s="24"/>
      <c r="E277" s="11"/>
      <c r="F277" s="31">
        <v>0</v>
      </c>
      <c r="G277" s="32">
        <v>0</v>
      </c>
      <c r="H277" s="40">
        <f t="shared" si="7"/>
        <v>0</v>
      </c>
    </row>
    <row r="278" spans="1:8" customFormat="1" x14ac:dyDescent="0.25">
      <c r="A278" s="22">
        <v>172</v>
      </c>
      <c r="B278" s="22" t="s">
        <v>654</v>
      </c>
      <c r="C278" s="23" t="s">
        <v>655</v>
      </c>
      <c r="D278" s="24"/>
      <c r="E278" s="11"/>
      <c r="F278" s="31">
        <v>0</v>
      </c>
      <c r="G278" s="32">
        <v>0</v>
      </c>
      <c r="H278" s="40">
        <f t="shared" si="7"/>
        <v>0</v>
      </c>
    </row>
    <row r="279" spans="1:8" customFormat="1" x14ac:dyDescent="0.25">
      <c r="A279" s="22">
        <v>172</v>
      </c>
      <c r="B279" s="22" t="s">
        <v>656</v>
      </c>
      <c r="C279" s="23" t="s">
        <v>481</v>
      </c>
      <c r="D279" s="24"/>
      <c r="E279" s="11"/>
      <c r="F279" s="31">
        <v>0</v>
      </c>
      <c r="G279" s="32">
        <v>0</v>
      </c>
      <c r="H279" s="40">
        <f t="shared" si="7"/>
        <v>0</v>
      </c>
    </row>
    <row r="280" spans="1:8" customFormat="1" x14ac:dyDescent="0.25">
      <c r="A280" s="22">
        <v>172</v>
      </c>
      <c r="B280" s="22" t="s">
        <v>657</v>
      </c>
      <c r="C280" s="23" t="s">
        <v>483</v>
      </c>
      <c r="D280" s="24"/>
      <c r="E280" s="11"/>
      <c r="F280" s="31">
        <v>0</v>
      </c>
      <c r="G280" s="32">
        <v>0</v>
      </c>
      <c r="H280" s="40">
        <f t="shared" si="7"/>
        <v>0</v>
      </c>
    </row>
    <row r="281" spans="1:8" customFormat="1" x14ac:dyDescent="0.25">
      <c r="A281" s="22">
        <v>172</v>
      </c>
      <c r="B281" s="22" t="s">
        <v>658</v>
      </c>
      <c r="C281" s="23" t="s">
        <v>659</v>
      </c>
      <c r="D281" s="24"/>
      <c r="E281" s="11"/>
      <c r="F281" s="31">
        <v>0</v>
      </c>
      <c r="G281" s="32">
        <v>0</v>
      </c>
      <c r="H281" s="40">
        <f t="shared" si="7"/>
        <v>0</v>
      </c>
    </row>
    <row r="282" spans="1:8" customFormat="1" x14ac:dyDescent="0.25">
      <c r="A282" s="22">
        <v>172</v>
      </c>
      <c r="B282" s="22" t="s">
        <v>660</v>
      </c>
      <c r="C282" s="23" t="s">
        <v>485</v>
      </c>
      <c r="D282" s="24"/>
      <c r="E282" s="11"/>
      <c r="F282" s="31">
        <v>0</v>
      </c>
      <c r="G282" s="32">
        <v>0</v>
      </c>
      <c r="H282" s="40">
        <f t="shared" si="7"/>
        <v>0</v>
      </c>
    </row>
    <row r="283" spans="1:8" customFormat="1" x14ac:dyDescent="0.25">
      <c r="A283" s="22">
        <v>172</v>
      </c>
      <c r="B283" s="22" t="s">
        <v>661</v>
      </c>
      <c r="C283" s="23" t="s">
        <v>662</v>
      </c>
      <c r="D283" s="24"/>
      <c r="E283" s="11"/>
      <c r="F283" s="31">
        <v>0</v>
      </c>
      <c r="G283" s="32">
        <v>0</v>
      </c>
      <c r="H283" s="40">
        <f t="shared" si="7"/>
        <v>0</v>
      </c>
    </row>
    <row r="284" spans="1:8" customFormat="1" x14ac:dyDescent="0.25">
      <c r="A284" s="22">
        <v>172</v>
      </c>
      <c r="B284" s="22" t="s">
        <v>663</v>
      </c>
      <c r="C284" s="23" t="s">
        <v>487</v>
      </c>
      <c r="D284" s="24"/>
      <c r="E284" s="11"/>
      <c r="F284" s="31">
        <v>0</v>
      </c>
      <c r="G284" s="32">
        <v>0</v>
      </c>
      <c r="H284" s="40">
        <f t="shared" si="7"/>
        <v>0</v>
      </c>
    </row>
    <row r="285" spans="1:8" customFormat="1" x14ac:dyDescent="0.25">
      <c r="A285" s="22">
        <v>172</v>
      </c>
      <c r="B285" s="22" t="s">
        <v>664</v>
      </c>
      <c r="C285" s="23" t="s">
        <v>665</v>
      </c>
      <c r="D285" s="24"/>
      <c r="E285" s="11"/>
      <c r="F285" s="31">
        <v>0</v>
      </c>
      <c r="G285" s="32">
        <v>0</v>
      </c>
      <c r="H285" s="40">
        <f t="shared" si="7"/>
        <v>0</v>
      </c>
    </row>
    <row r="286" spans="1:8" x14ac:dyDescent="0.25">
      <c r="A286" s="7" t="s">
        <v>226</v>
      </c>
      <c r="B286" s="7" t="s">
        <v>666</v>
      </c>
      <c r="C286" s="8" t="s">
        <v>517</v>
      </c>
      <c r="G286" s="32">
        <v>280000000</v>
      </c>
      <c r="H286" s="40">
        <f t="shared" si="7"/>
        <v>0</v>
      </c>
    </row>
    <row r="287" spans="1:8" x14ac:dyDescent="0.25">
      <c r="A287" s="7" t="s">
        <v>226</v>
      </c>
      <c r="B287" s="7" t="s">
        <v>667</v>
      </c>
      <c r="C287" s="8" t="s">
        <v>529</v>
      </c>
      <c r="G287" s="32">
        <v>200000000</v>
      </c>
      <c r="H287" s="40">
        <f t="shared" si="7"/>
        <v>0</v>
      </c>
    </row>
    <row r="288" spans="1:8" x14ac:dyDescent="0.25">
      <c r="A288" s="7" t="s">
        <v>226</v>
      </c>
      <c r="B288" s="7" t="s">
        <v>668</v>
      </c>
      <c r="C288" s="8" t="s">
        <v>531</v>
      </c>
      <c r="G288" s="32">
        <v>200000000</v>
      </c>
      <c r="H288" s="40">
        <f t="shared" si="7"/>
        <v>0</v>
      </c>
    </row>
    <row r="289" spans="1:8" x14ac:dyDescent="0.25">
      <c r="A289" s="7" t="s">
        <v>226</v>
      </c>
      <c r="B289" s="7" t="s">
        <v>669</v>
      </c>
      <c r="C289" s="8" t="s">
        <v>228</v>
      </c>
      <c r="G289" s="32">
        <v>200000000</v>
      </c>
      <c r="H289" s="40">
        <f t="shared" si="7"/>
        <v>0</v>
      </c>
    </row>
    <row r="290" spans="1:8" x14ac:dyDescent="0.25">
      <c r="A290" s="7" t="s">
        <v>226</v>
      </c>
      <c r="B290" s="7" t="s">
        <v>670</v>
      </c>
      <c r="C290" s="8" t="s">
        <v>230</v>
      </c>
      <c r="G290" s="32">
        <v>200000000</v>
      </c>
      <c r="H290" s="40">
        <f t="shared" si="7"/>
        <v>0</v>
      </c>
    </row>
    <row r="291" spans="1:8" x14ac:dyDescent="0.25">
      <c r="A291" s="7" t="s">
        <v>226</v>
      </c>
      <c r="B291" s="7" t="s">
        <v>671</v>
      </c>
      <c r="C291" s="8" t="s">
        <v>311</v>
      </c>
      <c r="G291" s="32">
        <v>200000000</v>
      </c>
      <c r="H291" s="40">
        <f t="shared" si="7"/>
        <v>0</v>
      </c>
    </row>
    <row r="292" spans="1:8" x14ac:dyDescent="0.25">
      <c r="A292" s="7" t="s">
        <v>226</v>
      </c>
      <c r="B292" s="7" t="s">
        <v>672</v>
      </c>
      <c r="C292" s="8" t="s">
        <v>406</v>
      </c>
      <c r="G292" s="32">
        <v>200000000</v>
      </c>
      <c r="H292" s="40">
        <f t="shared" si="7"/>
        <v>0</v>
      </c>
    </row>
    <row r="293" spans="1:8" x14ac:dyDescent="0.25">
      <c r="A293" s="7" t="s">
        <v>226</v>
      </c>
      <c r="B293" s="7" t="s">
        <v>673</v>
      </c>
      <c r="C293" s="8" t="s">
        <v>408</v>
      </c>
      <c r="G293" s="32">
        <v>200000000</v>
      </c>
      <c r="H293" s="40">
        <f t="shared" si="7"/>
        <v>0</v>
      </c>
    </row>
    <row r="294" spans="1:8" customFormat="1" x14ac:dyDescent="0.25">
      <c r="A294" s="13">
        <v>21</v>
      </c>
      <c r="B294" s="13" t="s">
        <v>674</v>
      </c>
      <c r="C294" s="14" t="s">
        <v>675</v>
      </c>
      <c r="D294" s="15">
        <v>5000000</v>
      </c>
      <c r="E294" s="11"/>
      <c r="F294" s="31">
        <v>50000000</v>
      </c>
      <c r="G294" s="32">
        <v>50000000</v>
      </c>
      <c r="H294" s="40">
        <f t="shared" si="7"/>
        <v>-45000000</v>
      </c>
    </row>
    <row r="295" spans="1:8" customFormat="1" x14ac:dyDescent="0.25">
      <c r="A295" s="13">
        <v>81</v>
      </c>
      <c r="B295" s="13" t="s">
        <v>676</v>
      </c>
      <c r="C295" s="14" t="s">
        <v>677</v>
      </c>
      <c r="D295" s="15">
        <v>10000000</v>
      </c>
      <c r="E295" s="11"/>
      <c r="F295" s="31">
        <v>0</v>
      </c>
      <c r="G295" s="32">
        <v>150000000</v>
      </c>
      <c r="H295" s="40">
        <f t="shared" si="7"/>
        <v>10000000</v>
      </c>
    </row>
    <row r="296" spans="1:8" ht="30" x14ac:dyDescent="0.25">
      <c r="A296" s="7" t="s">
        <v>226</v>
      </c>
      <c r="B296" s="7" t="s">
        <v>678</v>
      </c>
      <c r="C296" s="8" t="s">
        <v>428</v>
      </c>
      <c r="G296" s="32">
        <v>0</v>
      </c>
      <c r="H296" s="40">
        <f t="shared" si="7"/>
        <v>0</v>
      </c>
    </row>
    <row r="297" spans="1:8" x14ac:dyDescent="0.25">
      <c r="A297" s="7" t="s">
        <v>226</v>
      </c>
      <c r="B297" s="7" t="s">
        <v>679</v>
      </c>
      <c r="C297" s="8" t="s">
        <v>680</v>
      </c>
      <c r="G297" s="32">
        <v>0</v>
      </c>
      <c r="H297" s="40">
        <f t="shared" si="7"/>
        <v>0</v>
      </c>
    </row>
    <row r="298" spans="1:8" customFormat="1" x14ac:dyDescent="0.25">
      <c r="A298" s="22">
        <v>173</v>
      </c>
      <c r="B298" s="22" t="s">
        <v>681</v>
      </c>
      <c r="C298" s="23" t="s">
        <v>682</v>
      </c>
      <c r="D298" s="24"/>
      <c r="E298" s="11"/>
      <c r="F298" s="31">
        <v>0</v>
      </c>
      <c r="G298" s="32">
        <v>0</v>
      </c>
      <c r="H298" s="40">
        <f t="shared" si="7"/>
        <v>0</v>
      </c>
    </row>
    <row r="299" spans="1:8" x14ac:dyDescent="0.25">
      <c r="A299" s="7" t="s">
        <v>226</v>
      </c>
      <c r="B299" s="7" t="s">
        <v>683</v>
      </c>
      <c r="C299" s="8" t="s">
        <v>430</v>
      </c>
      <c r="G299" s="32">
        <v>0</v>
      </c>
      <c r="H299" s="40">
        <f t="shared" si="7"/>
        <v>0</v>
      </c>
    </row>
    <row r="300" spans="1:8" customFormat="1" x14ac:dyDescent="0.25">
      <c r="A300">
        <v>81</v>
      </c>
      <c r="B300" t="s">
        <v>684</v>
      </c>
      <c r="C300" s="10" t="s">
        <v>685</v>
      </c>
      <c r="D300" s="11"/>
      <c r="E300" s="11"/>
      <c r="F300" s="11"/>
      <c r="G300" s="32">
        <v>0</v>
      </c>
      <c r="H300" s="40">
        <f t="shared" si="7"/>
        <v>0</v>
      </c>
    </row>
    <row r="301" spans="1:8" x14ac:dyDescent="0.25">
      <c r="A301" s="7" t="s">
        <v>226</v>
      </c>
      <c r="B301" s="7" t="s">
        <v>686</v>
      </c>
      <c r="C301" s="8" t="s">
        <v>623</v>
      </c>
      <c r="G301" s="32">
        <v>80000000</v>
      </c>
      <c r="H301" s="40">
        <f t="shared" si="7"/>
        <v>0</v>
      </c>
    </row>
    <row r="302" spans="1:8" customFormat="1" x14ac:dyDescent="0.25">
      <c r="A302" s="22">
        <v>9</v>
      </c>
      <c r="B302" s="22" t="s">
        <v>687</v>
      </c>
      <c r="C302" s="23" t="s">
        <v>606</v>
      </c>
      <c r="D302" s="24">
        <v>80000000</v>
      </c>
      <c r="E302" s="11"/>
      <c r="F302" s="31">
        <v>80000000</v>
      </c>
      <c r="G302" s="32">
        <v>80000000</v>
      </c>
      <c r="H302" s="40">
        <f t="shared" si="7"/>
        <v>0</v>
      </c>
    </row>
    <row r="303" spans="1:8" x14ac:dyDescent="0.25">
      <c r="A303" s="7" t="s">
        <v>226</v>
      </c>
      <c r="B303" s="7" t="s">
        <v>688</v>
      </c>
      <c r="C303" s="8" t="s">
        <v>228</v>
      </c>
      <c r="G303" s="32">
        <v>50740342810</v>
      </c>
      <c r="H303" s="40">
        <f t="shared" si="7"/>
        <v>0</v>
      </c>
    </row>
    <row r="304" spans="1:8" x14ac:dyDescent="0.25">
      <c r="A304" s="7" t="s">
        <v>226</v>
      </c>
      <c r="B304" s="7" t="s">
        <v>689</v>
      </c>
      <c r="C304" s="8" t="s">
        <v>230</v>
      </c>
      <c r="G304" s="32">
        <v>50119196013</v>
      </c>
      <c r="H304" s="40">
        <f t="shared" si="7"/>
        <v>0</v>
      </c>
    </row>
    <row r="305" spans="1:8" x14ac:dyDescent="0.25">
      <c r="A305" s="7" t="s">
        <v>226</v>
      </c>
      <c r="B305" s="7" t="s">
        <v>690</v>
      </c>
      <c r="C305" s="8" t="s">
        <v>232</v>
      </c>
      <c r="G305" s="32">
        <v>24969356399</v>
      </c>
      <c r="H305" s="40">
        <f t="shared" si="7"/>
        <v>0</v>
      </c>
    </row>
    <row r="306" spans="1:8" x14ac:dyDescent="0.25">
      <c r="A306" s="7" t="s">
        <v>226</v>
      </c>
      <c r="B306" s="7" t="s">
        <v>691</v>
      </c>
      <c r="C306" s="8" t="s">
        <v>234</v>
      </c>
      <c r="G306" s="32">
        <v>668014036</v>
      </c>
      <c r="H306" s="40">
        <f t="shared" si="7"/>
        <v>0</v>
      </c>
    </row>
    <row r="307" spans="1:8" ht="30" x14ac:dyDescent="0.25">
      <c r="A307" s="7" t="s">
        <v>226</v>
      </c>
      <c r="B307" s="7" t="s">
        <v>692</v>
      </c>
      <c r="C307" s="8" t="s">
        <v>693</v>
      </c>
      <c r="D307" s="9">
        <v>1092098809</v>
      </c>
      <c r="G307" s="32">
        <v>668014036</v>
      </c>
      <c r="H307" s="40">
        <f t="shared" si="7"/>
        <v>1092098809</v>
      </c>
    </row>
    <row r="308" spans="1:8" customFormat="1" x14ac:dyDescent="0.25">
      <c r="A308" s="19">
        <v>154</v>
      </c>
      <c r="B308" s="19" t="s">
        <v>694</v>
      </c>
      <c r="C308" s="20" t="s">
        <v>695</v>
      </c>
      <c r="D308" s="21"/>
      <c r="E308" s="11"/>
      <c r="F308" s="31">
        <v>45424955</v>
      </c>
      <c r="G308" s="32">
        <v>45424955</v>
      </c>
      <c r="H308" s="40">
        <f t="shared" si="7"/>
        <v>-45424955</v>
      </c>
    </row>
    <row r="309" spans="1:8" customFormat="1" x14ac:dyDescent="0.25">
      <c r="A309" s="19">
        <v>154</v>
      </c>
      <c r="B309" s="19" t="s">
        <v>696</v>
      </c>
      <c r="C309" s="20" t="s">
        <v>697</v>
      </c>
      <c r="D309" s="21"/>
      <c r="E309" s="11"/>
      <c r="F309" s="31">
        <v>408824590</v>
      </c>
      <c r="G309" s="32">
        <v>408824590</v>
      </c>
      <c r="H309" s="40">
        <f t="shared" si="7"/>
        <v>-408824590</v>
      </c>
    </row>
    <row r="310" spans="1:8" customFormat="1" x14ac:dyDescent="0.25">
      <c r="A310" s="19">
        <v>72</v>
      </c>
      <c r="B310" s="19" t="s">
        <v>698</v>
      </c>
      <c r="C310" s="20" t="s">
        <v>699</v>
      </c>
      <c r="D310" s="21"/>
      <c r="E310" s="11"/>
      <c r="F310" s="31">
        <v>16700351</v>
      </c>
      <c r="G310" s="32">
        <v>16700351</v>
      </c>
      <c r="H310" s="40">
        <f t="shared" si="7"/>
        <v>-16700351</v>
      </c>
    </row>
    <row r="311" spans="1:8" customFormat="1" x14ac:dyDescent="0.25">
      <c r="A311" s="19">
        <v>72</v>
      </c>
      <c r="B311" s="19" t="s">
        <v>700</v>
      </c>
      <c r="C311" s="20" t="s">
        <v>701</v>
      </c>
      <c r="D311" s="21"/>
      <c r="E311" s="11"/>
      <c r="F311" s="31">
        <v>150303158</v>
      </c>
      <c r="G311" s="32">
        <v>150303158</v>
      </c>
      <c r="H311" s="40">
        <f t="shared" ref="H311:H374" si="8">+D311-F311</f>
        <v>-150303158</v>
      </c>
    </row>
    <row r="312" spans="1:8" customFormat="1" ht="30" x14ac:dyDescent="0.25">
      <c r="A312" s="19">
        <v>181</v>
      </c>
      <c r="B312" s="19" t="s">
        <v>702</v>
      </c>
      <c r="C312" s="20" t="s">
        <v>703</v>
      </c>
      <c r="D312" s="21"/>
      <c r="E312" s="11"/>
      <c r="F312" s="31">
        <v>4676098</v>
      </c>
      <c r="G312" s="32">
        <v>4676098</v>
      </c>
      <c r="H312" s="40">
        <f t="shared" si="8"/>
        <v>-4676098</v>
      </c>
    </row>
    <row r="313" spans="1:8" customFormat="1" ht="30" x14ac:dyDescent="0.25">
      <c r="A313" s="19">
        <v>181</v>
      </c>
      <c r="B313" s="19" t="s">
        <v>704</v>
      </c>
      <c r="C313" s="20" t="s">
        <v>705</v>
      </c>
      <c r="D313" s="21"/>
      <c r="E313" s="11"/>
      <c r="F313" s="31">
        <v>42084884</v>
      </c>
      <c r="G313" s="32">
        <v>42084884</v>
      </c>
      <c r="H313" s="40">
        <f t="shared" si="8"/>
        <v>-42084884</v>
      </c>
    </row>
    <row r="314" spans="1:8" x14ac:dyDescent="0.25">
      <c r="A314" s="7" t="s">
        <v>226</v>
      </c>
      <c r="B314" s="7" t="s">
        <v>706</v>
      </c>
      <c r="C314" s="8" t="s">
        <v>241</v>
      </c>
      <c r="G314" s="32">
        <v>24301342363</v>
      </c>
      <c r="H314" s="40">
        <f t="shared" si="8"/>
        <v>0</v>
      </c>
    </row>
    <row r="315" spans="1:8" x14ac:dyDescent="0.25">
      <c r="A315" s="7" t="s">
        <v>226</v>
      </c>
      <c r="B315" s="7" t="s">
        <v>707</v>
      </c>
      <c r="C315" s="8" t="s">
        <v>708</v>
      </c>
      <c r="G315" s="32">
        <v>653627697</v>
      </c>
      <c r="H315" s="40">
        <f t="shared" si="8"/>
        <v>0</v>
      </c>
    </row>
    <row r="316" spans="1:8" customFormat="1" x14ac:dyDescent="0.25">
      <c r="A316" s="22">
        <v>154</v>
      </c>
      <c r="B316" s="22" t="s">
        <v>709</v>
      </c>
      <c r="C316" s="23" t="s">
        <v>710</v>
      </c>
      <c r="D316" s="24"/>
      <c r="E316" s="11"/>
      <c r="F316" s="31">
        <v>444466834</v>
      </c>
      <c r="G316" s="32">
        <v>444466834</v>
      </c>
      <c r="H316" s="40">
        <f t="shared" si="8"/>
        <v>-444466834</v>
      </c>
    </row>
    <row r="317" spans="1:8" customFormat="1" x14ac:dyDescent="0.25">
      <c r="A317" s="22">
        <v>72</v>
      </c>
      <c r="B317" s="22" t="s">
        <v>711</v>
      </c>
      <c r="C317" s="23" t="s">
        <v>712</v>
      </c>
      <c r="D317" s="24"/>
      <c r="E317" s="11"/>
      <c r="F317" s="31">
        <v>163406924</v>
      </c>
      <c r="G317" s="32">
        <v>163406924</v>
      </c>
      <c r="H317" s="40">
        <f t="shared" si="8"/>
        <v>-163406924</v>
      </c>
    </row>
    <row r="318" spans="1:8" customFormat="1" x14ac:dyDescent="0.25">
      <c r="A318" s="22">
        <v>181</v>
      </c>
      <c r="B318" s="22" t="s">
        <v>713</v>
      </c>
      <c r="C318" s="23" t="s">
        <v>714</v>
      </c>
      <c r="D318" s="24"/>
      <c r="E318" s="11"/>
      <c r="F318" s="31">
        <v>24707127</v>
      </c>
      <c r="G318" s="32">
        <v>24707127</v>
      </c>
      <c r="H318" s="40">
        <f t="shared" si="8"/>
        <v>-24707127</v>
      </c>
    </row>
    <row r="319" spans="1:8" customFormat="1" x14ac:dyDescent="0.25">
      <c r="A319" s="22">
        <v>182</v>
      </c>
      <c r="B319" s="22" t="s">
        <v>715</v>
      </c>
      <c r="C319" s="23" t="s">
        <v>714</v>
      </c>
      <c r="D319" s="24"/>
      <c r="E319" s="11"/>
      <c r="F319" s="31">
        <v>21046812</v>
      </c>
      <c r="G319" s="32">
        <v>21046812</v>
      </c>
      <c r="H319" s="40">
        <f t="shared" si="8"/>
        <v>-21046812</v>
      </c>
    </row>
    <row r="320" spans="1:8" ht="30" x14ac:dyDescent="0.25">
      <c r="A320" s="7" t="s">
        <v>226</v>
      </c>
      <c r="B320" s="7" t="s">
        <v>716</v>
      </c>
      <c r="C320" s="8" t="s">
        <v>259</v>
      </c>
      <c r="G320" s="32">
        <v>462752030</v>
      </c>
      <c r="H320" s="40">
        <f t="shared" si="8"/>
        <v>0</v>
      </c>
    </row>
    <row r="321" spans="1:8" ht="30" x14ac:dyDescent="0.25">
      <c r="A321" s="7" t="s">
        <v>226</v>
      </c>
      <c r="B321" s="7" t="s">
        <v>717</v>
      </c>
      <c r="C321" s="8" t="s">
        <v>259</v>
      </c>
      <c r="G321" s="32">
        <v>462752030</v>
      </c>
      <c r="H321" s="40">
        <f t="shared" si="8"/>
        <v>0</v>
      </c>
    </row>
    <row r="322" spans="1:8" customFormat="1" ht="30" x14ac:dyDescent="0.25">
      <c r="A322" s="22">
        <v>154</v>
      </c>
      <c r="B322" s="22" t="s">
        <v>718</v>
      </c>
      <c r="C322" s="23" t="s">
        <v>259</v>
      </c>
      <c r="D322" s="24"/>
      <c r="E322" s="11"/>
      <c r="F322" s="31">
        <v>347064022</v>
      </c>
      <c r="G322" s="32">
        <v>347064022</v>
      </c>
      <c r="H322" s="40">
        <f t="shared" si="8"/>
        <v>-347064022</v>
      </c>
    </row>
    <row r="323" spans="1:8" customFormat="1" ht="30" x14ac:dyDescent="0.25">
      <c r="A323" s="22">
        <v>155</v>
      </c>
      <c r="B323" s="22" t="s">
        <v>719</v>
      </c>
      <c r="C323" s="23" t="s">
        <v>259</v>
      </c>
      <c r="D323" s="24"/>
      <c r="E323" s="11"/>
      <c r="F323" s="31">
        <v>60788321</v>
      </c>
      <c r="G323" s="32">
        <v>115688008</v>
      </c>
      <c r="H323" s="40">
        <f t="shared" si="8"/>
        <v>-60788321</v>
      </c>
    </row>
    <row r="324" spans="1:8" ht="30" x14ac:dyDescent="0.25">
      <c r="A324" s="7" t="s">
        <v>226</v>
      </c>
      <c r="B324" s="7" t="s">
        <v>720</v>
      </c>
      <c r="C324" s="8" t="s">
        <v>264</v>
      </c>
      <c r="D324" s="9">
        <f>1433868740+1846659748</f>
        <v>3280528488</v>
      </c>
      <c r="G324" s="32">
        <v>2507252674</v>
      </c>
      <c r="H324" s="40">
        <f t="shared" si="8"/>
        <v>3280528488</v>
      </c>
    </row>
    <row r="325" spans="1:8" ht="30" x14ac:dyDescent="0.25">
      <c r="A325" s="7" t="s">
        <v>226</v>
      </c>
      <c r="B325" s="7" t="s">
        <v>721</v>
      </c>
      <c r="C325" s="8" t="s">
        <v>272</v>
      </c>
      <c r="G325" s="32">
        <v>2507252674</v>
      </c>
      <c r="H325" s="40">
        <f t="shared" si="8"/>
        <v>0</v>
      </c>
    </row>
    <row r="326" spans="1:8" customFormat="1" ht="30" x14ac:dyDescent="0.25">
      <c r="A326" s="22">
        <v>58</v>
      </c>
      <c r="B326" s="22" t="s">
        <v>722</v>
      </c>
      <c r="C326" s="23" t="s">
        <v>723</v>
      </c>
      <c r="D326" s="24"/>
      <c r="E326" s="11"/>
      <c r="F326" s="31">
        <v>608008774</v>
      </c>
      <c r="G326" s="32">
        <v>608008774</v>
      </c>
      <c r="H326" s="40">
        <f t="shared" si="8"/>
        <v>-608008774</v>
      </c>
    </row>
    <row r="327" spans="1:8" customFormat="1" ht="30" x14ac:dyDescent="0.25">
      <c r="A327" s="22">
        <v>72</v>
      </c>
      <c r="B327" s="22" t="s">
        <v>724</v>
      </c>
      <c r="C327" s="23" t="s">
        <v>723</v>
      </c>
      <c r="D327" s="24"/>
      <c r="E327" s="11"/>
      <c r="F327" s="31">
        <v>608008774</v>
      </c>
      <c r="G327" s="32">
        <v>608008774</v>
      </c>
      <c r="H327" s="40">
        <f t="shared" si="8"/>
        <v>-608008774</v>
      </c>
    </row>
    <row r="328" spans="1:8" customFormat="1" ht="45" x14ac:dyDescent="0.25">
      <c r="A328" s="22">
        <v>154</v>
      </c>
      <c r="B328" s="22" t="s">
        <v>725</v>
      </c>
      <c r="C328" s="23" t="s">
        <v>726</v>
      </c>
      <c r="D328" s="24"/>
      <c r="E328" s="11"/>
      <c r="F328" s="31">
        <v>1216017546</v>
      </c>
      <c r="G328" s="32">
        <v>1216017546</v>
      </c>
      <c r="H328" s="40">
        <f t="shared" si="8"/>
        <v>-1216017546</v>
      </c>
    </row>
    <row r="329" spans="1:8" customFormat="1" ht="30" x14ac:dyDescent="0.25">
      <c r="A329" s="22">
        <v>58</v>
      </c>
      <c r="B329" s="22" t="s">
        <v>727</v>
      </c>
      <c r="C329" s="23" t="s">
        <v>728</v>
      </c>
      <c r="D329" s="24"/>
      <c r="E329" s="11"/>
      <c r="F329" s="31">
        <v>18804395</v>
      </c>
      <c r="G329" s="32">
        <v>18804395</v>
      </c>
      <c r="H329" s="40">
        <f t="shared" si="8"/>
        <v>-18804395</v>
      </c>
    </row>
    <row r="330" spans="1:8" customFormat="1" ht="30" x14ac:dyDescent="0.25">
      <c r="A330" s="22">
        <v>72</v>
      </c>
      <c r="B330" s="22" t="s">
        <v>729</v>
      </c>
      <c r="C330" s="23" t="s">
        <v>728</v>
      </c>
      <c r="D330" s="24"/>
      <c r="E330" s="11"/>
      <c r="F330" s="31">
        <v>18804395</v>
      </c>
      <c r="G330" s="32">
        <v>18804395</v>
      </c>
      <c r="H330" s="40">
        <f t="shared" si="8"/>
        <v>-18804395</v>
      </c>
    </row>
    <row r="331" spans="1:8" customFormat="1" ht="30" x14ac:dyDescent="0.25">
      <c r="A331" s="22">
        <v>154</v>
      </c>
      <c r="B331" s="22" t="s">
        <v>730</v>
      </c>
      <c r="C331" s="23" t="s">
        <v>731</v>
      </c>
      <c r="D331" s="24"/>
      <c r="E331" s="11"/>
      <c r="F331" s="31">
        <v>37608790</v>
      </c>
      <c r="G331" s="32">
        <v>37608790</v>
      </c>
      <c r="H331" s="40">
        <f t="shared" si="8"/>
        <v>-37608790</v>
      </c>
    </row>
    <row r="332" spans="1:8" ht="30" x14ac:dyDescent="0.25">
      <c r="A332" s="7" t="s">
        <v>226</v>
      </c>
      <c r="B332" s="7" t="s">
        <v>732</v>
      </c>
      <c r="C332" s="8" t="s">
        <v>278</v>
      </c>
      <c r="D332" s="9">
        <v>1381739194</v>
      </c>
      <c r="G332" s="32">
        <v>3518317492</v>
      </c>
      <c r="H332" s="40">
        <f t="shared" si="8"/>
        <v>1381739194</v>
      </c>
    </row>
    <row r="333" spans="1:8" customFormat="1" ht="30" x14ac:dyDescent="0.25">
      <c r="A333" s="22">
        <v>58</v>
      </c>
      <c r="B333" s="22" t="s">
        <v>733</v>
      </c>
      <c r="C333" s="23" t="s">
        <v>734</v>
      </c>
      <c r="D333" s="24"/>
      <c r="E333" s="11"/>
      <c r="F333" s="31">
        <v>835600404</v>
      </c>
      <c r="G333" s="32">
        <v>835600404</v>
      </c>
      <c r="H333" s="40">
        <f t="shared" si="8"/>
        <v>-835600404</v>
      </c>
    </row>
    <row r="334" spans="1:8" customFormat="1" ht="30" x14ac:dyDescent="0.25">
      <c r="A334" s="22">
        <v>72</v>
      </c>
      <c r="B334" s="22" t="s">
        <v>735</v>
      </c>
      <c r="C334" s="23" t="s">
        <v>734</v>
      </c>
      <c r="D334" s="24"/>
      <c r="E334" s="11"/>
      <c r="F334" s="31">
        <v>835600404</v>
      </c>
      <c r="G334" s="32">
        <v>835600404</v>
      </c>
      <c r="H334" s="40">
        <f t="shared" si="8"/>
        <v>-835600404</v>
      </c>
    </row>
    <row r="335" spans="1:8" customFormat="1" ht="30" x14ac:dyDescent="0.25">
      <c r="A335" s="22">
        <v>154</v>
      </c>
      <c r="B335" s="22" t="s">
        <v>736</v>
      </c>
      <c r="C335" s="23" t="s">
        <v>737</v>
      </c>
      <c r="D335" s="24"/>
      <c r="E335" s="11"/>
      <c r="F335" s="31">
        <v>1671200809</v>
      </c>
      <c r="G335" s="32">
        <v>1671200809</v>
      </c>
      <c r="H335" s="40">
        <f t="shared" si="8"/>
        <v>-1671200809</v>
      </c>
    </row>
    <row r="336" spans="1:8" customFormat="1" ht="30" x14ac:dyDescent="0.25">
      <c r="A336" s="22">
        <v>58</v>
      </c>
      <c r="B336" s="22" t="s">
        <v>738</v>
      </c>
      <c r="C336" s="23" t="s">
        <v>739</v>
      </c>
      <c r="D336" s="24"/>
      <c r="E336" s="11"/>
      <c r="F336" s="31">
        <v>43978969</v>
      </c>
      <c r="G336" s="32">
        <v>43978969</v>
      </c>
      <c r="H336" s="40">
        <f t="shared" si="8"/>
        <v>-43978969</v>
      </c>
    </row>
    <row r="337" spans="1:8" customFormat="1" ht="30" x14ac:dyDescent="0.25">
      <c r="A337" s="22">
        <v>72</v>
      </c>
      <c r="B337" s="22" t="s">
        <v>740</v>
      </c>
      <c r="C337" s="23" t="s">
        <v>739</v>
      </c>
      <c r="D337" s="24"/>
      <c r="E337" s="11"/>
      <c r="F337" s="31">
        <v>43978969</v>
      </c>
      <c r="G337" s="32">
        <v>43978969</v>
      </c>
      <c r="H337" s="40">
        <f t="shared" si="8"/>
        <v>-43978969</v>
      </c>
    </row>
    <row r="338" spans="1:8" customFormat="1" ht="30" x14ac:dyDescent="0.25">
      <c r="A338" s="22">
        <v>154</v>
      </c>
      <c r="B338" s="22" t="s">
        <v>741</v>
      </c>
      <c r="C338" s="23" t="s">
        <v>742</v>
      </c>
      <c r="D338" s="24"/>
      <c r="E338" s="11"/>
      <c r="F338" s="31">
        <v>87957937</v>
      </c>
      <c r="G338" s="32">
        <v>87957937</v>
      </c>
      <c r="H338" s="40">
        <f t="shared" si="8"/>
        <v>-87957937</v>
      </c>
    </row>
    <row r="339" spans="1:8" x14ac:dyDescent="0.25">
      <c r="A339" s="7" t="s">
        <v>226</v>
      </c>
      <c r="B339" s="7" t="s">
        <v>743</v>
      </c>
      <c r="C339" s="8" t="s">
        <v>284</v>
      </c>
      <c r="G339" s="32">
        <v>17159392470</v>
      </c>
      <c r="H339" s="40">
        <f t="shared" si="8"/>
        <v>0</v>
      </c>
    </row>
    <row r="340" spans="1:8" ht="30" x14ac:dyDescent="0.25">
      <c r="A340" s="7" t="s">
        <v>226</v>
      </c>
      <c r="B340" s="7" t="s">
        <v>744</v>
      </c>
      <c r="C340" s="8" t="s">
        <v>286</v>
      </c>
      <c r="G340" s="32">
        <v>8756655044</v>
      </c>
      <c r="H340" s="40">
        <f t="shared" si="8"/>
        <v>0</v>
      </c>
    </row>
    <row r="341" spans="1:8" customFormat="1" ht="30" x14ac:dyDescent="0.25">
      <c r="A341">
        <v>154</v>
      </c>
      <c r="B341" t="s">
        <v>745</v>
      </c>
      <c r="C341" s="10" t="s">
        <v>288</v>
      </c>
      <c r="D341" s="11">
        <v>1814554959</v>
      </c>
      <c r="E341" s="11"/>
      <c r="F341" s="31">
        <v>8756655044</v>
      </c>
      <c r="G341" s="32">
        <v>8756655044</v>
      </c>
      <c r="H341" s="40">
        <f t="shared" si="8"/>
        <v>-6942100085</v>
      </c>
    </row>
    <row r="342" spans="1:8" ht="30" x14ac:dyDescent="0.25">
      <c r="A342" s="7" t="s">
        <v>226</v>
      </c>
      <c r="B342" s="7" t="s">
        <v>746</v>
      </c>
      <c r="C342" s="8" t="s">
        <v>747</v>
      </c>
      <c r="G342" s="32">
        <v>8402737426</v>
      </c>
      <c r="H342" s="40">
        <f t="shared" si="8"/>
        <v>0</v>
      </c>
    </row>
    <row r="343" spans="1:8" customFormat="1" ht="30" x14ac:dyDescent="0.25">
      <c r="A343">
        <v>154</v>
      </c>
      <c r="B343" t="s">
        <v>748</v>
      </c>
      <c r="C343" s="10" t="s">
        <v>749</v>
      </c>
      <c r="D343" s="11">
        <v>12289673134</v>
      </c>
      <c r="E343" s="11"/>
      <c r="F343" s="31">
        <v>8402737426</v>
      </c>
      <c r="G343" s="32">
        <v>8402737426</v>
      </c>
      <c r="H343" s="40">
        <f t="shared" si="8"/>
        <v>3886935708</v>
      </c>
    </row>
    <row r="344" spans="1:8" x14ac:dyDescent="0.25">
      <c r="A344" s="7" t="s">
        <v>226</v>
      </c>
      <c r="B344" s="7" t="s">
        <v>750</v>
      </c>
      <c r="C344" s="8" t="s">
        <v>311</v>
      </c>
      <c r="G344" s="32">
        <v>25149839614</v>
      </c>
      <c r="H344" s="40">
        <f t="shared" si="8"/>
        <v>0</v>
      </c>
    </row>
    <row r="345" spans="1:8" x14ac:dyDescent="0.25">
      <c r="A345" s="7" t="s">
        <v>226</v>
      </c>
      <c r="B345" s="7" t="s">
        <v>751</v>
      </c>
      <c r="C345" s="8" t="s">
        <v>341</v>
      </c>
      <c r="G345" s="32">
        <v>842700000</v>
      </c>
      <c r="H345" s="40">
        <f t="shared" si="8"/>
        <v>0</v>
      </c>
    </row>
    <row r="346" spans="1:8" ht="30" x14ac:dyDescent="0.25">
      <c r="A346" s="7" t="s">
        <v>226</v>
      </c>
      <c r="B346" s="7" t="s">
        <v>752</v>
      </c>
      <c r="C346" s="8" t="s">
        <v>343</v>
      </c>
      <c r="G346" s="32">
        <v>842700000</v>
      </c>
      <c r="H346" s="40">
        <f t="shared" si="8"/>
        <v>0</v>
      </c>
    </row>
    <row r="347" spans="1:8" customFormat="1" x14ac:dyDescent="0.25">
      <c r="A347" s="22">
        <v>63</v>
      </c>
      <c r="B347" s="22" t="s">
        <v>753</v>
      </c>
      <c r="C347" s="23" t="s">
        <v>754</v>
      </c>
      <c r="D347" s="24"/>
      <c r="E347" s="11"/>
      <c r="F347" s="31">
        <v>21500000</v>
      </c>
      <c r="G347" s="32">
        <v>21500000</v>
      </c>
      <c r="H347" s="40">
        <f t="shared" si="8"/>
        <v>-21500000</v>
      </c>
    </row>
    <row r="348" spans="1:8" customFormat="1" ht="30" x14ac:dyDescent="0.25">
      <c r="A348" s="22">
        <v>63</v>
      </c>
      <c r="B348" s="22" t="s">
        <v>755</v>
      </c>
      <c r="C348" s="23" t="s">
        <v>756</v>
      </c>
      <c r="D348" s="24"/>
      <c r="E348" s="11"/>
      <c r="F348" s="31">
        <v>1200000</v>
      </c>
      <c r="G348" s="32">
        <v>1200000</v>
      </c>
      <c r="H348" s="40">
        <f t="shared" si="8"/>
        <v>-1200000</v>
      </c>
    </row>
    <row r="349" spans="1:8" customFormat="1" x14ac:dyDescent="0.25">
      <c r="A349" s="22">
        <v>63</v>
      </c>
      <c r="B349" s="22" t="s">
        <v>757</v>
      </c>
      <c r="C349" s="23" t="s">
        <v>758</v>
      </c>
      <c r="D349" s="24"/>
      <c r="E349" s="11"/>
      <c r="F349" s="31">
        <v>820000000</v>
      </c>
      <c r="G349" s="32">
        <v>820000000</v>
      </c>
      <c r="H349" s="40">
        <f t="shared" si="8"/>
        <v>-820000000</v>
      </c>
    </row>
    <row r="350" spans="1:8" x14ac:dyDescent="0.25">
      <c r="A350" s="7" t="s">
        <v>226</v>
      </c>
      <c r="B350" s="7" t="s">
        <v>759</v>
      </c>
      <c r="C350" s="8" t="s">
        <v>406</v>
      </c>
      <c r="G350" s="32">
        <v>8179660574</v>
      </c>
      <c r="H350" s="40">
        <f t="shared" si="8"/>
        <v>0</v>
      </c>
    </row>
    <row r="351" spans="1:8" x14ac:dyDescent="0.25">
      <c r="A351" s="7" t="s">
        <v>226</v>
      </c>
      <c r="B351" s="7" t="s">
        <v>760</v>
      </c>
      <c r="C351" s="8" t="s">
        <v>408</v>
      </c>
      <c r="G351" s="32">
        <v>6425193577</v>
      </c>
      <c r="H351" s="40">
        <f t="shared" si="8"/>
        <v>0</v>
      </c>
    </row>
    <row r="352" spans="1:8" x14ac:dyDescent="0.25">
      <c r="A352" s="7" t="s">
        <v>226</v>
      </c>
      <c r="B352" s="7" t="s">
        <v>761</v>
      </c>
      <c r="C352" s="8" t="s">
        <v>762</v>
      </c>
      <c r="G352" s="32">
        <v>6425193577</v>
      </c>
      <c r="H352" s="40">
        <f t="shared" si="8"/>
        <v>0</v>
      </c>
    </row>
    <row r="353" spans="1:8" customFormat="1" x14ac:dyDescent="0.25">
      <c r="A353" s="22">
        <v>61</v>
      </c>
      <c r="B353" s="22" t="s">
        <v>763</v>
      </c>
      <c r="C353" s="23" t="s">
        <v>764</v>
      </c>
      <c r="D353" s="24"/>
      <c r="E353" s="11"/>
      <c r="F353" s="31">
        <v>4274847597</v>
      </c>
      <c r="G353" s="32">
        <v>4211165548</v>
      </c>
      <c r="H353" s="40">
        <f t="shared" si="8"/>
        <v>-4274847597</v>
      </c>
    </row>
    <row r="354" spans="1:8" customFormat="1" x14ac:dyDescent="0.25">
      <c r="A354" s="22">
        <v>171</v>
      </c>
      <c r="B354" s="22" t="s">
        <v>765</v>
      </c>
      <c r="C354" s="23" t="s">
        <v>766</v>
      </c>
      <c r="D354" s="24"/>
      <c r="E354" s="11"/>
      <c r="F354" s="31">
        <v>1724393294</v>
      </c>
      <c r="G354" s="32">
        <v>2214028029</v>
      </c>
      <c r="H354" s="40">
        <f t="shared" si="8"/>
        <v>-1724393294</v>
      </c>
    </row>
    <row r="355" spans="1:8" ht="30" x14ac:dyDescent="0.25">
      <c r="A355" s="7" t="s">
        <v>226</v>
      </c>
      <c r="B355" s="7" t="s">
        <v>767</v>
      </c>
      <c r="C355" s="8" t="s">
        <v>428</v>
      </c>
      <c r="G355" s="32">
        <v>1754466997</v>
      </c>
      <c r="H355" s="40">
        <f t="shared" si="8"/>
        <v>0</v>
      </c>
    </row>
    <row r="356" spans="1:8" x14ac:dyDescent="0.25">
      <c r="A356" s="7" t="s">
        <v>226</v>
      </c>
      <c r="B356" s="7" t="s">
        <v>768</v>
      </c>
      <c r="C356" s="8" t="s">
        <v>680</v>
      </c>
      <c r="G356" s="32">
        <v>1754466997</v>
      </c>
      <c r="H356" s="40">
        <f t="shared" si="8"/>
        <v>0</v>
      </c>
    </row>
    <row r="357" spans="1:8" customFormat="1" x14ac:dyDescent="0.25">
      <c r="A357" s="22">
        <v>110</v>
      </c>
      <c r="B357" s="22" t="s">
        <v>769</v>
      </c>
      <c r="C357" s="23" t="s">
        <v>770</v>
      </c>
      <c r="D357" s="24"/>
      <c r="E357" s="11"/>
      <c r="F357" s="31">
        <v>1361612640</v>
      </c>
      <c r="G357" s="32">
        <v>1361612640</v>
      </c>
      <c r="H357" s="40">
        <f t="shared" si="8"/>
        <v>-1361612640</v>
      </c>
    </row>
    <row r="358" spans="1:8" customFormat="1" ht="30" x14ac:dyDescent="0.25">
      <c r="A358" s="22">
        <v>111</v>
      </c>
      <c r="B358" s="22" t="s">
        <v>771</v>
      </c>
      <c r="C358" s="23" t="s">
        <v>772</v>
      </c>
      <c r="D358" s="24"/>
      <c r="E358" s="11"/>
      <c r="F358" s="31">
        <v>210707393</v>
      </c>
      <c r="G358" s="32">
        <v>210707393</v>
      </c>
      <c r="H358" s="40">
        <f t="shared" si="8"/>
        <v>-210707393</v>
      </c>
    </row>
    <row r="359" spans="1:8" customFormat="1" ht="30" x14ac:dyDescent="0.25">
      <c r="A359" s="22">
        <v>113</v>
      </c>
      <c r="B359" s="22" t="s">
        <v>773</v>
      </c>
      <c r="C359" s="23" t="s">
        <v>774</v>
      </c>
      <c r="D359" s="24"/>
      <c r="E359" s="11"/>
      <c r="F359" s="31">
        <v>152370440</v>
      </c>
      <c r="G359" s="32">
        <v>155911553</v>
      </c>
      <c r="H359" s="40">
        <f t="shared" si="8"/>
        <v>-152370440</v>
      </c>
    </row>
    <row r="360" spans="1:8" customFormat="1" x14ac:dyDescent="0.25">
      <c r="A360" s="22">
        <v>114</v>
      </c>
      <c r="B360" s="22" t="s">
        <v>775</v>
      </c>
      <c r="C360" s="23" t="s">
        <v>776</v>
      </c>
      <c r="D360" s="24"/>
      <c r="E360" s="11"/>
      <c r="F360" s="31">
        <v>26235411</v>
      </c>
      <c r="G360" s="32">
        <v>26235411</v>
      </c>
      <c r="H360" s="40">
        <f t="shared" si="8"/>
        <v>-26235411</v>
      </c>
    </row>
    <row r="361" spans="1:8" customFormat="1" x14ac:dyDescent="0.25">
      <c r="A361" s="22">
        <v>197</v>
      </c>
      <c r="B361" s="22" t="s">
        <v>777</v>
      </c>
      <c r="C361" s="23" t="s">
        <v>778</v>
      </c>
      <c r="D361" s="24"/>
      <c r="E361" s="11"/>
      <c r="F361" s="31">
        <v>0</v>
      </c>
      <c r="G361" s="32">
        <v>0</v>
      </c>
      <c r="H361" s="40">
        <f t="shared" si="8"/>
        <v>0</v>
      </c>
    </row>
    <row r="362" spans="1:8" customFormat="1" ht="30" x14ac:dyDescent="0.25">
      <c r="A362" s="22">
        <v>180</v>
      </c>
      <c r="B362" s="22" t="s">
        <v>779</v>
      </c>
      <c r="C362" s="23" t="s">
        <v>780</v>
      </c>
      <c r="D362" s="24"/>
      <c r="E362" s="11"/>
      <c r="F362" s="31">
        <v>308966733</v>
      </c>
      <c r="G362" s="32">
        <v>0</v>
      </c>
      <c r="H362" s="40">
        <f t="shared" si="8"/>
        <v>-308966733</v>
      </c>
    </row>
    <row r="363" spans="1:8" x14ac:dyDescent="0.25">
      <c r="A363" s="7" t="s">
        <v>226</v>
      </c>
      <c r="B363" s="7" t="s">
        <v>781</v>
      </c>
      <c r="C363" s="8" t="s">
        <v>497</v>
      </c>
      <c r="G363" s="32">
        <v>16127479040</v>
      </c>
      <c r="H363" s="40">
        <f t="shared" si="8"/>
        <v>0</v>
      </c>
    </row>
    <row r="364" spans="1:8" x14ac:dyDescent="0.25">
      <c r="A364" s="7" t="s">
        <v>226</v>
      </c>
      <c r="B364" s="7" t="s">
        <v>782</v>
      </c>
      <c r="C364" s="8" t="s">
        <v>783</v>
      </c>
      <c r="G364" s="32">
        <v>7680613703</v>
      </c>
      <c r="H364" s="40">
        <f t="shared" si="8"/>
        <v>0</v>
      </c>
    </row>
    <row r="365" spans="1:8" ht="30" x14ac:dyDescent="0.25">
      <c r="A365" s="7" t="s">
        <v>226</v>
      </c>
      <c r="B365" s="7" t="s">
        <v>784</v>
      </c>
      <c r="C365" s="8" t="s">
        <v>785</v>
      </c>
      <c r="D365" s="9">
        <f>1952280000+10790805</f>
        <v>1963070805</v>
      </c>
      <c r="G365" s="32">
        <v>1552030080</v>
      </c>
      <c r="H365" s="40">
        <f t="shared" si="8"/>
        <v>1963070805</v>
      </c>
    </row>
    <row r="366" spans="1:8" customFormat="1" x14ac:dyDescent="0.25">
      <c r="A366" s="19">
        <v>154</v>
      </c>
      <c r="B366" s="19" t="s">
        <v>786</v>
      </c>
      <c r="C366" s="20" t="s">
        <v>697</v>
      </c>
      <c r="D366" s="21"/>
      <c r="E366" s="11"/>
      <c r="F366" s="31">
        <v>52769023</v>
      </c>
      <c r="G366" s="32">
        <v>52769023</v>
      </c>
      <c r="H366" s="40">
        <f t="shared" si="8"/>
        <v>-52769023</v>
      </c>
    </row>
    <row r="367" spans="1:8" customFormat="1" x14ac:dyDescent="0.25">
      <c r="A367" s="19">
        <v>154</v>
      </c>
      <c r="B367" s="19" t="s">
        <v>787</v>
      </c>
      <c r="C367" s="20" t="s">
        <v>788</v>
      </c>
      <c r="D367" s="21"/>
      <c r="E367" s="11"/>
      <c r="F367" s="31">
        <v>1002611432</v>
      </c>
      <c r="G367" s="32">
        <v>1002611432</v>
      </c>
      <c r="H367" s="40">
        <f t="shared" si="8"/>
        <v>-1002611432</v>
      </c>
    </row>
    <row r="368" spans="1:8" customFormat="1" x14ac:dyDescent="0.25">
      <c r="A368" s="19">
        <v>72</v>
      </c>
      <c r="B368" s="19" t="s">
        <v>789</v>
      </c>
      <c r="C368" s="20" t="s">
        <v>790</v>
      </c>
      <c r="D368" s="21"/>
      <c r="E368" s="11"/>
      <c r="F368" s="31">
        <v>19400376</v>
      </c>
      <c r="G368" s="32">
        <v>19400376</v>
      </c>
      <c r="H368" s="40">
        <f t="shared" si="8"/>
        <v>-19400376</v>
      </c>
    </row>
    <row r="369" spans="1:8" customFormat="1" x14ac:dyDescent="0.25">
      <c r="A369" s="19">
        <v>154</v>
      </c>
      <c r="B369" s="19" t="s">
        <v>791</v>
      </c>
      <c r="C369" s="20" t="s">
        <v>792</v>
      </c>
      <c r="D369" s="21"/>
      <c r="E369" s="11"/>
      <c r="F369" s="31">
        <v>0</v>
      </c>
      <c r="G369" s="32">
        <v>0</v>
      </c>
      <c r="H369" s="40">
        <f t="shared" si="8"/>
        <v>0</v>
      </c>
    </row>
    <row r="370" spans="1:8" customFormat="1" x14ac:dyDescent="0.25">
      <c r="A370" s="19">
        <v>72</v>
      </c>
      <c r="B370" s="19" t="s">
        <v>793</v>
      </c>
      <c r="C370" s="20" t="s">
        <v>792</v>
      </c>
      <c r="D370" s="21"/>
      <c r="E370" s="11"/>
      <c r="F370" s="31">
        <v>368607144</v>
      </c>
      <c r="G370" s="32">
        <v>368607144</v>
      </c>
      <c r="H370" s="40">
        <f t="shared" si="8"/>
        <v>-368607144</v>
      </c>
    </row>
    <row r="371" spans="1:8" customFormat="1" x14ac:dyDescent="0.25">
      <c r="A371" s="19">
        <v>181</v>
      </c>
      <c r="B371" s="19" t="s">
        <v>794</v>
      </c>
      <c r="C371" s="20" t="s">
        <v>795</v>
      </c>
      <c r="D371" s="21"/>
      <c r="E371" s="11"/>
      <c r="F371" s="31">
        <v>5432105</v>
      </c>
      <c r="G371" s="32">
        <v>5432105</v>
      </c>
      <c r="H371" s="40">
        <f t="shared" si="8"/>
        <v>-5432105</v>
      </c>
    </row>
    <row r="372" spans="1:8" customFormat="1" x14ac:dyDescent="0.25">
      <c r="A372" s="19">
        <v>181</v>
      </c>
      <c r="B372" s="19" t="s">
        <v>796</v>
      </c>
      <c r="C372" s="20" t="s">
        <v>797</v>
      </c>
      <c r="D372" s="21"/>
      <c r="E372" s="11"/>
      <c r="F372" s="31">
        <v>103210000</v>
      </c>
      <c r="G372" s="32">
        <v>103210000</v>
      </c>
      <c r="H372" s="40">
        <f t="shared" si="8"/>
        <v>-103210000</v>
      </c>
    </row>
    <row r="373" spans="1:8" ht="30" x14ac:dyDescent="0.25">
      <c r="A373" s="7" t="s">
        <v>226</v>
      </c>
      <c r="B373" s="7" t="s">
        <v>798</v>
      </c>
      <c r="C373" s="8" t="s">
        <v>799</v>
      </c>
      <c r="D373" s="9">
        <v>6177639520</v>
      </c>
      <c r="G373" s="32">
        <v>5997708272</v>
      </c>
      <c r="H373" s="40">
        <f t="shared" si="8"/>
        <v>6177639520</v>
      </c>
    </row>
    <row r="374" spans="1:8" customFormat="1" ht="30" x14ac:dyDescent="0.25">
      <c r="A374" s="22">
        <v>154</v>
      </c>
      <c r="B374" s="22" t="s">
        <v>800</v>
      </c>
      <c r="C374" s="23" t="s">
        <v>801</v>
      </c>
      <c r="D374" s="24"/>
      <c r="E374" s="11"/>
      <c r="F374" s="31">
        <v>4078441625</v>
      </c>
      <c r="G374" s="32">
        <v>4078441625</v>
      </c>
      <c r="H374" s="40">
        <f t="shared" si="8"/>
        <v>-4078441625</v>
      </c>
    </row>
    <row r="375" spans="1:8" customFormat="1" x14ac:dyDescent="0.25">
      <c r="A375" s="22">
        <v>72</v>
      </c>
      <c r="B375" s="22" t="s">
        <v>802</v>
      </c>
      <c r="C375" s="23" t="s">
        <v>803</v>
      </c>
      <c r="D375" s="24"/>
      <c r="E375" s="11"/>
      <c r="F375" s="31">
        <v>1499427068</v>
      </c>
      <c r="G375" s="32">
        <v>1499427068</v>
      </c>
      <c r="H375" s="40">
        <f t="shared" ref="H375:H438" si="9">+D375-F375</f>
        <v>-1499427068</v>
      </c>
    </row>
    <row r="376" spans="1:8" customFormat="1" x14ac:dyDescent="0.25">
      <c r="A376" s="22">
        <v>181</v>
      </c>
      <c r="B376" s="22" t="s">
        <v>804</v>
      </c>
      <c r="C376" s="23" t="s">
        <v>805</v>
      </c>
      <c r="D376" s="24"/>
      <c r="E376" s="11"/>
      <c r="F376" s="31">
        <v>419839579</v>
      </c>
      <c r="G376" s="32">
        <v>419839579</v>
      </c>
      <c r="H376" s="40">
        <f t="shared" si="9"/>
        <v>-419839579</v>
      </c>
    </row>
    <row r="377" spans="1:8" ht="30" x14ac:dyDescent="0.25">
      <c r="A377" s="7" t="s">
        <v>226</v>
      </c>
      <c r="B377" s="7" t="s">
        <v>806</v>
      </c>
      <c r="C377" s="8" t="s">
        <v>807</v>
      </c>
      <c r="G377" s="32">
        <v>20527481</v>
      </c>
      <c r="H377" s="40">
        <f t="shared" si="9"/>
        <v>0</v>
      </c>
    </row>
    <row r="378" spans="1:8" customFormat="1" x14ac:dyDescent="0.25">
      <c r="A378" s="22">
        <v>154</v>
      </c>
      <c r="B378" s="22" t="s">
        <v>808</v>
      </c>
      <c r="C378" s="23" t="s">
        <v>809</v>
      </c>
      <c r="D378" s="24"/>
      <c r="E378" s="11"/>
      <c r="F378" s="31">
        <v>13958687</v>
      </c>
      <c r="G378" s="32">
        <v>13958687</v>
      </c>
      <c r="H378" s="40">
        <f t="shared" si="9"/>
        <v>-13958687</v>
      </c>
    </row>
    <row r="379" spans="1:8" customFormat="1" x14ac:dyDescent="0.25">
      <c r="A379" s="22">
        <v>72</v>
      </c>
      <c r="B379" s="22" t="s">
        <v>810</v>
      </c>
      <c r="C379" s="23" t="s">
        <v>811</v>
      </c>
      <c r="D379" s="24"/>
      <c r="E379" s="11"/>
      <c r="F379" s="31">
        <v>5131870</v>
      </c>
      <c r="G379" s="32">
        <v>5131870</v>
      </c>
      <c r="H379" s="40">
        <f t="shared" si="9"/>
        <v>-5131870</v>
      </c>
    </row>
    <row r="380" spans="1:8" customFormat="1" x14ac:dyDescent="0.25">
      <c r="A380" s="22">
        <v>181</v>
      </c>
      <c r="B380" s="22" t="s">
        <v>812</v>
      </c>
      <c r="C380" s="23" t="s">
        <v>813</v>
      </c>
      <c r="D380" s="24"/>
      <c r="E380" s="11"/>
      <c r="F380" s="31">
        <v>1436924</v>
      </c>
      <c r="G380" s="32">
        <v>1436924</v>
      </c>
      <c r="H380" s="40">
        <f t="shared" si="9"/>
        <v>-1436924</v>
      </c>
    </row>
    <row r="381" spans="1:8" ht="30" x14ac:dyDescent="0.25">
      <c r="A381" s="7" t="s">
        <v>226</v>
      </c>
      <c r="B381" s="7" t="s">
        <v>814</v>
      </c>
      <c r="C381" s="8" t="s">
        <v>815</v>
      </c>
      <c r="G381" s="32">
        <v>110347870</v>
      </c>
      <c r="H381" s="40">
        <f t="shared" si="9"/>
        <v>0</v>
      </c>
    </row>
    <row r="382" spans="1:8" customFormat="1" x14ac:dyDescent="0.25">
      <c r="A382" s="22">
        <v>154</v>
      </c>
      <c r="B382" s="22" t="s">
        <v>816</v>
      </c>
      <c r="C382" s="23" t="s">
        <v>817</v>
      </c>
      <c r="D382" s="24"/>
      <c r="E382" s="11"/>
      <c r="F382" s="31">
        <v>61980552</v>
      </c>
      <c r="G382" s="32">
        <v>61980552</v>
      </c>
      <c r="H382" s="40">
        <f t="shared" si="9"/>
        <v>-61980552</v>
      </c>
    </row>
    <row r="383" spans="1:8" customFormat="1" x14ac:dyDescent="0.25">
      <c r="A383" s="22">
        <v>154</v>
      </c>
      <c r="B383" s="22" t="s">
        <v>818</v>
      </c>
      <c r="C383" s="23" t="s">
        <v>819</v>
      </c>
      <c r="D383" s="24"/>
      <c r="E383" s="11"/>
      <c r="F383" s="31">
        <v>13056000</v>
      </c>
      <c r="G383" s="32">
        <v>13056000</v>
      </c>
      <c r="H383" s="40">
        <f t="shared" si="9"/>
        <v>-13056000</v>
      </c>
    </row>
    <row r="384" spans="1:8" customFormat="1" x14ac:dyDescent="0.25">
      <c r="A384" s="22">
        <v>72</v>
      </c>
      <c r="B384" s="22" t="s">
        <v>820</v>
      </c>
      <c r="C384" s="23" t="s">
        <v>821</v>
      </c>
      <c r="D384" s="24"/>
      <c r="E384" s="11"/>
      <c r="F384" s="31">
        <v>22786968</v>
      </c>
      <c r="G384" s="32">
        <v>22786968</v>
      </c>
      <c r="H384" s="40">
        <f t="shared" si="9"/>
        <v>-22786968</v>
      </c>
    </row>
    <row r="385" spans="1:8" customFormat="1" x14ac:dyDescent="0.25">
      <c r="A385" s="22">
        <v>72</v>
      </c>
      <c r="B385" s="22" t="s">
        <v>822</v>
      </c>
      <c r="C385" s="23" t="s">
        <v>823</v>
      </c>
      <c r="D385" s="24"/>
      <c r="E385" s="11"/>
      <c r="F385" s="31">
        <v>4800000</v>
      </c>
      <c r="G385" s="32">
        <v>4800000</v>
      </c>
      <c r="H385" s="40">
        <f t="shared" si="9"/>
        <v>-4800000</v>
      </c>
    </row>
    <row r="386" spans="1:8" customFormat="1" x14ac:dyDescent="0.25">
      <c r="A386" s="22">
        <v>181</v>
      </c>
      <c r="B386" s="22" t="s">
        <v>824</v>
      </c>
      <c r="C386" s="23" t="s">
        <v>825</v>
      </c>
      <c r="D386" s="24"/>
      <c r="E386" s="11"/>
      <c r="F386" s="31">
        <v>6380350</v>
      </c>
      <c r="G386" s="32">
        <v>6380350</v>
      </c>
      <c r="H386" s="40">
        <f t="shared" si="9"/>
        <v>-6380350</v>
      </c>
    </row>
    <row r="387" spans="1:8" customFormat="1" x14ac:dyDescent="0.25">
      <c r="A387" s="22">
        <v>181</v>
      </c>
      <c r="B387" s="22" t="s">
        <v>826</v>
      </c>
      <c r="C387" s="23" t="s">
        <v>827</v>
      </c>
      <c r="D387" s="24"/>
      <c r="E387" s="11"/>
      <c r="F387" s="31">
        <v>1344000</v>
      </c>
      <c r="G387" s="32">
        <v>1344000</v>
      </c>
      <c r="H387" s="40">
        <f t="shared" si="9"/>
        <v>-1344000</v>
      </c>
    </row>
    <row r="388" spans="1:8" ht="45" x14ac:dyDescent="0.25">
      <c r="A388" s="7" t="s">
        <v>226</v>
      </c>
      <c r="B388" s="7" t="s">
        <v>828</v>
      </c>
      <c r="C388" s="8" t="s">
        <v>499</v>
      </c>
      <c r="G388" s="32">
        <v>8446865337</v>
      </c>
      <c r="H388" s="40">
        <f t="shared" si="9"/>
        <v>0</v>
      </c>
    </row>
    <row r="389" spans="1:8" ht="30" x14ac:dyDescent="0.25">
      <c r="A389" s="7" t="s">
        <v>226</v>
      </c>
      <c r="B389" s="7" t="s">
        <v>829</v>
      </c>
      <c r="C389" s="8" t="s">
        <v>501</v>
      </c>
      <c r="G389" s="32">
        <v>8446865337</v>
      </c>
      <c r="H389" s="40">
        <f t="shared" si="9"/>
        <v>0</v>
      </c>
    </row>
    <row r="390" spans="1:8" ht="30" x14ac:dyDescent="0.25">
      <c r="A390" s="7" t="s">
        <v>226</v>
      </c>
      <c r="B390" s="7" t="s">
        <v>830</v>
      </c>
      <c r="C390" s="8" t="s">
        <v>503</v>
      </c>
      <c r="G390" s="32">
        <v>8446865337</v>
      </c>
      <c r="H390" s="40">
        <f t="shared" si="9"/>
        <v>0</v>
      </c>
    </row>
    <row r="391" spans="1:8" ht="30" x14ac:dyDescent="0.25">
      <c r="A391" s="7" t="s">
        <v>226</v>
      </c>
      <c r="B391" s="7" t="s">
        <v>831</v>
      </c>
      <c r="C391" s="8" t="s">
        <v>505</v>
      </c>
      <c r="G391" s="32">
        <v>8446865337</v>
      </c>
      <c r="H391" s="40">
        <f t="shared" si="9"/>
        <v>0</v>
      </c>
    </row>
    <row r="392" spans="1:8" customFormat="1" x14ac:dyDescent="0.25">
      <c r="A392" s="22">
        <v>58</v>
      </c>
      <c r="B392" s="22" t="s">
        <v>832</v>
      </c>
      <c r="C392" s="23" t="s">
        <v>833</v>
      </c>
      <c r="D392" s="24"/>
      <c r="E392" s="11"/>
      <c r="F392" s="31">
        <v>2111716334</v>
      </c>
      <c r="G392" s="32">
        <v>2111716334</v>
      </c>
      <c r="H392" s="40">
        <f t="shared" si="9"/>
        <v>-2111716334</v>
      </c>
    </row>
    <row r="393" spans="1:8" customFormat="1" x14ac:dyDescent="0.25">
      <c r="A393" s="22">
        <v>72</v>
      </c>
      <c r="B393" s="22" t="s">
        <v>834</v>
      </c>
      <c r="C393" s="23" t="s">
        <v>833</v>
      </c>
      <c r="D393" s="24"/>
      <c r="E393" s="11"/>
      <c r="F393" s="31">
        <v>2111716334</v>
      </c>
      <c r="G393" s="32">
        <v>2111716334</v>
      </c>
      <c r="H393" s="40">
        <f t="shared" si="9"/>
        <v>-2111716334</v>
      </c>
    </row>
    <row r="394" spans="1:8" customFormat="1" ht="30" x14ac:dyDescent="0.25">
      <c r="A394" s="22">
        <v>154</v>
      </c>
      <c r="B394" s="22" t="s">
        <v>835</v>
      </c>
      <c r="C394" s="23" t="s">
        <v>836</v>
      </c>
      <c r="D394" s="24"/>
      <c r="E394" s="11"/>
      <c r="F394" s="31">
        <v>4223432669</v>
      </c>
      <c r="G394" s="32">
        <v>4223432669</v>
      </c>
      <c r="H394" s="40">
        <f t="shared" si="9"/>
        <v>-4223432669</v>
      </c>
    </row>
    <row r="395" spans="1:8" x14ac:dyDescent="0.25">
      <c r="A395" s="7" t="s">
        <v>226</v>
      </c>
      <c r="B395" s="7" t="s">
        <v>837</v>
      </c>
      <c r="C395" s="8" t="s">
        <v>517</v>
      </c>
      <c r="G395" s="32">
        <v>621146797</v>
      </c>
      <c r="H395" s="40">
        <f t="shared" si="9"/>
        <v>0</v>
      </c>
    </row>
    <row r="396" spans="1:8" x14ac:dyDescent="0.25">
      <c r="A396" s="7" t="s">
        <v>226</v>
      </c>
      <c r="B396" s="7" t="s">
        <v>838</v>
      </c>
      <c r="C396" s="8" t="s">
        <v>529</v>
      </c>
      <c r="G396" s="32">
        <v>200000000</v>
      </c>
      <c r="H396" s="40">
        <f t="shared" si="9"/>
        <v>0</v>
      </c>
    </row>
    <row r="397" spans="1:8" x14ac:dyDescent="0.25">
      <c r="A397" s="7" t="s">
        <v>226</v>
      </c>
      <c r="B397" s="7" t="s">
        <v>839</v>
      </c>
      <c r="C397" s="8" t="s">
        <v>531</v>
      </c>
      <c r="G397" s="32">
        <v>200000000</v>
      </c>
      <c r="H397" s="40">
        <f t="shared" si="9"/>
        <v>0</v>
      </c>
    </row>
    <row r="398" spans="1:8" x14ac:dyDescent="0.25">
      <c r="A398" s="7" t="s">
        <v>226</v>
      </c>
      <c r="B398" s="7" t="s">
        <v>840</v>
      </c>
      <c r="C398" s="8" t="s">
        <v>228</v>
      </c>
      <c r="G398" s="32">
        <v>200000000</v>
      </c>
      <c r="H398" s="40">
        <f t="shared" si="9"/>
        <v>0</v>
      </c>
    </row>
    <row r="399" spans="1:8" x14ac:dyDescent="0.25">
      <c r="A399" s="7" t="s">
        <v>226</v>
      </c>
      <c r="B399" s="7" t="s">
        <v>841</v>
      </c>
      <c r="C399" s="8" t="s">
        <v>230</v>
      </c>
      <c r="G399" s="32">
        <v>200000000</v>
      </c>
      <c r="H399" s="40">
        <f t="shared" si="9"/>
        <v>0</v>
      </c>
    </row>
    <row r="400" spans="1:8" x14ac:dyDescent="0.25">
      <c r="A400" s="7" t="s">
        <v>226</v>
      </c>
      <c r="B400" s="7" t="s">
        <v>842</v>
      </c>
      <c r="C400" s="8" t="s">
        <v>311</v>
      </c>
      <c r="G400" s="32">
        <v>200000000</v>
      </c>
      <c r="H400" s="40">
        <f t="shared" si="9"/>
        <v>0</v>
      </c>
    </row>
    <row r="401" spans="1:8" x14ac:dyDescent="0.25">
      <c r="A401" s="7" t="s">
        <v>226</v>
      </c>
      <c r="B401" s="7" t="s">
        <v>843</v>
      </c>
      <c r="C401" s="8" t="s">
        <v>341</v>
      </c>
      <c r="G401" s="32">
        <v>2000000</v>
      </c>
      <c r="H401" s="40">
        <f t="shared" si="9"/>
        <v>0</v>
      </c>
    </row>
    <row r="402" spans="1:8" ht="30" x14ac:dyDescent="0.25">
      <c r="A402" s="7" t="s">
        <v>226</v>
      </c>
      <c r="B402" s="7" t="s">
        <v>844</v>
      </c>
      <c r="C402" s="8" t="s">
        <v>343</v>
      </c>
      <c r="G402" s="32">
        <v>2000000</v>
      </c>
      <c r="H402" s="40">
        <f t="shared" si="9"/>
        <v>0</v>
      </c>
    </row>
    <row r="403" spans="1:8" customFormat="1" x14ac:dyDescent="0.25">
      <c r="A403" s="13">
        <v>63</v>
      </c>
      <c r="B403" s="13" t="s">
        <v>845</v>
      </c>
      <c r="C403" s="14" t="s">
        <v>846</v>
      </c>
      <c r="D403" s="15">
        <v>810166</v>
      </c>
      <c r="E403" s="11"/>
      <c r="F403" s="31">
        <v>2000000</v>
      </c>
      <c r="G403" s="32">
        <v>2000000</v>
      </c>
      <c r="H403" s="40">
        <f t="shared" si="9"/>
        <v>-1189834</v>
      </c>
    </row>
    <row r="404" spans="1:8" x14ac:dyDescent="0.25">
      <c r="A404" s="7" t="s">
        <v>226</v>
      </c>
      <c r="B404" s="7" t="s">
        <v>847</v>
      </c>
      <c r="C404" s="8" t="s">
        <v>406</v>
      </c>
      <c r="G404" s="32">
        <v>198000000</v>
      </c>
      <c r="H404" s="40">
        <f t="shared" si="9"/>
        <v>0</v>
      </c>
    </row>
    <row r="405" spans="1:8" x14ac:dyDescent="0.25">
      <c r="A405" s="7" t="s">
        <v>226</v>
      </c>
      <c r="B405" s="7" t="s">
        <v>848</v>
      </c>
      <c r="C405" s="8" t="s">
        <v>408</v>
      </c>
      <c r="G405" s="32">
        <v>66700549</v>
      </c>
      <c r="H405" s="40">
        <f t="shared" si="9"/>
        <v>0</v>
      </c>
    </row>
    <row r="406" spans="1:8" customFormat="1" x14ac:dyDescent="0.25">
      <c r="A406" s="13">
        <v>58</v>
      </c>
      <c r="B406" s="13" t="s">
        <v>849</v>
      </c>
      <c r="C406" s="14" t="s">
        <v>850</v>
      </c>
      <c r="D406" s="15">
        <v>8025343</v>
      </c>
      <c r="E406" s="11"/>
      <c r="F406" s="31">
        <v>66700549</v>
      </c>
      <c r="G406" s="32">
        <v>66700549</v>
      </c>
      <c r="H406" s="40">
        <f t="shared" si="9"/>
        <v>-58675206</v>
      </c>
    </row>
    <row r="407" spans="1:8" customFormat="1" x14ac:dyDescent="0.25">
      <c r="A407" s="13">
        <v>59</v>
      </c>
      <c r="B407" s="13" t="s">
        <v>851</v>
      </c>
      <c r="C407" s="14" t="s">
        <v>850</v>
      </c>
      <c r="D407" s="15">
        <v>100000</v>
      </c>
      <c r="E407" s="11"/>
      <c r="F407" s="31">
        <v>0</v>
      </c>
      <c r="G407" s="32">
        <v>0</v>
      </c>
      <c r="H407" s="40">
        <f t="shared" si="9"/>
        <v>100000</v>
      </c>
    </row>
    <row r="408" spans="1:8" customFormat="1" x14ac:dyDescent="0.25">
      <c r="A408" s="13">
        <v>61</v>
      </c>
      <c r="B408" s="13" t="s">
        <v>852</v>
      </c>
      <c r="C408" s="14" t="s">
        <v>764</v>
      </c>
      <c r="D408" s="15">
        <v>2016058</v>
      </c>
      <c r="E408" s="11"/>
      <c r="F408" s="31">
        <v>25000000</v>
      </c>
      <c r="G408" s="32">
        <v>25000000</v>
      </c>
      <c r="H408" s="40">
        <f t="shared" si="9"/>
        <v>-22983942</v>
      </c>
    </row>
    <row r="409" spans="1:8" customFormat="1" x14ac:dyDescent="0.25">
      <c r="A409" s="13">
        <v>154</v>
      </c>
      <c r="B409" s="13" t="s">
        <v>853</v>
      </c>
      <c r="C409" s="14" t="s">
        <v>854</v>
      </c>
      <c r="D409" s="15">
        <v>64310883</v>
      </c>
      <c r="E409" s="11"/>
      <c r="F409" s="31">
        <v>65904384</v>
      </c>
      <c r="G409" s="32">
        <v>65904384</v>
      </c>
      <c r="H409" s="40">
        <f t="shared" si="9"/>
        <v>-1593501</v>
      </c>
    </row>
    <row r="410" spans="1:8" customFormat="1" x14ac:dyDescent="0.25">
      <c r="A410" s="13">
        <v>171</v>
      </c>
      <c r="B410" s="13" t="s">
        <v>855</v>
      </c>
      <c r="C410" s="14" t="s">
        <v>766</v>
      </c>
      <c r="D410" s="15">
        <v>233991</v>
      </c>
      <c r="E410" s="11"/>
      <c r="F410" s="31">
        <v>10000000</v>
      </c>
      <c r="G410" s="32">
        <v>10000000</v>
      </c>
      <c r="H410" s="40">
        <f t="shared" si="9"/>
        <v>-9766009</v>
      </c>
    </row>
    <row r="411" spans="1:8" customFormat="1" x14ac:dyDescent="0.25">
      <c r="A411" s="13">
        <v>72</v>
      </c>
      <c r="B411" s="13" t="s">
        <v>856</v>
      </c>
      <c r="C411" s="14" t="s">
        <v>857</v>
      </c>
      <c r="D411" s="15">
        <v>8108247</v>
      </c>
      <c r="E411" s="11"/>
      <c r="F411" s="31">
        <v>30395067</v>
      </c>
      <c r="G411" s="32">
        <v>30395067</v>
      </c>
      <c r="H411" s="40">
        <f t="shared" si="9"/>
        <v>-22286820</v>
      </c>
    </row>
    <row r="412" spans="1:8" ht="30" x14ac:dyDescent="0.25">
      <c r="A412" s="7" t="s">
        <v>226</v>
      </c>
      <c r="B412" s="7" t="s">
        <v>858</v>
      </c>
      <c r="C412" s="8" t="s">
        <v>428</v>
      </c>
      <c r="G412" s="32">
        <v>0</v>
      </c>
      <c r="H412" s="40">
        <f t="shared" si="9"/>
        <v>0</v>
      </c>
    </row>
    <row r="413" spans="1:8" x14ac:dyDescent="0.25">
      <c r="A413" s="7" t="s">
        <v>226</v>
      </c>
      <c r="B413" s="7" t="s">
        <v>859</v>
      </c>
      <c r="C413" s="8" t="s">
        <v>680</v>
      </c>
      <c r="G413" s="32">
        <v>0</v>
      </c>
      <c r="H413" s="40">
        <f t="shared" si="9"/>
        <v>0</v>
      </c>
    </row>
    <row r="414" spans="1:8" customFormat="1" x14ac:dyDescent="0.25">
      <c r="A414" s="13">
        <v>65</v>
      </c>
      <c r="B414" s="13" t="s">
        <v>860</v>
      </c>
      <c r="C414" s="14" t="s">
        <v>861</v>
      </c>
      <c r="D414" s="15">
        <v>53392</v>
      </c>
      <c r="E414" s="11"/>
      <c r="F414" s="31">
        <v>0</v>
      </c>
      <c r="G414" s="32">
        <v>0</v>
      </c>
      <c r="H414" s="40">
        <f t="shared" si="9"/>
        <v>53392</v>
      </c>
    </row>
    <row r="415" spans="1:8" x14ac:dyDescent="0.25">
      <c r="A415" s="7" t="s">
        <v>226</v>
      </c>
      <c r="B415" s="7" t="s">
        <v>862</v>
      </c>
      <c r="C415" s="8" t="s">
        <v>430</v>
      </c>
      <c r="G415" s="32">
        <v>0</v>
      </c>
      <c r="H415" s="40">
        <f t="shared" si="9"/>
        <v>0</v>
      </c>
    </row>
    <row r="416" spans="1:8" customFormat="1" ht="30" x14ac:dyDescent="0.25">
      <c r="A416" s="13">
        <v>152</v>
      </c>
      <c r="B416" s="13" t="s">
        <v>863</v>
      </c>
      <c r="C416" s="14" t="s">
        <v>864</v>
      </c>
      <c r="D416" s="15">
        <v>15502</v>
      </c>
      <c r="E416" s="11"/>
      <c r="F416" s="31">
        <v>0</v>
      </c>
      <c r="G416" s="32">
        <v>0</v>
      </c>
      <c r="H416" s="40">
        <f t="shared" si="9"/>
        <v>15502</v>
      </c>
    </row>
    <row r="417" spans="1:8" customFormat="1" x14ac:dyDescent="0.25">
      <c r="A417" s="13">
        <v>167</v>
      </c>
      <c r="B417" s="13" t="s">
        <v>865</v>
      </c>
      <c r="C417" s="14" t="s">
        <v>866</v>
      </c>
      <c r="D417" s="15">
        <v>3106</v>
      </c>
      <c r="E417" s="11"/>
      <c r="F417" s="31">
        <v>0</v>
      </c>
      <c r="G417" s="32">
        <v>0</v>
      </c>
      <c r="H417" s="40">
        <f t="shared" si="9"/>
        <v>3106</v>
      </c>
    </row>
    <row r="418" spans="1:8" x14ac:dyDescent="0.25">
      <c r="A418" s="7" t="s">
        <v>226</v>
      </c>
      <c r="B418" s="7" t="s">
        <v>867</v>
      </c>
      <c r="C418" s="8" t="s">
        <v>868</v>
      </c>
      <c r="G418" s="32">
        <v>421146797</v>
      </c>
      <c r="H418" s="40">
        <f t="shared" si="9"/>
        <v>0</v>
      </c>
    </row>
    <row r="419" spans="1:8" x14ac:dyDescent="0.25">
      <c r="A419" s="7" t="s">
        <v>226</v>
      </c>
      <c r="B419" s="7" t="s">
        <v>869</v>
      </c>
      <c r="C419" s="8" t="s">
        <v>870</v>
      </c>
      <c r="G419" s="32">
        <v>421146797</v>
      </c>
      <c r="H419" s="40">
        <f t="shared" si="9"/>
        <v>0</v>
      </c>
    </row>
    <row r="420" spans="1:8" x14ac:dyDescent="0.25">
      <c r="A420" s="7" t="s">
        <v>226</v>
      </c>
      <c r="B420" s="7" t="s">
        <v>871</v>
      </c>
      <c r="C420" s="8" t="s">
        <v>872</v>
      </c>
      <c r="D420" s="9">
        <v>393715436</v>
      </c>
      <c r="G420" s="32">
        <v>421146797</v>
      </c>
      <c r="H420" s="40">
        <f t="shared" si="9"/>
        <v>393715436</v>
      </c>
    </row>
    <row r="421" spans="1:8" customFormat="1" ht="30" x14ac:dyDescent="0.25">
      <c r="A421" s="19">
        <v>154</v>
      </c>
      <c r="B421" s="19" t="s">
        <v>873</v>
      </c>
      <c r="C421" s="20" t="s">
        <v>874</v>
      </c>
      <c r="D421" s="21"/>
      <c r="E421" s="11"/>
      <c r="F421" s="31">
        <v>324283033</v>
      </c>
      <c r="G421" s="32">
        <v>324283033</v>
      </c>
      <c r="H421" s="40">
        <f t="shared" si="9"/>
        <v>-324283033</v>
      </c>
    </row>
    <row r="422" spans="1:8" customFormat="1" ht="30" x14ac:dyDescent="0.25">
      <c r="A422" s="19">
        <v>154</v>
      </c>
      <c r="B422" s="19" t="s">
        <v>875</v>
      </c>
      <c r="C422" s="20" t="s">
        <v>876</v>
      </c>
      <c r="D422" s="21"/>
      <c r="E422" s="11"/>
      <c r="F422" s="31">
        <v>54749084</v>
      </c>
      <c r="G422" s="32">
        <v>54749084</v>
      </c>
      <c r="H422" s="40">
        <f t="shared" si="9"/>
        <v>-54749084</v>
      </c>
    </row>
    <row r="423" spans="1:8" customFormat="1" ht="30" x14ac:dyDescent="0.25">
      <c r="A423" s="19">
        <v>154</v>
      </c>
      <c r="B423" s="19" t="s">
        <v>877</v>
      </c>
      <c r="C423" s="20" t="s">
        <v>878</v>
      </c>
      <c r="D423" s="21"/>
      <c r="E423" s="11"/>
      <c r="F423" s="31">
        <v>42114680</v>
      </c>
      <c r="G423" s="32">
        <v>42114680</v>
      </c>
      <c r="H423" s="40">
        <f t="shared" si="9"/>
        <v>-42114680</v>
      </c>
    </row>
    <row r="424" spans="1:8" x14ac:dyDescent="0.25">
      <c r="A424" s="7" t="s">
        <v>226</v>
      </c>
      <c r="B424" s="7" t="s">
        <v>879</v>
      </c>
      <c r="C424" s="8" t="s">
        <v>623</v>
      </c>
      <c r="G424" s="32">
        <v>0</v>
      </c>
      <c r="H424" s="40">
        <f t="shared" si="9"/>
        <v>0</v>
      </c>
    </row>
    <row r="425" spans="1:8" customFormat="1" x14ac:dyDescent="0.25">
      <c r="A425" s="22">
        <v>63</v>
      </c>
      <c r="B425" s="22" t="s">
        <v>880</v>
      </c>
      <c r="C425" s="23" t="s">
        <v>606</v>
      </c>
      <c r="D425" s="24"/>
      <c r="E425" s="11"/>
      <c r="F425" s="31">
        <v>0</v>
      </c>
      <c r="G425" s="32">
        <v>0</v>
      </c>
      <c r="H425" s="40">
        <f t="shared" si="9"/>
        <v>0</v>
      </c>
    </row>
    <row r="426" spans="1:8" x14ac:dyDescent="0.25">
      <c r="A426" s="7" t="s">
        <v>226</v>
      </c>
      <c r="B426" s="12">
        <v>44202</v>
      </c>
      <c r="C426" s="8" t="s">
        <v>228</v>
      </c>
      <c r="G426" s="32">
        <v>98474554259.690002</v>
      </c>
      <c r="H426" s="40">
        <f t="shared" si="9"/>
        <v>0</v>
      </c>
    </row>
    <row r="427" spans="1:8" x14ac:dyDescent="0.25">
      <c r="A427" s="7" t="s">
        <v>226</v>
      </c>
      <c r="B427" s="12">
        <v>44506</v>
      </c>
      <c r="C427" s="8" t="s">
        <v>230</v>
      </c>
      <c r="G427" s="32">
        <v>98474554259.690002</v>
      </c>
      <c r="H427" s="40">
        <f t="shared" si="9"/>
        <v>0</v>
      </c>
    </row>
    <row r="428" spans="1:8" x14ac:dyDescent="0.25">
      <c r="A428" s="7" t="s">
        <v>226</v>
      </c>
      <c r="B428" s="7" t="s">
        <v>881</v>
      </c>
      <c r="C428" s="8" t="s">
        <v>311</v>
      </c>
      <c r="G428" s="32">
        <v>98474554259.690002</v>
      </c>
      <c r="H428" s="40">
        <f t="shared" si="9"/>
        <v>0</v>
      </c>
    </row>
    <row r="429" spans="1:8" x14ac:dyDescent="0.25">
      <c r="A429" s="7" t="s">
        <v>226</v>
      </c>
      <c r="B429" s="7" t="s">
        <v>882</v>
      </c>
      <c r="C429" s="8" t="s">
        <v>406</v>
      </c>
      <c r="G429" s="32">
        <v>98474554259.690002</v>
      </c>
      <c r="H429" s="40">
        <f t="shared" si="9"/>
        <v>0</v>
      </c>
    </row>
    <row r="430" spans="1:8" x14ac:dyDescent="0.25">
      <c r="A430" s="7" t="s">
        <v>226</v>
      </c>
      <c r="B430" s="7" t="s">
        <v>883</v>
      </c>
      <c r="C430" s="8" t="s">
        <v>884</v>
      </c>
      <c r="G430" s="32">
        <v>98474554259.690002</v>
      </c>
      <c r="H430" s="40">
        <f t="shared" si="9"/>
        <v>0</v>
      </c>
    </row>
    <row r="431" spans="1:8" x14ac:dyDescent="0.25">
      <c r="A431" s="7" t="s">
        <v>226</v>
      </c>
      <c r="B431" s="7" t="s">
        <v>885</v>
      </c>
      <c r="C431" s="8" t="s">
        <v>886</v>
      </c>
      <c r="G431" s="32">
        <v>1235060014</v>
      </c>
      <c r="H431" s="40">
        <f t="shared" si="9"/>
        <v>0</v>
      </c>
    </row>
    <row r="432" spans="1:8" customFormat="1" ht="30" x14ac:dyDescent="0.25">
      <c r="A432" s="22">
        <v>70</v>
      </c>
      <c r="B432" s="22" t="s">
        <v>887</v>
      </c>
      <c r="C432" s="23" t="s">
        <v>888</v>
      </c>
      <c r="D432" s="24">
        <v>169768867</v>
      </c>
      <c r="E432" s="11"/>
      <c r="F432" s="31">
        <v>169768867</v>
      </c>
      <c r="G432" s="32">
        <v>169768867</v>
      </c>
      <c r="H432" s="40">
        <f t="shared" si="9"/>
        <v>0</v>
      </c>
    </row>
    <row r="433" spans="1:8" customFormat="1" ht="30" x14ac:dyDescent="0.25">
      <c r="A433" s="22">
        <v>70</v>
      </c>
      <c r="B433" s="22" t="s">
        <v>889</v>
      </c>
      <c r="C433" s="23" t="s">
        <v>888</v>
      </c>
      <c r="D433" s="24">
        <v>1428177961</v>
      </c>
      <c r="E433" s="11"/>
      <c r="F433" s="31">
        <v>1428177961</v>
      </c>
      <c r="G433" s="32"/>
      <c r="H433" s="40">
        <f t="shared" si="9"/>
        <v>0</v>
      </c>
    </row>
    <row r="434" spans="1:8" customFormat="1" ht="30" x14ac:dyDescent="0.25">
      <c r="A434" s="22">
        <v>70</v>
      </c>
      <c r="B434" s="22" t="s">
        <v>890</v>
      </c>
      <c r="C434" s="23" t="s">
        <v>888</v>
      </c>
      <c r="D434" s="24">
        <v>1065291147</v>
      </c>
      <c r="E434" s="11"/>
      <c r="F434" s="31">
        <v>1065291147</v>
      </c>
      <c r="G434" s="32"/>
      <c r="H434" s="40">
        <f t="shared" si="9"/>
        <v>0</v>
      </c>
    </row>
    <row r="435" spans="1:8" customFormat="1" ht="30" x14ac:dyDescent="0.25">
      <c r="A435" s="22">
        <v>70</v>
      </c>
      <c r="B435" s="22" t="s">
        <v>891</v>
      </c>
      <c r="C435" s="23" t="s">
        <v>888</v>
      </c>
      <c r="D435" s="24">
        <v>0</v>
      </c>
      <c r="E435" s="11"/>
      <c r="F435" s="31">
        <v>0</v>
      </c>
      <c r="G435" s="32">
        <v>1065291147</v>
      </c>
      <c r="H435" s="40">
        <f t="shared" si="9"/>
        <v>0</v>
      </c>
    </row>
    <row r="436" spans="1:8" x14ac:dyDescent="0.25">
      <c r="A436" s="7" t="s">
        <v>226</v>
      </c>
      <c r="B436" s="7" t="s">
        <v>892</v>
      </c>
      <c r="C436" s="8" t="s">
        <v>893</v>
      </c>
      <c r="G436" s="32">
        <v>88323019442.690002</v>
      </c>
      <c r="H436" s="40">
        <f t="shared" si="9"/>
        <v>0</v>
      </c>
    </row>
    <row r="437" spans="1:8" customFormat="1" ht="45" x14ac:dyDescent="0.25">
      <c r="A437" s="22">
        <v>70</v>
      </c>
      <c r="B437" s="22" t="s">
        <v>894</v>
      </c>
      <c r="C437" s="23" t="s">
        <v>895</v>
      </c>
      <c r="D437" s="24"/>
      <c r="E437" s="11"/>
      <c r="F437" s="31">
        <v>5728336232.6599998</v>
      </c>
      <c r="G437" s="32">
        <v>5379226408.6599998</v>
      </c>
      <c r="H437" s="40">
        <f t="shared" si="9"/>
        <v>-5728336232.6599998</v>
      </c>
    </row>
    <row r="438" spans="1:8" customFormat="1" ht="45" x14ac:dyDescent="0.25">
      <c r="A438" s="22">
        <v>70</v>
      </c>
      <c r="B438" s="22" t="s">
        <v>896</v>
      </c>
      <c r="C438" s="23" t="s">
        <v>897</v>
      </c>
      <c r="D438" s="24"/>
      <c r="E438" s="11"/>
      <c r="F438" s="31">
        <v>2714111</v>
      </c>
      <c r="G438" s="32">
        <v>2714111</v>
      </c>
      <c r="H438" s="40">
        <f t="shared" si="9"/>
        <v>-2714111</v>
      </c>
    </row>
    <row r="439" spans="1:8" customFormat="1" ht="30" x14ac:dyDescent="0.25">
      <c r="A439" s="22">
        <v>70</v>
      </c>
      <c r="B439" s="22" t="s">
        <v>898</v>
      </c>
      <c r="C439" s="23" t="s">
        <v>899</v>
      </c>
      <c r="D439" s="24"/>
      <c r="E439" s="11"/>
      <c r="F439" s="31">
        <v>202706925.94</v>
      </c>
      <c r="G439" s="32">
        <v>202706925.94</v>
      </c>
      <c r="H439" s="40">
        <f t="shared" ref="H439:H464" si="10">+D439-F439</f>
        <v>-202706925.94</v>
      </c>
    </row>
    <row r="440" spans="1:8" customFormat="1" ht="45" x14ac:dyDescent="0.25">
      <c r="A440" s="22">
        <v>70</v>
      </c>
      <c r="B440" s="22" t="s">
        <v>900</v>
      </c>
      <c r="C440" s="23" t="s">
        <v>901</v>
      </c>
      <c r="D440" s="24"/>
      <c r="E440" s="11"/>
      <c r="F440" s="31">
        <v>7739633587</v>
      </c>
      <c r="G440" s="32">
        <v>7739633587</v>
      </c>
      <c r="H440" s="40">
        <f t="shared" si="10"/>
        <v>-7739633587</v>
      </c>
    </row>
    <row r="441" spans="1:8" customFormat="1" ht="30" x14ac:dyDescent="0.25">
      <c r="A441" s="22">
        <v>70</v>
      </c>
      <c r="B441" s="22" t="s">
        <v>902</v>
      </c>
      <c r="C441" s="23" t="s">
        <v>903</v>
      </c>
      <c r="D441" s="24"/>
      <c r="E441" s="11"/>
      <c r="F441" s="31">
        <v>16189283851</v>
      </c>
      <c r="G441" s="32">
        <v>13686340513</v>
      </c>
      <c r="H441" s="40">
        <f t="shared" si="10"/>
        <v>-16189283851</v>
      </c>
    </row>
    <row r="442" spans="1:8" customFormat="1" ht="45" x14ac:dyDescent="0.25">
      <c r="A442" s="22">
        <v>70</v>
      </c>
      <c r="B442" s="22" t="s">
        <v>904</v>
      </c>
      <c r="C442" s="23" t="s">
        <v>905</v>
      </c>
      <c r="D442" s="24"/>
      <c r="E442" s="11"/>
      <c r="F442" s="31">
        <v>0</v>
      </c>
      <c r="G442" s="32">
        <v>5785349332</v>
      </c>
      <c r="H442" s="40">
        <f t="shared" si="10"/>
        <v>0</v>
      </c>
    </row>
    <row r="443" spans="1:8" customFormat="1" ht="30" x14ac:dyDescent="0.25">
      <c r="A443" s="22">
        <v>70</v>
      </c>
      <c r="B443" s="22" t="s">
        <v>904</v>
      </c>
      <c r="C443" s="23" t="s">
        <v>906</v>
      </c>
      <c r="D443" s="24"/>
      <c r="E443" s="11"/>
      <c r="F443" s="31">
        <v>179946655.40000001</v>
      </c>
      <c r="G443" s="32">
        <v>179946655.40000001</v>
      </c>
      <c r="H443" s="40">
        <f t="shared" si="10"/>
        <v>-179946655.40000001</v>
      </c>
    </row>
    <row r="444" spans="1:8" customFormat="1" ht="30" x14ac:dyDescent="0.25">
      <c r="A444" s="22">
        <v>70</v>
      </c>
      <c r="B444" s="22" t="s">
        <v>904</v>
      </c>
      <c r="C444" s="23" t="s">
        <v>907</v>
      </c>
      <c r="D444" s="24"/>
      <c r="E444" s="11"/>
      <c r="F444" s="31">
        <v>10046273.300000001</v>
      </c>
      <c r="G444" s="32">
        <v>10046273.300000001</v>
      </c>
      <c r="H444" s="40">
        <f t="shared" si="10"/>
        <v>-10046273.300000001</v>
      </c>
    </row>
    <row r="445" spans="1:8" customFormat="1" ht="45" x14ac:dyDescent="0.25">
      <c r="A445" s="22">
        <v>70</v>
      </c>
      <c r="B445" s="22" t="s">
        <v>908</v>
      </c>
      <c r="C445" s="23" t="s">
        <v>909</v>
      </c>
      <c r="D445" s="24"/>
      <c r="E445" s="11"/>
      <c r="F445" s="31">
        <v>502410770.13</v>
      </c>
      <c r="G445" s="32">
        <v>502410770.13</v>
      </c>
      <c r="H445" s="40">
        <f t="shared" si="10"/>
        <v>-502410770.13</v>
      </c>
    </row>
    <row r="446" spans="1:8" customFormat="1" ht="45" x14ac:dyDescent="0.25">
      <c r="A446" s="22">
        <v>70</v>
      </c>
      <c r="B446" s="22" t="s">
        <v>910</v>
      </c>
      <c r="C446" s="23" t="s">
        <v>911</v>
      </c>
      <c r="D446" s="24"/>
      <c r="E446" s="11"/>
      <c r="F446" s="31">
        <v>17217114069.25</v>
      </c>
      <c r="G446" s="32">
        <v>17217114069.25</v>
      </c>
      <c r="H446" s="40">
        <f t="shared" si="10"/>
        <v>-17217114069.25</v>
      </c>
    </row>
    <row r="447" spans="1:8" customFormat="1" ht="45" x14ac:dyDescent="0.25">
      <c r="A447" s="22">
        <v>70</v>
      </c>
      <c r="B447" s="22" t="s">
        <v>912</v>
      </c>
      <c r="C447" s="23" t="s">
        <v>913</v>
      </c>
      <c r="D447" s="24"/>
      <c r="E447" s="11"/>
      <c r="F447" s="31">
        <v>3234527369</v>
      </c>
      <c r="G447" s="32">
        <v>3234527369</v>
      </c>
      <c r="H447" s="40">
        <f t="shared" si="10"/>
        <v>-3234527369</v>
      </c>
    </row>
    <row r="448" spans="1:8" customFormat="1" ht="45" x14ac:dyDescent="0.25">
      <c r="A448" s="22">
        <v>70</v>
      </c>
      <c r="B448" s="22" t="s">
        <v>914</v>
      </c>
      <c r="C448" s="23" t="s">
        <v>915</v>
      </c>
      <c r="D448" s="24"/>
      <c r="E448" s="11"/>
      <c r="F448" s="31">
        <v>116359760.79000001</v>
      </c>
      <c r="G448" s="32">
        <v>116359760.79000001</v>
      </c>
      <c r="H448" s="40">
        <f t="shared" si="10"/>
        <v>-116359760.79000001</v>
      </c>
    </row>
    <row r="449" spans="1:8" customFormat="1" ht="30" x14ac:dyDescent="0.25">
      <c r="A449" s="22">
        <v>70</v>
      </c>
      <c r="B449" s="22" t="s">
        <v>916</v>
      </c>
      <c r="C449" s="23" t="s">
        <v>917</v>
      </c>
      <c r="D449" s="24"/>
      <c r="E449" s="11"/>
      <c r="F449" s="31">
        <v>3224415112.54</v>
      </c>
      <c r="G449" s="32">
        <v>3224415112.54</v>
      </c>
      <c r="H449" s="40">
        <f t="shared" si="10"/>
        <v>-3224415112.54</v>
      </c>
    </row>
    <row r="450" spans="1:8" customFormat="1" ht="45" x14ac:dyDescent="0.25">
      <c r="A450" s="22">
        <v>70</v>
      </c>
      <c r="B450" s="22" t="s">
        <v>918</v>
      </c>
      <c r="C450" s="23" t="s">
        <v>919</v>
      </c>
      <c r="D450" s="24"/>
      <c r="E450" s="11"/>
      <c r="F450" s="31">
        <v>23775732755.369999</v>
      </c>
      <c r="G450" s="32">
        <v>23775732755.369999</v>
      </c>
      <c r="H450" s="40">
        <f t="shared" si="10"/>
        <v>-23775732755.369999</v>
      </c>
    </row>
    <row r="451" spans="1:8" customFormat="1" ht="30" x14ac:dyDescent="0.25">
      <c r="A451" s="22">
        <v>70</v>
      </c>
      <c r="B451" s="22" t="s">
        <v>920</v>
      </c>
      <c r="C451" s="23" t="s">
        <v>921</v>
      </c>
      <c r="D451" s="24"/>
      <c r="E451" s="11"/>
      <c r="F451" s="31">
        <v>7003706779</v>
      </c>
      <c r="G451" s="32">
        <v>6779870768</v>
      </c>
      <c r="H451" s="40">
        <f t="shared" si="10"/>
        <v>-7003706779</v>
      </c>
    </row>
    <row r="452" spans="1:8" customFormat="1" ht="45" x14ac:dyDescent="0.25">
      <c r="A452" s="22">
        <v>70</v>
      </c>
      <c r="B452" s="22" t="s">
        <v>922</v>
      </c>
      <c r="C452" s="23" t="s">
        <v>923</v>
      </c>
      <c r="D452" s="24"/>
      <c r="E452" s="11"/>
      <c r="F452" s="31">
        <v>486625031.31</v>
      </c>
      <c r="G452" s="32">
        <v>486625031.31</v>
      </c>
      <c r="H452" s="40">
        <f t="shared" si="10"/>
        <v>-486625031.31</v>
      </c>
    </row>
    <row r="453" spans="1:8" ht="30" x14ac:dyDescent="0.25">
      <c r="A453" s="28" t="s">
        <v>226</v>
      </c>
      <c r="B453" s="28" t="s">
        <v>924</v>
      </c>
      <c r="C453" s="29" t="s">
        <v>925</v>
      </c>
      <c r="D453" s="30"/>
      <c r="F453" s="11"/>
      <c r="G453" s="32">
        <v>8566548940</v>
      </c>
      <c r="H453" s="40">
        <f t="shared" si="10"/>
        <v>0</v>
      </c>
    </row>
    <row r="454" spans="1:8" customFormat="1" ht="45" x14ac:dyDescent="0.25">
      <c r="A454" s="22">
        <v>70</v>
      </c>
      <c r="B454" s="22" t="s">
        <v>926</v>
      </c>
      <c r="C454" s="23" t="s">
        <v>927</v>
      </c>
      <c r="D454" s="24"/>
      <c r="E454" s="11"/>
      <c r="F454" s="31">
        <v>954356699</v>
      </c>
      <c r="G454" s="32">
        <v>954356699</v>
      </c>
      <c r="H454" s="40">
        <f t="shared" si="10"/>
        <v>-954356699</v>
      </c>
    </row>
    <row r="455" spans="1:8" customFormat="1" ht="45" x14ac:dyDescent="0.25">
      <c r="A455" s="22">
        <v>70</v>
      </c>
      <c r="B455" s="22" t="s">
        <v>928</v>
      </c>
      <c r="C455" s="23" t="s">
        <v>929</v>
      </c>
      <c r="D455" s="24"/>
      <c r="E455" s="11"/>
      <c r="F455" s="31">
        <v>1693838902</v>
      </c>
      <c r="G455" s="32">
        <v>1693838902</v>
      </c>
      <c r="H455" s="40">
        <f t="shared" si="10"/>
        <v>-1693838902</v>
      </c>
    </row>
    <row r="456" spans="1:8" customFormat="1" ht="30" x14ac:dyDescent="0.25">
      <c r="A456" s="22">
        <v>70</v>
      </c>
      <c r="B456" s="22" t="s">
        <v>930</v>
      </c>
      <c r="C456" s="23" t="s">
        <v>931</v>
      </c>
      <c r="D456" s="24"/>
      <c r="E456" s="11"/>
      <c r="F456" s="31">
        <v>19080955</v>
      </c>
      <c r="G456" s="32">
        <v>19080955</v>
      </c>
      <c r="H456" s="40">
        <f t="shared" si="10"/>
        <v>-19080955</v>
      </c>
    </row>
    <row r="457" spans="1:8" customFormat="1" ht="45" x14ac:dyDescent="0.25">
      <c r="A457" s="22">
        <v>70</v>
      </c>
      <c r="B457" s="22" t="s">
        <v>932</v>
      </c>
      <c r="C457" s="23" t="s">
        <v>933</v>
      </c>
      <c r="D457" s="24"/>
      <c r="E457" s="11"/>
      <c r="F457" s="31">
        <v>869774377</v>
      </c>
      <c r="G457" s="32">
        <v>869774377</v>
      </c>
      <c r="H457" s="40">
        <f t="shared" si="10"/>
        <v>-869774377</v>
      </c>
    </row>
    <row r="458" spans="1:8" customFormat="1" ht="30" x14ac:dyDescent="0.25">
      <c r="A458" s="22">
        <v>70</v>
      </c>
      <c r="B458" s="22" t="s">
        <v>934</v>
      </c>
      <c r="C458" s="23" t="s">
        <v>935</v>
      </c>
      <c r="D458" s="24"/>
      <c r="E458" s="11"/>
      <c r="F458" s="31">
        <v>2819040</v>
      </c>
      <c r="G458" s="32">
        <v>2819040</v>
      </c>
      <c r="H458" s="40">
        <f t="shared" si="10"/>
        <v>-2819040</v>
      </c>
    </row>
    <row r="459" spans="1:8" customFormat="1" ht="30" x14ac:dyDescent="0.25">
      <c r="A459" s="22">
        <v>70</v>
      </c>
      <c r="B459" s="22" t="s">
        <v>936</v>
      </c>
      <c r="C459" s="23" t="s">
        <v>937</v>
      </c>
      <c r="D459" s="24"/>
      <c r="E459" s="11"/>
      <c r="F459" s="31">
        <v>5026678967</v>
      </c>
      <c r="G459" s="32">
        <v>5026678967</v>
      </c>
      <c r="H459" s="40">
        <f t="shared" si="10"/>
        <v>-5026678967</v>
      </c>
    </row>
    <row r="460" spans="1:8" x14ac:dyDescent="0.25">
      <c r="A460" s="7" t="s">
        <v>226</v>
      </c>
      <c r="B460" s="7" t="s">
        <v>938</v>
      </c>
      <c r="C460" s="8" t="s">
        <v>939</v>
      </c>
      <c r="G460" s="32">
        <v>349925863</v>
      </c>
      <c r="H460" s="40">
        <f t="shared" si="10"/>
        <v>0</v>
      </c>
    </row>
    <row r="461" spans="1:8" x14ac:dyDescent="0.25">
      <c r="A461" s="7" t="s">
        <v>226</v>
      </c>
      <c r="B461" s="7" t="s">
        <v>940</v>
      </c>
      <c r="C461" s="8" t="s">
        <v>941</v>
      </c>
      <c r="F461" s="11"/>
      <c r="G461" s="32">
        <v>349925863</v>
      </c>
      <c r="H461" s="40">
        <f t="shared" si="10"/>
        <v>0</v>
      </c>
    </row>
    <row r="462" spans="1:8" customFormat="1" ht="30" x14ac:dyDescent="0.25">
      <c r="A462" s="22">
        <v>70</v>
      </c>
      <c r="B462" s="22" t="s">
        <v>942</v>
      </c>
      <c r="C462" s="23" t="s">
        <v>943</v>
      </c>
      <c r="D462" s="24"/>
      <c r="E462" s="11"/>
      <c r="F462" s="31">
        <v>304467967</v>
      </c>
      <c r="G462" s="32">
        <v>304467967</v>
      </c>
      <c r="H462" s="40">
        <f t="shared" si="10"/>
        <v>-304467967</v>
      </c>
    </row>
    <row r="463" spans="1:8" customFormat="1" ht="30" x14ac:dyDescent="0.25">
      <c r="A463" s="22">
        <v>70</v>
      </c>
      <c r="B463" s="22" t="s">
        <v>944</v>
      </c>
      <c r="C463" s="23" t="s">
        <v>945</v>
      </c>
      <c r="D463" s="24"/>
      <c r="E463" s="11"/>
      <c r="F463" s="31">
        <v>45457896</v>
      </c>
      <c r="G463" s="32">
        <v>45457896</v>
      </c>
      <c r="H463" s="40">
        <f t="shared" si="10"/>
        <v>-45457896</v>
      </c>
    </row>
    <row r="464" spans="1:8" x14ac:dyDescent="0.25">
      <c r="H464" s="40">
        <f t="shared" si="10"/>
        <v>0</v>
      </c>
    </row>
  </sheetData>
  <autoFilter ref="A1:G1" xr:uid="{00000000-0009-0000-0000-000001000000}"/>
  <pageMargins left="0.7" right="0.7" top="0.75" bottom="0.75" header="0.3" footer="0.3"/>
  <pageSetup paperSize="9"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A8C1-A656-4A28-B3DB-405021471CB1}">
  <sheetPr>
    <tabColor rgb="FF00B050"/>
  </sheetPr>
  <dimension ref="A1:F55"/>
  <sheetViews>
    <sheetView topLeftCell="A2" workbookViewId="0"/>
  </sheetViews>
  <sheetFormatPr baseColWidth="10" defaultColWidth="11.42578125" defaultRowHeight="14.25" x14ac:dyDescent="0.2"/>
  <cols>
    <col min="1" max="1" width="60.28515625" style="391" bestFit="1" customWidth="1"/>
    <col min="2" max="2" width="21" style="391" hidden="1" customWidth="1"/>
    <col min="3" max="4" width="34.140625" style="390" bestFit="1" customWidth="1"/>
    <col min="5" max="5" width="12.7109375" style="391" bestFit="1" customWidth="1"/>
    <col min="6" max="6" width="19.5703125" style="391" bestFit="1" customWidth="1"/>
    <col min="7" max="246" width="11.42578125" style="391"/>
    <col min="247" max="247" width="60.28515625" style="391" bestFit="1" customWidth="1"/>
    <col min="248" max="249" width="21" style="391" bestFit="1" customWidth="1"/>
    <col min="250" max="250" width="20.7109375" style="391" bestFit="1" customWidth="1"/>
    <col min="251" max="257" width="0" style="391" hidden="1" customWidth="1"/>
    <col min="258" max="259" width="18.85546875" style="391" bestFit="1" customWidth="1"/>
    <col min="260" max="260" width="15.140625" style="391" bestFit="1" customWidth="1"/>
    <col min="261" max="502" width="11.42578125" style="391"/>
    <col min="503" max="503" width="60.28515625" style="391" bestFit="1" customWidth="1"/>
    <col min="504" max="505" width="21" style="391" bestFit="1" customWidth="1"/>
    <col min="506" max="506" width="20.7109375" style="391" bestFit="1" customWidth="1"/>
    <col min="507" max="513" width="0" style="391" hidden="1" customWidth="1"/>
    <col min="514" max="515" width="18.85546875" style="391" bestFit="1" customWidth="1"/>
    <col min="516" max="516" width="15.140625" style="391" bestFit="1" customWidth="1"/>
    <col min="517" max="758" width="11.42578125" style="391"/>
    <col min="759" max="759" width="60.28515625" style="391" bestFit="1" customWidth="1"/>
    <col min="760" max="761" width="21" style="391" bestFit="1" customWidth="1"/>
    <col min="762" max="762" width="20.7109375" style="391" bestFit="1" customWidth="1"/>
    <col min="763" max="769" width="0" style="391" hidden="1" customWidth="1"/>
    <col min="770" max="771" width="18.85546875" style="391" bestFit="1" customWidth="1"/>
    <col min="772" max="772" width="15.140625" style="391" bestFit="1" customWidth="1"/>
    <col min="773" max="1014" width="11.42578125" style="391"/>
    <col min="1015" max="1015" width="60.28515625" style="391" bestFit="1" customWidth="1"/>
    <col min="1016" max="1017" width="21" style="391" bestFit="1" customWidth="1"/>
    <col min="1018" max="1018" width="20.7109375" style="391" bestFit="1" customWidth="1"/>
    <col min="1019" max="1025" width="0" style="391" hidden="1" customWidth="1"/>
    <col min="1026" max="1027" width="18.85546875" style="391" bestFit="1" customWidth="1"/>
    <col min="1028" max="1028" width="15.140625" style="391" bestFit="1" customWidth="1"/>
    <col min="1029" max="1270" width="11.42578125" style="391"/>
    <col min="1271" max="1271" width="60.28515625" style="391" bestFit="1" customWidth="1"/>
    <col min="1272" max="1273" width="21" style="391" bestFit="1" customWidth="1"/>
    <col min="1274" max="1274" width="20.7109375" style="391" bestFit="1" customWidth="1"/>
    <col min="1275" max="1281" width="0" style="391" hidden="1" customWidth="1"/>
    <col min="1282" max="1283" width="18.85546875" style="391" bestFit="1" customWidth="1"/>
    <col min="1284" max="1284" width="15.140625" style="391" bestFit="1" customWidth="1"/>
    <col min="1285" max="1526" width="11.42578125" style="391"/>
    <col min="1527" max="1527" width="60.28515625" style="391" bestFit="1" customWidth="1"/>
    <col min="1528" max="1529" width="21" style="391" bestFit="1" customWidth="1"/>
    <col min="1530" max="1530" width="20.7109375" style="391" bestFit="1" customWidth="1"/>
    <col min="1531" max="1537" width="0" style="391" hidden="1" customWidth="1"/>
    <col min="1538" max="1539" width="18.85546875" style="391" bestFit="1" customWidth="1"/>
    <col min="1540" max="1540" width="15.140625" style="391" bestFit="1" customWidth="1"/>
    <col min="1541" max="1782" width="11.42578125" style="391"/>
    <col min="1783" max="1783" width="60.28515625" style="391" bestFit="1" customWidth="1"/>
    <col min="1784" max="1785" width="21" style="391" bestFit="1" customWidth="1"/>
    <col min="1786" max="1786" width="20.7109375" style="391" bestFit="1" customWidth="1"/>
    <col min="1787" max="1793" width="0" style="391" hidden="1" customWidth="1"/>
    <col min="1794" max="1795" width="18.85546875" style="391" bestFit="1" customWidth="1"/>
    <col min="1796" max="1796" width="15.140625" style="391" bestFit="1" customWidth="1"/>
    <col min="1797" max="2038" width="11.42578125" style="391"/>
    <col min="2039" max="2039" width="60.28515625" style="391" bestFit="1" customWidth="1"/>
    <col min="2040" max="2041" width="21" style="391" bestFit="1" customWidth="1"/>
    <col min="2042" max="2042" width="20.7109375" style="391" bestFit="1" customWidth="1"/>
    <col min="2043" max="2049" width="0" style="391" hidden="1" customWidth="1"/>
    <col min="2050" max="2051" width="18.85546875" style="391" bestFit="1" customWidth="1"/>
    <col min="2052" max="2052" width="15.140625" style="391" bestFit="1" customWidth="1"/>
    <col min="2053" max="2294" width="11.42578125" style="391"/>
    <col min="2295" max="2295" width="60.28515625" style="391" bestFit="1" customWidth="1"/>
    <col min="2296" max="2297" width="21" style="391" bestFit="1" customWidth="1"/>
    <col min="2298" max="2298" width="20.7109375" style="391" bestFit="1" customWidth="1"/>
    <col min="2299" max="2305" width="0" style="391" hidden="1" customWidth="1"/>
    <col min="2306" max="2307" width="18.85546875" style="391" bestFit="1" customWidth="1"/>
    <col min="2308" max="2308" width="15.140625" style="391" bestFit="1" customWidth="1"/>
    <col min="2309" max="2550" width="11.42578125" style="391"/>
    <col min="2551" max="2551" width="60.28515625" style="391" bestFit="1" customWidth="1"/>
    <col min="2552" max="2553" width="21" style="391" bestFit="1" customWidth="1"/>
    <col min="2554" max="2554" width="20.7109375" style="391" bestFit="1" customWidth="1"/>
    <col min="2555" max="2561" width="0" style="391" hidden="1" customWidth="1"/>
    <col min="2562" max="2563" width="18.85546875" style="391" bestFit="1" customWidth="1"/>
    <col min="2564" max="2564" width="15.140625" style="391" bestFit="1" customWidth="1"/>
    <col min="2565" max="2806" width="11.42578125" style="391"/>
    <col min="2807" max="2807" width="60.28515625" style="391" bestFit="1" customWidth="1"/>
    <col min="2808" max="2809" width="21" style="391" bestFit="1" customWidth="1"/>
    <col min="2810" max="2810" width="20.7109375" style="391" bestFit="1" customWidth="1"/>
    <col min="2811" max="2817" width="0" style="391" hidden="1" customWidth="1"/>
    <col min="2818" max="2819" width="18.85546875" style="391" bestFit="1" customWidth="1"/>
    <col min="2820" max="2820" width="15.140625" style="391" bestFit="1" customWidth="1"/>
    <col min="2821" max="3062" width="11.42578125" style="391"/>
    <col min="3063" max="3063" width="60.28515625" style="391" bestFit="1" customWidth="1"/>
    <col min="3064" max="3065" width="21" style="391" bestFit="1" customWidth="1"/>
    <col min="3066" max="3066" width="20.7109375" style="391" bestFit="1" customWidth="1"/>
    <col min="3067" max="3073" width="0" style="391" hidden="1" customWidth="1"/>
    <col min="3074" max="3075" width="18.85546875" style="391" bestFit="1" customWidth="1"/>
    <col min="3076" max="3076" width="15.140625" style="391" bestFit="1" customWidth="1"/>
    <col min="3077" max="3318" width="11.42578125" style="391"/>
    <col min="3319" max="3319" width="60.28515625" style="391" bestFit="1" customWidth="1"/>
    <col min="3320" max="3321" width="21" style="391" bestFit="1" customWidth="1"/>
    <col min="3322" max="3322" width="20.7109375" style="391" bestFit="1" customWidth="1"/>
    <col min="3323" max="3329" width="0" style="391" hidden="1" customWidth="1"/>
    <col min="3330" max="3331" width="18.85546875" style="391" bestFit="1" customWidth="1"/>
    <col min="3332" max="3332" width="15.140625" style="391" bestFit="1" customWidth="1"/>
    <col min="3333" max="3574" width="11.42578125" style="391"/>
    <col min="3575" max="3575" width="60.28515625" style="391" bestFit="1" customWidth="1"/>
    <col min="3576" max="3577" width="21" style="391" bestFit="1" customWidth="1"/>
    <col min="3578" max="3578" width="20.7109375" style="391" bestFit="1" customWidth="1"/>
    <col min="3579" max="3585" width="0" style="391" hidden="1" customWidth="1"/>
    <col min="3586" max="3587" width="18.85546875" style="391" bestFit="1" customWidth="1"/>
    <col min="3588" max="3588" width="15.140625" style="391" bestFit="1" customWidth="1"/>
    <col min="3589" max="3830" width="11.42578125" style="391"/>
    <col min="3831" max="3831" width="60.28515625" style="391" bestFit="1" customWidth="1"/>
    <col min="3832" max="3833" width="21" style="391" bestFit="1" customWidth="1"/>
    <col min="3834" max="3834" width="20.7109375" style="391" bestFit="1" customWidth="1"/>
    <col min="3835" max="3841" width="0" style="391" hidden="1" customWidth="1"/>
    <col min="3842" max="3843" width="18.85546875" style="391" bestFit="1" customWidth="1"/>
    <col min="3844" max="3844" width="15.140625" style="391" bestFit="1" customWidth="1"/>
    <col min="3845" max="4086" width="11.42578125" style="391"/>
    <col min="4087" max="4087" width="60.28515625" style="391" bestFit="1" customWidth="1"/>
    <col min="4088" max="4089" width="21" style="391" bestFit="1" customWidth="1"/>
    <col min="4090" max="4090" width="20.7109375" style="391" bestFit="1" customWidth="1"/>
    <col min="4091" max="4097" width="0" style="391" hidden="1" customWidth="1"/>
    <col min="4098" max="4099" width="18.85546875" style="391" bestFit="1" customWidth="1"/>
    <col min="4100" max="4100" width="15.140625" style="391" bestFit="1" customWidth="1"/>
    <col min="4101" max="4342" width="11.42578125" style="391"/>
    <col min="4343" max="4343" width="60.28515625" style="391" bestFit="1" customWidth="1"/>
    <col min="4344" max="4345" width="21" style="391" bestFit="1" customWidth="1"/>
    <col min="4346" max="4346" width="20.7109375" style="391" bestFit="1" customWidth="1"/>
    <col min="4347" max="4353" width="0" style="391" hidden="1" customWidth="1"/>
    <col min="4354" max="4355" width="18.85546875" style="391" bestFit="1" customWidth="1"/>
    <col min="4356" max="4356" width="15.140625" style="391" bestFit="1" customWidth="1"/>
    <col min="4357" max="4598" width="11.42578125" style="391"/>
    <col min="4599" max="4599" width="60.28515625" style="391" bestFit="1" customWidth="1"/>
    <col min="4600" max="4601" width="21" style="391" bestFit="1" customWidth="1"/>
    <col min="4602" max="4602" width="20.7109375" style="391" bestFit="1" customWidth="1"/>
    <col min="4603" max="4609" width="0" style="391" hidden="1" customWidth="1"/>
    <col min="4610" max="4611" width="18.85546875" style="391" bestFit="1" customWidth="1"/>
    <col min="4612" max="4612" width="15.140625" style="391" bestFit="1" customWidth="1"/>
    <col min="4613" max="4854" width="11.42578125" style="391"/>
    <col min="4855" max="4855" width="60.28515625" style="391" bestFit="1" customWidth="1"/>
    <col min="4856" max="4857" width="21" style="391" bestFit="1" customWidth="1"/>
    <col min="4858" max="4858" width="20.7109375" style="391" bestFit="1" customWidth="1"/>
    <col min="4859" max="4865" width="0" style="391" hidden="1" customWidth="1"/>
    <col min="4866" max="4867" width="18.85546875" style="391" bestFit="1" customWidth="1"/>
    <col min="4868" max="4868" width="15.140625" style="391" bestFit="1" customWidth="1"/>
    <col min="4869" max="5110" width="11.42578125" style="391"/>
    <col min="5111" max="5111" width="60.28515625" style="391" bestFit="1" customWidth="1"/>
    <col min="5112" max="5113" width="21" style="391" bestFit="1" customWidth="1"/>
    <col min="5114" max="5114" width="20.7109375" style="391" bestFit="1" customWidth="1"/>
    <col min="5115" max="5121" width="0" style="391" hidden="1" customWidth="1"/>
    <col min="5122" max="5123" width="18.85546875" style="391" bestFit="1" customWidth="1"/>
    <col min="5124" max="5124" width="15.140625" style="391" bestFit="1" customWidth="1"/>
    <col min="5125" max="5366" width="11.42578125" style="391"/>
    <col min="5367" max="5367" width="60.28515625" style="391" bestFit="1" customWidth="1"/>
    <col min="5368" max="5369" width="21" style="391" bestFit="1" customWidth="1"/>
    <col min="5370" max="5370" width="20.7109375" style="391" bestFit="1" customWidth="1"/>
    <col min="5371" max="5377" width="0" style="391" hidden="1" customWidth="1"/>
    <col min="5378" max="5379" width="18.85546875" style="391" bestFit="1" customWidth="1"/>
    <col min="5380" max="5380" width="15.140625" style="391" bestFit="1" customWidth="1"/>
    <col min="5381" max="5622" width="11.42578125" style="391"/>
    <col min="5623" max="5623" width="60.28515625" style="391" bestFit="1" customWidth="1"/>
    <col min="5624" max="5625" width="21" style="391" bestFit="1" customWidth="1"/>
    <col min="5626" max="5626" width="20.7109375" style="391" bestFit="1" customWidth="1"/>
    <col min="5627" max="5633" width="0" style="391" hidden="1" customWidth="1"/>
    <col min="5634" max="5635" width="18.85546875" style="391" bestFit="1" customWidth="1"/>
    <col min="5636" max="5636" width="15.140625" style="391" bestFit="1" customWidth="1"/>
    <col min="5637" max="5878" width="11.42578125" style="391"/>
    <col min="5879" max="5879" width="60.28515625" style="391" bestFit="1" customWidth="1"/>
    <col min="5880" max="5881" width="21" style="391" bestFit="1" customWidth="1"/>
    <col min="5882" max="5882" width="20.7109375" style="391" bestFit="1" customWidth="1"/>
    <col min="5883" max="5889" width="0" style="391" hidden="1" customWidth="1"/>
    <col min="5890" max="5891" width="18.85546875" style="391" bestFit="1" customWidth="1"/>
    <col min="5892" max="5892" width="15.140625" style="391" bestFit="1" customWidth="1"/>
    <col min="5893" max="6134" width="11.42578125" style="391"/>
    <col min="6135" max="6135" width="60.28515625" style="391" bestFit="1" customWidth="1"/>
    <col min="6136" max="6137" width="21" style="391" bestFit="1" customWidth="1"/>
    <col min="6138" max="6138" width="20.7109375" style="391" bestFit="1" customWidth="1"/>
    <col min="6139" max="6145" width="0" style="391" hidden="1" customWidth="1"/>
    <col min="6146" max="6147" width="18.85546875" style="391" bestFit="1" customWidth="1"/>
    <col min="6148" max="6148" width="15.140625" style="391" bestFit="1" customWidth="1"/>
    <col min="6149" max="6390" width="11.42578125" style="391"/>
    <col min="6391" max="6391" width="60.28515625" style="391" bestFit="1" customWidth="1"/>
    <col min="6392" max="6393" width="21" style="391" bestFit="1" customWidth="1"/>
    <col min="6394" max="6394" width="20.7109375" style="391" bestFit="1" customWidth="1"/>
    <col min="6395" max="6401" width="0" style="391" hidden="1" customWidth="1"/>
    <col min="6402" max="6403" width="18.85546875" style="391" bestFit="1" customWidth="1"/>
    <col min="6404" max="6404" width="15.140625" style="391" bestFit="1" customWidth="1"/>
    <col min="6405" max="6646" width="11.42578125" style="391"/>
    <col min="6647" max="6647" width="60.28515625" style="391" bestFit="1" customWidth="1"/>
    <col min="6648" max="6649" width="21" style="391" bestFit="1" customWidth="1"/>
    <col min="6650" max="6650" width="20.7109375" style="391" bestFit="1" customWidth="1"/>
    <col min="6651" max="6657" width="0" style="391" hidden="1" customWidth="1"/>
    <col min="6658" max="6659" width="18.85546875" style="391" bestFit="1" customWidth="1"/>
    <col min="6660" max="6660" width="15.140625" style="391" bestFit="1" customWidth="1"/>
    <col min="6661" max="6902" width="11.42578125" style="391"/>
    <col min="6903" max="6903" width="60.28515625" style="391" bestFit="1" customWidth="1"/>
    <col min="6904" max="6905" width="21" style="391" bestFit="1" customWidth="1"/>
    <col min="6906" max="6906" width="20.7109375" style="391" bestFit="1" customWidth="1"/>
    <col min="6907" max="6913" width="0" style="391" hidden="1" customWidth="1"/>
    <col min="6914" max="6915" width="18.85546875" style="391" bestFit="1" customWidth="1"/>
    <col min="6916" max="6916" width="15.140625" style="391" bestFit="1" customWidth="1"/>
    <col min="6917" max="7158" width="11.42578125" style="391"/>
    <col min="7159" max="7159" width="60.28515625" style="391" bestFit="1" customWidth="1"/>
    <col min="7160" max="7161" width="21" style="391" bestFit="1" customWidth="1"/>
    <col min="7162" max="7162" width="20.7109375" style="391" bestFit="1" customWidth="1"/>
    <col min="7163" max="7169" width="0" style="391" hidden="1" customWidth="1"/>
    <col min="7170" max="7171" width="18.85546875" style="391" bestFit="1" customWidth="1"/>
    <col min="7172" max="7172" width="15.140625" style="391" bestFit="1" customWidth="1"/>
    <col min="7173" max="7414" width="11.42578125" style="391"/>
    <col min="7415" max="7415" width="60.28515625" style="391" bestFit="1" customWidth="1"/>
    <col min="7416" max="7417" width="21" style="391" bestFit="1" customWidth="1"/>
    <col min="7418" max="7418" width="20.7109375" style="391" bestFit="1" customWidth="1"/>
    <col min="7419" max="7425" width="0" style="391" hidden="1" customWidth="1"/>
    <col min="7426" max="7427" width="18.85546875" style="391" bestFit="1" customWidth="1"/>
    <col min="7428" max="7428" width="15.140625" style="391" bestFit="1" customWidth="1"/>
    <col min="7429" max="7670" width="11.42578125" style="391"/>
    <col min="7671" max="7671" width="60.28515625" style="391" bestFit="1" customWidth="1"/>
    <col min="7672" max="7673" width="21" style="391" bestFit="1" customWidth="1"/>
    <col min="7674" max="7674" width="20.7109375" style="391" bestFit="1" customWidth="1"/>
    <col min="7675" max="7681" width="0" style="391" hidden="1" customWidth="1"/>
    <col min="7682" max="7683" width="18.85546875" style="391" bestFit="1" customWidth="1"/>
    <col min="7684" max="7684" width="15.140625" style="391" bestFit="1" customWidth="1"/>
    <col min="7685" max="7926" width="11.42578125" style="391"/>
    <col min="7927" max="7927" width="60.28515625" style="391" bestFit="1" customWidth="1"/>
    <col min="7928" max="7929" width="21" style="391" bestFit="1" customWidth="1"/>
    <col min="7930" max="7930" width="20.7109375" style="391" bestFit="1" customWidth="1"/>
    <col min="7931" max="7937" width="0" style="391" hidden="1" customWidth="1"/>
    <col min="7938" max="7939" width="18.85546875" style="391" bestFit="1" customWidth="1"/>
    <col min="7940" max="7940" width="15.140625" style="391" bestFit="1" customWidth="1"/>
    <col min="7941" max="8182" width="11.42578125" style="391"/>
    <col min="8183" max="8183" width="60.28515625" style="391" bestFit="1" customWidth="1"/>
    <col min="8184" max="8185" width="21" style="391" bestFit="1" customWidth="1"/>
    <col min="8186" max="8186" width="20.7109375" style="391" bestFit="1" customWidth="1"/>
    <col min="8187" max="8193" width="0" style="391" hidden="1" customWidth="1"/>
    <col min="8194" max="8195" width="18.85546875" style="391" bestFit="1" customWidth="1"/>
    <col min="8196" max="8196" width="15.140625" style="391" bestFit="1" customWidth="1"/>
    <col min="8197" max="8438" width="11.42578125" style="391"/>
    <col min="8439" max="8439" width="60.28515625" style="391" bestFit="1" customWidth="1"/>
    <col min="8440" max="8441" width="21" style="391" bestFit="1" customWidth="1"/>
    <col min="8442" max="8442" width="20.7109375" style="391" bestFit="1" customWidth="1"/>
    <col min="8443" max="8449" width="0" style="391" hidden="1" customWidth="1"/>
    <col min="8450" max="8451" width="18.85546875" style="391" bestFit="1" customWidth="1"/>
    <col min="8452" max="8452" width="15.140625" style="391" bestFit="1" customWidth="1"/>
    <col min="8453" max="8694" width="11.42578125" style="391"/>
    <col min="8695" max="8695" width="60.28515625" style="391" bestFit="1" customWidth="1"/>
    <col min="8696" max="8697" width="21" style="391" bestFit="1" customWidth="1"/>
    <col min="8698" max="8698" width="20.7109375" style="391" bestFit="1" customWidth="1"/>
    <col min="8699" max="8705" width="0" style="391" hidden="1" customWidth="1"/>
    <col min="8706" max="8707" width="18.85546875" style="391" bestFit="1" customWidth="1"/>
    <col min="8708" max="8708" width="15.140625" style="391" bestFit="1" customWidth="1"/>
    <col min="8709" max="8950" width="11.42578125" style="391"/>
    <col min="8951" max="8951" width="60.28515625" style="391" bestFit="1" customWidth="1"/>
    <col min="8952" max="8953" width="21" style="391" bestFit="1" customWidth="1"/>
    <col min="8954" max="8954" width="20.7109375" style="391" bestFit="1" customWidth="1"/>
    <col min="8955" max="8961" width="0" style="391" hidden="1" customWidth="1"/>
    <col min="8962" max="8963" width="18.85546875" style="391" bestFit="1" customWidth="1"/>
    <col min="8964" max="8964" width="15.140625" style="391" bestFit="1" customWidth="1"/>
    <col min="8965" max="9206" width="11.42578125" style="391"/>
    <col min="9207" max="9207" width="60.28515625" style="391" bestFit="1" customWidth="1"/>
    <col min="9208" max="9209" width="21" style="391" bestFit="1" customWidth="1"/>
    <col min="9210" max="9210" width="20.7109375" style="391" bestFit="1" customWidth="1"/>
    <col min="9211" max="9217" width="0" style="391" hidden="1" customWidth="1"/>
    <col min="9218" max="9219" width="18.85546875" style="391" bestFit="1" customWidth="1"/>
    <col min="9220" max="9220" width="15.140625" style="391" bestFit="1" customWidth="1"/>
    <col min="9221" max="9462" width="11.42578125" style="391"/>
    <col min="9463" max="9463" width="60.28515625" style="391" bestFit="1" customWidth="1"/>
    <col min="9464" max="9465" width="21" style="391" bestFit="1" customWidth="1"/>
    <col min="9466" max="9466" width="20.7109375" style="391" bestFit="1" customWidth="1"/>
    <col min="9467" max="9473" width="0" style="391" hidden="1" customWidth="1"/>
    <col min="9474" max="9475" width="18.85546875" style="391" bestFit="1" customWidth="1"/>
    <col min="9476" max="9476" width="15.140625" style="391" bestFit="1" customWidth="1"/>
    <col min="9477" max="9718" width="11.42578125" style="391"/>
    <col min="9719" max="9719" width="60.28515625" style="391" bestFit="1" customWidth="1"/>
    <col min="9720" max="9721" width="21" style="391" bestFit="1" customWidth="1"/>
    <col min="9722" max="9722" width="20.7109375" style="391" bestFit="1" customWidth="1"/>
    <col min="9723" max="9729" width="0" style="391" hidden="1" customWidth="1"/>
    <col min="9730" max="9731" width="18.85546875" style="391" bestFit="1" customWidth="1"/>
    <col min="9732" max="9732" width="15.140625" style="391" bestFit="1" customWidth="1"/>
    <col min="9733" max="9974" width="11.42578125" style="391"/>
    <col min="9975" max="9975" width="60.28515625" style="391" bestFit="1" customWidth="1"/>
    <col min="9976" max="9977" width="21" style="391" bestFit="1" customWidth="1"/>
    <col min="9978" max="9978" width="20.7109375" style="391" bestFit="1" customWidth="1"/>
    <col min="9979" max="9985" width="0" style="391" hidden="1" customWidth="1"/>
    <col min="9986" max="9987" width="18.85546875" style="391" bestFit="1" customWidth="1"/>
    <col min="9988" max="9988" width="15.140625" style="391" bestFit="1" customWidth="1"/>
    <col min="9989" max="10230" width="11.42578125" style="391"/>
    <col min="10231" max="10231" width="60.28515625" style="391" bestFit="1" customWidth="1"/>
    <col min="10232" max="10233" width="21" style="391" bestFit="1" customWidth="1"/>
    <col min="10234" max="10234" width="20.7109375" style="391" bestFit="1" customWidth="1"/>
    <col min="10235" max="10241" width="0" style="391" hidden="1" customWidth="1"/>
    <col min="10242" max="10243" width="18.85546875" style="391" bestFit="1" customWidth="1"/>
    <col min="10244" max="10244" width="15.140625" style="391" bestFit="1" customWidth="1"/>
    <col min="10245" max="10486" width="11.42578125" style="391"/>
    <col min="10487" max="10487" width="60.28515625" style="391" bestFit="1" customWidth="1"/>
    <col min="10488" max="10489" width="21" style="391" bestFit="1" customWidth="1"/>
    <col min="10490" max="10490" width="20.7109375" style="391" bestFit="1" customWidth="1"/>
    <col min="10491" max="10497" width="0" style="391" hidden="1" customWidth="1"/>
    <col min="10498" max="10499" width="18.85546875" style="391" bestFit="1" customWidth="1"/>
    <col min="10500" max="10500" width="15.140625" style="391" bestFit="1" customWidth="1"/>
    <col min="10501" max="10742" width="11.42578125" style="391"/>
    <col min="10743" max="10743" width="60.28515625" style="391" bestFit="1" customWidth="1"/>
    <col min="10744" max="10745" width="21" style="391" bestFit="1" customWidth="1"/>
    <col min="10746" max="10746" width="20.7109375" style="391" bestFit="1" customWidth="1"/>
    <col min="10747" max="10753" width="0" style="391" hidden="1" customWidth="1"/>
    <col min="10754" max="10755" width="18.85546875" style="391" bestFit="1" customWidth="1"/>
    <col min="10756" max="10756" width="15.140625" style="391" bestFit="1" customWidth="1"/>
    <col min="10757" max="10998" width="11.42578125" style="391"/>
    <col min="10999" max="10999" width="60.28515625" style="391" bestFit="1" customWidth="1"/>
    <col min="11000" max="11001" width="21" style="391" bestFit="1" customWidth="1"/>
    <col min="11002" max="11002" width="20.7109375" style="391" bestFit="1" customWidth="1"/>
    <col min="11003" max="11009" width="0" style="391" hidden="1" customWidth="1"/>
    <col min="11010" max="11011" width="18.85546875" style="391" bestFit="1" customWidth="1"/>
    <col min="11012" max="11012" width="15.140625" style="391" bestFit="1" customWidth="1"/>
    <col min="11013" max="11254" width="11.42578125" style="391"/>
    <col min="11255" max="11255" width="60.28515625" style="391" bestFit="1" customWidth="1"/>
    <col min="11256" max="11257" width="21" style="391" bestFit="1" customWidth="1"/>
    <col min="11258" max="11258" width="20.7109375" style="391" bestFit="1" customWidth="1"/>
    <col min="11259" max="11265" width="0" style="391" hidden="1" customWidth="1"/>
    <col min="11266" max="11267" width="18.85546875" style="391" bestFit="1" customWidth="1"/>
    <col min="11268" max="11268" width="15.140625" style="391" bestFit="1" customWidth="1"/>
    <col min="11269" max="11510" width="11.42578125" style="391"/>
    <col min="11511" max="11511" width="60.28515625" style="391" bestFit="1" customWidth="1"/>
    <col min="11512" max="11513" width="21" style="391" bestFit="1" customWidth="1"/>
    <col min="11514" max="11514" width="20.7109375" style="391" bestFit="1" customWidth="1"/>
    <col min="11515" max="11521" width="0" style="391" hidden="1" customWidth="1"/>
    <col min="11522" max="11523" width="18.85546875" style="391" bestFit="1" customWidth="1"/>
    <col min="11524" max="11524" width="15.140625" style="391" bestFit="1" customWidth="1"/>
    <col min="11525" max="11766" width="11.42578125" style="391"/>
    <col min="11767" max="11767" width="60.28515625" style="391" bestFit="1" customWidth="1"/>
    <col min="11768" max="11769" width="21" style="391" bestFit="1" customWidth="1"/>
    <col min="11770" max="11770" width="20.7109375" style="391" bestFit="1" customWidth="1"/>
    <col min="11771" max="11777" width="0" style="391" hidden="1" customWidth="1"/>
    <col min="11778" max="11779" width="18.85546875" style="391" bestFit="1" customWidth="1"/>
    <col min="11780" max="11780" width="15.140625" style="391" bestFit="1" customWidth="1"/>
    <col min="11781" max="12022" width="11.42578125" style="391"/>
    <col min="12023" max="12023" width="60.28515625" style="391" bestFit="1" customWidth="1"/>
    <col min="12024" max="12025" width="21" style="391" bestFit="1" customWidth="1"/>
    <col min="12026" max="12026" width="20.7109375" style="391" bestFit="1" customWidth="1"/>
    <col min="12027" max="12033" width="0" style="391" hidden="1" customWidth="1"/>
    <col min="12034" max="12035" width="18.85546875" style="391" bestFit="1" customWidth="1"/>
    <col min="12036" max="12036" width="15.140625" style="391" bestFit="1" customWidth="1"/>
    <col min="12037" max="12278" width="11.42578125" style="391"/>
    <col min="12279" max="12279" width="60.28515625" style="391" bestFit="1" customWidth="1"/>
    <col min="12280" max="12281" width="21" style="391" bestFit="1" customWidth="1"/>
    <col min="12282" max="12282" width="20.7109375" style="391" bestFit="1" customWidth="1"/>
    <col min="12283" max="12289" width="0" style="391" hidden="1" customWidth="1"/>
    <col min="12290" max="12291" width="18.85546875" style="391" bestFit="1" customWidth="1"/>
    <col min="12292" max="12292" width="15.140625" style="391" bestFit="1" customWidth="1"/>
    <col min="12293" max="12534" width="11.42578125" style="391"/>
    <col min="12535" max="12535" width="60.28515625" style="391" bestFit="1" customWidth="1"/>
    <col min="12536" max="12537" width="21" style="391" bestFit="1" customWidth="1"/>
    <col min="12538" max="12538" width="20.7109375" style="391" bestFit="1" customWidth="1"/>
    <col min="12539" max="12545" width="0" style="391" hidden="1" customWidth="1"/>
    <col min="12546" max="12547" width="18.85546875" style="391" bestFit="1" customWidth="1"/>
    <col min="12548" max="12548" width="15.140625" style="391" bestFit="1" customWidth="1"/>
    <col min="12549" max="12790" width="11.42578125" style="391"/>
    <col min="12791" max="12791" width="60.28515625" style="391" bestFit="1" customWidth="1"/>
    <col min="12792" max="12793" width="21" style="391" bestFit="1" customWidth="1"/>
    <col min="12794" max="12794" width="20.7109375" style="391" bestFit="1" customWidth="1"/>
    <col min="12795" max="12801" width="0" style="391" hidden="1" customWidth="1"/>
    <col min="12802" max="12803" width="18.85546875" style="391" bestFit="1" customWidth="1"/>
    <col min="12804" max="12804" width="15.140625" style="391" bestFit="1" customWidth="1"/>
    <col min="12805" max="13046" width="11.42578125" style="391"/>
    <col min="13047" max="13047" width="60.28515625" style="391" bestFit="1" customWidth="1"/>
    <col min="13048" max="13049" width="21" style="391" bestFit="1" customWidth="1"/>
    <col min="13050" max="13050" width="20.7109375" style="391" bestFit="1" customWidth="1"/>
    <col min="13051" max="13057" width="0" style="391" hidden="1" customWidth="1"/>
    <col min="13058" max="13059" width="18.85546875" style="391" bestFit="1" customWidth="1"/>
    <col min="13060" max="13060" width="15.140625" style="391" bestFit="1" customWidth="1"/>
    <col min="13061" max="13302" width="11.42578125" style="391"/>
    <col min="13303" max="13303" width="60.28515625" style="391" bestFit="1" customWidth="1"/>
    <col min="13304" max="13305" width="21" style="391" bestFit="1" customWidth="1"/>
    <col min="13306" max="13306" width="20.7109375" style="391" bestFit="1" customWidth="1"/>
    <col min="13307" max="13313" width="0" style="391" hidden="1" customWidth="1"/>
    <col min="13314" max="13315" width="18.85546875" style="391" bestFit="1" customWidth="1"/>
    <col min="13316" max="13316" width="15.140625" style="391" bestFit="1" customWidth="1"/>
    <col min="13317" max="13558" width="11.42578125" style="391"/>
    <col min="13559" max="13559" width="60.28515625" style="391" bestFit="1" customWidth="1"/>
    <col min="13560" max="13561" width="21" style="391" bestFit="1" customWidth="1"/>
    <col min="13562" max="13562" width="20.7109375" style="391" bestFit="1" customWidth="1"/>
    <col min="13563" max="13569" width="0" style="391" hidden="1" customWidth="1"/>
    <col min="13570" max="13571" width="18.85546875" style="391" bestFit="1" customWidth="1"/>
    <col min="13572" max="13572" width="15.140625" style="391" bestFit="1" customWidth="1"/>
    <col min="13573" max="13814" width="11.42578125" style="391"/>
    <col min="13815" max="13815" width="60.28515625" style="391" bestFit="1" customWidth="1"/>
    <col min="13816" max="13817" width="21" style="391" bestFit="1" customWidth="1"/>
    <col min="13818" max="13818" width="20.7109375" style="391" bestFit="1" customWidth="1"/>
    <col min="13819" max="13825" width="0" style="391" hidden="1" customWidth="1"/>
    <col min="13826" max="13827" width="18.85546875" style="391" bestFit="1" customWidth="1"/>
    <col min="13828" max="13828" width="15.140625" style="391" bestFit="1" customWidth="1"/>
    <col min="13829" max="14070" width="11.42578125" style="391"/>
    <col min="14071" max="14071" width="60.28515625" style="391" bestFit="1" customWidth="1"/>
    <col min="14072" max="14073" width="21" style="391" bestFit="1" customWidth="1"/>
    <col min="14074" max="14074" width="20.7109375" style="391" bestFit="1" customWidth="1"/>
    <col min="14075" max="14081" width="0" style="391" hidden="1" customWidth="1"/>
    <col min="14082" max="14083" width="18.85546875" style="391" bestFit="1" customWidth="1"/>
    <col min="14084" max="14084" width="15.140625" style="391" bestFit="1" customWidth="1"/>
    <col min="14085" max="14326" width="11.42578125" style="391"/>
    <col min="14327" max="14327" width="60.28515625" style="391" bestFit="1" customWidth="1"/>
    <col min="14328" max="14329" width="21" style="391" bestFit="1" customWidth="1"/>
    <col min="14330" max="14330" width="20.7109375" style="391" bestFit="1" customWidth="1"/>
    <col min="14331" max="14337" width="0" style="391" hidden="1" customWidth="1"/>
    <col min="14338" max="14339" width="18.85546875" style="391" bestFit="1" customWidth="1"/>
    <col min="14340" max="14340" width="15.140625" style="391" bestFit="1" customWidth="1"/>
    <col min="14341" max="14582" width="11.42578125" style="391"/>
    <col min="14583" max="14583" width="60.28515625" style="391" bestFit="1" customWidth="1"/>
    <col min="14584" max="14585" width="21" style="391" bestFit="1" customWidth="1"/>
    <col min="14586" max="14586" width="20.7109375" style="391" bestFit="1" customWidth="1"/>
    <col min="14587" max="14593" width="0" style="391" hidden="1" customWidth="1"/>
    <col min="14594" max="14595" width="18.85546875" style="391" bestFit="1" customWidth="1"/>
    <col min="14596" max="14596" width="15.140625" style="391" bestFit="1" customWidth="1"/>
    <col min="14597" max="14838" width="11.42578125" style="391"/>
    <col min="14839" max="14839" width="60.28515625" style="391" bestFit="1" customWidth="1"/>
    <col min="14840" max="14841" width="21" style="391" bestFit="1" customWidth="1"/>
    <col min="14842" max="14842" width="20.7109375" style="391" bestFit="1" customWidth="1"/>
    <col min="14843" max="14849" width="0" style="391" hidden="1" customWidth="1"/>
    <col min="14850" max="14851" width="18.85546875" style="391" bestFit="1" customWidth="1"/>
    <col min="14852" max="14852" width="15.140625" style="391" bestFit="1" customWidth="1"/>
    <col min="14853" max="15094" width="11.42578125" style="391"/>
    <col min="15095" max="15095" width="60.28515625" style="391" bestFit="1" customWidth="1"/>
    <col min="15096" max="15097" width="21" style="391" bestFit="1" customWidth="1"/>
    <col min="15098" max="15098" width="20.7109375" style="391" bestFit="1" customWidth="1"/>
    <col min="15099" max="15105" width="0" style="391" hidden="1" customWidth="1"/>
    <col min="15106" max="15107" width="18.85546875" style="391" bestFit="1" customWidth="1"/>
    <col min="15108" max="15108" width="15.140625" style="391" bestFit="1" customWidth="1"/>
    <col min="15109" max="15350" width="11.42578125" style="391"/>
    <col min="15351" max="15351" width="60.28515625" style="391" bestFit="1" customWidth="1"/>
    <col min="15352" max="15353" width="21" style="391" bestFit="1" customWidth="1"/>
    <col min="15354" max="15354" width="20.7109375" style="391" bestFit="1" customWidth="1"/>
    <col min="15355" max="15361" width="0" style="391" hidden="1" customWidth="1"/>
    <col min="15362" max="15363" width="18.85546875" style="391" bestFit="1" customWidth="1"/>
    <col min="15364" max="15364" width="15.140625" style="391" bestFit="1" customWidth="1"/>
    <col min="15365" max="15606" width="11.42578125" style="391"/>
    <col min="15607" max="15607" width="60.28515625" style="391" bestFit="1" customWidth="1"/>
    <col min="15608" max="15609" width="21" style="391" bestFit="1" customWidth="1"/>
    <col min="15610" max="15610" width="20.7109375" style="391" bestFit="1" customWidth="1"/>
    <col min="15611" max="15617" width="0" style="391" hidden="1" customWidth="1"/>
    <col min="15618" max="15619" width="18.85546875" style="391" bestFit="1" customWidth="1"/>
    <col min="15620" max="15620" width="15.140625" style="391" bestFit="1" customWidth="1"/>
    <col min="15621" max="15862" width="11.42578125" style="391"/>
    <col min="15863" max="15863" width="60.28515625" style="391" bestFit="1" customWidth="1"/>
    <col min="15864" max="15865" width="21" style="391" bestFit="1" customWidth="1"/>
    <col min="15866" max="15866" width="20.7109375" style="391" bestFit="1" customWidth="1"/>
    <col min="15867" max="15873" width="0" style="391" hidden="1" customWidth="1"/>
    <col min="15874" max="15875" width="18.85546875" style="391" bestFit="1" customWidth="1"/>
    <col min="15876" max="15876" width="15.140625" style="391" bestFit="1" customWidth="1"/>
    <col min="15877" max="16118" width="11.42578125" style="391"/>
    <col min="16119" max="16119" width="60.28515625" style="391" bestFit="1" customWidth="1"/>
    <col min="16120" max="16121" width="21" style="391" bestFit="1" customWidth="1"/>
    <col min="16122" max="16122" width="20.7109375" style="391" bestFit="1" customWidth="1"/>
    <col min="16123" max="16129" width="0" style="391" hidden="1" customWidth="1"/>
    <col min="16130" max="16131" width="18.85546875" style="391" bestFit="1" customWidth="1"/>
    <col min="16132" max="16132" width="15.140625" style="391" bestFit="1" customWidth="1"/>
    <col min="16133" max="16384" width="11.42578125" style="391"/>
  </cols>
  <sheetData>
    <row r="1" spans="1:4" ht="112.5" x14ac:dyDescent="0.2">
      <c r="A1" s="1275" t="s">
        <v>1929</v>
      </c>
      <c r="B1" s="1275">
        <v>2022</v>
      </c>
      <c r="C1" s="1275">
        <v>2023</v>
      </c>
      <c r="D1" s="1275">
        <v>2024</v>
      </c>
    </row>
    <row r="2" spans="1:4" ht="19.5" x14ac:dyDescent="0.2">
      <c r="A2" s="1727"/>
      <c r="B2" s="1728"/>
    </row>
    <row r="3" spans="1:4" ht="15" hidden="1" x14ac:dyDescent="0.2">
      <c r="A3" s="392" t="s">
        <v>1843</v>
      </c>
      <c r="B3" s="392">
        <v>3162607596</v>
      </c>
      <c r="C3" s="390">
        <f>+'F y U 2022 Incremento Salarial'!C131</f>
        <v>3769319014</v>
      </c>
    </row>
    <row r="4" spans="1:4" ht="15" hidden="1" x14ac:dyDescent="0.2">
      <c r="A4" s="392" t="s">
        <v>1930</v>
      </c>
      <c r="B4" s="392">
        <v>3094984325.7410383</v>
      </c>
      <c r="C4" s="390">
        <f>+'F y U 2022 Incremento Salarial'!C132</f>
        <v>2783196563.8610001</v>
      </c>
    </row>
    <row r="5" spans="1:4" ht="15" hidden="1" x14ac:dyDescent="0.2">
      <c r="A5" s="392" t="s">
        <v>1931</v>
      </c>
      <c r="B5" s="392">
        <v>561606231</v>
      </c>
      <c r="C5" s="390">
        <f>+'F y U 2022 Incremento Salarial'!C133</f>
        <v>580088442</v>
      </c>
    </row>
    <row r="6" spans="1:4" ht="15" hidden="1" x14ac:dyDescent="0.2">
      <c r="A6" s="392" t="s">
        <v>1932</v>
      </c>
      <c r="B6" s="392">
        <v>49806517044.222534</v>
      </c>
      <c r="C6" s="390">
        <f>+'F y U 2022 Incremento Salarial'!C134+2</f>
        <v>40179225584</v>
      </c>
    </row>
    <row r="7" spans="1:4" hidden="1" x14ac:dyDescent="0.2">
      <c r="A7" s="393" t="s">
        <v>1933</v>
      </c>
      <c r="B7" s="394">
        <f>+B6+B5+B4+B3</f>
        <v>56625715196.96357</v>
      </c>
      <c r="C7" s="1266">
        <f>+C6+C5+C4+C3</f>
        <v>47311829603.861</v>
      </c>
      <c r="D7" s="394"/>
    </row>
    <row r="8" spans="1:4" ht="15" hidden="1" x14ac:dyDescent="0.2">
      <c r="A8" s="396" t="s">
        <v>1934</v>
      </c>
      <c r="B8" s="396">
        <v>1375178644.6444929</v>
      </c>
      <c r="C8" s="390">
        <f>+'F y U 2022 Presupuesto'!E23+'F y U 2022 Presupuesto'!E55</f>
        <v>1411821508.6000001</v>
      </c>
      <c r="D8" s="618"/>
    </row>
    <row r="9" spans="1:4" ht="15" hidden="1" x14ac:dyDescent="0.2">
      <c r="A9" s="396" t="s">
        <v>1935</v>
      </c>
      <c r="B9" s="396">
        <v>367964989.9518804</v>
      </c>
      <c r="C9" s="390">
        <f>+'F y U 2022 Presupuesto'!E25+'F y U 2022 Presupuesto'!E56</f>
        <v>348951359.91000003</v>
      </c>
      <c r="D9" s="618"/>
    </row>
    <row r="10" spans="1:4" ht="15" hidden="1" x14ac:dyDescent="0.2">
      <c r="A10" s="396" t="s">
        <v>1936</v>
      </c>
      <c r="B10" s="396">
        <v>881634893.373667</v>
      </c>
      <c r="C10" s="390">
        <f>+'F y U 2022 Presupuesto'!E31+'F y U 2022 Presupuesto'!E62</f>
        <v>848604744.59452009</v>
      </c>
      <c r="D10" s="618"/>
    </row>
    <row r="11" spans="1:4" ht="15" hidden="1" x14ac:dyDescent="0.2">
      <c r="A11" s="396" t="s">
        <v>1937</v>
      </c>
      <c r="B11" s="396">
        <v>7051715200.7532034</v>
      </c>
      <c r="C11" s="390">
        <f>+'F y U 2022 Presupuesto'!E35+'F y U 2022 Presupuesto'!E65</f>
        <v>7302991107</v>
      </c>
      <c r="D11" s="618"/>
    </row>
    <row r="12" spans="1:4" ht="15" hidden="1" x14ac:dyDescent="0.2">
      <c r="A12" s="396" t="s">
        <v>1938</v>
      </c>
      <c r="B12" s="396"/>
      <c r="C12" s="390">
        <f>+'F y U 2022 Incremento Salarial'!C136</f>
        <v>7448431839</v>
      </c>
      <c r="D12" s="618"/>
    </row>
    <row r="13" spans="1:4" ht="15" hidden="1" x14ac:dyDescent="0.2">
      <c r="A13" s="396" t="s">
        <v>1939</v>
      </c>
      <c r="B13" s="396"/>
      <c r="C13" s="390">
        <f>+'F y U 2022 Incremento Salarial'!C135</f>
        <v>1000000000</v>
      </c>
      <c r="D13" s="618"/>
    </row>
    <row r="14" spans="1:4" ht="15" hidden="1" x14ac:dyDescent="0.2">
      <c r="A14" s="396" t="s">
        <v>1940</v>
      </c>
      <c r="B14" s="396">
        <v>2227322217.5984659</v>
      </c>
      <c r="C14" s="390">
        <f>+'F y U 2022 Presupuesto'!E9</f>
        <v>3526815135.1260004</v>
      </c>
      <c r="D14" s="618"/>
    </row>
    <row r="15" spans="1:4" ht="15" hidden="1" x14ac:dyDescent="0.2">
      <c r="A15" s="396" t="s">
        <v>1941</v>
      </c>
      <c r="B15" s="396">
        <v>1662180759.4018402</v>
      </c>
      <c r="C15" s="390">
        <f>+'F y U 2022 Presupuesto'!E12</f>
        <v>1763407567.5630002</v>
      </c>
      <c r="D15" s="618"/>
    </row>
    <row r="16" spans="1:4" ht="15" hidden="1" x14ac:dyDescent="0.2">
      <c r="A16" s="396" t="s">
        <v>1942</v>
      </c>
      <c r="B16" s="396">
        <v>5730162847.5923834</v>
      </c>
      <c r="C16" s="390">
        <f>+'F y U 2022 Presupuesto'!C113</f>
        <v>8210602648.5533085</v>
      </c>
      <c r="D16" s="618"/>
    </row>
    <row r="17" spans="1:4" ht="15" hidden="1" x14ac:dyDescent="0.2">
      <c r="A17" s="396" t="s">
        <v>1943</v>
      </c>
      <c r="B17" s="396">
        <v>10000000000</v>
      </c>
      <c r="C17" s="390">
        <f>+'F y U 2022 Presupuesto'!E32</f>
        <v>0</v>
      </c>
      <c r="D17" s="618"/>
    </row>
    <row r="18" spans="1:4" ht="15" hidden="1" x14ac:dyDescent="0.2">
      <c r="A18" s="396" t="s">
        <v>1944</v>
      </c>
      <c r="B18" s="396">
        <v>598673730.34547281</v>
      </c>
      <c r="C18" s="390">
        <f>+'F y U 2022 Presupuesto'!C111</f>
        <v>608504542.4677316</v>
      </c>
      <c r="D18" s="618"/>
    </row>
    <row r="19" spans="1:4" ht="15" hidden="1" x14ac:dyDescent="0.2">
      <c r="A19" s="396" t="s">
        <v>1945</v>
      </c>
      <c r="B19" s="396">
        <v>863361084.91110301</v>
      </c>
      <c r="C19" s="390">
        <f>+'F y U 2022 Presupuesto'!E13+'F y U 2022 Presupuesto'!E16+'F y U 2022 Presupuesto'!E41+'F y U 2022 Presupuesto'!E34</f>
        <v>903150426.75185156</v>
      </c>
      <c r="D19" s="618"/>
    </row>
    <row r="20" spans="1:4" ht="15" hidden="1" x14ac:dyDescent="0.2">
      <c r="A20" s="396" t="s">
        <v>1946</v>
      </c>
      <c r="B20" s="396">
        <v>855248186.20781827</v>
      </c>
      <c r="C20" s="390">
        <f>+'F y U 2022 Presupuesto'!C109</f>
        <v>869292203.52533078</v>
      </c>
      <c r="D20" s="618"/>
    </row>
    <row r="21" spans="1:4" ht="15" hidden="1" x14ac:dyDescent="0.2">
      <c r="A21" s="396" t="s">
        <v>1947</v>
      </c>
      <c r="B21" s="396">
        <v>997308455.64110398</v>
      </c>
      <c r="C21" s="390">
        <f>+'F y U 2022 Presupuesto'!E11</f>
        <v>1058044540.5378001</v>
      </c>
      <c r="D21" s="618"/>
    </row>
    <row r="22" spans="1:4" ht="15" hidden="1" x14ac:dyDescent="0.2">
      <c r="A22" s="396" t="s">
        <v>1948</v>
      </c>
      <c r="B22" s="396"/>
      <c r="C22" s="390">
        <v>1150000000</v>
      </c>
      <c r="D22" s="618"/>
    </row>
    <row r="23" spans="1:4" ht="15" hidden="1" x14ac:dyDescent="0.2">
      <c r="A23" s="396" t="s">
        <v>1949</v>
      </c>
      <c r="B23" s="396">
        <v>1031383983.486022</v>
      </c>
      <c r="C23" s="390">
        <f>+'F y U 2022 Presupuesto'!E24</f>
        <v>2117009970.8999999</v>
      </c>
      <c r="D23" s="618"/>
    </row>
    <row r="24" spans="1:4" hidden="1" x14ac:dyDescent="0.2">
      <c r="A24" s="393" t="s">
        <v>1933</v>
      </c>
      <c r="B24" s="394">
        <f>SUM(B8:B23)</f>
        <v>33642134993.907455</v>
      </c>
      <c r="C24" s="1266">
        <f>SUM(C8:C23)</f>
        <v>38567627594.529549</v>
      </c>
      <c r="D24" s="394"/>
    </row>
    <row r="25" spans="1:4" ht="24" x14ac:dyDescent="0.2">
      <c r="A25" s="1278" t="s">
        <v>1953</v>
      </c>
      <c r="B25" s="959">
        <v>84624655480</v>
      </c>
      <c r="C25" s="1282">
        <f>+'F Y U 2023 Prespupuesto'!C152/1000000</f>
        <v>126027.58788418413</v>
      </c>
      <c r="D25" s="1282">
        <f>+'F Y U 2024 Presupuesto OK RED'!C152/1000000</f>
        <v>157753.93738248802</v>
      </c>
    </row>
    <row r="26" spans="1:4" ht="15" x14ac:dyDescent="0.2">
      <c r="A26" s="1729"/>
      <c r="B26" s="1730"/>
    </row>
    <row r="27" spans="1:4" ht="24" x14ac:dyDescent="0.2">
      <c r="A27" s="1278" t="s">
        <v>1854</v>
      </c>
      <c r="B27" s="959">
        <v>12057299351</v>
      </c>
      <c r="C27" s="1282">
        <f>+'F Y U 2023 Prespupuesto'!C154/1000000</f>
        <v>9106.1585206152122</v>
      </c>
      <c r="D27" s="1282">
        <f>+'F Y U 2024 Presupuesto OK RED'!C154/1000000</f>
        <v>11236.130586506</v>
      </c>
    </row>
    <row r="28" spans="1:4" ht="15" x14ac:dyDescent="0.2">
      <c r="A28" s="1729"/>
      <c r="B28" s="1730"/>
    </row>
    <row r="29" spans="1:4" ht="24" x14ac:dyDescent="0.2">
      <c r="A29" s="1278" t="s">
        <v>1861</v>
      </c>
      <c r="B29" s="959">
        <f>+B30+B31+B32</f>
        <v>267617824690.3606</v>
      </c>
      <c r="C29" s="1282">
        <f>(+C30+C31+C32)/1000000</f>
        <v>285537.74888924841</v>
      </c>
      <c r="D29" s="1282">
        <f>(+D30+D31+D32)/1000000</f>
        <v>339283.24503100605</v>
      </c>
    </row>
    <row r="30" spans="1:4" ht="15.75" hidden="1" x14ac:dyDescent="0.25">
      <c r="A30" s="401" t="s">
        <v>1958</v>
      </c>
      <c r="B30" s="396">
        <v>18002584295</v>
      </c>
      <c r="C30" s="390">
        <f>+'F Y U 2023 Prespupuesto'!C158</f>
        <v>17373765410.631279</v>
      </c>
      <c r="D30" s="390">
        <f>+'F Y U 2024 Presupuesto OK RED'!C158</f>
        <v>28687911431.006027</v>
      </c>
    </row>
    <row r="31" spans="1:4" ht="15.75" hidden="1" x14ac:dyDescent="0.25">
      <c r="A31" s="401" t="s">
        <v>1859</v>
      </c>
      <c r="B31" s="396">
        <v>19015345408.3606</v>
      </c>
      <c r="C31" s="390">
        <f>+'F Y U 2023 Prespupuesto'!C159</f>
        <v>23844683916.530983</v>
      </c>
      <c r="D31" s="390">
        <f>+'F Y U 2024 Presupuesto OK RED'!C159</f>
        <v>30277983000</v>
      </c>
    </row>
    <row r="32" spans="1:4" ht="15.75" hidden="1" x14ac:dyDescent="0.25">
      <c r="A32" s="401" t="s">
        <v>1860</v>
      </c>
      <c r="B32" s="396">
        <v>230599894987</v>
      </c>
      <c r="C32" s="390">
        <f>+'F Y U 2023 Prespupuesto'!C160</f>
        <v>244319299562.08615</v>
      </c>
      <c r="D32" s="390">
        <f>+'F Y U 2024 Presupuesto OK RED'!C160</f>
        <v>280317350600</v>
      </c>
    </row>
    <row r="33" spans="1:6" ht="15.75" x14ac:dyDescent="0.25">
      <c r="A33" s="401"/>
      <c r="B33" s="396"/>
    </row>
    <row r="34" spans="1:6" ht="90" x14ac:dyDescent="0.2">
      <c r="A34" s="1278" t="s">
        <v>1965</v>
      </c>
      <c r="B34" s="959">
        <f>+B35+B36+B37</f>
        <v>0</v>
      </c>
      <c r="C34" s="1282">
        <f>SUM(C35:C40)/1000000</f>
        <v>64803.401964169345</v>
      </c>
      <c r="D34" s="1282">
        <f>SUM(D35:D40)/1000000</f>
        <v>82492.611457600011</v>
      </c>
    </row>
    <row r="35" spans="1:6" ht="15" hidden="1" x14ac:dyDescent="0.2">
      <c r="A35" s="923" t="s">
        <v>1790</v>
      </c>
      <c r="B35" s="396">
        <v>0</v>
      </c>
      <c r="C35" s="390">
        <f>+'F Y U 2023 Prespupuesto'!E35</f>
        <v>11369530091.77</v>
      </c>
      <c r="D35" s="390">
        <f>+'F Y U 2024 Presupuesto OK RED'!C31</f>
        <v>12506483000</v>
      </c>
    </row>
    <row r="36" spans="1:6" ht="15" hidden="1" x14ac:dyDescent="0.2">
      <c r="A36" s="923" t="s">
        <v>1791</v>
      </c>
      <c r="B36" s="396">
        <v>0</v>
      </c>
      <c r="C36" s="390">
        <f>+'F Y U 2023 Prespupuesto'!E36</f>
        <v>1114695320</v>
      </c>
    </row>
    <row r="37" spans="1:6" ht="15" hidden="1" x14ac:dyDescent="0.2">
      <c r="A37" s="923" t="s">
        <v>1064</v>
      </c>
      <c r="B37" s="396">
        <v>0</v>
      </c>
      <c r="C37" s="390">
        <f>+'F Y U 2023 Prespupuesto'!E38</f>
        <v>3750000000</v>
      </c>
      <c r="D37" s="390">
        <f>+'F Y U 2024 Presupuesto OK RED'!C33</f>
        <v>2082326000</v>
      </c>
    </row>
    <row r="38" spans="1:6" ht="15" hidden="1" x14ac:dyDescent="0.2">
      <c r="A38" s="379" t="s">
        <v>3248</v>
      </c>
      <c r="B38" s="396"/>
      <c r="C38" s="390">
        <f>+'F Y U 2023 Prespupuesto'!C151+'F Y U 2023 Prespupuesto'!C150+'F Y U 2023 Prespupuesto'!C145</f>
        <v>40961609713.399345</v>
      </c>
      <c r="D38" s="390">
        <f>+'F Y U 2024 Presupuesto OK RED'!C151+'F Y U 2024 Presupuesto OK RED'!C150</f>
        <v>45024750096</v>
      </c>
    </row>
    <row r="39" spans="1:6" ht="15" hidden="1" x14ac:dyDescent="0.2">
      <c r="A39" s="379" t="s">
        <v>3249</v>
      </c>
      <c r="B39" s="396"/>
      <c r="D39" s="390">
        <f>+'F Y U 2024 Presupuesto OK RED'!C146</f>
        <v>7000000000</v>
      </c>
    </row>
    <row r="40" spans="1:6" ht="15" hidden="1" x14ac:dyDescent="0.2">
      <c r="A40" s="379" t="s">
        <v>3246</v>
      </c>
      <c r="B40" s="396">
        <v>0</v>
      </c>
      <c r="C40" s="390">
        <f>+'F Y U 2023 Prespupuesto'!C148</f>
        <v>7607566839</v>
      </c>
      <c r="D40" s="390">
        <f>+'F Y U 2024 Presupuesto OK RED'!C147+'F Y U 2024 Presupuesto OK RED'!C148</f>
        <v>15879052361.6</v>
      </c>
    </row>
    <row r="41" spans="1:6" ht="15" x14ac:dyDescent="0.2">
      <c r="A41" s="379"/>
      <c r="B41" s="396"/>
    </row>
    <row r="42" spans="1:6" ht="67.5" x14ac:dyDescent="0.2">
      <c r="A42" s="1278" t="s">
        <v>1967</v>
      </c>
      <c r="B42" s="959">
        <f>+B29+B35+B36+B37+B40</f>
        <v>267617824690.3606</v>
      </c>
      <c r="C42" s="1282">
        <f>+(C29+C35+C36+C37+C40+C38)/1000000</f>
        <v>64803.687501918233</v>
      </c>
      <c r="D42" s="1282">
        <f>(+D29+D35+D36+D37+D40+D38+D39)/1000000</f>
        <v>82492.95074084503</v>
      </c>
    </row>
    <row r="43" spans="1:6" ht="15" x14ac:dyDescent="0.2">
      <c r="A43" s="379"/>
      <c r="B43" s="396"/>
    </row>
    <row r="44" spans="1:6" ht="15" x14ac:dyDescent="0.2">
      <c r="A44" s="379"/>
      <c r="B44" s="396"/>
    </row>
    <row r="45" spans="1:6" ht="90" x14ac:dyDescent="0.2">
      <c r="A45" s="1275" t="s">
        <v>1968</v>
      </c>
      <c r="B45" s="961">
        <f>+B29+B27+B25</f>
        <v>364299779521.3606</v>
      </c>
      <c r="C45" s="1276">
        <f>+C29+C27+C25</f>
        <v>420671.49529404775</v>
      </c>
      <c r="D45" s="1276">
        <f>+D29+D27+D25</f>
        <v>508273.31300000008</v>
      </c>
      <c r="E45" s="410"/>
    </row>
    <row r="46" spans="1:6" ht="15" x14ac:dyDescent="0.2">
      <c r="A46" s="405"/>
      <c r="B46" s="405"/>
    </row>
    <row r="47" spans="1:6" ht="23.25" x14ac:dyDescent="0.35">
      <c r="A47" s="1278" t="s">
        <v>1971</v>
      </c>
      <c r="B47" s="963"/>
      <c r="C47" s="1280">
        <f>+(C29+C42)/C45</f>
        <v>0.83281477426056483</v>
      </c>
      <c r="D47" s="410"/>
      <c r="F47" s="410"/>
    </row>
    <row r="48" spans="1:6" ht="27" customHeight="1" x14ac:dyDescent="0.35">
      <c r="A48" s="1278" t="s">
        <v>3247</v>
      </c>
      <c r="B48" s="963"/>
      <c r="C48" s="1280">
        <f>+(D29+D42)/D45</f>
        <v>0.82982164316750395</v>
      </c>
      <c r="D48" s="410"/>
    </row>
    <row r="49" spans="1:5" ht="23.25" hidden="1" x14ac:dyDescent="0.35">
      <c r="A49" s="962" t="s">
        <v>1973</v>
      </c>
      <c r="B49" s="962"/>
      <c r="C49" s="1269">
        <f>+C47-C48</f>
        <v>2.9931310930608745E-3</v>
      </c>
      <c r="D49" s="963"/>
    </row>
    <row r="50" spans="1:5" ht="15" x14ac:dyDescent="0.2">
      <c r="A50" s="405"/>
      <c r="B50" s="405"/>
    </row>
    <row r="51" spans="1:5" s="390" customFormat="1" ht="15" x14ac:dyDescent="0.2">
      <c r="A51" s="405"/>
      <c r="B51" s="405"/>
      <c r="E51" s="391"/>
    </row>
    <row r="52" spans="1:5" s="390" customFormat="1" ht="15" x14ac:dyDescent="0.2">
      <c r="A52" s="405"/>
      <c r="B52" s="405"/>
      <c r="E52" s="391"/>
    </row>
    <row r="53" spans="1:5" s="390" customFormat="1" ht="15" x14ac:dyDescent="0.2">
      <c r="A53" s="405"/>
      <c r="B53" s="405"/>
      <c r="E53" s="391"/>
    </row>
    <row r="54" spans="1:5" s="390" customFormat="1" ht="23.25" x14ac:dyDescent="0.35">
      <c r="A54" s="962" t="str">
        <f>+A48</f>
        <v>VALOR % INVERSION 2024</v>
      </c>
      <c r="B54" s="963">
        <f>+C48</f>
        <v>0.82982164316750395</v>
      </c>
      <c r="E54" s="391"/>
    </row>
    <row r="55" spans="1:5" s="390" customFormat="1" ht="23.25" x14ac:dyDescent="0.35">
      <c r="A55" s="962" t="str">
        <f>+A47</f>
        <v>VALOR % INVERSION 2023</v>
      </c>
      <c r="B55" s="963">
        <f>+C47</f>
        <v>0.83281477426056483</v>
      </c>
      <c r="E55" s="391"/>
    </row>
  </sheetData>
  <mergeCells count="3">
    <mergeCell ref="A2:B2"/>
    <mergeCell ref="A26:B26"/>
    <mergeCell ref="A28:B2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DCA93-A460-426B-9713-C363F4F935AA}">
  <sheetPr>
    <tabColor rgb="FFFFC000"/>
  </sheetPr>
  <dimension ref="A1:R33"/>
  <sheetViews>
    <sheetView workbookViewId="0">
      <pane xSplit="2" ySplit="2" topLeftCell="D3" activePane="bottomRight" state="frozen"/>
      <selection pane="topRight"/>
      <selection pane="bottomLeft"/>
      <selection pane="bottomRight" activeCell="I7" sqref="I7"/>
    </sheetView>
  </sheetViews>
  <sheetFormatPr baseColWidth="10" defaultColWidth="9.140625" defaultRowHeight="12.75" x14ac:dyDescent="0.2"/>
  <cols>
    <col min="1" max="1" width="14.7109375" style="588" bestFit="1" customWidth="1"/>
    <col min="2" max="2" width="37.140625" style="583" customWidth="1"/>
    <col min="3" max="3" width="37.140625" style="1243" customWidth="1"/>
    <col min="4" max="5" width="19.28515625" style="583" customWidth="1"/>
    <col min="6" max="6" width="20.42578125" style="583" bestFit="1" customWidth="1"/>
    <col min="7" max="7" width="3.140625" style="583" customWidth="1"/>
    <col min="8" max="8" width="20" style="584" bestFit="1" customWidth="1"/>
    <col min="9" max="9" width="20.5703125" style="584" bestFit="1" customWidth="1"/>
    <col min="10" max="10" width="18.28515625" style="584" customWidth="1"/>
    <col min="11" max="12" width="15.7109375" style="584" customWidth="1"/>
    <col min="13" max="13" width="21" style="584" customWidth="1"/>
    <col min="14" max="18" width="9.140625" style="584"/>
    <col min="19" max="16384" width="9.140625" style="583"/>
  </cols>
  <sheetData>
    <row r="1" spans="1:18" x14ac:dyDescent="0.2">
      <c r="I1" s="584">
        <f>H7+I7</f>
        <v>10256237250</v>
      </c>
    </row>
    <row r="2" spans="1:18" s="585" customFormat="1" ht="15.75" customHeight="1" x14ac:dyDescent="0.2">
      <c r="A2" s="1731" t="s">
        <v>3274</v>
      </c>
      <c r="B2" s="1732"/>
      <c r="C2" s="1732"/>
      <c r="D2" s="1732"/>
      <c r="E2" s="1732"/>
      <c r="F2" s="1732"/>
      <c r="G2" s="1732"/>
      <c r="H2" s="1732"/>
      <c r="I2" s="1732"/>
      <c r="J2" s="1732"/>
      <c r="K2" s="1732"/>
      <c r="L2" s="1732"/>
      <c r="M2" s="1732"/>
      <c r="N2" s="586"/>
      <c r="O2" s="586"/>
      <c r="P2" s="586"/>
      <c r="Q2" s="586"/>
      <c r="R2" s="586"/>
    </row>
    <row r="3" spans="1:18" s="616" customFormat="1" ht="38.25" x14ac:dyDescent="0.25">
      <c r="A3" s="615" t="s">
        <v>1998</v>
      </c>
      <c r="B3" s="615" t="s">
        <v>1</v>
      </c>
      <c r="C3" s="1244"/>
      <c r="D3" s="615" t="s">
        <v>3244</v>
      </c>
      <c r="E3" s="615" t="s">
        <v>3275</v>
      </c>
      <c r="F3" s="615" t="s">
        <v>3276</v>
      </c>
      <c r="H3" s="603" t="s">
        <v>2002</v>
      </c>
      <c r="I3" s="603" t="s">
        <v>2003</v>
      </c>
      <c r="J3" s="603" t="s">
        <v>2004</v>
      </c>
      <c r="K3" s="603" t="s">
        <v>2005</v>
      </c>
      <c r="L3" s="603" t="s">
        <v>2006</v>
      </c>
      <c r="M3" s="603" t="s">
        <v>2007</v>
      </c>
      <c r="N3" s="169"/>
      <c r="O3" s="169"/>
      <c r="P3" s="169"/>
      <c r="Q3" s="169"/>
      <c r="R3" s="169"/>
    </row>
    <row r="4" spans="1:18" s="1039" customFormat="1" x14ac:dyDescent="0.2">
      <c r="A4" s="1035">
        <v>171</v>
      </c>
      <c r="B4" s="1013" t="s">
        <v>1882</v>
      </c>
      <c r="C4" s="1245">
        <f>+'F Y U 2024 Presupuesto OK RED'!C88</f>
        <v>2148092000</v>
      </c>
      <c r="D4" s="1037">
        <f>MROUND(C4,1000)</f>
        <v>2148092000</v>
      </c>
      <c r="E4" s="1038">
        <f>+H4+I4+M4</f>
        <v>2148092000</v>
      </c>
      <c r="F4" s="1038">
        <f>+J4+K4</f>
        <v>0</v>
      </c>
      <c r="H4" s="1040"/>
      <c r="I4" s="1041">
        <f>+D4</f>
        <v>2148092000</v>
      </c>
      <c r="J4" s="1042"/>
      <c r="K4" s="1042"/>
      <c r="L4" s="1042"/>
      <c r="M4" s="1043"/>
      <c r="N4" s="1044"/>
      <c r="O4" s="1044"/>
      <c r="P4" s="1044"/>
      <c r="Q4" s="1044"/>
      <c r="R4" s="1044"/>
    </row>
    <row r="5" spans="1:18" s="1039" customFormat="1" x14ac:dyDescent="0.2">
      <c r="A5" s="1035">
        <v>61</v>
      </c>
      <c r="B5" s="1013" t="s">
        <v>1883</v>
      </c>
      <c r="C5" s="1245">
        <f>+'F Y U 2024 Presupuesto OK RED'!C87</f>
        <v>5409655000</v>
      </c>
      <c r="D5" s="1037">
        <f t="shared" ref="D5:D24" si="0">MROUND(C5,1000)</f>
        <v>5409655000</v>
      </c>
      <c r="E5" s="1038">
        <f t="shared" ref="E5:E23" si="1">+H5+I5+M5</f>
        <v>5409655000</v>
      </c>
      <c r="F5" s="1038">
        <f t="shared" ref="F5:F24" si="2">+J5+K5</f>
        <v>0</v>
      </c>
      <c r="H5" s="1040"/>
      <c r="I5" s="1041"/>
      <c r="J5" s="1042"/>
      <c r="K5" s="1042"/>
      <c r="L5" s="1042"/>
      <c r="M5" s="1043">
        <f>D5</f>
        <v>5409655000</v>
      </c>
      <c r="N5" s="1044"/>
      <c r="O5" s="1044"/>
      <c r="P5" s="1044"/>
      <c r="Q5" s="1044"/>
      <c r="R5" s="1044"/>
    </row>
    <row r="6" spans="1:18" s="1039" customFormat="1" x14ac:dyDescent="0.2">
      <c r="A6" s="1035">
        <v>63</v>
      </c>
      <c r="B6" s="1013" t="s">
        <v>1884</v>
      </c>
      <c r="C6" s="1245">
        <f>+'F Y U 2024 Presupuesto'!C102</f>
        <v>300000000</v>
      </c>
      <c r="D6" s="1037">
        <f t="shared" si="0"/>
        <v>300000000</v>
      </c>
      <c r="E6" s="1038">
        <f t="shared" si="1"/>
        <v>300000000</v>
      </c>
      <c r="F6" s="1038">
        <f t="shared" si="2"/>
        <v>0</v>
      </c>
      <c r="H6" s="1040"/>
      <c r="I6" s="1041"/>
      <c r="J6" s="1042"/>
      <c r="K6" s="1042"/>
      <c r="L6" s="1042"/>
      <c r="M6" s="1043">
        <f>+D6</f>
        <v>300000000</v>
      </c>
      <c r="N6" s="1044"/>
      <c r="O6" s="1044"/>
      <c r="P6" s="1044"/>
      <c r="Q6" s="1044"/>
      <c r="R6" s="1044"/>
    </row>
    <row r="7" spans="1:18" s="585" customFormat="1" x14ac:dyDescent="0.2">
      <c r="A7" s="607" t="s">
        <v>2008</v>
      </c>
      <c r="B7" s="608" t="s">
        <v>1885</v>
      </c>
      <c r="C7" s="1245">
        <f>+'F Y U 2024 Presupuesto'!C93</f>
        <v>13674982578.438608</v>
      </c>
      <c r="D7" s="1037">
        <f t="shared" si="0"/>
        <v>13674983000</v>
      </c>
      <c r="E7" s="606">
        <f>+D7*0.75</f>
        <v>10256237250</v>
      </c>
      <c r="F7" s="606">
        <f>+D7*0.25</f>
        <v>3418745750</v>
      </c>
      <c r="H7" s="1074">
        <f>ROUND(D7*0.5,0)</f>
        <v>6837491500</v>
      </c>
      <c r="I7" s="610">
        <f>ROUND(D7*0.25,0)</f>
        <v>3418745750</v>
      </c>
      <c r="J7" s="611"/>
      <c r="K7" s="1048">
        <f>+F7-L7</f>
        <v>3418745750</v>
      </c>
      <c r="L7" s="1048"/>
      <c r="M7" s="612"/>
      <c r="N7" s="586"/>
      <c r="O7" s="586"/>
      <c r="P7" s="586"/>
      <c r="Q7" s="586"/>
      <c r="R7" s="586"/>
    </row>
    <row r="8" spans="1:18" s="1039" customFormat="1" ht="25.5" x14ac:dyDescent="0.2">
      <c r="A8" s="1035" t="s">
        <v>2008</v>
      </c>
      <c r="B8" s="1013" t="s">
        <v>1886</v>
      </c>
      <c r="C8" s="1245">
        <f>+'F Y U 2024 Presupuesto'!C98</f>
        <v>2874685228.7195997</v>
      </c>
      <c r="D8" s="1037">
        <f t="shared" si="0"/>
        <v>2874685000</v>
      </c>
      <c r="E8" s="1038">
        <f t="shared" si="1"/>
        <v>2156013750</v>
      </c>
      <c r="F8" s="1038">
        <f t="shared" si="2"/>
        <v>718671250</v>
      </c>
      <c r="H8" s="1073">
        <f>ROUND(D8*0.5,0)</f>
        <v>1437342500</v>
      </c>
      <c r="I8" s="1041">
        <f>ROUND(D8*0.25,0)</f>
        <v>718671250</v>
      </c>
      <c r="J8" s="1042"/>
      <c r="K8" s="1042">
        <f>ROUND(D8*0.25,0)</f>
        <v>718671250</v>
      </c>
      <c r="L8" s="1042"/>
      <c r="M8" s="1043"/>
      <c r="N8" s="1044"/>
      <c r="O8" s="1044"/>
      <c r="P8" s="1044"/>
      <c r="Q8" s="1044"/>
      <c r="R8" s="1044"/>
    </row>
    <row r="9" spans="1:18" s="1039" customFormat="1" ht="25.5" x14ac:dyDescent="0.2">
      <c r="A9" s="1035" t="s">
        <v>2008</v>
      </c>
      <c r="B9" s="1013" t="s">
        <v>1887</v>
      </c>
      <c r="C9" s="1245">
        <f>+'F Y U 2024 Presupuesto'!C94</f>
        <v>4294347319.9500003</v>
      </c>
      <c r="D9" s="1037">
        <f t="shared" si="0"/>
        <v>4294347000</v>
      </c>
      <c r="E9" s="1038">
        <f t="shared" si="1"/>
        <v>3220760250</v>
      </c>
      <c r="F9" s="1038">
        <f t="shared" si="2"/>
        <v>1073586750</v>
      </c>
      <c r="H9" s="1073">
        <f>ROUND(D9*0.5,0)</f>
        <v>2147173500</v>
      </c>
      <c r="I9" s="1041">
        <f>ROUND(D9*0.25,0)</f>
        <v>1073586750</v>
      </c>
      <c r="J9" s="1042"/>
      <c r="K9" s="1042">
        <f>ROUND(D9*0.25,0)</f>
        <v>1073586750</v>
      </c>
      <c r="L9" s="1042"/>
      <c r="M9" s="1043"/>
      <c r="N9" s="1044"/>
      <c r="O9" s="1044"/>
      <c r="P9" s="1044"/>
      <c r="Q9" s="1044"/>
      <c r="R9" s="1044"/>
    </row>
    <row r="10" spans="1:18" s="1019" customFormat="1" ht="25.5" x14ac:dyDescent="0.2">
      <c r="A10" s="1014">
        <v>61</v>
      </c>
      <c r="B10" s="1015" t="s">
        <v>1888</v>
      </c>
      <c r="C10" s="1246">
        <f>+'F Y U 2023 Prespupuesto'!C90</f>
        <v>3000000</v>
      </c>
      <c r="D10" s="1037">
        <f t="shared" si="0"/>
        <v>3000000</v>
      </c>
      <c r="E10" s="1018">
        <f t="shared" si="1"/>
        <v>3000000</v>
      </c>
      <c r="F10" s="1018">
        <f t="shared" si="2"/>
        <v>0</v>
      </c>
      <c r="H10" s="1020"/>
      <c r="I10" s="1021"/>
      <c r="J10" s="1022"/>
      <c r="K10" s="1022"/>
      <c r="L10" s="1022"/>
      <c r="M10" s="1023">
        <f>D10</f>
        <v>3000000</v>
      </c>
      <c r="N10" s="1024"/>
      <c r="O10" s="1024"/>
      <c r="P10" s="1024"/>
      <c r="Q10" s="1024"/>
      <c r="R10" s="1024"/>
    </row>
    <row r="11" spans="1:18" s="1019" customFormat="1" ht="31.5" customHeight="1" x14ac:dyDescent="0.2">
      <c r="A11" s="1014">
        <v>171</v>
      </c>
      <c r="B11" s="1015" t="s">
        <v>1889</v>
      </c>
      <c r="C11" s="1246">
        <f>+'F Y U 2023 Prespupuesto'!C91</f>
        <v>1000000</v>
      </c>
      <c r="D11" s="1037">
        <f t="shared" si="0"/>
        <v>1000000</v>
      </c>
      <c r="E11" s="1018">
        <f t="shared" si="1"/>
        <v>1000000</v>
      </c>
      <c r="F11" s="1018">
        <f t="shared" si="2"/>
        <v>0</v>
      </c>
      <c r="H11" s="1020"/>
      <c r="I11" s="1021">
        <f>D11</f>
        <v>1000000</v>
      </c>
      <c r="J11" s="1022"/>
      <c r="K11" s="1022"/>
      <c r="L11" s="1022"/>
      <c r="M11" s="1023"/>
      <c r="N11" s="1024"/>
      <c r="O11" s="1024"/>
      <c r="P11" s="1024"/>
      <c r="Q11" s="1024"/>
      <c r="R11" s="1024"/>
    </row>
    <row r="12" spans="1:18" s="1019" customFormat="1" ht="25.5" x14ac:dyDescent="0.2">
      <c r="A12" s="1014">
        <v>63</v>
      </c>
      <c r="B12" s="1015" t="s">
        <v>1890</v>
      </c>
      <c r="C12" s="1246">
        <f>+'F Y U 2023 Prespupuesto'!C92</f>
        <v>1000000</v>
      </c>
      <c r="D12" s="1037">
        <f t="shared" si="0"/>
        <v>1000000</v>
      </c>
      <c r="E12" s="1018">
        <f t="shared" si="1"/>
        <v>1000000</v>
      </c>
      <c r="F12" s="1018">
        <f t="shared" si="2"/>
        <v>0</v>
      </c>
      <c r="H12" s="1020"/>
      <c r="I12" s="1021"/>
      <c r="J12" s="1022"/>
      <c r="K12" s="1022">
        <v>0</v>
      </c>
      <c r="L12" s="1022"/>
      <c r="M12" s="1023">
        <v>1000000</v>
      </c>
      <c r="N12" s="1024"/>
      <c r="O12" s="1024"/>
      <c r="P12" s="1024"/>
      <c r="Q12" s="1024"/>
      <c r="R12" s="1024"/>
    </row>
    <row r="13" spans="1:18" s="1030" customFormat="1" ht="25.5" x14ac:dyDescent="0.2">
      <c r="A13" s="1051" t="s">
        <v>2009</v>
      </c>
      <c r="B13" s="1026" t="s">
        <v>1891</v>
      </c>
      <c r="C13" s="1247">
        <f>+'F Y U 2023 Prespupuesto'!C93</f>
        <v>2000000</v>
      </c>
      <c r="D13" s="1037">
        <f t="shared" si="0"/>
        <v>2000000</v>
      </c>
      <c r="E13" s="1029">
        <f t="shared" si="1"/>
        <v>2000000</v>
      </c>
      <c r="F13" s="1029">
        <f t="shared" si="2"/>
        <v>0</v>
      </c>
      <c r="H13" s="1031"/>
      <c r="I13" s="1049">
        <v>2000000</v>
      </c>
      <c r="J13" s="1032"/>
      <c r="K13" s="1032">
        <v>0</v>
      </c>
      <c r="L13" s="1032"/>
      <c r="M13" s="1050">
        <v>0</v>
      </c>
      <c r="N13" s="1033"/>
      <c r="O13" s="1033"/>
      <c r="P13" s="1033"/>
      <c r="Q13" s="1033"/>
      <c r="R13" s="1033"/>
    </row>
    <row r="14" spans="1:18" s="1039" customFormat="1" ht="25.5" x14ac:dyDescent="0.2">
      <c r="A14" s="1035" t="s">
        <v>2010</v>
      </c>
      <c r="B14" s="1013" t="s">
        <v>1892</v>
      </c>
      <c r="C14" s="1245">
        <f>+'F Y U 2024 Presupuesto'!C95</f>
        <v>6555522914</v>
      </c>
      <c r="D14" s="1037">
        <f t="shared" si="0"/>
        <v>6555523000</v>
      </c>
      <c r="E14" s="1038">
        <f t="shared" si="1"/>
        <v>4457755640</v>
      </c>
      <c r="F14" s="1038">
        <f t="shared" si="2"/>
        <v>2097767360</v>
      </c>
      <c r="H14" s="1073">
        <f>ROUND(D14*0.68,0)</f>
        <v>4457755640</v>
      </c>
      <c r="I14" s="1041"/>
      <c r="J14" s="1042">
        <f t="shared" ref="J14:J19" si="3">ROUND(D14*0.07,0)</f>
        <v>458886610</v>
      </c>
      <c r="K14" s="1042">
        <f t="shared" ref="K14:K20" si="4">ROUND(D14*0.25,0)</f>
        <v>1638880750</v>
      </c>
      <c r="L14" s="1042"/>
      <c r="M14" s="1043"/>
      <c r="N14" s="1044"/>
      <c r="O14" s="1044"/>
      <c r="P14" s="1044"/>
      <c r="Q14" s="1044"/>
      <c r="R14" s="1044"/>
    </row>
    <row r="15" spans="1:18" s="1039" customFormat="1" x14ac:dyDescent="0.2">
      <c r="A15" s="1035" t="s">
        <v>2010</v>
      </c>
      <c r="B15" s="1013" t="s">
        <v>1893</v>
      </c>
      <c r="C15" s="1248">
        <f>+'F Y U 2024 Presupuesto'!C100</f>
        <v>2710325520</v>
      </c>
      <c r="D15" s="1037">
        <f t="shared" si="0"/>
        <v>2710326000</v>
      </c>
      <c r="E15" s="1038">
        <f t="shared" si="1"/>
        <v>1843021680</v>
      </c>
      <c r="F15" s="1038">
        <f t="shared" si="2"/>
        <v>867304320</v>
      </c>
      <c r="H15" s="1073">
        <f>ROUND(D15*0.68,0)</f>
        <v>1843021680</v>
      </c>
      <c r="I15" s="1041"/>
      <c r="J15" s="1042">
        <f t="shared" si="3"/>
        <v>189722820</v>
      </c>
      <c r="K15" s="1042">
        <f t="shared" si="4"/>
        <v>677581500</v>
      </c>
      <c r="L15" s="1042"/>
      <c r="M15" s="1043"/>
      <c r="N15" s="1044"/>
      <c r="O15" s="1044"/>
      <c r="P15" s="1044"/>
      <c r="Q15" s="1044"/>
      <c r="R15" s="1044"/>
    </row>
    <row r="16" spans="1:18" s="1039" customFormat="1" x14ac:dyDescent="0.2">
      <c r="A16" s="1035" t="s">
        <v>2010</v>
      </c>
      <c r="B16" s="1013" t="s">
        <v>1894</v>
      </c>
      <c r="C16" s="1245">
        <f>+'F Y U 2024 Presupuesto'!C101</f>
        <v>1496246629</v>
      </c>
      <c r="D16" s="1037">
        <f t="shared" si="0"/>
        <v>1496247000</v>
      </c>
      <c r="E16" s="1038">
        <f t="shared" si="1"/>
        <v>1017447960</v>
      </c>
      <c r="F16" s="1038">
        <f t="shared" si="2"/>
        <v>478799040</v>
      </c>
      <c r="H16" s="1073">
        <f>ROUND(D16*0.68,0)</f>
        <v>1017447960</v>
      </c>
      <c r="I16" s="1041"/>
      <c r="J16" s="1042">
        <f t="shared" si="3"/>
        <v>104737290</v>
      </c>
      <c r="K16" s="1042">
        <f t="shared" si="4"/>
        <v>374061750</v>
      </c>
      <c r="L16" s="1042"/>
      <c r="M16" s="1043"/>
      <c r="N16" s="1044"/>
      <c r="O16" s="1044"/>
      <c r="P16" s="1044"/>
      <c r="Q16" s="1044"/>
      <c r="R16" s="1044"/>
    </row>
    <row r="17" spans="1:18" s="1039" customFormat="1" x14ac:dyDescent="0.2">
      <c r="A17" s="1035" t="s">
        <v>2011</v>
      </c>
      <c r="B17" s="1013" t="s">
        <v>1895</v>
      </c>
      <c r="C17" s="1245">
        <f>+'F Y U 2024 Presupuesto'!C99</f>
        <v>935707770.20000005</v>
      </c>
      <c r="D17" s="1037">
        <f t="shared" si="0"/>
        <v>935708000</v>
      </c>
      <c r="E17" s="1038">
        <f t="shared" si="1"/>
        <v>636281441</v>
      </c>
      <c r="F17" s="1038">
        <f t="shared" si="2"/>
        <v>299426560</v>
      </c>
      <c r="H17" s="1073">
        <f>ROUND(D17*0.68,0)+1</f>
        <v>636281441</v>
      </c>
      <c r="I17" s="1041"/>
      <c r="J17" s="1042">
        <f t="shared" si="3"/>
        <v>65499560</v>
      </c>
      <c r="K17" s="1042">
        <f t="shared" si="4"/>
        <v>233927000</v>
      </c>
      <c r="L17" s="1042"/>
      <c r="M17" s="1043"/>
      <c r="N17" s="1044"/>
      <c r="O17" s="1044"/>
      <c r="P17" s="1044"/>
      <c r="Q17" s="1044"/>
      <c r="R17" s="1044"/>
    </row>
    <row r="18" spans="1:18" s="1039" customFormat="1" ht="25.5" x14ac:dyDescent="0.2">
      <c r="A18" s="1035" t="s">
        <v>2010</v>
      </c>
      <c r="B18" s="1013" t="s">
        <v>1896</v>
      </c>
      <c r="C18" s="1245">
        <f>+'F Y U 2024 Presupuesto'!C96</f>
        <v>1039155856.4800001</v>
      </c>
      <c r="D18" s="1037">
        <f t="shared" si="0"/>
        <v>1039156000</v>
      </c>
      <c r="E18" s="1038">
        <f t="shared" si="1"/>
        <v>706626080</v>
      </c>
      <c r="F18" s="1038">
        <f t="shared" si="2"/>
        <v>332529920</v>
      </c>
      <c r="H18" s="1073">
        <f>ROUND(D18*0.68,0)</f>
        <v>706626080</v>
      </c>
      <c r="I18" s="1041"/>
      <c r="J18" s="1042">
        <f t="shared" si="3"/>
        <v>72740920</v>
      </c>
      <c r="K18" s="1042">
        <f t="shared" si="4"/>
        <v>259789000</v>
      </c>
      <c r="L18" s="1042"/>
      <c r="M18" s="1043"/>
      <c r="N18" s="1044"/>
      <c r="O18" s="1044"/>
      <c r="P18" s="1044"/>
      <c r="Q18" s="1044"/>
      <c r="R18" s="1044"/>
    </row>
    <row r="19" spans="1:18" s="1039" customFormat="1" x14ac:dyDescent="0.2">
      <c r="A19" s="1035" t="s">
        <v>2010</v>
      </c>
      <c r="B19" s="1013" t="s">
        <v>809</v>
      </c>
      <c r="C19" s="1245">
        <f>+'F Y U 2024 Presupuesto'!C97</f>
        <v>32160192.400000002</v>
      </c>
      <c r="D19" s="1037">
        <f t="shared" si="0"/>
        <v>32160000</v>
      </c>
      <c r="E19" s="1038">
        <f t="shared" si="1"/>
        <v>21868800</v>
      </c>
      <c r="F19" s="1038">
        <f t="shared" si="2"/>
        <v>10291200</v>
      </c>
      <c r="H19" s="1040">
        <f>ROUND(D19*0.68,0)</f>
        <v>21868800</v>
      </c>
      <c r="I19" s="1041"/>
      <c r="J19" s="1042">
        <f t="shared" si="3"/>
        <v>2251200</v>
      </c>
      <c r="K19" s="1042">
        <f t="shared" si="4"/>
        <v>8040000</v>
      </c>
      <c r="L19" s="1042"/>
      <c r="M19" s="1043"/>
      <c r="N19" s="1044"/>
      <c r="O19" s="1044"/>
      <c r="P19" s="1044"/>
      <c r="Q19" s="1044"/>
      <c r="R19" s="1044"/>
    </row>
    <row r="20" spans="1:18" s="1039" customFormat="1" ht="25.5" x14ac:dyDescent="0.2">
      <c r="A20" s="1035">
        <v>154</v>
      </c>
      <c r="B20" s="1013" t="s">
        <v>1897</v>
      </c>
      <c r="C20" s="1245">
        <f>+'F Y U 2024 Presupuesto'!C106</f>
        <v>2874685228.7195997</v>
      </c>
      <c r="D20" s="1037">
        <f t="shared" si="0"/>
        <v>2874685000</v>
      </c>
      <c r="E20" s="1038">
        <f>+H20+I20+M20</f>
        <v>2156013750</v>
      </c>
      <c r="F20" s="1038">
        <f>+J20+K20</f>
        <v>718671250</v>
      </c>
      <c r="H20" s="1075">
        <f>ROUND(D20*0.75,0)</f>
        <v>2156013750</v>
      </c>
      <c r="I20" s="1041"/>
      <c r="J20" s="1048"/>
      <c r="K20" s="1042">
        <f t="shared" si="4"/>
        <v>718671250</v>
      </c>
      <c r="L20" s="1042"/>
      <c r="M20" s="1043"/>
      <c r="N20" s="1044"/>
      <c r="O20" s="1044"/>
      <c r="P20" s="1044"/>
      <c r="Q20" s="1044"/>
      <c r="R20" s="1044"/>
    </row>
    <row r="21" spans="1:18" s="1039" customFormat="1" ht="25.5" x14ac:dyDescent="0.2">
      <c r="A21" s="1035">
        <v>154</v>
      </c>
      <c r="B21" s="1013" t="s">
        <v>1898</v>
      </c>
      <c r="C21" s="1245">
        <f>+'F Y U 2024 Presupuesto'!C103</f>
        <v>15500000000</v>
      </c>
      <c r="D21" s="1037">
        <f t="shared" si="0"/>
        <v>15500000000</v>
      </c>
      <c r="E21" s="1038">
        <f t="shared" si="1"/>
        <v>15500000000</v>
      </c>
      <c r="F21" s="1038">
        <f t="shared" si="2"/>
        <v>0</v>
      </c>
      <c r="H21" s="1073">
        <f>D21</f>
        <v>15500000000</v>
      </c>
      <c r="I21" s="1041"/>
      <c r="J21" s="1042"/>
      <c r="K21" s="1042"/>
      <c r="L21" s="1042"/>
      <c r="M21" s="1043"/>
      <c r="N21" s="1044"/>
      <c r="P21" s="1044"/>
      <c r="Q21" s="1044"/>
      <c r="R21" s="1044"/>
    </row>
    <row r="22" spans="1:18" s="1039" customFormat="1" ht="38.25" x14ac:dyDescent="0.2">
      <c r="A22" s="1035">
        <v>154</v>
      </c>
      <c r="B22" s="1013" t="s">
        <v>1899</v>
      </c>
      <c r="C22" s="1245">
        <f>+'F Y U 2024 Presupuesto'!C104</f>
        <v>5061794045.771841</v>
      </c>
      <c r="D22" s="1037">
        <f t="shared" si="0"/>
        <v>5061794000</v>
      </c>
      <c r="E22" s="1038">
        <f t="shared" si="1"/>
        <v>5061794000</v>
      </c>
      <c r="F22" s="1038">
        <f t="shared" si="2"/>
        <v>0</v>
      </c>
      <c r="H22" s="1073">
        <f>D22</f>
        <v>5061794000</v>
      </c>
      <c r="I22" s="1041"/>
      <c r="J22" s="1042"/>
      <c r="K22" s="1042"/>
      <c r="L22" s="1042"/>
      <c r="M22" s="1043"/>
      <c r="N22" s="1044"/>
      <c r="O22" s="1044"/>
      <c r="P22" s="1044"/>
      <c r="Q22" s="1044"/>
      <c r="R22" s="1044"/>
    </row>
    <row r="23" spans="1:18" s="1039" customFormat="1" ht="25.5" x14ac:dyDescent="0.2">
      <c r="A23" s="1035">
        <v>154</v>
      </c>
      <c r="B23" s="1013" t="s">
        <v>1900</v>
      </c>
      <c r="C23" s="1245">
        <f>+'F Y U 2024 Presupuesto'!C105</f>
        <v>2166182721.9200001</v>
      </c>
      <c r="D23" s="1037">
        <f t="shared" si="0"/>
        <v>2166183000</v>
      </c>
      <c r="E23" s="1038">
        <f t="shared" si="1"/>
        <v>2166183000</v>
      </c>
      <c r="F23" s="1038">
        <f t="shared" si="2"/>
        <v>0</v>
      </c>
      <c r="H23" s="1073">
        <f>D23</f>
        <v>2166183000</v>
      </c>
      <c r="I23" s="1041"/>
      <c r="J23" s="1042"/>
      <c r="K23" s="1042"/>
      <c r="L23" s="1042"/>
      <c r="M23" s="1043"/>
      <c r="N23" s="1044"/>
      <c r="O23" s="1044"/>
      <c r="P23" s="1044"/>
      <c r="Q23" s="1044"/>
      <c r="R23" s="1044"/>
    </row>
    <row r="24" spans="1:18" s="585" customFormat="1" ht="25.5" x14ac:dyDescent="0.2">
      <c r="A24" s="607" t="s">
        <v>2012</v>
      </c>
      <c r="B24" s="608" t="s">
        <v>1146</v>
      </c>
      <c r="C24" s="1245">
        <f>+'F Y U 2024 Presupuesto'!C107</f>
        <v>3963289433</v>
      </c>
      <c r="D24" s="1037">
        <f t="shared" si="0"/>
        <v>3963289000</v>
      </c>
      <c r="E24" s="606">
        <f>+D24</f>
        <v>3963289000</v>
      </c>
      <c r="F24" s="606">
        <f t="shared" si="2"/>
        <v>0</v>
      </c>
      <c r="G24" s="587"/>
      <c r="H24" s="613"/>
      <c r="I24" s="1049">
        <f>+'Ingresos 2023'!J326</f>
        <v>2780525000</v>
      </c>
      <c r="J24" s="611"/>
      <c r="K24" s="611"/>
      <c r="L24" s="611"/>
      <c r="M24" s="1050">
        <f>+'Ingresos 2023'!J327+'Ingresos 2023'!J328+'Ingresos 2023'!J329+'Ingresos 2023'!J330</f>
        <v>1182764433</v>
      </c>
      <c r="N24" s="586"/>
      <c r="O24" s="586"/>
      <c r="P24" s="586"/>
      <c r="Q24" s="586"/>
      <c r="R24" s="586"/>
    </row>
    <row r="25" spans="1:18" x14ac:dyDescent="0.2">
      <c r="A25" s="1733" t="s">
        <v>1773</v>
      </c>
      <c r="B25" s="1733"/>
      <c r="C25" s="1249">
        <f>SUM(C4:C24)</f>
        <v>71043832438.59964</v>
      </c>
      <c r="D25" s="609">
        <f>SUM(D4:D24)</f>
        <v>71043833000</v>
      </c>
      <c r="E25" s="1070">
        <f>SUM(E4:E24)</f>
        <v>61028039601</v>
      </c>
      <c r="F25" s="609">
        <f>SUM(F4:F24)</f>
        <v>10015793400</v>
      </c>
      <c r="H25" s="614">
        <f>SUM(H4:H24)</f>
        <v>43988999851</v>
      </c>
      <c r="I25" s="614">
        <f t="shared" ref="I25:M25" si="5">SUM(I4:I24)</f>
        <v>10142620750</v>
      </c>
      <c r="J25" s="614">
        <f t="shared" si="5"/>
        <v>893838400</v>
      </c>
      <c r="K25" s="614">
        <f t="shared" si="5"/>
        <v>9121955000</v>
      </c>
      <c r="L25" s="614">
        <f t="shared" si="5"/>
        <v>0</v>
      </c>
      <c r="M25" s="614">
        <f t="shared" si="5"/>
        <v>6896419433</v>
      </c>
    </row>
    <row r="26" spans="1:18" s="584" customFormat="1" x14ac:dyDescent="0.2">
      <c r="A26" s="589"/>
      <c r="C26" s="1243"/>
      <c r="E26" s="584">
        <f>+E25+F25</f>
        <v>71043833001</v>
      </c>
      <c r="H26" s="584">
        <f>H25+I25+M25</f>
        <v>61028040034</v>
      </c>
      <c r="J26" s="584">
        <f>J25+K25</f>
        <v>10015793400</v>
      </c>
    </row>
    <row r="27" spans="1:18" x14ac:dyDescent="0.2">
      <c r="C27" s="1243">
        <f>+'F Y U 2024 Presupuesto'!C108</f>
        <v>71043831543.879639</v>
      </c>
      <c r="D27" s="911">
        <f>D25-D26</f>
        <v>71043833000</v>
      </c>
      <c r="H27" s="584">
        <v>47354720333</v>
      </c>
      <c r="J27" s="584">
        <f>H25+I25+M25</f>
        <v>61028040034</v>
      </c>
    </row>
    <row r="28" spans="1:18" x14ac:dyDescent="0.2">
      <c r="H28" s="584">
        <f>H26-H27</f>
        <v>13673319701</v>
      </c>
    </row>
    <row r="29" spans="1:18" x14ac:dyDescent="0.2">
      <c r="J29" s="584">
        <v>7729262589</v>
      </c>
    </row>
    <row r="30" spans="1:18" x14ac:dyDescent="0.2">
      <c r="H30" s="584">
        <v>43129318421.943283</v>
      </c>
      <c r="J30" s="584">
        <f>J25+K25</f>
        <v>10015793400</v>
      </c>
    </row>
    <row r="31" spans="1:18" x14ac:dyDescent="0.2">
      <c r="H31" s="584">
        <f>H26-H30</f>
        <v>17898721612.056717</v>
      </c>
    </row>
    <row r="33" spans="8:8" x14ac:dyDescent="0.2">
      <c r="H33" s="584">
        <f>H25+I25+M25</f>
        <v>61028040034</v>
      </c>
    </row>
  </sheetData>
  <autoFilter ref="D1:D26" xr:uid="{00000000-0009-0000-0000-00000D000000}"/>
  <mergeCells count="2">
    <mergeCell ref="A2:M2"/>
    <mergeCell ref="A25:B25"/>
  </mergeCell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E94F-2B3B-4AC9-BBE1-7394A2A306D7}">
  <dimension ref="A1:Q35"/>
  <sheetViews>
    <sheetView topLeftCell="A4" workbookViewId="0">
      <selection activeCell="E17" sqref="E17"/>
    </sheetView>
  </sheetViews>
  <sheetFormatPr baseColWidth="10" defaultRowHeight="15" x14ac:dyDescent="0.25"/>
  <cols>
    <col min="1" max="1" width="4.28515625" bestFit="1" customWidth="1"/>
    <col min="2" max="2" width="16.42578125" customWidth="1"/>
    <col min="3" max="3" width="13.85546875" customWidth="1"/>
    <col min="4" max="4" width="15.140625" bestFit="1" customWidth="1"/>
    <col min="5" max="5" width="18.140625" customWidth="1"/>
    <col min="6" max="6" width="18.42578125" customWidth="1"/>
    <col min="7" max="7" width="17.42578125" bestFit="1" customWidth="1"/>
    <col min="8" max="8" width="14.140625" bestFit="1" customWidth="1"/>
    <col min="9" max="9" width="18" customWidth="1"/>
    <col min="10" max="10" width="18.5703125" customWidth="1"/>
    <col min="11" max="11" width="13.5703125" bestFit="1" customWidth="1"/>
    <col min="12" max="12" width="17.85546875" bestFit="1" customWidth="1"/>
    <col min="13" max="13" width="17.85546875" style="1204" customWidth="1"/>
    <col min="14" max="14" width="17.85546875" style="1204" bestFit="1" customWidth="1"/>
    <col min="15" max="16" width="14.5703125" bestFit="1" customWidth="1"/>
  </cols>
  <sheetData>
    <row r="1" spans="1:17" x14ac:dyDescent="0.25">
      <c r="A1" s="1732" t="s">
        <v>3235</v>
      </c>
      <c r="B1" s="1732"/>
      <c r="C1" s="1732"/>
      <c r="D1" s="1732"/>
      <c r="E1" s="1732"/>
      <c r="F1" s="1732"/>
      <c r="G1" s="1732"/>
      <c r="H1" s="1732"/>
      <c r="I1" s="1203"/>
      <c r="J1" s="1203"/>
    </row>
    <row r="2" spans="1:17" x14ac:dyDescent="0.25">
      <c r="A2" s="1732" t="s">
        <v>3236</v>
      </c>
      <c r="B2" s="1732"/>
      <c r="C2" s="1732"/>
      <c r="D2" s="1732"/>
      <c r="E2" s="1732"/>
      <c r="F2" s="1732"/>
      <c r="G2" s="1732"/>
      <c r="H2" s="1732"/>
      <c r="I2" s="1203"/>
      <c r="J2" s="1203"/>
      <c r="M2" s="1204" t="s">
        <v>3223</v>
      </c>
    </row>
    <row r="3" spans="1:17" x14ac:dyDescent="0.25">
      <c r="A3" s="585"/>
      <c r="B3" s="585"/>
      <c r="C3" s="585"/>
      <c r="D3" s="585"/>
      <c r="E3" s="585"/>
      <c r="F3" s="585"/>
      <c r="G3" s="585"/>
      <c r="H3" s="585"/>
      <c r="I3" s="585"/>
      <c r="J3" s="585"/>
      <c r="M3" s="1205">
        <v>84933000</v>
      </c>
      <c r="N3" s="1204">
        <v>49</v>
      </c>
    </row>
    <row r="4" spans="1:17" x14ac:dyDescent="0.25">
      <c r="A4" s="585"/>
      <c r="B4" s="1211"/>
      <c r="C4" s="1206"/>
      <c r="D4" s="1206"/>
      <c r="E4" s="1206"/>
      <c r="F4" s="1206"/>
      <c r="G4" s="1206"/>
      <c r="H4" s="1206"/>
    </row>
    <row r="5" spans="1:17" x14ac:dyDescent="0.25">
      <c r="A5" s="585"/>
      <c r="B5" s="1211"/>
      <c r="C5" s="1206"/>
      <c r="D5" s="1206"/>
      <c r="E5" s="1206"/>
      <c r="F5" s="1206"/>
      <c r="G5" s="1206"/>
      <c r="H5" s="1206"/>
      <c r="M5" s="1214"/>
      <c r="N5" s="1213"/>
    </row>
    <row r="6" spans="1:17" x14ac:dyDescent="0.25">
      <c r="A6" s="585"/>
      <c r="B6" s="1735" t="s">
        <v>3226</v>
      </c>
      <c r="C6" s="1735"/>
      <c r="D6" s="1735"/>
      <c r="E6" s="1735"/>
      <c r="F6" s="1735"/>
      <c r="G6" s="1735"/>
      <c r="H6" s="1735"/>
      <c r="I6" s="1206"/>
      <c r="J6" s="1215"/>
      <c r="L6" s="1216"/>
      <c r="M6" s="1217"/>
      <c r="N6" s="1218"/>
      <c r="O6" s="1216"/>
      <c r="P6" s="1216"/>
      <c r="Q6" s="1219"/>
    </row>
    <row r="7" spans="1:17" ht="15.75" thickBot="1" x14ac:dyDescent="0.3">
      <c r="A7" s="585"/>
      <c r="B7" s="1220"/>
      <c r="C7" s="1220"/>
      <c r="D7" s="1220"/>
      <c r="E7" s="1220"/>
      <c r="F7" s="1220"/>
      <c r="G7" s="1220"/>
      <c r="H7" s="1206"/>
      <c r="I7" s="1206"/>
      <c r="J7" s="1215"/>
      <c r="L7" s="1216"/>
      <c r="M7" s="1217"/>
      <c r="N7" s="1221"/>
      <c r="O7" s="1216"/>
      <c r="P7" s="1219"/>
      <c r="Q7" s="1219"/>
    </row>
    <row r="8" spans="1:17" ht="15.75" thickBot="1" x14ac:dyDescent="0.3">
      <c r="A8" s="585"/>
      <c r="B8" s="1222" t="s">
        <v>3245</v>
      </c>
      <c r="C8" s="1223" t="s">
        <v>3227</v>
      </c>
      <c r="D8" s="1207" t="s">
        <v>3224</v>
      </c>
      <c r="E8" s="1207" t="s">
        <v>3225</v>
      </c>
      <c r="F8" s="1224" t="s">
        <v>3242</v>
      </c>
      <c r="G8" s="1224" t="s">
        <v>3243</v>
      </c>
      <c r="I8" s="1206"/>
      <c r="J8" s="1215"/>
      <c r="L8" s="1216"/>
      <c r="M8" s="1217"/>
      <c r="N8" s="1218"/>
      <c r="O8" s="1216"/>
      <c r="P8" s="1219"/>
      <c r="Q8" s="1219"/>
    </row>
    <row r="9" spans="1:17" ht="15.75" thickBot="1" x14ac:dyDescent="0.3">
      <c r="A9" s="585"/>
      <c r="B9" s="1208">
        <f>MROUND(F9,1000)</f>
        <v>5174318000</v>
      </c>
      <c r="C9" s="1209">
        <f>+'Historico Plan Financiero 2024'!Y48+'Historico Plan Financiero 2024'!Y49+'Historico Plan Financiero 2024'!Y50+'Historico Plan Financiero 2024'!Y87</f>
        <v>36959412374.158401</v>
      </c>
      <c r="D9" s="1210">
        <f>+C9*0.37</f>
        <v>13674982578.438608</v>
      </c>
      <c r="E9" s="1210">
        <f>+C9*0.03</f>
        <v>1108782371.2247519</v>
      </c>
      <c r="F9" s="1225">
        <f>+C9*0.14</f>
        <v>5174317732.3821764</v>
      </c>
      <c r="G9" s="1225">
        <f>+C9-D9-E9-F9</f>
        <v>17001329692.112869</v>
      </c>
      <c r="H9" s="1242"/>
      <c r="I9" s="1206"/>
      <c r="J9" s="1215"/>
      <c r="L9" s="1219"/>
      <c r="M9" s="1217"/>
      <c r="N9" s="1218"/>
      <c r="O9" s="1219"/>
      <c r="P9" s="1216"/>
      <c r="Q9" s="1219"/>
    </row>
    <row r="10" spans="1:17" x14ac:dyDescent="0.25">
      <c r="A10" s="585"/>
      <c r="B10" s="585"/>
      <c r="C10" s="585"/>
      <c r="D10" s="585"/>
      <c r="E10" s="585"/>
      <c r="F10" s="585"/>
      <c r="G10" s="585"/>
      <c r="H10" s="1206"/>
      <c r="I10" s="1206"/>
      <c r="J10" s="1215"/>
      <c r="L10" s="1219"/>
      <c r="M10" s="1217"/>
      <c r="N10" s="1218"/>
      <c r="O10" s="1219"/>
      <c r="P10" s="1226"/>
      <c r="Q10" s="1219"/>
    </row>
    <row r="11" spans="1:17" x14ac:dyDescent="0.25">
      <c r="A11" s="585"/>
      <c r="B11" s="1211"/>
      <c r="C11" s="1211"/>
      <c r="D11" s="1211"/>
      <c r="E11" s="1211"/>
      <c r="F11" s="1211"/>
      <c r="G11" s="1211"/>
      <c r="H11" s="1211"/>
      <c r="I11" s="1211"/>
      <c r="J11" s="1215"/>
    </row>
    <row r="12" spans="1:17" x14ac:dyDescent="0.25">
      <c r="A12" s="585"/>
      <c r="B12" s="1211"/>
      <c r="C12" s="1211"/>
      <c r="D12" s="1211"/>
      <c r="E12" s="1211"/>
      <c r="F12" s="1211"/>
      <c r="G12" s="1211"/>
      <c r="H12" s="1211"/>
      <c r="I12" s="1211"/>
      <c r="J12" s="1215"/>
    </row>
    <row r="13" spans="1:17" x14ac:dyDescent="0.25">
      <c r="A13" s="585"/>
      <c r="B13" s="1735" t="s">
        <v>3241</v>
      </c>
      <c r="C13" s="1735"/>
      <c r="D13" s="1735"/>
      <c r="E13" s="1735"/>
      <c r="F13" s="1735"/>
      <c r="G13" s="1211"/>
      <c r="H13" s="1211"/>
      <c r="I13" s="1211"/>
      <c r="J13" s="1215"/>
    </row>
    <row r="14" spans="1:17" ht="15.75" thickBot="1" x14ac:dyDescent="0.3">
      <c r="A14" s="585"/>
      <c r="B14" s="585"/>
      <c r="C14" s="585"/>
      <c r="D14" s="585"/>
      <c r="E14" s="585"/>
      <c r="F14" s="585"/>
      <c r="G14" s="1211"/>
      <c r="H14" s="1211"/>
      <c r="I14" s="1211"/>
      <c r="J14" s="1215"/>
    </row>
    <row r="15" spans="1:17" ht="15.75" thickBot="1" x14ac:dyDescent="0.3">
      <c r="A15" s="585"/>
      <c r="B15" s="1229" t="s">
        <v>3245</v>
      </c>
      <c r="C15" s="1230" t="s">
        <v>3227</v>
      </c>
      <c r="D15" s="1227">
        <v>0.6</v>
      </c>
      <c r="E15" s="1207" t="s">
        <v>3224</v>
      </c>
      <c r="F15" s="1207" t="s">
        <v>3225</v>
      </c>
      <c r="G15" s="1211"/>
      <c r="H15" s="1211"/>
      <c r="I15" s="1211"/>
      <c r="J15" s="1215"/>
      <c r="M15" s="1204" t="s">
        <v>3228</v>
      </c>
    </row>
    <row r="16" spans="1:17" ht="15.75" thickBot="1" x14ac:dyDescent="0.3">
      <c r="A16" s="585"/>
      <c r="B16" s="1231">
        <f>MROUND(D16,1000)</f>
        <v>4661652000</v>
      </c>
      <c r="C16" s="1209">
        <f>+'Historico Plan Financiero 2024'!Y93+'Historico Plan Financiero 2024'!Y9+'Historico Plan Financiero 2024'!Y10+'Historico Plan Financiero 2024'!Y12</f>
        <v>7769419537.0799999</v>
      </c>
      <c r="D16" s="1210">
        <f>+C16*60%</f>
        <v>4661651722.2480001</v>
      </c>
      <c r="E16" s="1210">
        <f>C16*37%</f>
        <v>2874685228.7195997</v>
      </c>
      <c r="F16" s="1210">
        <f>C16*3%</f>
        <v>233082586.1124</v>
      </c>
      <c r="G16" s="1211"/>
      <c r="H16" s="1211"/>
      <c r="I16" s="1211"/>
      <c r="J16" s="1215"/>
      <c r="M16" s="1205">
        <v>2500000000</v>
      </c>
      <c r="N16" s="1204">
        <v>60</v>
      </c>
    </row>
    <row r="17" spans="1:14" x14ac:dyDescent="0.25">
      <c r="A17" s="585"/>
      <c r="B17" s="572"/>
      <c r="C17" s="572"/>
      <c r="D17" s="572"/>
      <c r="E17" s="572"/>
      <c r="F17" s="572"/>
      <c r="G17" s="1211"/>
      <c r="H17" s="1211"/>
      <c r="I17" s="1211"/>
      <c r="J17" s="1215"/>
      <c r="M17" s="1205">
        <f>+M16*N17/N16</f>
        <v>4166666666.6666665</v>
      </c>
      <c r="N17" s="1204">
        <v>100</v>
      </c>
    </row>
    <row r="18" spans="1:14" x14ac:dyDescent="0.25">
      <c r="A18" s="585"/>
      <c r="B18" s="1211"/>
      <c r="C18" s="1211"/>
      <c r="D18" s="1211"/>
      <c r="E18" s="1211"/>
      <c r="F18" s="1211"/>
      <c r="G18" s="1211"/>
      <c r="H18" s="1211"/>
      <c r="I18" s="1211"/>
      <c r="J18" s="1215"/>
    </row>
    <row r="19" spans="1:14" x14ac:dyDescent="0.25">
      <c r="A19" s="585"/>
      <c r="B19" s="1735" t="s">
        <v>3239</v>
      </c>
      <c r="C19" s="1735"/>
      <c r="D19" s="1735"/>
      <c r="E19" s="1735"/>
      <c r="F19" s="1206"/>
      <c r="G19" s="1206"/>
      <c r="H19" s="1206"/>
      <c r="I19" s="1206"/>
      <c r="J19" s="585"/>
      <c r="M19" s="1204" t="s">
        <v>3212</v>
      </c>
    </row>
    <row r="20" spans="1:14" ht="15.75" thickBot="1" x14ac:dyDescent="0.3">
      <c r="A20" s="585"/>
      <c r="B20" s="1211"/>
      <c r="C20" s="1206"/>
      <c r="D20" s="1206"/>
      <c r="E20" s="1215"/>
      <c r="F20" s="572"/>
      <c r="G20" s="572"/>
      <c r="H20" s="572"/>
      <c r="I20" s="572"/>
      <c r="J20" s="585"/>
      <c r="L20" s="1212"/>
      <c r="M20" s="1205">
        <v>480000000</v>
      </c>
      <c r="N20" s="1204">
        <v>40</v>
      </c>
    </row>
    <row r="21" spans="1:14" ht="15.75" thickBot="1" x14ac:dyDescent="0.3">
      <c r="A21" s="585"/>
      <c r="B21" s="1229" t="s">
        <v>3245</v>
      </c>
      <c r="C21" s="1230" t="s">
        <v>3227</v>
      </c>
      <c r="D21" s="1230" t="s">
        <v>3229</v>
      </c>
      <c r="E21" s="1230" t="s">
        <v>3230</v>
      </c>
      <c r="F21" s="1232"/>
      <c r="G21" s="572"/>
      <c r="H21" s="572"/>
      <c r="I21" s="572"/>
      <c r="J21" s="585"/>
      <c r="M21" s="1205">
        <f>+M20*N21/N20</f>
        <v>96000000</v>
      </c>
      <c r="N21" s="1204">
        <v>8</v>
      </c>
    </row>
    <row r="22" spans="1:14" ht="18.75" thickBot="1" x14ac:dyDescent="0.3">
      <c r="A22" s="1233"/>
      <c r="B22" s="1231">
        <f>MROUND(D22,1000)</f>
        <v>21471737000</v>
      </c>
      <c r="C22" s="1210">
        <f>+'Historico Plan Financiero 2024'!Y14+'Historico Plan Financiero 2024'!Y15+'Historico Plan Financiero 2024'!Y88</f>
        <v>25766083919.700001</v>
      </c>
      <c r="D22" s="1210">
        <f>((C22*100)/48)*40%</f>
        <v>21471736599.75</v>
      </c>
      <c r="E22" s="1210">
        <f>((C22*100)/48)*8%</f>
        <v>4294347319.9500003</v>
      </c>
      <c r="F22" s="572"/>
      <c r="G22" s="572"/>
      <c r="H22" s="572"/>
      <c r="I22" s="1206"/>
      <c r="J22" s="1234"/>
      <c r="L22" s="1212"/>
      <c r="M22" s="1213"/>
    </row>
    <row r="23" spans="1:14" ht="18" x14ac:dyDescent="0.25">
      <c r="A23" s="1233"/>
      <c r="B23" s="1235"/>
      <c r="C23" s="1206"/>
      <c r="D23" s="1206"/>
      <c r="E23" s="1206"/>
      <c r="F23" s="572"/>
      <c r="G23" s="572"/>
      <c r="H23" s="572"/>
      <c r="I23" s="1206"/>
      <c r="J23" s="1234"/>
      <c r="L23" s="1212"/>
      <c r="M23" s="1213" t="s">
        <v>3211</v>
      </c>
    </row>
    <row r="24" spans="1:14" x14ac:dyDescent="0.25">
      <c r="A24" s="585"/>
      <c r="B24" s="1206"/>
      <c r="C24" s="1206"/>
      <c r="D24" s="1206"/>
      <c r="E24" s="1206"/>
      <c r="F24" s="572"/>
      <c r="G24" s="572"/>
      <c r="H24" s="572"/>
      <c r="I24" s="1206"/>
      <c r="J24" s="1236"/>
    </row>
    <row r="25" spans="1:14" x14ac:dyDescent="0.25">
      <c r="A25" s="585"/>
      <c r="B25" s="1735" t="s">
        <v>3231</v>
      </c>
      <c r="C25" s="1735"/>
      <c r="D25" s="1735"/>
      <c r="E25" s="1735"/>
      <c r="F25" s="1735"/>
      <c r="G25" s="1228"/>
      <c r="H25" s="1228"/>
      <c r="I25" s="1206"/>
      <c r="J25" s="1237"/>
    </row>
    <row r="26" spans="1:14" ht="15.75" thickBot="1" x14ac:dyDescent="0.3">
      <c r="A26" s="585"/>
      <c r="B26" s="572"/>
      <c r="C26" s="572"/>
      <c r="D26" s="572"/>
      <c r="E26" s="572"/>
      <c r="F26" s="572"/>
      <c r="G26" s="1736"/>
      <c r="H26" s="1736"/>
      <c r="I26" s="1206"/>
      <c r="J26" s="1237"/>
    </row>
    <row r="27" spans="1:14" ht="15.75" thickBot="1" x14ac:dyDescent="0.3">
      <c r="A27" s="585"/>
      <c r="B27" s="1222" t="s">
        <v>3245</v>
      </c>
      <c r="C27" s="1223" t="s">
        <v>3227</v>
      </c>
      <c r="D27" s="1230" t="s">
        <v>3232</v>
      </c>
      <c r="E27" s="1224" t="s">
        <v>3233</v>
      </c>
      <c r="F27" s="1230" t="s">
        <v>1821</v>
      </c>
      <c r="G27" s="1230" t="s">
        <v>3234</v>
      </c>
      <c r="H27" s="1238"/>
      <c r="I27" s="1206"/>
      <c r="J27" s="1228"/>
    </row>
    <row r="28" spans="1:14" ht="15.75" thickBot="1" x14ac:dyDescent="0.3">
      <c r="A28" s="585"/>
      <c r="B28" s="1208">
        <f>MROUND(D28,1000)</f>
        <v>14173023000</v>
      </c>
      <c r="C28" s="1209">
        <v>16872646819.23947</v>
      </c>
      <c r="D28" s="1210">
        <f>C28*84%</f>
        <v>14173023328.161154</v>
      </c>
      <c r="E28" s="1210">
        <f>C28*16%</f>
        <v>2699623491.0783153</v>
      </c>
      <c r="F28" s="1239">
        <f>+C28*30%</f>
        <v>5061794045.771841</v>
      </c>
      <c r="G28" s="1210">
        <v>15200000000</v>
      </c>
      <c r="H28" s="1215"/>
      <c r="I28" s="1206"/>
      <c r="J28" s="1228"/>
    </row>
    <row r="29" spans="1:14" x14ac:dyDescent="0.25">
      <c r="A29" s="585"/>
      <c r="B29" s="585"/>
      <c r="C29" s="585"/>
      <c r="D29" s="585"/>
      <c r="E29" s="585"/>
      <c r="F29" s="585"/>
      <c r="G29" s="1734"/>
      <c r="H29" s="1734"/>
      <c r="I29" s="585"/>
      <c r="J29" s="585"/>
      <c r="L29" s="1212"/>
    </row>
    <row r="30" spans="1:14" x14ac:dyDescent="0.25">
      <c r="A30" s="585"/>
      <c r="B30" s="585"/>
      <c r="C30" s="585"/>
      <c r="D30" s="585"/>
      <c r="E30" s="585"/>
      <c r="F30" s="1241"/>
      <c r="G30" s="585"/>
      <c r="H30" s="585"/>
      <c r="I30" s="585"/>
      <c r="J30" s="917"/>
      <c r="L30" s="1212"/>
      <c r="M30" s="1213"/>
    </row>
    <row r="31" spans="1:14" x14ac:dyDescent="0.25">
      <c r="A31" s="1203"/>
      <c r="B31" s="585"/>
      <c r="C31" s="585"/>
      <c r="D31" s="585"/>
      <c r="E31" s="585"/>
      <c r="F31" s="585"/>
      <c r="G31" s="585"/>
      <c r="H31" s="585"/>
      <c r="I31" s="585"/>
      <c r="J31" s="585"/>
    </row>
    <row r="32" spans="1:14" x14ac:dyDescent="0.25">
      <c r="A32" s="585"/>
      <c r="B32" s="585"/>
      <c r="C32" s="585"/>
      <c r="D32" s="585"/>
      <c r="E32" s="585"/>
      <c r="F32" s="585"/>
      <c r="G32" s="585"/>
      <c r="H32" s="585"/>
      <c r="I32" s="585"/>
      <c r="J32" s="1240"/>
    </row>
    <row r="33" spans="1:10" x14ac:dyDescent="0.25">
      <c r="A33" s="585"/>
      <c r="B33" s="585"/>
      <c r="C33" s="585"/>
      <c r="D33" s="585"/>
      <c r="E33" s="585"/>
      <c r="F33" s="585"/>
      <c r="G33" s="585"/>
      <c r="H33" s="585"/>
      <c r="I33" s="585"/>
      <c r="J33" s="585"/>
    </row>
    <row r="34" spans="1:10" x14ac:dyDescent="0.25">
      <c r="A34" s="585"/>
      <c r="B34" s="585"/>
      <c r="C34" s="585"/>
      <c r="D34" s="585"/>
      <c r="E34" s="585"/>
      <c r="F34" s="585"/>
      <c r="G34" s="585"/>
      <c r="H34" s="585"/>
      <c r="I34" s="585"/>
      <c r="J34" s="585"/>
    </row>
    <row r="35" spans="1:10" x14ac:dyDescent="0.25">
      <c r="A35" s="585"/>
      <c r="B35" s="585"/>
      <c r="C35" s="585"/>
      <c r="D35" s="585"/>
      <c r="E35" s="585"/>
      <c r="F35" s="585"/>
      <c r="G35" s="585"/>
      <c r="H35" s="585"/>
      <c r="I35" s="585"/>
      <c r="J35" s="585"/>
    </row>
  </sheetData>
  <mergeCells count="8">
    <mergeCell ref="G29:H29"/>
    <mergeCell ref="B13:F13"/>
    <mergeCell ref="B19:E19"/>
    <mergeCell ref="A1:H1"/>
    <mergeCell ref="A2:H2"/>
    <mergeCell ref="B6:H6"/>
    <mergeCell ref="B25:F25"/>
    <mergeCell ref="G26:H2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6349-EB0B-4551-BB71-1801FE6212C9}">
  <sheetPr>
    <tabColor rgb="FF00B0F0"/>
  </sheetPr>
  <dimension ref="A1:N461"/>
  <sheetViews>
    <sheetView topLeftCell="E171" workbookViewId="0">
      <selection activeCell="K185" sqref="K185"/>
    </sheetView>
  </sheetViews>
  <sheetFormatPr baseColWidth="10" defaultColWidth="11.42578125" defaultRowHeight="15" x14ac:dyDescent="0.25"/>
  <cols>
    <col min="1" max="1" width="0" hidden="1" customWidth="1"/>
    <col min="3" max="3" width="0" hidden="1" customWidth="1"/>
    <col min="5" max="5" width="48.140625" bestFit="1" customWidth="1"/>
    <col min="6" max="6" width="0" hidden="1" customWidth="1"/>
    <col min="7" max="7" width="52.7109375" customWidth="1"/>
    <col min="8" max="8" width="0" hidden="1" customWidth="1"/>
    <col min="9" max="9" width="18.85546875" style="131" bestFit="1" customWidth="1"/>
    <col min="10" max="10" width="22.28515625" style="131" bestFit="1" customWidth="1"/>
    <col min="11" max="11" width="22.140625" style="131" bestFit="1" customWidth="1"/>
    <col min="12" max="13" width="16.28515625" style="131" bestFit="1" customWidth="1"/>
    <col min="14" max="14" width="11.42578125" style="131"/>
  </cols>
  <sheetData>
    <row r="1" spans="1:11" x14ac:dyDescent="0.25">
      <c r="A1" t="s">
        <v>1481</v>
      </c>
      <c r="B1" t="s">
        <v>1188</v>
      </c>
      <c r="C1" t="s">
        <v>1482</v>
      </c>
      <c r="D1" t="s">
        <v>222</v>
      </c>
      <c r="E1" t="s">
        <v>223</v>
      </c>
      <c r="F1" t="s">
        <v>1483</v>
      </c>
      <c r="G1" t="s">
        <v>224</v>
      </c>
      <c r="H1" t="s">
        <v>1484</v>
      </c>
      <c r="I1" s="131" t="s">
        <v>225</v>
      </c>
      <c r="J1" s="131" t="s">
        <v>1485</v>
      </c>
      <c r="K1" s="131" t="s">
        <v>1486</v>
      </c>
    </row>
    <row r="2" spans="1:11" x14ac:dyDescent="0.25">
      <c r="A2">
        <v>2023</v>
      </c>
      <c r="B2">
        <v>307</v>
      </c>
      <c r="C2">
        <v>1</v>
      </c>
      <c r="D2" t="s">
        <v>226</v>
      </c>
      <c r="E2" t="s">
        <v>227</v>
      </c>
      <c r="F2">
        <v>1</v>
      </c>
      <c r="G2" t="s">
        <v>228</v>
      </c>
      <c r="H2" t="s">
        <v>1487</v>
      </c>
      <c r="I2" s="131">
        <v>168744628892.12</v>
      </c>
      <c r="J2" s="131">
        <v>310588660383.84998</v>
      </c>
      <c r="K2" s="131">
        <v>206053844213.19</v>
      </c>
    </row>
    <row r="3" spans="1:11" x14ac:dyDescent="0.25">
      <c r="A3">
        <v>2023</v>
      </c>
      <c r="B3">
        <v>307</v>
      </c>
      <c r="C3">
        <v>11</v>
      </c>
      <c r="D3" t="s">
        <v>226</v>
      </c>
      <c r="E3" t="s">
        <v>229</v>
      </c>
      <c r="F3">
        <v>11</v>
      </c>
      <c r="G3" t="s">
        <v>230</v>
      </c>
      <c r="H3" t="s">
        <v>1487</v>
      </c>
      <c r="I3" s="131">
        <v>159959394474.12</v>
      </c>
      <c r="J3" s="131">
        <v>180430695230.12</v>
      </c>
      <c r="K3" s="131">
        <v>96274499241.75</v>
      </c>
    </row>
    <row r="4" spans="1:11" x14ac:dyDescent="0.25">
      <c r="A4">
        <v>2023</v>
      </c>
      <c r="B4">
        <v>307</v>
      </c>
      <c r="C4">
        <v>1101</v>
      </c>
      <c r="D4" t="s">
        <v>226</v>
      </c>
      <c r="E4" t="s">
        <v>231</v>
      </c>
      <c r="F4">
        <v>1101</v>
      </c>
      <c r="G4" t="s">
        <v>232</v>
      </c>
      <c r="H4" t="s">
        <v>1487</v>
      </c>
      <c r="I4" s="131">
        <v>122925813614</v>
      </c>
      <c r="J4" s="131">
        <v>136184617524</v>
      </c>
      <c r="K4" s="131">
        <v>78626104049.149994</v>
      </c>
    </row>
    <row r="5" spans="1:11" x14ac:dyDescent="0.25">
      <c r="A5">
        <v>2023</v>
      </c>
      <c r="B5">
        <v>307</v>
      </c>
      <c r="C5">
        <v>110101</v>
      </c>
      <c r="D5" t="s">
        <v>226</v>
      </c>
      <c r="E5" t="s">
        <v>233</v>
      </c>
      <c r="F5">
        <v>110101</v>
      </c>
      <c r="G5" t="s">
        <v>234</v>
      </c>
      <c r="H5" t="s">
        <v>1487</v>
      </c>
      <c r="I5" s="131">
        <v>21958559206</v>
      </c>
      <c r="J5" s="131">
        <v>27958559206</v>
      </c>
      <c r="K5" s="131">
        <v>23421086954.529999</v>
      </c>
    </row>
    <row r="6" spans="1:11" x14ac:dyDescent="0.25">
      <c r="A6">
        <v>2023</v>
      </c>
      <c r="B6">
        <v>307</v>
      </c>
      <c r="C6">
        <v>110101100</v>
      </c>
      <c r="D6">
        <v>20</v>
      </c>
      <c r="E6" t="s">
        <v>238</v>
      </c>
      <c r="F6">
        <v>110101100</v>
      </c>
      <c r="G6" t="s">
        <v>239</v>
      </c>
      <c r="H6" t="s">
        <v>1487</v>
      </c>
      <c r="I6" s="1184">
        <v>21958559206</v>
      </c>
      <c r="J6" s="131">
        <v>27958559206</v>
      </c>
      <c r="K6" s="131">
        <v>23421086954.529999</v>
      </c>
    </row>
    <row r="7" spans="1:11" x14ac:dyDescent="0.25">
      <c r="A7">
        <v>2023</v>
      </c>
      <c r="B7">
        <v>307</v>
      </c>
      <c r="C7">
        <v>110102</v>
      </c>
      <c r="D7" t="s">
        <v>226</v>
      </c>
      <c r="E7" t="s">
        <v>240</v>
      </c>
      <c r="F7">
        <v>110102</v>
      </c>
      <c r="G7" t="s">
        <v>241</v>
      </c>
      <c r="H7" t="s">
        <v>1487</v>
      </c>
      <c r="I7" s="131">
        <v>100967254408</v>
      </c>
      <c r="J7" s="131">
        <v>108226058318</v>
      </c>
      <c r="K7" s="131">
        <v>55205017094.620003</v>
      </c>
    </row>
    <row r="8" spans="1:11" x14ac:dyDescent="0.25">
      <c r="A8">
        <v>2023</v>
      </c>
      <c r="B8">
        <v>307</v>
      </c>
      <c r="C8">
        <v>110102100</v>
      </c>
      <c r="D8" t="s">
        <v>226</v>
      </c>
      <c r="E8" t="s">
        <v>242</v>
      </c>
      <c r="F8">
        <v>110102100</v>
      </c>
      <c r="G8" t="s">
        <v>243</v>
      </c>
      <c r="H8" t="s">
        <v>1487</v>
      </c>
      <c r="I8" s="131">
        <v>21600000000</v>
      </c>
      <c r="J8" s="131">
        <v>25900000000</v>
      </c>
      <c r="K8" s="131">
        <v>11375106210.48</v>
      </c>
    </row>
    <row r="9" spans="1:11" x14ac:dyDescent="0.25">
      <c r="A9">
        <v>2023</v>
      </c>
      <c r="B9">
        <v>307</v>
      </c>
      <c r="C9">
        <v>11010210001</v>
      </c>
      <c r="D9" t="s">
        <v>226</v>
      </c>
      <c r="E9" t="s">
        <v>1488</v>
      </c>
      <c r="F9">
        <v>11010210001</v>
      </c>
      <c r="G9" t="s">
        <v>245</v>
      </c>
      <c r="H9" t="s">
        <v>1487</v>
      </c>
      <c r="I9" s="131">
        <v>648000000</v>
      </c>
      <c r="J9" s="131">
        <v>948000000</v>
      </c>
      <c r="K9" s="131">
        <v>481724061.63999999</v>
      </c>
    </row>
    <row r="10" spans="1:11" x14ac:dyDescent="0.25">
      <c r="A10">
        <v>2023</v>
      </c>
      <c r="B10">
        <v>307</v>
      </c>
      <c r="C10">
        <v>1101021000101</v>
      </c>
      <c r="D10">
        <v>1</v>
      </c>
      <c r="E10" t="s">
        <v>1190</v>
      </c>
      <c r="F10">
        <v>1101021000101</v>
      </c>
      <c r="G10" t="s">
        <v>1191</v>
      </c>
      <c r="H10" t="s">
        <v>1487</v>
      </c>
      <c r="I10" s="1184">
        <v>129600000</v>
      </c>
      <c r="J10" s="131">
        <v>0</v>
      </c>
      <c r="K10" s="131">
        <v>0</v>
      </c>
    </row>
    <row r="11" spans="1:11" x14ac:dyDescent="0.25">
      <c r="A11">
        <v>2023</v>
      </c>
      <c r="B11">
        <v>307</v>
      </c>
      <c r="C11">
        <v>1101021000102</v>
      </c>
      <c r="D11">
        <v>13</v>
      </c>
      <c r="E11" t="s">
        <v>1192</v>
      </c>
      <c r="F11">
        <v>1101021000102</v>
      </c>
      <c r="G11" t="s">
        <v>1193</v>
      </c>
      <c r="H11" t="s">
        <v>1487</v>
      </c>
      <c r="I11" s="1184">
        <v>64800000</v>
      </c>
      <c r="J11" s="131">
        <v>94800000</v>
      </c>
      <c r="K11" s="131">
        <v>48172406.100000001</v>
      </c>
    </row>
    <row r="12" spans="1:11" x14ac:dyDescent="0.25">
      <c r="A12">
        <v>2023</v>
      </c>
      <c r="B12">
        <v>307</v>
      </c>
      <c r="C12">
        <v>1101021000103</v>
      </c>
      <c r="D12">
        <v>20</v>
      </c>
      <c r="E12" t="s">
        <v>1194</v>
      </c>
      <c r="F12">
        <v>1101021000103</v>
      </c>
      <c r="G12" t="s">
        <v>1195</v>
      </c>
      <c r="H12" t="s">
        <v>1487</v>
      </c>
      <c r="I12" s="1184">
        <v>388800000</v>
      </c>
      <c r="J12" s="131">
        <v>758400000</v>
      </c>
      <c r="K12" s="131">
        <v>385379249.36000001</v>
      </c>
    </row>
    <row r="13" spans="1:11" x14ac:dyDescent="0.25">
      <c r="A13">
        <v>2023</v>
      </c>
      <c r="B13">
        <v>307</v>
      </c>
      <c r="C13">
        <v>1101021000104</v>
      </c>
      <c r="D13">
        <v>52</v>
      </c>
      <c r="E13" t="s">
        <v>1196</v>
      </c>
      <c r="F13">
        <v>1101021000104</v>
      </c>
      <c r="G13" t="s">
        <v>1197</v>
      </c>
      <c r="H13" t="s">
        <v>1487</v>
      </c>
      <c r="I13" s="1184">
        <v>25920000</v>
      </c>
      <c r="J13" s="131">
        <v>37920000</v>
      </c>
      <c r="K13" s="131">
        <v>19268962.460000001</v>
      </c>
    </row>
    <row r="14" spans="1:11" x14ac:dyDescent="0.25">
      <c r="A14">
        <v>2023</v>
      </c>
      <c r="B14">
        <v>307</v>
      </c>
      <c r="C14">
        <v>1101021000105</v>
      </c>
      <c r="D14">
        <v>53</v>
      </c>
      <c r="E14" t="s">
        <v>1198</v>
      </c>
      <c r="F14">
        <v>1101021000105</v>
      </c>
      <c r="G14" t="s">
        <v>1199</v>
      </c>
      <c r="H14" t="s">
        <v>1487</v>
      </c>
      <c r="I14" s="1184">
        <v>38880000</v>
      </c>
      <c r="J14" s="131">
        <v>56880000</v>
      </c>
      <c r="K14" s="131">
        <v>28903443.719999999</v>
      </c>
    </row>
    <row r="15" spans="1:11" x14ac:dyDescent="0.25">
      <c r="A15">
        <v>2023</v>
      </c>
      <c r="B15">
        <v>307</v>
      </c>
      <c r="C15">
        <v>11010210002</v>
      </c>
      <c r="D15" t="s">
        <v>226</v>
      </c>
      <c r="E15" t="s">
        <v>1489</v>
      </c>
      <c r="F15">
        <v>11010210002</v>
      </c>
      <c r="G15" t="s">
        <v>251</v>
      </c>
      <c r="H15" t="s">
        <v>1487</v>
      </c>
      <c r="I15" s="131">
        <v>20952000000</v>
      </c>
      <c r="J15" s="131">
        <v>24952000000</v>
      </c>
      <c r="K15" s="131">
        <v>10893382148.84</v>
      </c>
    </row>
    <row r="16" spans="1:11" x14ac:dyDescent="0.25">
      <c r="A16">
        <v>2023</v>
      </c>
      <c r="B16">
        <v>307</v>
      </c>
      <c r="C16">
        <v>1101021000201</v>
      </c>
      <c r="D16">
        <v>1</v>
      </c>
      <c r="E16" t="s">
        <v>1200</v>
      </c>
      <c r="F16">
        <v>1101021000201</v>
      </c>
      <c r="G16" t="s">
        <v>1201</v>
      </c>
      <c r="H16" t="s">
        <v>1487</v>
      </c>
      <c r="I16" s="1184">
        <v>4190400000</v>
      </c>
      <c r="J16" s="131">
        <v>0</v>
      </c>
      <c r="K16" s="131">
        <v>0</v>
      </c>
    </row>
    <row r="17" spans="1:13" x14ac:dyDescent="0.25">
      <c r="A17">
        <v>2023</v>
      </c>
      <c r="B17">
        <v>307</v>
      </c>
      <c r="C17">
        <v>1101021000202</v>
      </c>
      <c r="D17">
        <v>13</v>
      </c>
      <c r="E17" t="s">
        <v>1202</v>
      </c>
      <c r="F17">
        <v>1101021000202</v>
      </c>
      <c r="G17" t="s">
        <v>1203</v>
      </c>
      <c r="H17" t="s">
        <v>1487</v>
      </c>
      <c r="I17" s="1184">
        <v>2095200000</v>
      </c>
      <c r="J17" s="131">
        <v>2495200000</v>
      </c>
      <c r="K17" s="131">
        <v>1089338214.8800001</v>
      </c>
    </row>
    <row r="18" spans="1:13" x14ac:dyDescent="0.25">
      <c r="A18">
        <v>2023</v>
      </c>
      <c r="B18">
        <v>307</v>
      </c>
      <c r="C18">
        <v>1101021000203</v>
      </c>
      <c r="D18">
        <v>20</v>
      </c>
      <c r="E18" t="s">
        <v>1204</v>
      </c>
      <c r="F18">
        <v>1101021000203</v>
      </c>
      <c r="G18" t="s">
        <v>1205</v>
      </c>
      <c r="H18" t="s">
        <v>1487</v>
      </c>
      <c r="I18" s="1184">
        <v>12571200000</v>
      </c>
      <c r="J18" s="131">
        <v>19961600000</v>
      </c>
      <c r="K18" s="131">
        <v>8714705719.0799999</v>
      </c>
    </row>
    <row r="19" spans="1:13" x14ac:dyDescent="0.25">
      <c r="A19">
        <v>2023</v>
      </c>
      <c r="B19">
        <v>307</v>
      </c>
      <c r="C19">
        <v>1101021000204</v>
      </c>
      <c r="D19">
        <v>52</v>
      </c>
      <c r="E19" t="s">
        <v>1206</v>
      </c>
      <c r="F19">
        <v>1101021000204</v>
      </c>
      <c r="G19" t="s">
        <v>1207</v>
      </c>
      <c r="H19" t="s">
        <v>1487</v>
      </c>
      <c r="I19" s="1184">
        <v>838080000</v>
      </c>
      <c r="J19" s="131">
        <v>998080000</v>
      </c>
      <c r="K19" s="131">
        <v>435735285.94999999</v>
      </c>
    </row>
    <row r="20" spans="1:13" x14ac:dyDescent="0.25">
      <c r="A20">
        <v>2023</v>
      </c>
      <c r="B20">
        <v>307</v>
      </c>
      <c r="C20">
        <v>1101021000205</v>
      </c>
      <c r="D20">
        <v>53</v>
      </c>
      <c r="E20" t="s">
        <v>1208</v>
      </c>
      <c r="F20">
        <v>1101021000205</v>
      </c>
      <c r="G20" t="s">
        <v>1209</v>
      </c>
      <c r="H20" t="s">
        <v>1487</v>
      </c>
      <c r="I20" s="1184">
        <v>1257120000</v>
      </c>
      <c r="J20" s="131">
        <v>1497120000</v>
      </c>
      <c r="K20" s="131">
        <v>653602928.92999995</v>
      </c>
    </row>
    <row r="21" spans="1:13" x14ac:dyDescent="0.25">
      <c r="A21">
        <v>2023</v>
      </c>
      <c r="B21">
        <v>307</v>
      </c>
      <c r="C21">
        <v>110102102</v>
      </c>
      <c r="D21">
        <v>20</v>
      </c>
      <c r="E21" t="s">
        <v>256</v>
      </c>
      <c r="F21">
        <v>110102102</v>
      </c>
      <c r="G21" t="s">
        <v>257</v>
      </c>
      <c r="H21" t="s">
        <v>1487</v>
      </c>
      <c r="I21" s="1184">
        <v>693652915</v>
      </c>
      <c r="J21" s="131">
        <v>693652915</v>
      </c>
      <c r="K21" s="131">
        <v>295483700</v>
      </c>
    </row>
    <row r="22" spans="1:13" x14ac:dyDescent="0.25">
      <c r="A22">
        <v>2023</v>
      </c>
      <c r="B22">
        <v>307</v>
      </c>
      <c r="C22">
        <v>110102104</v>
      </c>
      <c r="D22" t="s">
        <v>226</v>
      </c>
      <c r="E22" t="s">
        <v>263</v>
      </c>
      <c r="F22">
        <v>110102104</v>
      </c>
      <c r="G22" t="s">
        <v>264</v>
      </c>
      <c r="H22" t="s">
        <v>1487</v>
      </c>
      <c r="I22" s="131">
        <v>3511903982</v>
      </c>
      <c r="J22" s="131">
        <v>3511903982</v>
      </c>
      <c r="K22" s="131">
        <v>1598839279.54</v>
      </c>
    </row>
    <row r="23" spans="1:13" x14ac:dyDescent="0.25">
      <c r="A23">
        <v>2023</v>
      </c>
      <c r="B23">
        <v>307</v>
      </c>
      <c r="C23">
        <v>11010210402</v>
      </c>
      <c r="D23" t="s">
        <v>226</v>
      </c>
      <c r="E23" t="s">
        <v>271</v>
      </c>
      <c r="F23">
        <v>11010210402</v>
      </c>
      <c r="G23" t="s">
        <v>272</v>
      </c>
      <c r="H23" t="s">
        <v>1487</v>
      </c>
      <c r="I23" s="131">
        <v>3511903982</v>
      </c>
      <c r="J23" s="131">
        <v>3511903982</v>
      </c>
      <c r="K23" s="131">
        <v>1598839279.54</v>
      </c>
      <c r="L23" s="131">
        <f>+K23+K293</f>
        <v>2484855274.5</v>
      </c>
      <c r="M23" s="131">
        <f>+K293/L23</f>
        <v>0.3565664383163254</v>
      </c>
    </row>
    <row r="24" spans="1:13" x14ac:dyDescent="0.25">
      <c r="A24">
        <v>2023</v>
      </c>
      <c r="B24">
        <v>307</v>
      </c>
      <c r="C24">
        <v>1101021040201</v>
      </c>
      <c r="D24">
        <v>145</v>
      </c>
      <c r="E24" t="s">
        <v>1210</v>
      </c>
      <c r="F24">
        <v>1101021040201</v>
      </c>
      <c r="G24" t="s">
        <v>274</v>
      </c>
      <c r="H24" t="s">
        <v>1487</v>
      </c>
      <c r="I24" s="1184">
        <v>38364903.119999997</v>
      </c>
      <c r="J24" s="131">
        <v>38364903.119999997</v>
      </c>
      <c r="K24" s="131">
        <v>16559884.24</v>
      </c>
      <c r="M24" s="131">
        <f>+I22+I294</f>
        <v>5574450764</v>
      </c>
    </row>
    <row r="25" spans="1:13" x14ac:dyDescent="0.25">
      <c r="A25">
        <v>2023</v>
      </c>
      <c r="B25">
        <v>307</v>
      </c>
      <c r="C25">
        <v>1101021040201</v>
      </c>
      <c r="D25">
        <v>20</v>
      </c>
      <c r="E25" t="s">
        <v>273</v>
      </c>
      <c r="F25">
        <v>1101021040201</v>
      </c>
      <c r="G25" t="s">
        <v>274</v>
      </c>
      <c r="H25" t="s">
        <v>1487</v>
      </c>
      <c r="I25" s="1184">
        <v>2577372402</v>
      </c>
      <c r="J25" s="131">
        <v>2577372402</v>
      </c>
      <c r="K25" s="131">
        <v>324812476.80000001</v>
      </c>
      <c r="M25" s="131">
        <f>+I22/M24</f>
        <v>0.63000000012198509</v>
      </c>
    </row>
    <row r="26" spans="1:13" x14ac:dyDescent="0.25">
      <c r="A26">
        <v>2023</v>
      </c>
      <c r="B26">
        <v>307</v>
      </c>
      <c r="C26">
        <v>1101021040202</v>
      </c>
      <c r="D26">
        <v>145</v>
      </c>
      <c r="E26" t="s">
        <v>1211</v>
      </c>
      <c r="F26">
        <v>1101021040202</v>
      </c>
      <c r="G26" t="s">
        <v>276</v>
      </c>
      <c r="H26" t="s">
        <v>1487</v>
      </c>
      <c r="I26" s="1184">
        <v>128868620.88</v>
      </c>
      <c r="J26" s="131">
        <v>128868620.88</v>
      </c>
      <c r="K26" s="131">
        <v>61269627.5</v>
      </c>
      <c r="M26" s="131">
        <f>+K23/L23</f>
        <v>0.6434335616836746</v>
      </c>
    </row>
    <row r="27" spans="1:13" x14ac:dyDescent="0.25">
      <c r="A27">
        <v>2023</v>
      </c>
      <c r="B27">
        <v>307</v>
      </c>
      <c r="C27">
        <v>1101021040202</v>
      </c>
      <c r="D27">
        <v>20</v>
      </c>
      <c r="E27" t="s">
        <v>275</v>
      </c>
      <c r="F27">
        <v>1101021040202</v>
      </c>
      <c r="G27" t="s">
        <v>276</v>
      </c>
      <c r="H27" t="s">
        <v>1487</v>
      </c>
      <c r="I27" s="1184">
        <v>767298056</v>
      </c>
      <c r="J27" s="131">
        <v>767298056</v>
      </c>
      <c r="K27" s="131">
        <v>1196197291</v>
      </c>
    </row>
    <row r="28" spans="1:13" x14ac:dyDescent="0.25">
      <c r="A28">
        <v>2023</v>
      </c>
      <c r="B28">
        <v>307</v>
      </c>
      <c r="C28">
        <v>110102105</v>
      </c>
      <c r="D28" t="s">
        <v>226</v>
      </c>
      <c r="E28" t="s">
        <v>277</v>
      </c>
      <c r="F28">
        <v>110102105</v>
      </c>
      <c r="G28" t="s">
        <v>278</v>
      </c>
      <c r="H28" t="s">
        <v>1487</v>
      </c>
      <c r="I28" s="131">
        <v>19256889233</v>
      </c>
      <c r="J28" s="131">
        <v>20256889233</v>
      </c>
      <c r="K28" s="131">
        <v>10301114976</v>
      </c>
    </row>
    <row r="29" spans="1:13" x14ac:dyDescent="0.25">
      <c r="A29">
        <v>2023</v>
      </c>
      <c r="B29">
        <v>307</v>
      </c>
      <c r="C29">
        <v>11010210501</v>
      </c>
      <c r="D29">
        <v>20</v>
      </c>
      <c r="E29" t="s">
        <v>279</v>
      </c>
      <c r="F29">
        <v>11010210501</v>
      </c>
      <c r="G29" t="s">
        <v>280</v>
      </c>
      <c r="H29" t="s">
        <v>1487</v>
      </c>
      <c r="I29" s="1184">
        <v>18965700746</v>
      </c>
      <c r="J29" s="131">
        <v>19965700746</v>
      </c>
      <c r="K29" s="131">
        <v>9992064976</v>
      </c>
    </row>
    <row r="30" spans="1:13" x14ac:dyDescent="0.25">
      <c r="A30">
        <v>2023</v>
      </c>
      <c r="B30">
        <v>307</v>
      </c>
      <c r="C30">
        <v>11010210502</v>
      </c>
      <c r="D30">
        <v>20</v>
      </c>
      <c r="E30" t="s">
        <v>281</v>
      </c>
      <c r="F30">
        <v>11010210502</v>
      </c>
      <c r="G30" t="s">
        <v>282</v>
      </c>
      <c r="H30" t="s">
        <v>1487</v>
      </c>
      <c r="I30" s="1184">
        <v>291188487</v>
      </c>
      <c r="J30" s="131">
        <v>291188487</v>
      </c>
      <c r="K30" s="131">
        <v>309050000</v>
      </c>
    </row>
    <row r="31" spans="1:13" x14ac:dyDescent="0.25">
      <c r="A31">
        <v>2023</v>
      </c>
      <c r="B31">
        <v>307</v>
      </c>
      <c r="C31">
        <v>110102106</v>
      </c>
      <c r="D31" t="s">
        <v>226</v>
      </c>
      <c r="E31" t="s">
        <v>283</v>
      </c>
      <c r="F31">
        <v>110102106</v>
      </c>
      <c r="G31" t="s">
        <v>284</v>
      </c>
      <c r="H31" t="s">
        <v>1487</v>
      </c>
      <c r="I31" s="131">
        <v>12138258784</v>
      </c>
      <c r="J31" s="131">
        <v>12597062694</v>
      </c>
      <c r="K31" s="131">
        <v>5623122650</v>
      </c>
    </row>
    <row r="32" spans="1:13" x14ac:dyDescent="0.25">
      <c r="A32">
        <v>2023</v>
      </c>
      <c r="B32">
        <v>307</v>
      </c>
      <c r="C32">
        <v>11010210601</v>
      </c>
      <c r="D32" t="s">
        <v>226</v>
      </c>
      <c r="E32" t="s">
        <v>285</v>
      </c>
      <c r="F32">
        <v>11010210601</v>
      </c>
      <c r="G32" t="s">
        <v>286</v>
      </c>
      <c r="H32" t="s">
        <v>1487</v>
      </c>
      <c r="I32" s="131">
        <v>12138258784</v>
      </c>
      <c r="J32" s="131">
        <v>12597062694</v>
      </c>
      <c r="K32" s="131">
        <v>5623122650</v>
      </c>
    </row>
    <row r="33" spans="1:11" x14ac:dyDescent="0.25">
      <c r="A33">
        <v>2023</v>
      </c>
      <c r="B33">
        <v>307</v>
      </c>
      <c r="C33">
        <v>1101021060102</v>
      </c>
      <c r="D33">
        <v>20</v>
      </c>
      <c r="E33" t="s">
        <v>287</v>
      </c>
      <c r="F33">
        <v>1101021060102</v>
      </c>
      <c r="G33" t="s">
        <v>288</v>
      </c>
      <c r="H33" t="s">
        <v>1487</v>
      </c>
      <c r="I33" s="1184">
        <v>12138258784</v>
      </c>
      <c r="J33" s="131">
        <v>12597062694</v>
      </c>
      <c r="K33" s="131">
        <v>5623122650</v>
      </c>
    </row>
    <row r="34" spans="1:11" x14ac:dyDescent="0.25">
      <c r="A34">
        <v>2023</v>
      </c>
      <c r="B34">
        <v>307</v>
      </c>
      <c r="C34">
        <v>110102109</v>
      </c>
      <c r="D34">
        <v>20</v>
      </c>
      <c r="E34" t="s">
        <v>289</v>
      </c>
      <c r="F34">
        <v>110102109</v>
      </c>
      <c r="G34" t="s">
        <v>290</v>
      </c>
      <c r="H34" t="s">
        <v>1487</v>
      </c>
      <c r="I34" s="1184">
        <v>8999529162</v>
      </c>
      <c r="J34" s="131">
        <v>10499529162</v>
      </c>
      <c r="K34" s="131">
        <v>5230513800</v>
      </c>
    </row>
    <row r="35" spans="1:11" x14ac:dyDescent="0.25">
      <c r="A35">
        <v>2023</v>
      </c>
      <c r="B35">
        <v>307</v>
      </c>
      <c r="C35">
        <v>110102218</v>
      </c>
      <c r="D35">
        <v>190</v>
      </c>
      <c r="E35" t="s">
        <v>1490</v>
      </c>
      <c r="F35">
        <v>110102218</v>
      </c>
      <c r="G35" t="s">
        <v>1491</v>
      </c>
      <c r="H35" t="s">
        <v>1487</v>
      </c>
      <c r="I35" s="1184">
        <v>3750000000</v>
      </c>
      <c r="J35" s="131">
        <v>3750000000</v>
      </c>
      <c r="K35" s="131">
        <v>2082325780.6400001</v>
      </c>
    </row>
    <row r="36" spans="1:11" x14ac:dyDescent="0.25">
      <c r="A36">
        <v>2023</v>
      </c>
      <c r="B36">
        <v>307</v>
      </c>
      <c r="C36">
        <v>110102300</v>
      </c>
      <c r="D36" t="s">
        <v>226</v>
      </c>
      <c r="E36" t="s">
        <v>293</v>
      </c>
      <c r="F36">
        <v>110102300</v>
      </c>
      <c r="G36" t="s">
        <v>294</v>
      </c>
      <c r="H36" t="s">
        <v>1487</v>
      </c>
      <c r="I36" s="131">
        <v>31017020332</v>
      </c>
      <c r="J36" s="131">
        <v>31017020332</v>
      </c>
      <c r="K36" s="131">
        <v>18698510697.959999</v>
      </c>
    </row>
    <row r="37" spans="1:11" x14ac:dyDescent="0.25">
      <c r="A37">
        <v>2023</v>
      </c>
      <c r="B37">
        <v>307</v>
      </c>
      <c r="C37">
        <v>11010230001</v>
      </c>
      <c r="D37" t="s">
        <v>226</v>
      </c>
      <c r="E37" t="s">
        <v>1492</v>
      </c>
      <c r="F37">
        <v>11010230001</v>
      </c>
      <c r="G37" t="s">
        <v>296</v>
      </c>
      <c r="H37" t="s">
        <v>1487</v>
      </c>
      <c r="I37" s="131">
        <v>5507579280</v>
      </c>
      <c r="J37" s="131">
        <v>5507579280</v>
      </c>
      <c r="K37" s="131">
        <v>3433911311.1700001</v>
      </c>
    </row>
    <row r="38" spans="1:11" x14ac:dyDescent="0.25">
      <c r="A38">
        <v>2023</v>
      </c>
      <c r="B38">
        <v>307</v>
      </c>
      <c r="C38">
        <v>1101023000101</v>
      </c>
      <c r="D38">
        <v>6</v>
      </c>
      <c r="E38" t="s">
        <v>1212</v>
      </c>
      <c r="F38">
        <v>1101023000101</v>
      </c>
      <c r="G38" t="s">
        <v>1213</v>
      </c>
      <c r="H38" t="s">
        <v>1487</v>
      </c>
      <c r="I38" s="1184">
        <v>4406063424</v>
      </c>
      <c r="J38" s="131">
        <v>4406063424</v>
      </c>
      <c r="K38" s="131">
        <v>2747129048.9299998</v>
      </c>
    </row>
    <row r="39" spans="1:11" x14ac:dyDescent="0.25">
      <c r="A39">
        <v>2023</v>
      </c>
      <c r="B39">
        <v>307</v>
      </c>
      <c r="C39">
        <v>1101023000102</v>
      </c>
      <c r="D39">
        <v>178</v>
      </c>
      <c r="E39" t="s">
        <v>1214</v>
      </c>
      <c r="F39">
        <v>1101023000102</v>
      </c>
      <c r="G39" t="s">
        <v>1215</v>
      </c>
      <c r="H39" t="s">
        <v>1487</v>
      </c>
      <c r="I39" s="1184">
        <v>1101515856</v>
      </c>
      <c r="J39" s="131">
        <v>1101515856</v>
      </c>
      <c r="K39" s="131">
        <v>686782262.24000001</v>
      </c>
    </row>
    <row r="40" spans="1:11" x14ac:dyDescent="0.25">
      <c r="A40">
        <v>2023</v>
      </c>
      <c r="B40">
        <v>307</v>
      </c>
      <c r="C40">
        <v>11010230002</v>
      </c>
      <c r="D40" t="s">
        <v>226</v>
      </c>
      <c r="E40" t="s">
        <v>1493</v>
      </c>
      <c r="F40">
        <v>11010230002</v>
      </c>
      <c r="G40" t="s">
        <v>299</v>
      </c>
      <c r="H40" t="s">
        <v>1487</v>
      </c>
      <c r="I40" s="131">
        <v>10529744160</v>
      </c>
      <c r="J40" s="131">
        <v>10529744160</v>
      </c>
      <c r="K40" s="131">
        <v>6231426849</v>
      </c>
    </row>
    <row r="41" spans="1:11" x14ac:dyDescent="0.25">
      <c r="A41">
        <v>2023</v>
      </c>
      <c r="B41">
        <v>307</v>
      </c>
      <c r="C41">
        <v>1101023000201</v>
      </c>
      <c r="D41">
        <v>4</v>
      </c>
      <c r="E41" t="s">
        <v>1216</v>
      </c>
      <c r="F41">
        <v>1101023000201</v>
      </c>
      <c r="G41" t="s">
        <v>1217</v>
      </c>
      <c r="H41" t="s">
        <v>1487</v>
      </c>
      <c r="I41" s="1184">
        <v>5264872080</v>
      </c>
      <c r="J41" s="131">
        <v>5264872080</v>
      </c>
      <c r="K41" s="131">
        <v>3115718574.5</v>
      </c>
    </row>
    <row r="42" spans="1:11" x14ac:dyDescent="0.25">
      <c r="A42">
        <v>2023</v>
      </c>
      <c r="B42">
        <v>307</v>
      </c>
      <c r="C42">
        <v>1101023000202</v>
      </c>
      <c r="D42">
        <v>176</v>
      </c>
      <c r="E42" t="s">
        <v>1218</v>
      </c>
      <c r="F42">
        <v>1101023000202</v>
      </c>
      <c r="G42" t="s">
        <v>1219</v>
      </c>
      <c r="H42" t="s">
        <v>1487</v>
      </c>
      <c r="I42" s="1184">
        <v>2105948832</v>
      </c>
      <c r="J42" s="131">
        <v>2105948832</v>
      </c>
      <c r="K42" s="131">
        <v>1246321064.8</v>
      </c>
    </row>
    <row r="43" spans="1:11" x14ac:dyDescent="0.25">
      <c r="A43">
        <v>2023</v>
      </c>
      <c r="B43">
        <v>307</v>
      </c>
      <c r="C43">
        <v>1101023000203</v>
      </c>
      <c r="D43">
        <v>177</v>
      </c>
      <c r="E43" t="s">
        <v>1220</v>
      </c>
      <c r="F43">
        <v>1101023000203</v>
      </c>
      <c r="G43" t="s">
        <v>1221</v>
      </c>
      <c r="H43" t="s">
        <v>1487</v>
      </c>
      <c r="I43" s="1184">
        <v>3158923248</v>
      </c>
      <c r="J43" s="131">
        <v>3158923248</v>
      </c>
      <c r="K43" s="131">
        <v>1869387209.7</v>
      </c>
    </row>
    <row r="44" spans="1:11" x14ac:dyDescent="0.25">
      <c r="A44">
        <v>2023</v>
      </c>
      <c r="B44">
        <v>307</v>
      </c>
      <c r="C44">
        <v>11010230018</v>
      </c>
      <c r="D44">
        <v>20</v>
      </c>
      <c r="E44" t="s">
        <v>1494</v>
      </c>
      <c r="F44">
        <v>11010230018</v>
      </c>
      <c r="G44" t="s">
        <v>1495</v>
      </c>
      <c r="H44" t="s">
        <v>1487</v>
      </c>
      <c r="I44" s="131">
        <v>0</v>
      </c>
      <c r="J44" s="131">
        <v>0</v>
      </c>
      <c r="K44" s="131">
        <v>0</v>
      </c>
    </row>
    <row r="45" spans="1:11" x14ac:dyDescent="0.25">
      <c r="A45">
        <v>2023</v>
      </c>
      <c r="B45">
        <v>307</v>
      </c>
      <c r="C45">
        <v>11010230024</v>
      </c>
      <c r="D45">
        <v>7</v>
      </c>
      <c r="E45" t="s">
        <v>1496</v>
      </c>
      <c r="F45">
        <v>11010230024</v>
      </c>
      <c r="G45" t="s">
        <v>1497</v>
      </c>
      <c r="H45" t="s">
        <v>1487</v>
      </c>
      <c r="I45" s="1184">
        <v>1114695320</v>
      </c>
      <c r="J45" s="131">
        <v>1114695320</v>
      </c>
      <c r="K45" s="131">
        <v>40748100</v>
      </c>
    </row>
    <row r="46" spans="1:11" x14ac:dyDescent="0.25">
      <c r="A46">
        <v>2023</v>
      </c>
      <c r="B46">
        <v>307</v>
      </c>
      <c r="C46">
        <v>11010230045</v>
      </c>
      <c r="D46">
        <v>8</v>
      </c>
      <c r="E46" t="s">
        <v>302</v>
      </c>
      <c r="F46">
        <v>11010230045</v>
      </c>
      <c r="G46" t="s">
        <v>303</v>
      </c>
      <c r="H46" t="s">
        <v>1487</v>
      </c>
      <c r="I46" s="1184">
        <v>11369530092</v>
      </c>
      <c r="J46" s="131">
        <v>11369530092</v>
      </c>
      <c r="K46" s="131">
        <v>7540860020.1000004</v>
      </c>
    </row>
    <row r="47" spans="1:11" x14ac:dyDescent="0.25">
      <c r="A47">
        <v>2023</v>
      </c>
      <c r="B47">
        <v>307</v>
      </c>
      <c r="C47">
        <v>11010230055</v>
      </c>
      <c r="D47" t="s">
        <v>226</v>
      </c>
      <c r="E47" t="s">
        <v>1498</v>
      </c>
      <c r="F47">
        <v>11010230055</v>
      </c>
      <c r="G47" t="s">
        <v>305</v>
      </c>
      <c r="H47" t="s">
        <v>1487</v>
      </c>
      <c r="I47" s="131">
        <v>2495471480</v>
      </c>
      <c r="J47" s="131">
        <v>2495471480</v>
      </c>
      <c r="K47" s="131">
        <v>1451564417.6900001</v>
      </c>
    </row>
    <row r="48" spans="1:11" x14ac:dyDescent="0.25">
      <c r="A48">
        <v>2023</v>
      </c>
      <c r="B48">
        <v>307</v>
      </c>
      <c r="C48">
        <v>1101023005501</v>
      </c>
      <c r="D48">
        <v>5</v>
      </c>
      <c r="E48" t="s">
        <v>1222</v>
      </c>
      <c r="F48">
        <v>1101023005501</v>
      </c>
      <c r="G48" t="s">
        <v>1223</v>
      </c>
      <c r="H48" t="s">
        <v>1487</v>
      </c>
      <c r="I48" s="1184">
        <v>499094296</v>
      </c>
      <c r="J48" s="131">
        <v>499094296</v>
      </c>
      <c r="K48" s="131">
        <v>290312883.56</v>
      </c>
    </row>
    <row r="49" spans="1:11" x14ac:dyDescent="0.25">
      <c r="A49">
        <v>2023</v>
      </c>
      <c r="B49">
        <v>307</v>
      </c>
      <c r="C49">
        <v>1101023005502</v>
      </c>
      <c r="D49">
        <v>33</v>
      </c>
      <c r="E49" t="s">
        <v>1224</v>
      </c>
      <c r="F49">
        <v>1101023005502</v>
      </c>
      <c r="G49" t="s">
        <v>1225</v>
      </c>
      <c r="H49" t="s">
        <v>1487</v>
      </c>
      <c r="I49" s="1184">
        <v>249547148</v>
      </c>
      <c r="J49" s="131">
        <v>249547148</v>
      </c>
      <c r="K49" s="131">
        <v>145156441.75999999</v>
      </c>
    </row>
    <row r="50" spans="1:11" x14ac:dyDescent="0.25">
      <c r="A50">
        <v>2023</v>
      </c>
      <c r="B50">
        <v>307</v>
      </c>
      <c r="C50">
        <v>1101023005503</v>
      </c>
      <c r="D50">
        <v>34</v>
      </c>
      <c r="E50" t="s">
        <v>1226</v>
      </c>
      <c r="F50">
        <v>1101023005503</v>
      </c>
      <c r="G50" t="s">
        <v>1227</v>
      </c>
      <c r="H50" t="s">
        <v>1487</v>
      </c>
      <c r="I50" s="1184">
        <v>249547148</v>
      </c>
      <c r="J50" s="131">
        <v>249547148</v>
      </c>
      <c r="K50" s="131">
        <v>145162281.75999999</v>
      </c>
    </row>
    <row r="51" spans="1:11" x14ac:dyDescent="0.25">
      <c r="A51">
        <v>2023</v>
      </c>
      <c r="B51">
        <v>307</v>
      </c>
      <c r="C51">
        <v>1101023005504</v>
      </c>
      <c r="D51">
        <v>39</v>
      </c>
      <c r="E51" t="s">
        <v>1228</v>
      </c>
      <c r="F51">
        <v>1101023005504</v>
      </c>
      <c r="G51" t="s">
        <v>1229</v>
      </c>
      <c r="H51" t="s">
        <v>1487</v>
      </c>
      <c r="I51" s="1184">
        <v>1247735740</v>
      </c>
      <c r="J51" s="131">
        <v>1247735740</v>
      </c>
      <c r="K51" s="131">
        <v>725776368.86000001</v>
      </c>
    </row>
    <row r="52" spans="1:11" x14ac:dyDescent="0.25">
      <c r="A52">
        <v>2023</v>
      </c>
      <c r="B52">
        <v>307</v>
      </c>
      <c r="C52">
        <v>1101023005505</v>
      </c>
      <c r="D52">
        <v>41</v>
      </c>
      <c r="E52" t="s">
        <v>1230</v>
      </c>
      <c r="F52">
        <v>1101023005505</v>
      </c>
      <c r="G52" t="s">
        <v>1231</v>
      </c>
      <c r="H52" t="s">
        <v>1487</v>
      </c>
      <c r="I52" s="1184">
        <v>249547148</v>
      </c>
      <c r="J52" s="131">
        <v>249547148</v>
      </c>
      <c r="K52" s="131">
        <v>145156441.75</v>
      </c>
    </row>
    <row r="53" spans="1:11" x14ac:dyDescent="0.25">
      <c r="A53">
        <v>2023</v>
      </c>
      <c r="B53">
        <v>307</v>
      </c>
      <c r="C53">
        <v>1102</v>
      </c>
      <c r="D53" t="s">
        <v>226</v>
      </c>
      <c r="E53" t="s">
        <v>310</v>
      </c>
      <c r="F53">
        <v>1102</v>
      </c>
      <c r="G53" t="s">
        <v>311</v>
      </c>
      <c r="H53" t="s">
        <v>1487</v>
      </c>
      <c r="I53" s="131">
        <v>37033580860.120003</v>
      </c>
      <c r="J53" s="131">
        <v>44246077706.120003</v>
      </c>
      <c r="K53" s="131">
        <v>17648395192.599998</v>
      </c>
    </row>
    <row r="54" spans="1:11" x14ac:dyDescent="0.25">
      <c r="A54">
        <v>2023</v>
      </c>
      <c r="B54">
        <v>307</v>
      </c>
      <c r="C54">
        <v>110201</v>
      </c>
      <c r="D54" t="s">
        <v>226</v>
      </c>
      <c r="E54" t="s">
        <v>312</v>
      </c>
      <c r="F54">
        <v>110201</v>
      </c>
      <c r="G54" t="s">
        <v>313</v>
      </c>
      <c r="H54" t="s">
        <v>1487</v>
      </c>
      <c r="I54" s="131">
        <v>3771638460</v>
      </c>
      <c r="J54" s="131">
        <v>3771638460</v>
      </c>
      <c r="K54" s="131">
        <v>2342816494.71</v>
      </c>
    </row>
    <row r="55" spans="1:11" x14ac:dyDescent="0.25">
      <c r="A55">
        <v>2023</v>
      </c>
      <c r="B55">
        <v>307</v>
      </c>
      <c r="C55">
        <v>110201003</v>
      </c>
      <c r="D55" t="s">
        <v>226</v>
      </c>
      <c r="E55" t="s">
        <v>314</v>
      </c>
      <c r="F55">
        <v>110201003</v>
      </c>
      <c r="G55" t="s">
        <v>315</v>
      </c>
      <c r="H55" t="s">
        <v>1487</v>
      </c>
      <c r="I55" s="131">
        <v>612099454</v>
      </c>
      <c r="J55" s="131">
        <v>612099454</v>
      </c>
      <c r="K55" s="131">
        <v>342871813.25999999</v>
      </c>
    </row>
    <row r="56" spans="1:11" x14ac:dyDescent="0.25">
      <c r="A56">
        <v>2023</v>
      </c>
      <c r="B56">
        <v>307</v>
      </c>
      <c r="C56">
        <v>11020100301</v>
      </c>
      <c r="D56" t="s">
        <v>226</v>
      </c>
      <c r="E56" t="s">
        <v>316</v>
      </c>
      <c r="F56">
        <v>11020100301</v>
      </c>
      <c r="G56" t="s">
        <v>317</v>
      </c>
      <c r="H56" t="s">
        <v>1487</v>
      </c>
      <c r="I56" s="131">
        <v>612099454</v>
      </c>
      <c r="J56" s="131">
        <v>612099454</v>
      </c>
      <c r="K56" s="131">
        <v>342871813.25999999</v>
      </c>
    </row>
    <row r="57" spans="1:11" x14ac:dyDescent="0.25">
      <c r="A57">
        <v>2023</v>
      </c>
      <c r="B57">
        <v>307</v>
      </c>
      <c r="C57">
        <v>1102010030100</v>
      </c>
      <c r="D57" t="s">
        <v>226</v>
      </c>
      <c r="E57" t="s">
        <v>318</v>
      </c>
      <c r="F57">
        <v>1102010030100</v>
      </c>
      <c r="G57" t="s">
        <v>317</v>
      </c>
      <c r="H57" t="s">
        <v>1487</v>
      </c>
      <c r="I57" s="131">
        <v>612099454</v>
      </c>
      <c r="J57" s="131">
        <v>612099454</v>
      </c>
      <c r="K57" s="131">
        <v>342871813.25999999</v>
      </c>
    </row>
    <row r="58" spans="1:11" x14ac:dyDescent="0.25">
      <c r="A58">
        <v>2023</v>
      </c>
      <c r="B58">
        <v>307</v>
      </c>
      <c r="C58">
        <v>110201003010000</v>
      </c>
      <c r="D58" t="s">
        <v>226</v>
      </c>
      <c r="E58" t="s">
        <v>319</v>
      </c>
      <c r="F58">
        <v>110201003010000</v>
      </c>
      <c r="G58" t="s">
        <v>317</v>
      </c>
      <c r="H58" t="s">
        <v>1487</v>
      </c>
      <c r="I58" s="131">
        <v>612099454</v>
      </c>
      <c r="J58" s="131">
        <v>612099454</v>
      </c>
      <c r="K58" s="131">
        <v>342871813.25999999</v>
      </c>
    </row>
    <row r="59" spans="1:11" x14ac:dyDescent="0.25">
      <c r="A59">
        <v>2023</v>
      </c>
      <c r="B59">
        <v>307</v>
      </c>
      <c r="C59">
        <v>1.1020100301E+17</v>
      </c>
      <c r="D59" t="s">
        <v>226</v>
      </c>
      <c r="E59" t="s">
        <v>1499</v>
      </c>
      <c r="F59">
        <v>1.1020100301E+17</v>
      </c>
      <c r="G59" t="s">
        <v>317</v>
      </c>
      <c r="H59" t="s">
        <v>1487</v>
      </c>
      <c r="I59" s="131">
        <v>612099454</v>
      </c>
      <c r="J59" s="131">
        <v>612099454</v>
      </c>
      <c r="K59" s="131">
        <v>342871813.25999999</v>
      </c>
    </row>
    <row r="60" spans="1:11" x14ac:dyDescent="0.25">
      <c r="A60">
        <v>2023</v>
      </c>
      <c r="B60">
        <v>307</v>
      </c>
      <c r="C60">
        <v>1.1020100300999999E+20</v>
      </c>
      <c r="D60" t="s">
        <v>226</v>
      </c>
      <c r="E60" t="s">
        <v>1500</v>
      </c>
      <c r="F60">
        <v>1.1020100300999999E+20</v>
      </c>
      <c r="G60" t="s">
        <v>317</v>
      </c>
      <c r="H60" t="s">
        <v>1487</v>
      </c>
      <c r="I60" s="131">
        <v>612099454</v>
      </c>
      <c r="J60" s="131">
        <v>612099454</v>
      </c>
      <c r="K60" s="131">
        <v>342871813.25999999</v>
      </c>
    </row>
    <row r="61" spans="1:11" x14ac:dyDescent="0.25">
      <c r="A61">
        <v>2023</v>
      </c>
      <c r="B61">
        <v>307</v>
      </c>
      <c r="C61">
        <v>1.1020100301000001E+35</v>
      </c>
      <c r="D61">
        <v>18</v>
      </c>
      <c r="E61" t="s">
        <v>322</v>
      </c>
      <c r="F61">
        <v>1.1020100301000001E+35</v>
      </c>
      <c r="G61" t="s">
        <v>323</v>
      </c>
      <c r="H61" t="s">
        <v>1487</v>
      </c>
      <c r="I61" s="1184">
        <v>46725184</v>
      </c>
      <c r="J61" s="131">
        <v>46725184</v>
      </c>
      <c r="K61" s="131">
        <v>21238720</v>
      </c>
    </row>
    <row r="62" spans="1:11" x14ac:dyDescent="0.25">
      <c r="A62">
        <v>2023</v>
      </c>
      <c r="B62">
        <v>307</v>
      </c>
      <c r="C62">
        <v>1.1020100301000001E+35</v>
      </c>
      <c r="D62">
        <v>18</v>
      </c>
      <c r="E62" t="s">
        <v>324</v>
      </c>
      <c r="F62">
        <v>1.1020100301000001E+35</v>
      </c>
      <c r="G62" t="s">
        <v>325</v>
      </c>
      <c r="H62" t="s">
        <v>1487</v>
      </c>
      <c r="I62" s="1184">
        <v>30773625</v>
      </c>
      <c r="J62" s="131">
        <v>30773625</v>
      </c>
      <c r="K62" s="131">
        <v>13974068</v>
      </c>
    </row>
    <row r="63" spans="1:11" x14ac:dyDescent="0.25">
      <c r="A63">
        <v>2023</v>
      </c>
      <c r="B63">
        <v>307</v>
      </c>
      <c r="C63">
        <v>1.1020100301000001E+35</v>
      </c>
      <c r="D63">
        <v>18</v>
      </c>
      <c r="E63" t="s">
        <v>326</v>
      </c>
      <c r="F63">
        <v>1.1020100301000001E+35</v>
      </c>
      <c r="G63" t="s">
        <v>327</v>
      </c>
      <c r="H63" t="s">
        <v>1487</v>
      </c>
      <c r="I63" s="1184">
        <v>194005500</v>
      </c>
      <c r="J63" s="131">
        <v>194005500</v>
      </c>
      <c r="K63" s="131">
        <v>97002750</v>
      </c>
    </row>
    <row r="64" spans="1:11" x14ac:dyDescent="0.25">
      <c r="A64">
        <v>2023</v>
      </c>
      <c r="B64">
        <v>307</v>
      </c>
      <c r="C64">
        <v>1.1020100301000001E+35</v>
      </c>
      <c r="D64">
        <v>18</v>
      </c>
      <c r="E64" t="s">
        <v>328</v>
      </c>
      <c r="F64">
        <v>1.1020100301000001E+35</v>
      </c>
      <c r="G64" t="s">
        <v>329</v>
      </c>
      <c r="H64" t="s">
        <v>1487</v>
      </c>
      <c r="I64" s="1184">
        <v>9049806</v>
      </c>
      <c r="J64" s="131">
        <v>9049806</v>
      </c>
      <c r="K64" s="131">
        <v>9049805.9000000004</v>
      </c>
    </row>
    <row r="65" spans="1:11" x14ac:dyDescent="0.25">
      <c r="A65">
        <v>2023</v>
      </c>
      <c r="B65">
        <v>307</v>
      </c>
      <c r="C65">
        <v>1.1020100301000001E+35</v>
      </c>
      <c r="D65">
        <v>18</v>
      </c>
      <c r="E65" t="s">
        <v>330</v>
      </c>
      <c r="F65">
        <v>1.1020100301000001E+35</v>
      </c>
      <c r="G65" t="s">
        <v>331</v>
      </c>
      <c r="H65" t="s">
        <v>1487</v>
      </c>
      <c r="I65" s="1184">
        <v>21768459</v>
      </c>
      <c r="J65" s="131">
        <v>21768459</v>
      </c>
      <c r="K65" s="131">
        <v>11873706</v>
      </c>
    </row>
    <row r="66" spans="1:11" x14ac:dyDescent="0.25">
      <c r="A66">
        <v>2023</v>
      </c>
      <c r="B66">
        <v>307</v>
      </c>
      <c r="C66">
        <v>1.1020100301000001E+35</v>
      </c>
      <c r="D66">
        <v>18</v>
      </c>
      <c r="E66" t="s">
        <v>332</v>
      </c>
      <c r="F66">
        <v>1.1020100301000001E+35</v>
      </c>
      <c r="G66" t="s">
        <v>333</v>
      </c>
      <c r="H66" t="s">
        <v>1487</v>
      </c>
      <c r="I66" s="1184">
        <v>3575245</v>
      </c>
      <c r="J66" s="131">
        <v>3575245</v>
      </c>
      <c r="K66" s="131">
        <v>1787622.36</v>
      </c>
    </row>
    <row r="67" spans="1:11" x14ac:dyDescent="0.25">
      <c r="A67">
        <v>2023</v>
      </c>
      <c r="B67">
        <v>307</v>
      </c>
      <c r="C67">
        <v>1.1020100301000001E+35</v>
      </c>
      <c r="D67">
        <v>18</v>
      </c>
      <c r="E67" t="s">
        <v>334</v>
      </c>
      <c r="F67">
        <v>1.1020100301000001E+35</v>
      </c>
      <c r="G67" t="s">
        <v>335</v>
      </c>
      <c r="H67" t="s">
        <v>1487</v>
      </c>
      <c r="I67" s="1184">
        <v>8062591</v>
      </c>
      <c r="J67" s="131">
        <v>8062591</v>
      </c>
      <c r="K67" s="131">
        <v>8062591</v>
      </c>
    </row>
    <row r="68" spans="1:11" x14ac:dyDescent="0.25">
      <c r="A68">
        <v>2023</v>
      </c>
      <c r="B68">
        <v>307</v>
      </c>
      <c r="C68">
        <v>1.1020100301000001E+35</v>
      </c>
      <c r="D68">
        <v>18</v>
      </c>
      <c r="E68" t="s">
        <v>336</v>
      </c>
      <c r="F68">
        <v>1.1020100301000001E+35</v>
      </c>
      <c r="G68" t="s">
        <v>337</v>
      </c>
      <c r="H68" t="s">
        <v>1487</v>
      </c>
      <c r="I68" s="1184">
        <v>15581699</v>
      </c>
      <c r="J68" s="131">
        <v>15581699</v>
      </c>
      <c r="K68" s="131">
        <v>12780000</v>
      </c>
    </row>
    <row r="69" spans="1:11" x14ac:dyDescent="0.25">
      <c r="A69">
        <v>2023</v>
      </c>
      <c r="B69">
        <v>307</v>
      </c>
      <c r="C69">
        <v>1.1020100301000001E+35</v>
      </c>
      <c r="D69">
        <v>18</v>
      </c>
      <c r="E69" t="s">
        <v>338</v>
      </c>
      <c r="F69">
        <v>1.1020100301000001E+35</v>
      </c>
      <c r="G69" t="s">
        <v>339</v>
      </c>
      <c r="H69" t="s">
        <v>1487</v>
      </c>
      <c r="I69" s="1184">
        <v>282557345</v>
      </c>
      <c r="J69" s="131">
        <v>282557345</v>
      </c>
      <c r="K69" s="131">
        <v>167102550</v>
      </c>
    </row>
    <row r="70" spans="1:11" x14ac:dyDescent="0.25">
      <c r="A70">
        <v>2023</v>
      </c>
      <c r="B70">
        <v>307</v>
      </c>
      <c r="C70">
        <v>110201005</v>
      </c>
      <c r="D70" t="s">
        <v>226</v>
      </c>
      <c r="E70" t="s">
        <v>1501</v>
      </c>
      <c r="F70">
        <v>110201005</v>
      </c>
      <c r="G70" t="s">
        <v>1502</v>
      </c>
      <c r="H70" t="s">
        <v>1487</v>
      </c>
      <c r="I70" s="131">
        <v>3159539006</v>
      </c>
      <c r="J70" s="131">
        <v>3159539006</v>
      </c>
      <c r="K70" s="131">
        <v>1999944681.45</v>
      </c>
    </row>
    <row r="71" spans="1:11" x14ac:dyDescent="0.25">
      <c r="A71">
        <v>2023</v>
      </c>
      <c r="B71">
        <v>307</v>
      </c>
      <c r="C71">
        <v>11020100559</v>
      </c>
      <c r="D71">
        <v>42</v>
      </c>
      <c r="E71" t="s">
        <v>1503</v>
      </c>
      <c r="F71">
        <v>11020100559</v>
      </c>
      <c r="G71" t="s">
        <v>1504</v>
      </c>
      <c r="H71" t="s">
        <v>1487</v>
      </c>
      <c r="I71" s="1184">
        <v>3159539006</v>
      </c>
      <c r="J71" s="131">
        <v>3159539006</v>
      </c>
      <c r="K71" s="131">
        <v>1999944681.45</v>
      </c>
    </row>
    <row r="72" spans="1:11" x14ac:dyDescent="0.25">
      <c r="A72">
        <v>2023</v>
      </c>
      <c r="B72">
        <v>307</v>
      </c>
      <c r="C72">
        <v>110203</v>
      </c>
      <c r="D72" t="s">
        <v>226</v>
      </c>
      <c r="E72" t="s">
        <v>347</v>
      </c>
      <c r="F72">
        <v>110203</v>
      </c>
      <c r="G72" t="s">
        <v>348</v>
      </c>
      <c r="H72" t="s">
        <v>1487</v>
      </c>
      <c r="I72" s="131">
        <v>3485737836</v>
      </c>
      <c r="J72" s="131">
        <v>3485737836</v>
      </c>
      <c r="K72" s="131">
        <v>2560255689.3499999</v>
      </c>
    </row>
    <row r="73" spans="1:11" x14ac:dyDescent="0.25">
      <c r="A73">
        <v>2023</v>
      </c>
      <c r="B73">
        <v>307</v>
      </c>
      <c r="C73">
        <v>110203001</v>
      </c>
      <c r="D73" t="s">
        <v>226</v>
      </c>
      <c r="E73" t="s">
        <v>349</v>
      </c>
      <c r="F73">
        <v>110203001</v>
      </c>
      <c r="G73" t="s">
        <v>350</v>
      </c>
      <c r="H73" t="s">
        <v>1487</v>
      </c>
      <c r="I73" s="131">
        <v>2764778591</v>
      </c>
      <c r="J73" s="131">
        <v>2764778591</v>
      </c>
      <c r="K73" s="131">
        <v>2186593377.1599998</v>
      </c>
    </row>
    <row r="74" spans="1:11" x14ac:dyDescent="0.25">
      <c r="A74">
        <v>2023</v>
      </c>
      <c r="B74">
        <v>307</v>
      </c>
      <c r="C74">
        <v>11020300103</v>
      </c>
      <c r="D74">
        <v>20</v>
      </c>
      <c r="E74" t="s">
        <v>351</v>
      </c>
      <c r="F74">
        <v>11020300103</v>
      </c>
      <c r="G74" t="s">
        <v>352</v>
      </c>
      <c r="H74" t="s">
        <v>1487</v>
      </c>
      <c r="I74" s="1184">
        <v>56000000</v>
      </c>
      <c r="J74" s="131">
        <v>56000000</v>
      </c>
      <c r="K74" s="131">
        <v>27947827.07</v>
      </c>
    </row>
    <row r="75" spans="1:11" x14ac:dyDescent="0.25">
      <c r="A75">
        <v>2023</v>
      </c>
      <c r="B75">
        <v>307</v>
      </c>
      <c r="C75">
        <v>11020300104</v>
      </c>
      <c r="D75">
        <v>20</v>
      </c>
      <c r="E75" t="s">
        <v>353</v>
      </c>
      <c r="F75">
        <v>11020300104</v>
      </c>
      <c r="G75" t="s">
        <v>354</v>
      </c>
      <c r="H75" t="s">
        <v>1487</v>
      </c>
      <c r="I75" s="1184">
        <v>2000000</v>
      </c>
      <c r="J75" s="131">
        <v>2000000</v>
      </c>
      <c r="K75" s="131">
        <v>0</v>
      </c>
    </row>
    <row r="76" spans="1:11" x14ac:dyDescent="0.25">
      <c r="A76">
        <v>2023</v>
      </c>
      <c r="B76">
        <v>307</v>
      </c>
      <c r="C76">
        <v>11020300105</v>
      </c>
      <c r="D76">
        <v>20</v>
      </c>
      <c r="E76" t="s">
        <v>355</v>
      </c>
      <c r="F76">
        <v>11020300105</v>
      </c>
      <c r="G76" t="s">
        <v>356</v>
      </c>
      <c r="H76" t="s">
        <v>1487</v>
      </c>
      <c r="I76" s="1184">
        <v>80000000</v>
      </c>
      <c r="J76" s="131">
        <v>80000000</v>
      </c>
      <c r="K76" s="131">
        <v>110764961</v>
      </c>
    </row>
    <row r="77" spans="1:11" x14ac:dyDescent="0.25">
      <c r="A77">
        <v>2023</v>
      </c>
      <c r="B77">
        <v>307</v>
      </c>
      <c r="C77">
        <v>11020300106</v>
      </c>
      <c r="D77">
        <v>20</v>
      </c>
      <c r="E77" t="s">
        <v>357</v>
      </c>
      <c r="F77">
        <v>11020300106</v>
      </c>
      <c r="G77" t="s">
        <v>358</v>
      </c>
      <c r="H77" t="s">
        <v>1487</v>
      </c>
      <c r="I77" s="1184">
        <v>1000000</v>
      </c>
      <c r="J77" s="131">
        <v>1000000</v>
      </c>
      <c r="K77" s="131">
        <v>920306</v>
      </c>
    </row>
    <row r="78" spans="1:11" x14ac:dyDescent="0.25">
      <c r="A78">
        <v>2023</v>
      </c>
      <c r="B78">
        <v>307</v>
      </c>
      <c r="C78">
        <v>11020300111</v>
      </c>
      <c r="D78" t="s">
        <v>226</v>
      </c>
      <c r="E78" t="s">
        <v>361</v>
      </c>
      <c r="F78">
        <v>11020300111</v>
      </c>
      <c r="G78" t="s">
        <v>362</v>
      </c>
      <c r="H78" t="s">
        <v>1487</v>
      </c>
      <c r="I78" s="131">
        <v>2625778591</v>
      </c>
      <c r="J78" s="131">
        <v>2625778591</v>
      </c>
      <c r="K78" s="131">
        <v>2031277927.0899999</v>
      </c>
    </row>
    <row r="79" spans="1:11" x14ac:dyDescent="0.25">
      <c r="A79">
        <v>2023</v>
      </c>
      <c r="B79">
        <v>307</v>
      </c>
      <c r="C79">
        <v>1102030011101</v>
      </c>
      <c r="D79">
        <v>20</v>
      </c>
      <c r="E79" t="s">
        <v>1232</v>
      </c>
      <c r="F79">
        <v>1102030011101</v>
      </c>
      <c r="G79" t="s">
        <v>369</v>
      </c>
      <c r="H79" t="s">
        <v>1487</v>
      </c>
      <c r="I79" s="1184">
        <v>2625778591</v>
      </c>
      <c r="J79" s="131">
        <v>2625778591</v>
      </c>
      <c r="K79" s="131">
        <v>2031277927.0899999</v>
      </c>
    </row>
    <row r="80" spans="1:11" x14ac:dyDescent="0.25">
      <c r="A80">
        <v>2023</v>
      </c>
      <c r="B80">
        <v>307</v>
      </c>
      <c r="C80">
        <v>11020300113</v>
      </c>
      <c r="D80">
        <v>20</v>
      </c>
      <c r="E80" t="s">
        <v>370</v>
      </c>
      <c r="F80">
        <v>11020300113</v>
      </c>
      <c r="G80" t="s">
        <v>371</v>
      </c>
      <c r="H80" t="s">
        <v>1487</v>
      </c>
      <c r="I80" s="131">
        <v>0</v>
      </c>
      <c r="J80" s="131">
        <v>0</v>
      </c>
      <c r="K80" s="131">
        <v>15682356</v>
      </c>
    </row>
    <row r="81" spans="1:11" x14ac:dyDescent="0.25">
      <c r="A81">
        <v>2023</v>
      </c>
      <c r="B81">
        <v>307</v>
      </c>
      <c r="C81">
        <v>11020300118</v>
      </c>
      <c r="D81">
        <v>20</v>
      </c>
      <c r="E81" t="s">
        <v>374</v>
      </c>
      <c r="F81">
        <v>11020300118</v>
      </c>
      <c r="G81" t="s">
        <v>375</v>
      </c>
      <c r="H81" t="s">
        <v>1487</v>
      </c>
      <c r="I81" s="131">
        <v>0</v>
      </c>
      <c r="J81" s="131">
        <v>0</v>
      </c>
      <c r="K81" s="131">
        <v>0</v>
      </c>
    </row>
    <row r="82" spans="1:11" x14ac:dyDescent="0.25">
      <c r="A82">
        <v>2023</v>
      </c>
      <c r="B82">
        <v>307</v>
      </c>
      <c r="C82">
        <v>110203002</v>
      </c>
      <c r="D82" t="s">
        <v>226</v>
      </c>
      <c r="E82" t="s">
        <v>376</v>
      </c>
      <c r="F82">
        <v>110203002</v>
      </c>
      <c r="G82" t="s">
        <v>377</v>
      </c>
      <c r="H82" t="s">
        <v>1487</v>
      </c>
      <c r="I82" s="131">
        <v>720959245</v>
      </c>
      <c r="J82" s="131">
        <v>720959245</v>
      </c>
      <c r="K82" s="131">
        <v>373662312.19</v>
      </c>
    </row>
    <row r="83" spans="1:11" x14ac:dyDescent="0.25">
      <c r="A83">
        <v>2023</v>
      </c>
      <c r="B83">
        <v>307</v>
      </c>
      <c r="C83">
        <v>11020300201</v>
      </c>
      <c r="D83" t="s">
        <v>226</v>
      </c>
      <c r="E83" t="s">
        <v>378</v>
      </c>
      <c r="F83">
        <v>11020300201</v>
      </c>
      <c r="G83" t="s">
        <v>228</v>
      </c>
      <c r="H83" t="s">
        <v>1487</v>
      </c>
      <c r="I83" s="131">
        <v>720959245</v>
      </c>
      <c r="J83" s="131">
        <v>720959245</v>
      </c>
      <c r="K83" s="131">
        <v>373662312.19</v>
      </c>
    </row>
    <row r="84" spans="1:11" x14ac:dyDescent="0.25">
      <c r="A84">
        <v>2023</v>
      </c>
      <c r="B84">
        <v>307</v>
      </c>
      <c r="C84">
        <v>1102030020101</v>
      </c>
      <c r="D84" t="s">
        <v>226</v>
      </c>
      <c r="E84" t="s">
        <v>379</v>
      </c>
      <c r="F84">
        <v>1102030020101</v>
      </c>
      <c r="G84" t="s">
        <v>230</v>
      </c>
      <c r="H84" t="s">
        <v>1487</v>
      </c>
      <c r="I84" s="131">
        <v>720959245</v>
      </c>
      <c r="J84" s="131">
        <v>720959245</v>
      </c>
      <c r="K84" s="131">
        <v>373662312.19</v>
      </c>
    </row>
    <row r="85" spans="1:11" x14ac:dyDescent="0.25">
      <c r="A85">
        <v>2023</v>
      </c>
      <c r="B85">
        <v>307</v>
      </c>
      <c r="C85">
        <v>110203002010101</v>
      </c>
      <c r="D85" t="s">
        <v>226</v>
      </c>
      <c r="E85" t="s">
        <v>380</v>
      </c>
      <c r="F85">
        <v>110203002010101</v>
      </c>
      <c r="G85" t="s">
        <v>366</v>
      </c>
      <c r="H85" t="s">
        <v>1487</v>
      </c>
      <c r="I85" s="131">
        <v>720959245</v>
      </c>
      <c r="J85" s="131">
        <v>720959245</v>
      </c>
      <c r="K85" s="131">
        <v>373662312.19</v>
      </c>
    </row>
    <row r="86" spans="1:11" x14ac:dyDescent="0.25">
      <c r="A86">
        <v>2023</v>
      </c>
      <c r="B86">
        <v>307</v>
      </c>
      <c r="C86">
        <v>1.1020300201010099E+17</v>
      </c>
      <c r="D86" t="s">
        <v>226</v>
      </c>
      <c r="E86" t="s">
        <v>1505</v>
      </c>
      <c r="F86">
        <v>1.1020300201010099E+17</v>
      </c>
      <c r="G86" t="s">
        <v>382</v>
      </c>
      <c r="H86" t="s">
        <v>1487</v>
      </c>
      <c r="I86" s="131">
        <v>720959245</v>
      </c>
      <c r="J86" s="131">
        <v>720959245</v>
      </c>
      <c r="K86" s="131">
        <v>373662312.19</v>
      </c>
    </row>
    <row r="87" spans="1:11" x14ac:dyDescent="0.25">
      <c r="A87">
        <v>2023</v>
      </c>
      <c r="B87">
        <v>307</v>
      </c>
      <c r="C87">
        <v>1.1020300201010101E+20</v>
      </c>
      <c r="D87">
        <v>20</v>
      </c>
      <c r="E87" t="s">
        <v>383</v>
      </c>
      <c r="F87">
        <v>1.1020300201010101E+20</v>
      </c>
      <c r="G87" t="s">
        <v>384</v>
      </c>
      <c r="H87" t="s">
        <v>1487</v>
      </c>
      <c r="I87" s="1184">
        <v>720959245</v>
      </c>
      <c r="J87" s="131">
        <v>720959245</v>
      </c>
      <c r="K87" s="131">
        <v>373662312.19</v>
      </c>
    </row>
    <row r="88" spans="1:11" x14ac:dyDescent="0.25">
      <c r="A88">
        <v>2023</v>
      </c>
      <c r="B88">
        <v>307</v>
      </c>
      <c r="C88">
        <v>110205</v>
      </c>
      <c r="D88" t="s">
        <v>226</v>
      </c>
      <c r="E88" t="s">
        <v>385</v>
      </c>
      <c r="F88">
        <v>110205</v>
      </c>
      <c r="G88" t="s">
        <v>386</v>
      </c>
      <c r="H88" t="s">
        <v>1487</v>
      </c>
      <c r="I88" s="131">
        <v>250973692</v>
      </c>
      <c r="J88" s="131">
        <v>250973692</v>
      </c>
      <c r="K88" s="131">
        <v>138725382.41</v>
      </c>
    </row>
    <row r="89" spans="1:11" x14ac:dyDescent="0.25">
      <c r="A89">
        <v>2023</v>
      </c>
      <c r="B89">
        <v>307</v>
      </c>
      <c r="C89">
        <v>110205001</v>
      </c>
      <c r="D89" t="s">
        <v>226</v>
      </c>
      <c r="E89" t="s">
        <v>387</v>
      </c>
      <c r="F89">
        <v>110205001</v>
      </c>
      <c r="G89" t="s">
        <v>388</v>
      </c>
      <c r="H89" t="s">
        <v>1487</v>
      </c>
      <c r="I89" s="131">
        <v>30000000</v>
      </c>
      <c r="J89" s="131">
        <v>30000000</v>
      </c>
      <c r="K89" s="131">
        <v>86645348.909999996</v>
      </c>
    </row>
    <row r="90" spans="1:11" x14ac:dyDescent="0.25">
      <c r="A90">
        <v>2023</v>
      </c>
      <c r="B90">
        <v>307</v>
      </c>
      <c r="C90">
        <v>11020500109</v>
      </c>
      <c r="D90">
        <v>20</v>
      </c>
      <c r="E90" t="s">
        <v>389</v>
      </c>
      <c r="F90">
        <v>11020500109</v>
      </c>
      <c r="G90" t="s">
        <v>390</v>
      </c>
      <c r="H90" t="s">
        <v>1487</v>
      </c>
      <c r="I90" s="1184">
        <v>30000000</v>
      </c>
      <c r="J90" s="131">
        <v>30000000</v>
      </c>
      <c r="K90" s="131">
        <v>86645348.909999996</v>
      </c>
    </row>
    <row r="91" spans="1:11" x14ac:dyDescent="0.25">
      <c r="A91">
        <v>2023</v>
      </c>
      <c r="B91">
        <v>307</v>
      </c>
      <c r="C91">
        <v>110205002</v>
      </c>
      <c r="D91" t="s">
        <v>226</v>
      </c>
      <c r="E91" t="s">
        <v>391</v>
      </c>
      <c r="F91">
        <v>110205002</v>
      </c>
      <c r="G91" t="s">
        <v>392</v>
      </c>
      <c r="H91" t="s">
        <v>1487</v>
      </c>
      <c r="I91" s="131">
        <v>220973692</v>
      </c>
      <c r="J91" s="131">
        <v>220973692</v>
      </c>
      <c r="K91" s="131">
        <v>52080033.5</v>
      </c>
    </row>
    <row r="92" spans="1:11" x14ac:dyDescent="0.25">
      <c r="A92">
        <v>2023</v>
      </c>
      <c r="B92">
        <v>307</v>
      </c>
      <c r="C92">
        <v>11020500207</v>
      </c>
      <c r="D92" t="s">
        <v>226</v>
      </c>
      <c r="E92" t="s">
        <v>393</v>
      </c>
      <c r="F92">
        <v>11020500207</v>
      </c>
      <c r="G92" t="s">
        <v>394</v>
      </c>
      <c r="H92" t="s">
        <v>1487</v>
      </c>
      <c r="I92" s="131">
        <v>220973692</v>
      </c>
      <c r="J92" s="131">
        <v>220973692</v>
      </c>
      <c r="K92" s="131">
        <v>52080033.5</v>
      </c>
    </row>
    <row r="93" spans="1:11" x14ac:dyDescent="0.25">
      <c r="A93">
        <v>2023</v>
      </c>
      <c r="B93">
        <v>307</v>
      </c>
      <c r="C93">
        <v>1102050020702</v>
      </c>
      <c r="D93" t="s">
        <v>226</v>
      </c>
      <c r="E93" t="s">
        <v>395</v>
      </c>
      <c r="F93">
        <v>1102050020702</v>
      </c>
      <c r="G93" t="s">
        <v>396</v>
      </c>
      <c r="H93" t="s">
        <v>1487</v>
      </c>
      <c r="I93" s="131">
        <v>220973692</v>
      </c>
      <c r="J93" s="131">
        <v>220973692</v>
      </c>
      <c r="K93" s="131">
        <v>52080033.5</v>
      </c>
    </row>
    <row r="94" spans="1:11" x14ac:dyDescent="0.25">
      <c r="A94">
        <v>2023</v>
      </c>
      <c r="B94">
        <v>307</v>
      </c>
      <c r="C94">
        <v>110205002070201</v>
      </c>
      <c r="D94">
        <v>20</v>
      </c>
      <c r="E94" t="s">
        <v>397</v>
      </c>
      <c r="F94">
        <v>110205002070201</v>
      </c>
      <c r="G94" t="s">
        <v>398</v>
      </c>
      <c r="H94" t="s">
        <v>1487</v>
      </c>
      <c r="I94" s="1184">
        <v>220973692</v>
      </c>
      <c r="J94" s="131">
        <v>220973692</v>
      </c>
      <c r="K94" s="131">
        <v>52080033.5</v>
      </c>
    </row>
    <row r="95" spans="1:11" x14ac:dyDescent="0.25">
      <c r="A95">
        <v>2023</v>
      </c>
      <c r="B95">
        <v>307</v>
      </c>
      <c r="C95">
        <v>110206</v>
      </c>
      <c r="D95" t="s">
        <v>226</v>
      </c>
      <c r="E95" t="s">
        <v>405</v>
      </c>
      <c r="F95">
        <v>110206</v>
      </c>
      <c r="G95" t="s">
        <v>406</v>
      </c>
      <c r="H95" t="s">
        <v>1487</v>
      </c>
      <c r="I95" s="131">
        <v>13536352305</v>
      </c>
      <c r="J95" s="131">
        <v>14585805673</v>
      </c>
      <c r="K95" s="131">
        <v>3535325553.9499998</v>
      </c>
    </row>
    <row r="96" spans="1:11" x14ac:dyDescent="0.25">
      <c r="A96">
        <v>2023</v>
      </c>
      <c r="B96">
        <v>307</v>
      </c>
      <c r="C96">
        <v>110206001</v>
      </c>
      <c r="D96" t="s">
        <v>226</v>
      </c>
      <c r="E96" t="s">
        <v>407</v>
      </c>
      <c r="F96">
        <v>110206001</v>
      </c>
      <c r="G96" t="s">
        <v>408</v>
      </c>
      <c r="H96" t="s">
        <v>1487</v>
      </c>
      <c r="I96" s="131">
        <v>2952931316</v>
      </c>
      <c r="J96" s="131">
        <v>3701046884</v>
      </c>
      <c r="K96" s="131">
        <v>1836298236</v>
      </c>
    </row>
    <row r="97" spans="1:11" x14ac:dyDescent="0.25">
      <c r="A97">
        <v>2023</v>
      </c>
      <c r="B97">
        <v>307</v>
      </c>
      <c r="C97">
        <v>11020600105</v>
      </c>
      <c r="D97">
        <v>27</v>
      </c>
      <c r="E97" t="s">
        <v>409</v>
      </c>
      <c r="F97">
        <v>11020600105</v>
      </c>
      <c r="G97" t="s">
        <v>410</v>
      </c>
      <c r="H97" t="s">
        <v>1487</v>
      </c>
      <c r="I97" s="1184">
        <v>2952931316</v>
      </c>
      <c r="J97" s="131">
        <v>3701046884</v>
      </c>
      <c r="K97" s="131">
        <v>1836298236</v>
      </c>
    </row>
    <row r="98" spans="1:11" x14ac:dyDescent="0.25">
      <c r="A98">
        <v>2023</v>
      </c>
      <c r="B98">
        <v>307</v>
      </c>
      <c r="C98">
        <v>110206003</v>
      </c>
      <c r="D98" t="s">
        <v>226</v>
      </c>
      <c r="E98" t="s">
        <v>411</v>
      </c>
      <c r="F98">
        <v>110206003</v>
      </c>
      <c r="G98" t="s">
        <v>412</v>
      </c>
      <c r="H98" t="s">
        <v>1487</v>
      </c>
      <c r="I98" s="131">
        <v>3230691898</v>
      </c>
      <c r="J98" s="131">
        <v>3189152603</v>
      </c>
      <c r="K98" s="131">
        <v>1475485732</v>
      </c>
    </row>
    <row r="99" spans="1:11" x14ac:dyDescent="0.25">
      <c r="A99">
        <v>2023</v>
      </c>
      <c r="B99">
        <v>307</v>
      </c>
      <c r="C99">
        <v>11020600301</v>
      </c>
      <c r="D99" t="s">
        <v>226</v>
      </c>
      <c r="E99" t="s">
        <v>413</v>
      </c>
      <c r="F99">
        <v>11020600301</v>
      </c>
      <c r="G99" t="s">
        <v>414</v>
      </c>
      <c r="H99" t="s">
        <v>1487</v>
      </c>
      <c r="I99" s="131">
        <v>3230691898</v>
      </c>
      <c r="J99" s="131">
        <v>3189152603</v>
      </c>
      <c r="K99" s="131">
        <v>1475485732</v>
      </c>
    </row>
    <row r="100" spans="1:11" x14ac:dyDescent="0.25">
      <c r="A100">
        <v>2023</v>
      </c>
      <c r="B100">
        <v>307</v>
      </c>
      <c r="C100">
        <v>1102060030110</v>
      </c>
      <c r="D100">
        <v>23</v>
      </c>
      <c r="E100" t="s">
        <v>1233</v>
      </c>
      <c r="F100">
        <v>1102060030110</v>
      </c>
      <c r="G100" t="s">
        <v>416</v>
      </c>
      <c r="H100" t="s">
        <v>1487</v>
      </c>
      <c r="I100" s="1184">
        <v>3085293181</v>
      </c>
      <c r="J100" s="131">
        <v>3085293181</v>
      </c>
      <c r="K100" s="131">
        <v>1371626310</v>
      </c>
    </row>
    <row r="101" spans="1:11" x14ac:dyDescent="0.25">
      <c r="A101">
        <v>2023</v>
      </c>
      <c r="B101">
        <v>307</v>
      </c>
      <c r="C101">
        <v>1102060030111</v>
      </c>
      <c r="D101">
        <v>47</v>
      </c>
      <c r="E101" t="s">
        <v>417</v>
      </c>
      <c r="F101">
        <v>1102060030111</v>
      </c>
      <c r="G101" t="s">
        <v>418</v>
      </c>
      <c r="H101" t="s">
        <v>1487</v>
      </c>
      <c r="I101" s="1184">
        <v>145398717</v>
      </c>
      <c r="J101" s="131">
        <v>103859422</v>
      </c>
      <c r="K101" s="131">
        <v>103859422</v>
      </c>
    </row>
    <row r="102" spans="1:11" x14ac:dyDescent="0.25">
      <c r="A102">
        <v>2023</v>
      </c>
      <c r="B102">
        <v>307</v>
      </c>
      <c r="C102">
        <v>110206006</v>
      </c>
      <c r="D102" t="s">
        <v>226</v>
      </c>
      <c r="E102" t="s">
        <v>427</v>
      </c>
      <c r="F102">
        <v>110206006</v>
      </c>
      <c r="G102" t="s">
        <v>428</v>
      </c>
      <c r="H102" t="s">
        <v>1487</v>
      </c>
      <c r="I102" s="131">
        <v>250000000</v>
      </c>
      <c r="J102" s="131">
        <v>592877095</v>
      </c>
      <c r="K102" s="131">
        <v>0</v>
      </c>
    </row>
    <row r="103" spans="1:11" x14ac:dyDescent="0.25">
      <c r="A103">
        <v>2023</v>
      </c>
      <c r="B103">
        <v>307</v>
      </c>
      <c r="C103">
        <v>11020600606</v>
      </c>
      <c r="D103" t="s">
        <v>226</v>
      </c>
      <c r="E103" t="s">
        <v>429</v>
      </c>
      <c r="F103">
        <v>11020600606</v>
      </c>
      <c r="G103" t="s">
        <v>430</v>
      </c>
      <c r="H103" t="s">
        <v>1487</v>
      </c>
      <c r="I103" s="131">
        <v>250000000</v>
      </c>
      <c r="J103" s="131">
        <v>592877095</v>
      </c>
      <c r="K103" s="131">
        <v>0</v>
      </c>
    </row>
    <row r="104" spans="1:11" x14ac:dyDescent="0.25">
      <c r="A104">
        <v>2023</v>
      </c>
      <c r="B104">
        <v>307</v>
      </c>
      <c r="C104">
        <v>1102060060600</v>
      </c>
      <c r="D104" t="s">
        <v>226</v>
      </c>
      <c r="E104" t="s">
        <v>431</v>
      </c>
      <c r="F104">
        <v>1102060060600</v>
      </c>
      <c r="G104" t="s">
        <v>430</v>
      </c>
      <c r="H104" t="s">
        <v>1487</v>
      </c>
      <c r="I104" s="131">
        <v>250000000</v>
      </c>
      <c r="J104" s="131">
        <v>592877095</v>
      </c>
      <c r="K104" s="131">
        <v>0</v>
      </c>
    </row>
    <row r="105" spans="1:11" x14ac:dyDescent="0.25">
      <c r="A105">
        <v>2023</v>
      </c>
      <c r="B105">
        <v>307</v>
      </c>
      <c r="C105">
        <v>110206006060000</v>
      </c>
      <c r="D105" t="s">
        <v>226</v>
      </c>
      <c r="E105" t="s">
        <v>432</v>
      </c>
      <c r="F105">
        <v>110206006060000</v>
      </c>
      <c r="G105" t="s">
        <v>430</v>
      </c>
      <c r="H105" t="s">
        <v>1487</v>
      </c>
      <c r="I105" s="131">
        <v>250000000</v>
      </c>
      <c r="J105" s="131">
        <v>592877095</v>
      </c>
      <c r="K105" s="131">
        <v>0</v>
      </c>
    </row>
    <row r="106" spans="1:11" x14ac:dyDescent="0.25">
      <c r="A106">
        <v>2023</v>
      </c>
      <c r="B106">
        <v>307</v>
      </c>
      <c r="C106">
        <v>1.1020600606E+17</v>
      </c>
      <c r="D106" t="s">
        <v>226</v>
      </c>
      <c r="E106" t="s">
        <v>1506</v>
      </c>
      <c r="F106">
        <v>1.1020600606E+17</v>
      </c>
      <c r="G106" t="s">
        <v>430</v>
      </c>
      <c r="H106" t="s">
        <v>1487</v>
      </c>
      <c r="I106" s="131">
        <v>250000000</v>
      </c>
      <c r="J106" s="131">
        <v>592877095</v>
      </c>
      <c r="K106" s="131">
        <v>0</v>
      </c>
    </row>
    <row r="107" spans="1:11" x14ac:dyDescent="0.25">
      <c r="A107">
        <v>2023</v>
      </c>
      <c r="B107">
        <v>307</v>
      </c>
      <c r="C107">
        <v>1.1020600606E+20</v>
      </c>
      <c r="D107" t="s">
        <v>226</v>
      </c>
      <c r="E107" t="s">
        <v>1507</v>
      </c>
      <c r="F107">
        <v>1.1020600606E+20</v>
      </c>
      <c r="G107" t="s">
        <v>430</v>
      </c>
      <c r="H107" t="s">
        <v>1487</v>
      </c>
      <c r="I107" s="131">
        <v>250000000</v>
      </c>
      <c r="J107" s="131">
        <v>592877095</v>
      </c>
      <c r="K107" s="131">
        <v>0</v>
      </c>
    </row>
    <row r="108" spans="1:11" x14ac:dyDescent="0.25">
      <c r="A108">
        <v>2023</v>
      </c>
      <c r="B108">
        <v>307</v>
      </c>
      <c r="C108">
        <v>1.1020600605999999E+35</v>
      </c>
      <c r="D108">
        <v>56</v>
      </c>
      <c r="E108" t="s">
        <v>441</v>
      </c>
      <c r="F108">
        <v>1.1020600605999999E+35</v>
      </c>
      <c r="G108" t="s">
        <v>442</v>
      </c>
      <c r="H108" t="s">
        <v>1487</v>
      </c>
      <c r="I108" s="1184">
        <v>250000000</v>
      </c>
      <c r="J108" s="131">
        <v>592877095</v>
      </c>
      <c r="K108" s="131">
        <v>0</v>
      </c>
    </row>
    <row r="109" spans="1:11" x14ac:dyDescent="0.25">
      <c r="A109">
        <v>2023</v>
      </c>
      <c r="B109">
        <v>307</v>
      </c>
      <c r="C109">
        <v>11020600902</v>
      </c>
      <c r="D109" t="s">
        <v>226</v>
      </c>
      <c r="E109" t="s">
        <v>443</v>
      </c>
      <c r="F109">
        <v>11020600902</v>
      </c>
      <c r="G109" t="s">
        <v>444</v>
      </c>
      <c r="H109" t="s">
        <v>1487</v>
      </c>
      <c r="I109" s="131">
        <v>7102729091</v>
      </c>
      <c r="J109" s="131">
        <v>7102729091</v>
      </c>
      <c r="K109" s="131">
        <v>223541585.94999999</v>
      </c>
    </row>
    <row r="110" spans="1:11" x14ac:dyDescent="0.25">
      <c r="A110">
        <v>2023</v>
      </c>
      <c r="B110">
        <v>307</v>
      </c>
      <c r="C110">
        <v>1102060090202</v>
      </c>
      <c r="D110" t="s">
        <v>226</v>
      </c>
      <c r="E110" t="s">
        <v>445</v>
      </c>
      <c r="F110">
        <v>1102060090202</v>
      </c>
      <c r="G110" t="s">
        <v>446</v>
      </c>
      <c r="H110" t="s">
        <v>1487</v>
      </c>
      <c r="I110" s="131">
        <v>7102729091</v>
      </c>
      <c r="J110" s="131">
        <v>7102729091</v>
      </c>
      <c r="K110" s="131">
        <v>223541585.94999999</v>
      </c>
    </row>
    <row r="111" spans="1:11" x14ac:dyDescent="0.25">
      <c r="A111">
        <v>2023</v>
      </c>
      <c r="B111">
        <v>307</v>
      </c>
      <c r="C111">
        <v>110206009020200</v>
      </c>
      <c r="D111" t="s">
        <v>226</v>
      </c>
      <c r="E111" t="s">
        <v>447</v>
      </c>
      <c r="F111">
        <v>110206009020200</v>
      </c>
      <c r="G111" t="s">
        <v>446</v>
      </c>
      <c r="H111" t="s">
        <v>1487</v>
      </c>
      <c r="I111" s="131">
        <v>7102729091</v>
      </c>
      <c r="J111" s="131">
        <v>7102729091</v>
      </c>
      <c r="K111" s="131">
        <v>223541585.94999999</v>
      </c>
    </row>
    <row r="112" spans="1:11" x14ac:dyDescent="0.25">
      <c r="A112">
        <v>2023</v>
      </c>
      <c r="B112">
        <v>307</v>
      </c>
      <c r="C112">
        <v>1.102060090202E+17</v>
      </c>
      <c r="D112" t="s">
        <v>226</v>
      </c>
      <c r="E112" t="s">
        <v>1508</v>
      </c>
      <c r="F112">
        <v>1.102060090202E+17</v>
      </c>
      <c r="G112" t="s">
        <v>446</v>
      </c>
      <c r="H112" t="s">
        <v>1487</v>
      </c>
      <c r="I112" s="131">
        <v>7102729091</v>
      </c>
      <c r="J112" s="131">
        <v>7102729091</v>
      </c>
      <c r="K112" s="131">
        <v>223541585.94999999</v>
      </c>
    </row>
    <row r="113" spans="1:11" x14ac:dyDescent="0.25">
      <c r="A113">
        <v>2023</v>
      </c>
      <c r="B113">
        <v>307</v>
      </c>
      <c r="C113">
        <v>1.1020600902019999E+20</v>
      </c>
      <c r="D113" t="s">
        <v>226</v>
      </c>
      <c r="E113" t="s">
        <v>1509</v>
      </c>
      <c r="F113">
        <v>1.1020600902019999E+20</v>
      </c>
      <c r="G113" t="s">
        <v>446</v>
      </c>
      <c r="H113" t="s">
        <v>1487</v>
      </c>
      <c r="I113" s="131">
        <v>7102729091</v>
      </c>
      <c r="J113" s="131">
        <v>7102729091</v>
      </c>
      <c r="K113" s="131">
        <v>223541585.94999999</v>
      </c>
    </row>
    <row r="114" spans="1:11" x14ac:dyDescent="0.25">
      <c r="A114">
        <v>2023</v>
      </c>
      <c r="B114">
        <v>307</v>
      </c>
      <c r="C114">
        <v>1.102060090202E+35</v>
      </c>
      <c r="D114">
        <v>49</v>
      </c>
      <c r="E114" t="s">
        <v>1510</v>
      </c>
      <c r="F114">
        <v>1.102060090202E+35</v>
      </c>
      <c r="G114" t="s">
        <v>325</v>
      </c>
      <c r="H114" t="s">
        <v>1487</v>
      </c>
      <c r="I114" s="1184">
        <v>7128550.7000000002</v>
      </c>
      <c r="J114" s="131">
        <v>7128550.7000000002</v>
      </c>
      <c r="K114" s="131">
        <v>2828325</v>
      </c>
    </row>
    <row r="115" spans="1:11" x14ac:dyDescent="0.25">
      <c r="A115">
        <v>2023</v>
      </c>
      <c r="B115">
        <v>307</v>
      </c>
      <c r="C115">
        <v>1.102060090202E+35</v>
      </c>
      <c r="D115">
        <v>49</v>
      </c>
      <c r="E115" t="s">
        <v>1511</v>
      </c>
      <c r="F115">
        <v>1.102060090202E+35</v>
      </c>
      <c r="G115" t="s">
        <v>453</v>
      </c>
      <c r="H115" t="s">
        <v>1487</v>
      </c>
      <c r="I115" s="1184">
        <v>878837.9</v>
      </c>
      <c r="J115" s="131">
        <v>878837.9</v>
      </c>
      <c r="K115" s="131">
        <v>0</v>
      </c>
    </row>
    <row r="116" spans="1:11" x14ac:dyDescent="0.25">
      <c r="A116">
        <v>2023</v>
      </c>
      <c r="B116">
        <v>307</v>
      </c>
      <c r="C116">
        <v>1.102060090202E+35</v>
      </c>
      <c r="D116">
        <v>49</v>
      </c>
      <c r="E116" t="s">
        <v>1512</v>
      </c>
      <c r="F116">
        <v>1.102060090202E+35</v>
      </c>
      <c r="G116" t="s">
        <v>455</v>
      </c>
      <c r="H116" t="s">
        <v>1487</v>
      </c>
      <c r="I116" s="1184">
        <v>9809760.0899999999</v>
      </c>
      <c r="J116" s="131">
        <v>9809760.0899999999</v>
      </c>
      <c r="K116" s="131">
        <v>6928572</v>
      </c>
    </row>
    <row r="117" spans="1:11" x14ac:dyDescent="0.25">
      <c r="A117">
        <v>2023</v>
      </c>
      <c r="B117">
        <v>307</v>
      </c>
      <c r="C117">
        <v>1.102060090202E+35</v>
      </c>
      <c r="D117">
        <v>49</v>
      </c>
      <c r="E117" t="s">
        <v>1513</v>
      </c>
      <c r="F117">
        <v>1.102060090202E+35</v>
      </c>
      <c r="G117" t="s">
        <v>1514</v>
      </c>
      <c r="H117" t="s">
        <v>1487</v>
      </c>
      <c r="I117" s="131">
        <v>0</v>
      </c>
      <c r="J117" s="131">
        <v>0</v>
      </c>
      <c r="K117" s="131">
        <v>9320337</v>
      </c>
    </row>
    <row r="118" spans="1:11" x14ac:dyDescent="0.25">
      <c r="A118">
        <v>2023</v>
      </c>
      <c r="B118">
        <v>307</v>
      </c>
      <c r="C118">
        <v>1.102060090202E+35</v>
      </c>
      <c r="D118">
        <v>133</v>
      </c>
      <c r="E118" t="s">
        <v>1515</v>
      </c>
      <c r="F118">
        <v>1.102060090202E+35</v>
      </c>
      <c r="G118" t="s">
        <v>1516</v>
      </c>
      <c r="H118" t="s">
        <v>1487</v>
      </c>
      <c r="I118" s="1184">
        <v>6500000000</v>
      </c>
      <c r="J118" s="131">
        <v>6500000000</v>
      </c>
      <c r="K118" s="131">
        <v>0</v>
      </c>
    </row>
    <row r="119" spans="1:11" x14ac:dyDescent="0.25">
      <c r="A119">
        <v>2023</v>
      </c>
      <c r="B119">
        <v>307</v>
      </c>
      <c r="C119">
        <v>1.102060090202E+35</v>
      </c>
      <c r="D119">
        <v>49</v>
      </c>
      <c r="E119" t="s">
        <v>1517</v>
      </c>
      <c r="F119">
        <v>1.102060090202E+35</v>
      </c>
      <c r="G119" t="s">
        <v>457</v>
      </c>
      <c r="H119" t="s">
        <v>1487</v>
      </c>
      <c r="I119" s="1184">
        <v>97455968.260000005</v>
      </c>
      <c r="J119" s="131">
        <v>97455968.260000005</v>
      </c>
      <c r="K119" s="131">
        <v>13772758.949999999</v>
      </c>
    </row>
    <row r="120" spans="1:11" x14ac:dyDescent="0.25">
      <c r="A120">
        <v>2023</v>
      </c>
      <c r="B120">
        <v>307</v>
      </c>
      <c r="C120">
        <v>1.102060090202E+35</v>
      </c>
      <c r="D120">
        <v>49</v>
      </c>
      <c r="E120" t="s">
        <v>1518</v>
      </c>
      <c r="F120">
        <v>1.102060090202E+35</v>
      </c>
      <c r="G120" t="s">
        <v>461</v>
      </c>
      <c r="H120" t="s">
        <v>1487</v>
      </c>
      <c r="I120" s="1184">
        <v>2451353.08</v>
      </c>
      <c r="J120" s="131">
        <v>2451353.08</v>
      </c>
      <c r="K120" s="131">
        <v>836152</v>
      </c>
    </row>
    <row r="121" spans="1:11" x14ac:dyDescent="0.25">
      <c r="A121">
        <v>2023</v>
      </c>
      <c r="B121">
        <v>307</v>
      </c>
      <c r="C121">
        <v>1.102060090202E+35</v>
      </c>
      <c r="D121">
        <v>49</v>
      </c>
      <c r="E121" t="s">
        <v>1519</v>
      </c>
      <c r="F121">
        <v>1.102060090202E+35</v>
      </c>
      <c r="G121" t="s">
        <v>463</v>
      </c>
      <c r="H121" t="s">
        <v>1487</v>
      </c>
      <c r="I121" s="1184">
        <v>404917312.38</v>
      </c>
      <c r="J121" s="131">
        <v>404917312.38</v>
      </c>
      <c r="K121" s="131">
        <v>128720401</v>
      </c>
    </row>
    <row r="122" spans="1:11" x14ac:dyDescent="0.25">
      <c r="A122">
        <v>2023</v>
      </c>
      <c r="B122">
        <v>307</v>
      </c>
      <c r="C122">
        <v>1.102060090202E+35</v>
      </c>
      <c r="D122">
        <v>49</v>
      </c>
      <c r="E122" t="s">
        <v>1520</v>
      </c>
      <c r="F122">
        <v>1.102060090202E+35</v>
      </c>
      <c r="G122" t="s">
        <v>465</v>
      </c>
      <c r="H122" t="s">
        <v>1487</v>
      </c>
      <c r="I122" s="1184">
        <v>2515111.41</v>
      </c>
      <c r="J122" s="131">
        <v>2515111.41</v>
      </c>
      <c r="K122" s="131">
        <v>1516732</v>
      </c>
    </row>
    <row r="123" spans="1:11" x14ac:dyDescent="0.25">
      <c r="A123">
        <v>2023</v>
      </c>
      <c r="B123">
        <v>307</v>
      </c>
      <c r="C123">
        <v>1.102060090202E+35</v>
      </c>
      <c r="D123">
        <v>49</v>
      </c>
      <c r="E123" t="s">
        <v>1521</v>
      </c>
      <c r="F123">
        <v>1.102060090202E+35</v>
      </c>
      <c r="G123" t="s">
        <v>339</v>
      </c>
      <c r="H123" t="s">
        <v>1487</v>
      </c>
      <c r="I123" s="1184">
        <v>5197201.82</v>
      </c>
      <c r="J123" s="131">
        <v>5197201.82</v>
      </c>
      <c r="K123" s="131">
        <v>0</v>
      </c>
    </row>
    <row r="124" spans="1:11" x14ac:dyDescent="0.25">
      <c r="A124">
        <v>2023</v>
      </c>
      <c r="B124">
        <v>307</v>
      </c>
      <c r="C124">
        <v>1.102060090202E+35</v>
      </c>
      <c r="D124">
        <v>49</v>
      </c>
      <c r="E124" t="s">
        <v>1522</v>
      </c>
      <c r="F124">
        <v>1.102060090202E+35</v>
      </c>
      <c r="G124" t="s">
        <v>469</v>
      </c>
      <c r="H124" t="s">
        <v>1487</v>
      </c>
      <c r="I124" s="1184">
        <v>46357556.210000001</v>
      </c>
      <c r="J124" s="131">
        <v>46357556.210000001</v>
      </c>
      <c r="K124" s="131">
        <v>28363596</v>
      </c>
    </row>
    <row r="125" spans="1:11" x14ac:dyDescent="0.25">
      <c r="A125">
        <v>2023</v>
      </c>
      <c r="B125">
        <v>307</v>
      </c>
      <c r="C125">
        <v>1.102060090202E+35</v>
      </c>
      <c r="D125">
        <v>49</v>
      </c>
      <c r="E125" t="s">
        <v>1523</v>
      </c>
      <c r="F125">
        <v>1.102060090202E+35</v>
      </c>
      <c r="G125" t="s">
        <v>471</v>
      </c>
      <c r="H125" t="s">
        <v>1487</v>
      </c>
      <c r="I125" s="1184">
        <v>1248816.6000000001</v>
      </c>
      <c r="J125" s="131">
        <v>1248816.6000000001</v>
      </c>
      <c r="K125" s="131">
        <v>701144</v>
      </c>
    </row>
    <row r="126" spans="1:11" x14ac:dyDescent="0.25">
      <c r="A126">
        <v>2023</v>
      </c>
      <c r="B126">
        <v>307</v>
      </c>
      <c r="C126">
        <v>1.102060090202E+35</v>
      </c>
      <c r="D126">
        <v>49</v>
      </c>
      <c r="E126" t="s">
        <v>1524</v>
      </c>
      <c r="F126">
        <v>1.102060090202E+35</v>
      </c>
      <c r="G126" t="s">
        <v>477</v>
      </c>
      <c r="H126" t="s">
        <v>1487</v>
      </c>
      <c r="I126" s="1184">
        <v>4329842.3</v>
      </c>
      <c r="J126" s="131">
        <v>4329842.3</v>
      </c>
      <c r="K126" s="131">
        <v>3158734</v>
      </c>
    </row>
    <row r="127" spans="1:11" x14ac:dyDescent="0.25">
      <c r="A127">
        <v>2023</v>
      </c>
      <c r="B127">
        <v>307</v>
      </c>
      <c r="C127">
        <v>1.102060090202E+35</v>
      </c>
      <c r="D127">
        <v>49</v>
      </c>
      <c r="E127" t="s">
        <v>1525</v>
      </c>
      <c r="F127">
        <v>1.102060090202E+35</v>
      </c>
      <c r="G127" t="s">
        <v>479</v>
      </c>
      <c r="H127" t="s">
        <v>1487</v>
      </c>
      <c r="I127" s="1184">
        <v>2137357.11</v>
      </c>
      <c r="J127" s="131">
        <v>2137357.11</v>
      </c>
      <c r="K127" s="131">
        <v>21256803</v>
      </c>
    </row>
    <row r="128" spans="1:11" x14ac:dyDescent="0.25">
      <c r="A128">
        <v>2023</v>
      </c>
      <c r="B128">
        <v>307</v>
      </c>
      <c r="C128">
        <v>1.102060090202E+35</v>
      </c>
      <c r="D128">
        <v>49</v>
      </c>
      <c r="E128" t="s">
        <v>1526</v>
      </c>
      <c r="F128">
        <v>1.102060090202E+35</v>
      </c>
      <c r="G128" t="s">
        <v>485</v>
      </c>
      <c r="H128" t="s">
        <v>1487</v>
      </c>
      <c r="I128" s="1184">
        <v>5008113.8600000003</v>
      </c>
      <c r="J128" s="131">
        <v>5008113.8600000003</v>
      </c>
      <c r="K128" s="131">
        <v>0</v>
      </c>
    </row>
    <row r="129" spans="1:11" x14ac:dyDescent="0.25">
      <c r="A129">
        <v>2023</v>
      </c>
      <c r="B129">
        <v>307</v>
      </c>
      <c r="C129">
        <v>1.102060090202E+35</v>
      </c>
      <c r="D129">
        <v>49</v>
      </c>
      <c r="E129" t="s">
        <v>1527</v>
      </c>
      <c r="F129">
        <v>1.102060090202E+35</v>
      </c>
      <c r="G129" t="s">
        <v>491</v>
      </c>
      <c r="H129" t="s">
        <v>1487</v>
      </c>
      <c r="I129" s="1184">
        <v>2241762.37</v>
      </c>
      <c r="J129" s="131">
        <v>2241762.37</v>
      </c>
      <c r="K129" s="131">
        <v>0</v>
      </c>
    </row>
    <row r="130" spans="1:11" x14ac:dyDescent="0.25">
      <c r="A130">
        <v>2023</v>
      </c>
      <c r="B130">
        <v>307</v>
      </c>
      <c r="C130">
        <v>1.102060090202E+35</v>
      </c>
      <c r="D130">
        <v>49</v>
      </c>
      <c r="E130" t="s">
        <v>1528</v>
      </c>
      <c r="F130">
        <v>1.102060090202E+35</v>
      </c>
      <c r="G130" t="s">
        <v>493</v>
      </c>
      <c r="H130" t="s">
        <v>1487</v>
      </c>
      <c r="I130" s="1184">
        <v>11051546.91</v>
      </c>
      <c r="J130" s="131">
        <v>11051546.91</v>
      </c>
      <c r="K130" s="131">
        <v>6138031</v>
      </c>
    </row>
    <row r="131" spans="1:11" x14ac:dyDescent="0.25">
      <c r="A131">
        <v>2023</v>
      </c>
      <c r="B131">
        <v>307</v>
      </c>
      <c r="C131">
        <v>110207</v>
      </c>
      <c r="D131" t="s">
        <v>226</v>
      </c>
      <c r="E131" t="s">
        <v>496</v>
      </c>
      <c r="F131">
        <v>110207</v>
      </c>
      <c r="G131" t="s">
        <v>497</v>
      </c>
      <c r="H131" t="s">
        <v>1487</v>
      </c>
      <c r="I131" s="131">
        <v>15988878567.120001</v>
      </c>
      <c r="J131" s="131">
        <v>22151922045.119999</v>
      </c>
      <c r="K131" s="131">
        <v>9071272072.1800003</v>
      </c>
    </row>
    <row r="132" spans="1:11" x14ac:dyDescent="0.25">
      <c r="A132">
        <v>2023</v>
      </c>
      <c r="B132">
        <v>307</v>
      </c>
      <c r="C132">
        <v>110207002</v>
      </c>
      <c r="D132" t="s">
        <v>226</v>
      </c>
      <c r="E132" t="s">
        <v>498</v>
      </c>
      <c r="F132">
        <v>110207002</v>
      </c>
      <c r="G132" t="s">
        <v>499</v>
      </c>
      <c r="H132" t="s">
        <v>1487</v>
      </c>
      <c r="I132" s="131">
        <v>15988878567.120001</v>
      </c>
      <c r="J132" s="131">
        <v>22151922045.119999</v>
      </c>
      <c r="K132" s="131">
        <v>9071272072.1800003</v>
      </c>
    </row>
    <row r="133" spans="1:11" x14ac:dyDescent="0.25">
      <c r="A133">
        <v>2023</v>
      </c>
      <c r="B133">
        <v>307</v>
      </c>
      <c r="C133">
        <v>11020700201</v>
      </c>
      <c r="D133" t="s">
        <v>226</v>
      </c>
      <c r="E133" t="s">
        <v>500</v>
      </c>
      <c r="F133">
        <v>11020700201</v>
      </c>
      <c r="G133" t="s">
        <v>501</v>
      </c>
      <c r="H133" t="s">
        <v>1487</v>
      </c>
      <c r="I133" s="131">
        <v>15984391846</v>
      </c>
      <c r="J133" s="131">
        <v>22147435324</v>
      </c>
      <c r="K133" s="131">
        <v>9070244542.1800003</v>
      </c>
    </row>
    <row r="134" spans="1:11" x14ac:dyDescent="0.25">
      <c r="A134">
        <v>2023</v>
      </c>
      <c r="B134">
        <v>307</v>
      </c>
      <c r="C134">
        <v>1102070020102</v>
      </c>
      <c r="D134" t="s">
        <v>226</v>
      </c>
      <c r="E134" t="s">
        <v>502</v>
      </c>
      <c r="F134">
        <v>1102070020102</v>
      </c>
      <c r="G134" t="s">
        <v>503</v>
      </c>
      <c r="H134" t="s">
        <v>1487</v>
      </c>
      <c r="I134" s="131">
        <v>0</v>
      </c>
      <c r="J134" s="131">
        <v>0</v>
      </c>
      <c r="K134" s="131">
        <v>528122700</v>
      </c>
    </row>
    <row r="135" spans="1:11" x14ac:dyDescent="0.25">
      <c r="A135">
        <v>2023</v>
      </c>
      <c r="B135">
        <v>307</v>
      </c>
      <c r="C135">
        <v>110207002010201</v>
      </c>
      <c r="D135" t="s">
        <v>226</v>
      </c>
      <c r="E135" t="s">
        <v>504</v>
      </c>
      <c r="F135">
        <v>110207002010201</v>
      </c>
      <c r="G135" t="s">
        <v>505</v>
      </c>
      <c r="H135" t="s">
        <v>1487</v>
      </c>
      <c r="I135" s="131">
        <v>0</v>
      </c>
      <c r="J135" s="131">
        <v>0</v>
      </c>
      <c r="K135" s="131">
        <v>477393210</v>
      </c>
    </row>
    <row r="136" spans="1:11" x14ac:dyDescent="0.25">
      <c r="A136">
        <v>2023</v>
      </c>
      <c r="B136">
        <v>307</v>
      </c>
      <c r="C136">
        <v>1.1020700201020099E+17</v>
      </c>
      <c r="D136">
        <v>35</v>
      </c>
      <c r="E136" t="s">
        <v>1240</v>
      </c>
      <c r="F136">
        <v>1.1020700201020099E+17</v>
      </c>
      <c r="G136" t="s">
        <v>1241</v>
      </c>
      <c r="H136" t="s">
        <v>1487</v>
      </c>
      <c r="I136" s="131">
        <v>0</v>
      </c>
      <c r="J136" s="131">
        <v>0</v>
      </c>
      <c r="K136" s="131">
        <v>106087380</v>
      </c>
    </row>
    <row r="137" spans="1:11" x14ac:dyDescent="0.25">
      <c r="A137">
        <v>2023</v>
      </c>
      <c r="B137">
        <v>307</v>
      </c>
      <c r="C137">
        <v>1.1020700201020099E+17</v>
      </c>
      <c r="D137">
        <v>179</v>
      </c>
      <c r="E137" t="s">
        <v>1242</v>
      </c>
      <c r="F137">
        <v>1.1020700201020099E+17</v>
      </c>
      <c r="G137" t="s">
        <v>1243</v>
      </c>
      <c r="H137" t="s">
        <v>1487</v>
      </c>
      <c r="I137" s="131">
        <v>0</v>
      </c>
      <c r="J137" s="131">
        <v>0</v>
      </c>
      <c r="K137" s="131">
        <v>22733010</v>
      </c>
    </row>
    <row r="138" spans="1:11" x14ac:dyDescent="0.25">
      <c r="A138">
        <v>2023</v>
      </c>
      <c r="B138">
        <v>307</v>
      </c>
      <c r="C138">
        <v>1.1020700201020099E+17</v>
      </c>
      <c r="D138">
        <v>20</v>
      </c>
      <c r="E138" t="s">
        <v>1244</v>
      </c>
      <c r="F138">
        <v>1.1020700201020099E+17</v>
      </c>
      <c r="G138" t="s">
        <v>505</v>
      </c>
      <c r="H138" t="s">
        <v>1487</v>
      </c>
      <c r="I138" s="131">
        <v>0</v>
      </c>
      <c r="J138" s="131">
        <v>0</v>
      </c>
      <c r="K138" s="131">
        <v>348572820</v>
      </c>
    </row>
    <row r="139" spans="1:11" x14ac:dyDescent="0.25">
      <c r="A139">
        <v>2023</v>
      </c>
      <c r="B139">
        <v>307</v>
      </c>
      <c r="C139">
        <v>110207002010202</v>
      </c>
      <c r="D139" t="s">
        <v>226</v>
      </c>
      <c r="E139" t="s">
        <v>1529</v>
      </c>
      <c r="F139">
        <v>110207002010202</v>
      </c>
      <c r="G139" t="s">
        <v>1248</v>
      </c>
      <c r="H139" t="s">
        <v>1487</v>
      </c>
      <c r="I139" s="131">
        <v>0</v>
      </c>
      <c r="J139" s="131">
        <v>0</v>
      </c>
      <c r="K139" s="131">
        <v>50729490</v>
      </c>
    </row>
    <row r="140" spans="1:11" x14ac:dyDescent="0.25">
      <c r="A140">
        <v>2023</v>
      </c>
      <c r="B140">
        <v>307</v>
      </c>
      <c r="C140">
        <v>1.10207002010202E+17</v>
      </c>
      <c r="D140">
        <v>35</v>
      </c>
      <c r="E140" t="s">
        <v>1245</v>
      </c>
      <c r="F140">
        <v>1.10207002010202E+17</v>
      </c>
      <c r="G140" t="s">
        <v>1246</v>
      </c>
      <c r="H140" t="s">
        <v>1487</v>
      </c>
      <c r="I140" s="131">
        <v>0</v>
      </c>
      <c r="J140" s="131">
        <v>0</v>
      </c>
      <c r="K140" s="131">
        <v>11273220</v>
      </c>
    </row>
    <row r="141" spans="1:11" x14ac:dyDescent="0.25">
      <c r="A141">
        <v>2023</v>
      </c>
      <c r="B141">
        <v>307</v>
      </c>
      <c r="C141">
        <v>1.10207002010202E+17</v>
      </c>
      <c r="D141">
        <v>179</v>
      </c>
      <c r="E141" t="s">
        <v>1247</v>
      </c>
      <c r="F141">
        <v>1.10207002010202E+17</v>
      </c>
      <c r="G141" t="s">
        <v>1248</v>
      </c>
      <c r="H141" t="s">
        <v>1487</v>
      </c>
      <c r="I141" s="131">
        <v>0</v>
      </c>
      <c r="J141" s="131">
        <v>0</v>
      </c>
      <c r="K141" s="131">
        <v>2415690</v>
      </c>
    </row>
    <row r="142" spans="1:11" x14ac:dyDescent="0.25">
      <c r="A142">
        <v>2023</v>
      </c>
      <c r="B142">
        <v>307</v>
      </c>
      <c r="C142">
        <v>1.10207002010202E+17</v>
      </c>
      <c r="D142">
        <v>20</v>
      </c>
      <c r="E142" t="s">
        <v>1249</v>
      </c>
      <c r="F142">
        <v>1.10207002010202E+17</v>
      </c>
      <c r="G142" t="s">
        <v>1248</v>
      </c>
      <c r="H142" t="s">
        <v>1487</v>
      </c>
      <c r="I142" s="131">
        <v>0</v>
      </c>
      <c r="J142" s="131">
        <v>0</v>
      </c>
      <c r="K142" s="131">
        <v>37040580</v>
      </c>
    </row>
    <row r="143" spans="1:11" x14ac:dyDescent="0.25">
      <c r="A143">
        <v>2023</v>
      </c>
      <c r="B143">
        <v>307</v>
      </c>
      <c r="C143">
        <v>1102070020103</v>
      </c>
      <c r="D143" t="s">
        <v>226</v>
      </c>
      <c r="E143" t="s">
        <v>507</v>
      </c>
      <c r="F143">
        <v>1102070020103</v>
      </c>
      <c r="G143" t="s">
        <v>508</v>
      </c>
      <c r="H143" t="s">
        <v>1487</v>
      </c>
      <c r="I143" s="131">
        <v>15984391846</v>
      </c>
      <c r="J143" s="131">
        <v>22147435324</v>
      </c>
      <c r="K143" s="131">
        <v>8542121842.1800003</v>
      </c>
    </row>
    <row r="144" spans="1:11" x14ac:dyDescent="0.25">
      <c r="A144">
        <v>2023</v>
      </c>
      <c r="B144">
        <v>307</v>
      </c>
      <c r="C144">
        <v>110207002010302</v>
      </c>
      <c r="D144" t="s">
        <v>226</v>
      </c>
      <c r="E144" t="s">
        <v>509</v>
      </c>
      <c r="F144">
        <v>110207002010302</v>
      </c>
      <c r="G144" t="s">
        <v>510</v>
      </c>
      <c r="H144" t="s">
        <v>1487</v>
      </c>
      <c r="I144" s="131">
        <v>15984391846</v>
      </c>
      <c r="J144" s="131">
        <v>22147435324</v>
      </c>
      <c r="K144" s="131">
        <v>8542121842.1800003</v>
      </c>
    </row>
    <row r="145" spans="1:11" x14ac:dyDescent="0.25">
      <c r="A145">
        <v>2023</v>
      </c>
      <c r="B145">
        <v>307</v>
      </c>
      <c r="C145">
        <v>1.10207002010302E+17</v>
      </c>
      <c r="D145">
        <v>179</v>
      </c>
      <c r="E145" t="s">
        <v>1530</v>
      </c>
      <c r="F145">
        <v>1.10207002010302E+17</v>
      </c>
      <c r="G145" t="s">
        <v>512</v>
      </c>
      <c r="H145" t="s">
        <v>1487</v>
      </c>
      <c r="I145" s="1184">
        <v>570844151</v>
      </c>
      <c r="J145" s="131">
        <v>864322412</v>
      </c>
      <c r="K145" s="131">
        <v>311235979.07999998</v>
      </c>
    </row>
    <row r="146" spans="1:11" x14ac:dyDescent="0.25">
      <c r="A146">
        <v>2023</v>
      </c>
      <c r="B146">
        <v>307</v>
      </c>
      <c r="C146">
        <v>1.10207002010302E+17</v>
      </c>
      <c r="D146">
        <v>20</v>
      </c>
      <c r="E146" t="s">
        <v>1531</v>
      </c>
      <c r="F146">
        <v>1.10207002010302E+17</v>
      </c>
      <c r="G146" t="s">
        <v>512</v>
      </c>
      <c r="H146" t="s">
        <v>1487</v>
      </c>
      <c r="I146" s="1184">
        <v>8753346345</v>
      </c>
      <c r="J146" s="131">
        <v>13253346345</v>
      </c>
      <c r="K146" s="131">
        <v>4772285012.6400003</v>
      </c>
    </row>
    <row r="147" spans="1:11" x14ac:dyDescent="0.25">
      <c r="A147">
        <v>2023</v>
      </c>
      <c r="B147">
        <v>307</v>
      </c>
      <c r="C147">
        <v>1.10207002010302E+17</v>
      </c>
      <c r="D147">
        <v>35</v>
      </c>
      <c r="E147" t="s">
        <v>1532</v>
      </c>
      <c r="F147">
        <v>1.10207002010302E+17</v>
      </c>
      <c r="G147" t="s">
        <v>512</v>
      </c>
      <c r="H147" t="s">
        <v>1487</v>
      </c>
      <c r="I147" s="1184">
        <v>2664103388</v>
      </c>
      <c r="J147" s="131">
        <v>4033668605</v>
      </c>
      <c r="K147" s="131">
        <v>1452434568.96</v>
      </c>
    </row>
    <row r="148" spans="1:11" x14ac:dyDescent="0.25">
      <c r="A148">
        <v>2023</v>
      </c>
      <c r="B148">
        <v>307</v>
      </c>
      <c r="C148">
        <v>1.10207002010302E+17</v>
      </c>
      <c r="D148" t="s">
        <v>226</v>
      </c>
      <c r="E148" t="s">
        <v>1533</v>
      </c>
      <c r="F148">
        <v>1.10207002010302E+17</v>
      </c>
      <c r="G148" t="s">
        <v>1534</v>
      </c>
      <c r="H148" t="s">
        <v>1487</v>
      </c>
      <c r="I148" s="131">
        <v>3996097962</v>
      </c>
      <c r="J148" s="131">
        <v>3996097962</v>
      </c>
      <c r="K148" s="131">
        <v>2006166281.5</v>
      </c>
    </row>
    <row r="149" spans="1:11" x14ac:dyDescent="0.25">
      <c r="A149">
        <v>2023</v>
      </c>
      <c r="B149">
        <v>307</v>
      </c>
      <c r="C149">
        <v>1.1020700201030201E+20</v>
      </c>
      <c r="D149">
        <v>179</v>
      </c>
      <c r="E149" t="s">
        <v>1254</v>
      </c>
      <c r="F149">
        <v>1.1020700201030201E+20</v>
      </c>
      <c r="G149" t="s">
        <v>1255</v>
      </c>
      <c r="H149" t="s">
        <v>1487</v>
      </c>
      <c r="I149" s="1184">
        <v>190281384</v>
      </c>
      <c r="J149" s="131">
        <v>190281384</v>
      </c>
      <c r="K149" s="131">
        <v>98300372.5</v>
      </c>
    </row>
    <row r="150" spans="1:11" x14ac:dyDescent="0.25">
      <c r="A150">
        <v>2023</v>
      </c>
      <c r="B150">
        <v>307</v>
      </c>
      <c r="C150">
        <v>1.1020700201030201E+20</v>
      </c>
      <c r="D150">
        <v>20</v>
      </c>
      <c r="E150" t="s">
        <v>1256</v>
      </c>
      <c r="F150">
        <v>1.1020700201030201E+20</v>
      </c>
      <c r="G150" t="s">
        <v>1255</v>
      </c>
      <c r="H150" t="s">
        <v>1487</v>
      </c>
      <c r="I150" s="1184">
        <v>2917782115</v>
      </c>
      <c r="J150" s="131">
        <v>2917782115</v>
      </c>
      <c r="K150" s="131">
        <v>1462760792.4300001</v>
      </c>
    </row>
    <row r="151" spans="1:11" x14ac:dyDescent="0.25">
      <c r="A151">
        <v>2023</v>
      </c>
      <c r="B151">
        <v>307</v>
      </c>
      <c r="C151">
        <v>1.1020700201030201E+20</v>
      </c>
      <c r="D151">
        <v>35</v>
      </c>
      <c r="E151" t="s">
        <v>1257</v>
      </c>
      <c r="F151">
        <v>1.1020700201030201E+20</v>
      </c>
      <c r="G151" t="s">
        <v>1255</v>
      </c>
      <c r="H151" t="s">
        <v>1487</v>
      </c>
      <c r="I151" s="1184">
        <v>888034463</v>
      </c>
      <c r="J151" s="131">
        <v>888034463</v>
      </c>
      <c r="K151" s="131">
        <v>445105116.56999999</v>
      </c>
    </row>
    <row r="152" spans="1:11" x14ac:dyDescent="0.25">
      <c r="A152">
        <v>2023</v>
      </c>
      <c r="B152">
        <v>307</v>
      </c>
      <c r="C152">
        <v>11020700202</v>
      </c>
      <c r="D152" t="s">
        <v>226</v>
      </c>
      <c r="E152" t="s">
        <v>1535</v>
      </c>
      <c r="F152">
        <v>11020700202</v>
      </c>
      <c r="G152" t="s">
        <v>1536</v>
      </c>
      <c r="H152" t="s">
        <v>1487</v>
      </c>
      <c r="I152" s="131">
        <v>4486721.12</v>
      </c>
      <c r="J152" s="131">
        <v>4486721.12</v>
      </c>
      <c r="K152" s="131">
        <v>1027530</v>
      </c>
    </row>
    <row r="153" spans="1:11" x14ac:dyDescent="0.25">
      <c r="A153">
        <v>2023</v>
      </c>
      <c r="B153">
        <v>307</v>
      </c>
      <c r="C153">
        <v>1102070020201</v>
      </c>
      <c r="D153">
        <v>20</v>
      </c>
      <c r="E153" t="s">
        <v>1258</v>
      </c>
      <c r="F153">
        <v>1102070020201</v>
      </c>
      <c r="G153" t="s">
        <v>1259</v>
      </c>
      <c r="H153" t="s">
        <v>1487</v>
      </c>
      <c r="I153" s="1184">
        <v>2966482.12</v>
      </c>
      <c r="J153" s="131">
        <v>2966482.12</v>
      </c>
      <c r="K153" s="131">
        <v>670390</v>
      </c>
    </row>
    <row r="154" spans="1:11" x14ac:dyDescent="0.25">
      <c r="A154">
        <v>2023</v>
      </c>
      <c r="B154">
        <v>307</v>
      </c>
      <c r="C154">
        <v>1102070020201</v>
      </c>
      <c r="D154">
        <v>205</v>
      </c>
      <c r="E154" t="s">
        <v>1260</v>
      </c>
      <c r="F154">
        <v>1102070020201</v>
      </c>
      <c r="G154" t="s">
        <v>1259</v>
      </c>
      <c r="H154" t="s">
        <v>1487</v>
      </c>
      <c r="I154" s="1184">
        <v>672672</v>
      </c>
      <c r="J154" s="131">
        <v>672672</v>
      </c>
      <c r="K154" s="131">
        <v>163100</v>
      </c>
    </row>
    <row r="155" spans="1:11" x14ac:dyDescent="0.25">
      <c r="A155">
        <v>2023</v>
      </c>
      <c r="B155">
        <v>307</v>
      </c>
      <c r="C155">
        <v>1102070020201</v>
      </c>
      <c r="D155">
        <v>35</v>
      </c>
      <c r="E155" t="s">
        <v>1261</v>
      </c>
      <c r="F155">
        <v>1102070020201</v>
      </c>
      <c r="G155" t="s">
        <v>1259</v>
      </c>
      <c r="H155" t="s">
        <v>1487</v>
      </c>
      <c r="I155" s="1184">
        <v>847567</v>
      </c>
      <c r="J155" s="131">
        <v>847567</v>
      </c>
      <c r="K155" s="131">
        <v>194040</v>
      </c>
    </row>
    <row r="156" spans="1:11" x14ac:dyDescent="0.25">
      <c r="A156">
        <v>2023</v>
      </c>
      <c r="B156">
        <v>307</v>
      </c>
      <c r="C156">
        <v>12</v>
      </c>
      <c r="D156" t="s">
        <v>226</v>
      </c>
      <c r="E156" t="s">
        <v>516</v>
      </c>
      <c r="F156">
        <v>12</v>
      </c>
      <c r="G156" t="s">
        <v>517</v>
      </c>
      <c r="H156" t="s">
        <v>1487</v>
      </c>
      <c r="I156" s="131">
        <v>8785234418</v>
      </c>
      <c r="J156" s="131">
        <v>130157965153.73</v>
      </c>
      <c r="K156" s="131">
        <v>109779344971.44</v>
      </c>
    </row>
    <row r="157" spans="1:11" x14ac:dyDescent="0.25">
      <c r="A157">
        <v>2023</v>
      </c>
      <c r="B157">
        <v>307</v>
      </c>
      <c r="C157">
        <v>1203</v>
      </c>
      <c r="D157" t="s">
        <v>226</v>
      </c>
      <c r="E157" t="s">
        <v>522</v>
      </c>
      <c r="F157">
        <v>1203</v>
      </c>
      <c r="G157" t="s">
        <v>523</v>
      </c>
      <c r="H157" t="s">
        <v>1487</v>
      </c>
      <c r="I157" s="131">
        <v>150000000</v>
      </c>
      <c r="J157" s="131">
        <v>150000000</v>
      </c>
      <c r="K157" s="131">
        <v>208028315</v>
      </c>
    </row>
    <row r="158" spans="1:11" x14ac:dyDescent="0.25">
      <c r="A158">
        <v>2023</v>
      </c>
      <c r="B158">
        <v>307</v>
      </c>
      <c r="C158">
        <v>120303</v>
      </c>
      <c r="D158" t="s">
        <v>226</v>
      </c>
      <c r="E158" t="s">
        <v>524</v>
      </c>
      <c r="F158">
        <v>120303</v>
      </c>
      <c r="G158" t="s">
        <v>525</v>
      </c>
      <c r="H158" t="s">
        <v>1487</v>
      </c>
      <c r="I158" s="131">
        <v>150000000</v>
      </c>
      <c r="J158" s="131">
        <v>150000000</v>
      </c>
      <c r="K158" s="131">
        <v>208028315</v>
      </c>
    </row>
    <row r="159" spans="1:11" x14ac:dyDescent="0.25">
      <c r="A159">
        <v>2023</v>
      </c>
      <c r="B159">
        <v>307</v>
      </c>
      <c r="C159">
        <v>120303001</v>
      </c>
      <c r="D159">
        <v>20</v>
      </c>
      <c r="E159" t="s">
        <v>526</v>
      </c>
      <c r="F159">
        <v>120303001</v>
      </c>
      <c r="G159" t="s">
        <v>527</v>
      </c>
      <c r="H159" t="s">
        <v>1487</v>
      </c>
      <c r="I159" s="1184">
        <v>150000000</v>
      </c>
      <c r="J159" s="131">
        <v>150000000</v>
      </c>
      <c r="K159" s="131">
        <v>93054010</v>
      </c>
    </row>
    <row r="160" spans="1:11" x14ac:dyDescent="0.25">
      <c r="A160">
        <v>2023</v>
      </c>
      <c r="B160">
        <v>307</v>
      </c>
      <c r="C160">
        <v>120303003</v>
      </c>
      <c r="D160">
        <v>20</v>
      </c>
      <c r="E160" t="s">
        <v>1537</v>
      </c>
      <c r="F160">
        <v>120303003</v>
      </c>
      <c r="G160" t="s">
        <v>1538</v>
      </c>
      <c r="H160" t="s">
        <v>1487</v>
      </c>
      <c r="I160" s="131">
        <v>0</v>
      </c>
      <c r="J160" s="131">
        <v>0</v>
      </c>
      <c r="K160" s="131">
        <v>114974305</v>
      </c>
    </row>
    <row r="161" spans="1:11" x14ac:dyDescent="0.25">
      <c r="A161">
        <v>2023</v>
      </c>
      <c r="B161">
        <v>307</v>
      </c>
      <c r="C161">
        <v>1205</v>
      </c>
      <c r="D161" t="s">
        <v>226</v>
      </c>
      <c r="E161" t="s">
        <v>528</v>
      </c>
      <c r="F161">
        <v>1205</v>
      </c>
      <c r="G161" t="s">
        <v>529</v>
      </c>
      <c r="H161" t="s">
        <v>1487</v>
      </c>
      <c r="I161" s="131">
        <v>460422611</v>
      </c>
      <c r="J161" s="131">
        <v>1960422611</v>
      </c>
      <c r="K161" s="131">
        <v>1980560209.8199999</v>
      </c>
    </row>
    <row r="162" spans="1:11" x14ac:dyDescent="0.25">
      <c r="A162">
        <v>2023</v>
      </c>
      <c r="B162">
        <v>307</v>
      </c>
      <c r="C162">
        <v>120502</v>
      </c>
      <c r="D162" t="s">
        <v>226</v>
      </c>
      <c r="E162" t="s">
        <v>530</v>
      </c>
      <c r="F162">
        <v>120502</v>
      </c>
      <c r="G162" t="s">
        <v>531</v>
      </c>
      <c r="H162" t="s">
        <v>1487</v>
      </c>
      <c r="I162" s="131">
        <v>460422611</v>
      </c>
      <c r="J162" s="131">
        <v>1960422611</v>
      </c>
      <c r="K162" s="131">
        <v>1980560209.8199999</v>
      </c>
    </row>
    <row r="163" spans="1:11" x14ac:dyDescent="0.25">
      <c r="A163">
        <v>2023</v>
      </c>
      <c r="B163">
        <v>307</v>
      </c>
      <c r="C163">
        <v>120502002</v>
      </c>
      <c r="D163">
        <v>4</v>
      </c>
      <c r="E163" t="s">
        <v>1264</v>
      </c>
      <c r="F163">
        <v>120502002</v>
      </c>
      <c r="G163" t="s">
        <v>1265</v>
      </c>
      <c r="H163" t="s">
        <v>1487</v>
      </c>
      <c r="I163" s="1184">
        <v>1664967</v>
      </c>
      <c r="J163" s="131">
        <v>1664967</v>
      </c>
      <c r="K163" s="131">
        <v>106398191.16</v>
      </c>
    </row>
    <row r="164" spans="1:11" x14ac:dyDescent="0.25">
      <c r="A164">
        <v>2023</v>
      </c>
      <c r="B164">
        <v>307</v>
      </c>
      <c r="C164">
        <v>120502003</v>
      </c>
      <c r="D164">
        <v>176</v>
      </c>
      <c r="E164" t="s">
        <v>1266</v>
      </c>
      <c r="F164">
        <v>120502003</v>
      </c>
      <c r="G164" t="s">
        <v>1267</v>
      </c>
      <c r="H164" t="s">
        <v>1487</v>
      </c>
      <c r="I164" s="1184">
        <v>481528</v>
      </c>
      <c r="J164" s="131">
        <v>481528</v>
      </c>
      <c r="K164" s="131">
        <v>42559276.439999998</v>
      </c>
    </row>
    <row r="165" spans="1:11" x14ac:dyDescent="0.25">
      <c r="A165">
        <v>2023</v>
      </c>
      <c r="B165">
        <v>307</v>
      </c>
      <c r="C165">
        <v>120502004</v>
      </c>
      <c r="D165">
        <v>5</v>
      </c>
      <c r="E165" t="s">
        <v>1268</v>
      </c>
      <c r="F165">
        <v>120502004</v>
      </c>
      <c r="G165" t="s">
        <v>1269</v>
      </c>
      <c r="H165" t="s">
        <v>1487</v>
      </c>
      <c r="I165" s="1184">
        <v>316121</v>
      </c>
      <c r="J165" s="131">
        <v>316121</v>
      </c>
      <c r="K165" s="131">
        <v>4769097.75</v>
      </c>
    </row>
    <row r="166" spans="1:11" x14ac:dyDescent="0.25">
      <c r="A166">
        <v>2023</v>
      </c>
      <c r="B166">
        <v>307</v>
      </c>
      <c r="C166">
        <v>120502005</v>
      </c>
      <c r="D166">
        <v>33</v>
      </c>
      <c r="E166" t="s">
        <v>1270</v>
      </c>
      <c r="F166">
        <v>120502005</v>
      </c>
      <c r="G166" t="s">
        <v>1271</v>
      </c>
      <c r="H166" t="s">
        <v>1487</v>
      </c>
      <c r="I166" s="1184">
        <v>158060</v>
      </c>
      <c r="J166" s="131">
        <v>158060</v>
      </c>
      <c r="K166" s="131">
        <v>2384548.91</v>
      </c>
    </row>
    <row r="167" spans="1:11" x14ac:dyDescent="0.25">
      <c r="A167">
        <v>2023</v>
      </c>
      <c r="B167">
        <v>307</v>
      </c>
      <c r="C167">
        <v>120502006</v>
      </c>
      <c r="D167">
        <v>34</v>
      </c>
      <c r="E167" t="s">
        <v>1272</v>
      </c>
      <c r="F167">
        <v>120502006</v>
      </c>
      <c r="G167" t="s">
        <v>1273</v>
      </c>
      <c r="H167" t="s">
        <v>1487</v>
      </c>
      <c r="I167" s="1184">
        <v>158060</v>
      </c>
      <c r="J167" s="131">
        <v>158060</v>
      </c>
      <c r="K167" s="131">
        <v>2384548.91</v>
      </c>
    </row>
    <row r="168" spans="1:11" x14ac:dyDescent="0.25">
      <c r="A168">
        <v>2023</v>
      </c>
      <c r="B168">
        <v>307</v>
      </c>
      <c r="C168">
        <v>120502007</v>
      </c>
      <c r="D168">
        <v>39</v>
      </c>
      <c r="E168" t="s">
        <v>1274</v>
      </c>
      <c r="F168">
        <v>120502007</v>
      </c>
      <c r="G168" t="s">
        <v>1275</v>
      </c>
      <c r="H168" t="s">
        <v>1487</v>
      </c>
      <c r="I168" s="1184">
        <v>790301</v>
      </c>
      <c r="J168" s="131">
        <v>790301</v>
      </c>
      <c r="K168" s="131">
        <v>11922744.5</v>
      </c>
    </row>
    <row r="169" spans="1:11" x14ac:dyDescent="0.25">
      <c r="A169">
        <v>2023</v>
      </c>
      <c r="B169">
        <v>307</v>
      </c>
      <c r="C169">
        <v>120502008</v>
      </c>
      <c r="D169">
        <v>41</v>
      </c>
      <c r="E169" t="s">
        <v>1276</v>
      </c>
      <c r="F169">
        <v>120502008</v>
      </c>
      <c r="G169" t="s">
        <v>1277</v>
      </c>
      <c r="H169" t="s">
        <v>1487</v>
      </c>
      <c r="I169" s="1184">
        <v>158060</v>
      </c>
      <c r="J169" s="131">
        <v>158060</v>
      </c>
      <c r="K169" s="131">
        <v>2384548.7999999998</v>
      </c>
    </row>
    <row r="170" spans="1:11" x14ac:dyDescent="0.25">
      <c r="A170">
        <v>2023</v>
      </c>
      <c r="B170">
        <v>307</v>
      </c>
      <c r="C170">
        <v>120502009</v>
      </c>
      <c r="D170">
        <v>6</v>
      </c>
      <c r="E170" t="s">
        <v>1278</v>
      </c>
      <c r="F170">
        <v>120502009</v>
      </c>
      <c r="G170" t="s">
        <v>1279</v>
      </c>
      <c r="H170" t="s">
        <v>1487</v>
      </c>
      <c r="I170" s="1184">
        <v>1400016</v>
      </c>
      <c r="J170" s="131">
        <v>1400016</v>
      </c>
      <c r="K170" s="131">
        <v>54694030.969999999</v>
      </c>
    </row>
    <row r="171" spans="1:11" x14ac:dyDescent="0.25">
      <c r="A171">
        <v>2023</v>
      </c>
      <c r="B171">
        <v>307</v>
      </c>
      <c r="C171">
        <v>120502010</v>
      </c>
      <c r="D171">
        <v>178</v>
      </c>
      <c r="E171" t="s">
        <v>1280</v>
      </c>
      <c r="F171">
        <v>120502010</v>
      </c>
      <c r="G171" t="s">
        <v>1281</v>
      </c>
      <c r="H171" t="s">
        <v>1487</v>
      </c>
      <c r="I171" s="1184">
        <v>325004</v>
      </c>
      <c r="J171" s="131">
        <v>325004</v>
      </c>
      <c r="K171" s="131">
        <v>13673507.73</v>
      </c>
    </row>
    <row r="172" spans="1:11" x14ac:dyDescent="0.25">
      <c r="A172">
        <v>2023</v>
      </c>
      <c r="B172">
        <v>307</v>
      </c>
      <c r="C172">
        <v>120502011</v>
      </c>
      <c r="D172">
        <v>136</v>
      </c>
      <c r="E172" t="s">
        <v>1539</v>
      </c>
      <c r="F172">
        <v>120502011</v>
      </c>
      <c r="G172" t="s">
        <v>1283</v>
      </c>
      <c r="H172" t="s">
        <v>1487</v>
      </c>
      <c r="I172" s="1184">
        <v>39724450</v>
      </c>
      <c r="J172" s="131">
        <v>39724450</v>
      </c>
      <c r="K172" s="131">
        <v>316170519.5</v>
      </c>
    </row>
    <row r="173" spans="1:11" x14ac:dyDescent="0.25">
      <c r="A173">
        <v>2023</v>
      </c>
      <c r="B173">
        <v>307</v>
      </c>
      <c r="C173">
        <v>120502012</v>
      </c>
      <c r="D173">
        <v>42</v>
      </c>
      <c r="E173" t="s">
        <v>1284</v>
      </c>
      <c r="F173">
        <v>120502012</v>
      </c>
      <c r="G173" t="s">
        <v>1285</v>
      </c>
      <c r="H173" t="s">
        <v>1487</v>
      </c>
      <c r="I173" s="1184">
        <v>2314305</v>
      </c>
      <c r="J173" s="131">
        <v>2314305</v>
      </c>
      <c r="K173" s="131">
        <v>126588081.90000001</v>
      </c>
    </row>
    <row r="174" spans="1:11" x14ac:dyDescent="0.25">
      <c r="A174">
        <v>2023</v>
      </c>
      <c r="B174">
        <v>307</v>
      </c>
      <c r="C174">
        <v>120502013</v>
      </c>
      <c r="D174">
        <v>27</v>
      </c>
      <c r="E174" t="s">
        <v>1286</v>
      </c>
      <c r="F174">
        <v>120502013</v>
      </c>
      <c r="G174" t="s">
        <v>1287</v>
      </c>
      <c r="H174" t="s">
        <v>1487</v>
      </c>
      <c r="I174" s="1184">
        <v>311522</v>
      </c>
      <c r="J174" s="131">
        <v>311522</v>
      </c>
      <c r="K174" s="131">
        <v>14346478.640000001</v>
      </c>
    </row>
    <row r="175" spans="1:11" x14ac:dyDescent="0.25">
      <c r="A175">
        <v>2023</v>
      </c>
      <c r="B175">
        <v>307</v>
      </c>
      <c r="C175">
        <v>120502014</v>
      </c>
      <c r="D175">
        <v>20</v>
      </c>
      <c r="E175" t="s">
        <v>1288</v>
      </c>
      <c r="F175">
        <v>120502014</v>
      </c>
      <c r="G175" t="s">
        <v>1289</v>
      </c>
      <c r="H175" t="s">
        <v>1487</v>
      </c>
      <c r="I175" s="1184">
        <v>412620217</v>
      </c>
      <c r="J175" s="131">
        <v>1912620217</v>
      </c>
      <c r="K175" s="131">
        <v>1210595693.8</v>
      </c>
    </row>
    <row r="176" spans="1:11" x14ac:dyDescent="0.25">
      <c r="A176">
        <v>2023</v>
      </c>
      <c r="B176">
        <v>307</v>
      </c>
      <c r="C176">
        <v>120502019</v>
      </c>
      <c r="D176">
        <v>177</v>
      </c>
      <c r="E176" t="s">
        <v>1290</v>
      </c>
      <c r="F176">
        <v>120502019</v>
      </c>
      <c r="G176" t="s">
        <v>1291</v>
      </c>
      <c r="H176" t="s">
        <v>1487</v>
      </c>
      <c r="I176" s="131">
        <v>0</v>
      </c>
      <c r="J176" s="131">
        <v>0</v>
      </c>
      <c r="K176" s="131">
        <v>63838914.630000003</v>
      </c>
    </row>
    <row r="177" spans="1:11" x14ac:dyDescent="0.25">
      <c r="A177">
        <v>2023</v>
      </c>
      <c r="B177">
        <v>307</v>
      </c>
      <c r="C177">
        <v>120502020</v>
      </c>
      <c r="D177">
        <v>23</v>
      </c>
      <c r="E177" t="s">
        <v>1292</v>
      </c>
      <c r="F177">
        <v>120502020</v>
      </c>
      <c r="G177" t="s">
        <v>1293</v>
      </c>
      <c r="H177" t="s">
        <v>1487</v>
      </c>
      <c r="I177" s="131">
        <v>0</v>
      </c>
      <c r="J177" s="131">
        <v>0</v>
      </c>
      <c r="K177" s="131">
        <v>1875078.9</v>
      </c>
    </row>
    <row r="178" spans="1:11" x14ac:dyDescent="0.25">
      <c r="A178">
        <v>2023</v>
      </c>
      <c r="B178">
        <v>307</v>
      </c>
      <c r="C178">
        <v>120502021</v>
      </c>
      <c r="D178">
        <v>134</v>
      </c>
      <c r="E178" t="s">
        <v>1294</v>
      </c>
      <c r="F178">
        <v>120502021</v>
      </c>
      <c r="G178" t="s">
        <v>1295</v>
      </c>
      <c r="H178" t="s">
        <v>1487</v>
      </c>
      <c r="I178" s="131">
        <v>0</v>
      </c>
      <c r="J178" s="131">
        <v>0</v>
      </c>
      <c r="K178" s="131">
        <v>111.52</v>
      </c>
    </row>
    <row r="179" spans="1:11" x14ac:dyDescent="0.25">
      <c r="A179">
        <v>2023</v>
      </c>
      <c r="B179">
        <v>307</v>
      </c>
      <c r="C179">
        <v>120502022</v>
      </c>
      <c r="D179">
        <v>179</v>
      </c>
      <c r="E179" t="s">
        <v>1296</v>
      </c>
      <c r="F179">
        <v>120502022</v>
      </c>
      <c r="G179" t="s">
        <v>1297</v>
      </c>
      <c r="H179" t="s">
        <v>1487</v>
      </c>
      <c r="I179" s="131">
        <v>0</v>
      </c>
      <c r="J179" s="131">
        <v>0</v>
      </c>
      <c r="K179" s="131">
        <v>144467.43</v>
      </c>
    </row>
    <row r="180" spans="1:11" x14ac:dyDescent="0.25">
      <c r="A180">
        <v>2023</v>
      </c>
      <c r="B180">
        <v>307</v>
      </c>
      <c r="C180">
        <v>120502025</v>
      </c>
      <c r="D180">
        <v>145</v>
      </c>
      <c r="E180" t="s">
        <v>1298</v>
      </c>
      <c r="F180">
        <v>120502025</v>
      </c>
      <c r="G180" t="s">
        <v>1299</v>
      </c>
      <c r="H180" t="s">
        <v>1487</v>
      </c>
      <c r="I180" s="131">
        <v>0</v>
      </c>
      <c r="J180" s="131">
        <v>0</v>
      </c>
      <c r="K180" s="131">
        <v>5830368.3300000001</v>
      </c>
    </row>
    <row r="181" spans="1:11" x14ac:dyDescent="0.25">
      <c r="A181">
        <v>2023</v>
      </c>
      <c r="B181">
        <v>307</v>
      </c>
      <c r="C181">
        <v>1208</v>
      </c>
      <c r="D181" t="s">
        <v>226</v>
      </c>
      <c r="E181" t="s">
        <v>1540</v>
      </c>
      <c r="F181">
        <v>1208</v>
      </c>
      <c r="G181" t="s">
        <v>868</v>
      </c>
      <c r="H181" t="s">
        <v>1487</v>
      </c>
      <c r="I181" s="131">
        <v>0</v>
      </c>
      <c r="J181" s="131">
        <v>74640634</v>
      </c>
      <c r="K181" s="131">
        <v>74640634</v>
      </c>
    </row>
    <row r="182" spans="1:11" x14ac:dyDescent="0.25">
      <c r="A182">
        <v>2023</v>
      </c>
      <c r="B182">
        <v>307</v>
      </c>
      <c r="C182">
        <v>120806</v>
      </c>
      <c r="D182" t="s">
        <v>226</v>
      </c>
      <c r="E182" t="s">
        <v>1541</v>
      </c>
      <c r="F182">
        <v>120806</v>
      </c>
      <c r="G182" t="s">
        <v>1542</v>
      </c>
      <c r="H182" t="s">
        <v>1487</v>
      </c>
      <c r="I182" s="131">
        <v>0</v>
      </c>
      <c r="J182" s="131">
        <v>74640634</v>
      </c>
      <c r="K182" s="131">
        <v>74640634</v>
      </c>
    </row>
    <row r="183" spans="1:11" x14ac:dyDescent="0.25">
      <c r="A183">
        <v>2023</v>
      </c>
      <c r="B183">
        <v>307</v>
      </c>
      <c r="C183">
        <v>120806002</v>
      </c>
      <c r="D183">
        <v>235</v>
      </c>
      <c r="E183" t="s">
        <v>1543</v>
      </c>
      <c r="F183">
        <v>120806002</v>
      </c>
      <c r="G183" t="s">
        <v>1544</v>
      </c>
      <c r="H183" t="s">
        <v>1487</v>
      </c>
      <c r="I183" s="131">
        <v>0</v>
      </c>
      <c r="J183" s="131">
        <v>74640634</v>
      </c>
      <c r="K183" s="131">
        <v>74640634</v>
      </c>
    </row>
    <row r="184" spans="1:11" x14ac:dyDescent="0.25">
      <c r="A184">
        <v>2023</v>
      </c>
      <c r="B184">
        <v>307</v>
      </c>
      <c r="C184">
        <v>1209</v>
      </c>
      <c r="D184" t="s">
        <v>226</v>
      </c>
      <c r="E184" t="s">
        <v>1545</v>
      </c>
      <c r="F184">
        <v>1209</v>
      </c>
      <c r="G184" t="s">
        <v>1546</v>
      </c>
      <c r="H184" t="s">
        <v>1487</v>
      </c>
      <c r="I184" s="131">
        <v>175218474</v>
      </c>
      <c r="J184" s="131">
        <v>175218474</v>
      </c>
      <c r="K184" s="131">
        <v>0</v>
      </c>
    </row>
    <row r="185" spans="1:11" x14ac:dyDescent="0.25">
      <c r="A185">
        <v>2023</v>
      </c>
      <c r="B185">
        <v>307</v>
      </c>
      <c r="C185">
        <v>120905</v>
      </c>
      <c r="D185">
        <v>50</v>
      </c>
      <c r="E185" t="s">
        <v>1547</v>
      </c>
      <c r="F185">
        <v>120905</v>
      </c>
      <c r="G185" t="s">
        <v>1548</v>
      </c>
      <c r="H185" t="s">
        <v>1487</v>
      </c>
      <c r="I185" s="131">
        <v>175218474</v>
      </c>
      <c r="J185" s="131">
        <v>175218474</v>
      </c>
      <c r="K185" s="131">
        <v>0</v>
      </c>
    </row>
    <row r="186" spans="1:11" x14ac:dyDescent="0.25">
      <c r="A186">
        <v>2023</v>
      </c>
      <c r="B186">
        <v>307</v>
      </c>
      <c r="C186">
        <v>1210</v>
      </c>
      <c r="D186" t="s">
        <v>226</v>
      </c>
      <c r="E186" t="s">
        <v>1549</v>
      </c>
      <c r="F186">
        <v>1210</v>
      </c>
      <c r="G186" t="s">
        <v>1123</v>
      </c>
      <c r="H186" t="s">
        <v>1487</v>
      </c>
      <c r="I186" s="131">
        <v>0</v>
      </c>
      <c r="J186" s="131">
        <v>119798090101.73</v>
      </c>
      <c r="K186" s="131">
        <v>106589166221.85001</v>
      </c>
    </row>
    <row r="187" spans="1:11" x14ac:dyDescent="0.25">
      <c r="A187">
        <v>2023</v>
      </c>
      <c r="B187">
        <v>307</v>
      </c>
      <c r="C187">
        <v>121002</v>
      </c>
      <c r="D187" t="s">
        <v>226</v>
      </c>
      <c r="E187" t="s">
        <v>1550</v>
      </c>
      <c r="F187">
        <v>121002</v>
      </c>
      <c r="G187" t="s">
        <v>1551</v>
      </c>
      <c r="H187" t="s">
        <v>1487</v>
      </c>
      <c r="I187" s="131">
        <v>0</v>
      </c>
      <c r="J187" s="131">
        <v>119798090101.73</v>
      </c>
      <c r="K187" s="131">
        <v>106589166221.85001</v>
      </c>
    </row>
    <row r="188" spans="1:11" x14ac:dyDescent="0.25">
      <c r="A188">
        <v>2023</v>
      </c>
      <c r="B188">
        <v>307</v>
      </c>
      <c r="C188">
        <v>121002001</v>
      </c>
      <c r="D188" t="s">
        <v>226</v>
      </c>
      <c r="E188" t="s">
        <v>1552</v>
      </c>
      <c r="F188">
        <v>121002001</v>
      </c>
      <c r="G188" t="s">
        <v>1553</v>
      </c>
      <c r="H188" t="s">
        <v>1487</v>
      </c>
      <c r="I188" s="131">
        <v>0</v>
      </c>
      <c r="J188" s="131">
        <v>17199515896</v>
      </c>
      <c r="K188" s="131">
        <v>14066348537</v>
      </c>
    </row>
    <row r="189" spans="1:11" x14ac:dyDescent="0.25">
      <c r="A189">
        <v>2023</v>
      </c>
      <c r="B189">
        <v>307</v>
      </c>
      <c r="C189">
        <v>12100200101</v>
      </c>
      <c r="D189">
        <v>88</v>
      </c>
      <c r="E189" t="s">
        <v>1302</v>
      </c>
      <c r="F189">
        <v>12100200101</v>
      </c>
      <c r="G189" t="s">
        <v>1303</v>
      </c>
      <c r="H189" t="s">
        <v>1487</v>
      </c>
      <c r="I189" s="131">
        <v>0</v>
      </c>
      <c r="J189" s="131">
        <v>17199515896</v>
      </c>
      <c r="K189" s="131">
        <v>14066348537</v>
      </c>
    </row>
    <row r="190" spans="1:11" x14ac:dyDescent="0.25">
      <c r="A190">
        <v>2023</v>
      </c>
      <c r="B190">
        <v>307</v>
      </c>
      <c r="C190">
        <v>121002002</v>
      </c>
      <c r="D190" t="s">
        <v>226</v>
      </c>
      <c r="E190" t="s">
        <v>1554</v>
      </c>
      <c r="F190">
        <v>121002002</v>
      </c>
      <c r="G190" t="s">
        <v>1555</v>
      </c>
      <c r="H190" t="s">
        <v>1487</v>
      </c>
      <c r="I190" s="131">
        <v>0</v>
      </c>
      <c r="J190" s="131">
        <v>102598574205.73</v>
      </c>
      <c r="K190" s="131">
        <v>92522817684.850006</v>
      </c>
    </row>
    <row r="191" spans="1:11" x14ac:dyDescent="0.25">
      <c r="A191">
        <v>2023</v>
      </c>
      <c r="B191">
        <v>307</v>
      </c>
      <c r="C191">
        <v>12100200201</v>
      </c>
      <c r="D191">
        <v>82</v>
      </c>
      <c r="E191" t="s">
        <v>1304</v>
      </c>
      <c r="F191">
        <v>12100200201</v>
      </c>
      <c r="G191" t="s">
        <v>1305</v>
      </c>
      <c r="H191" t="s">
        <v>1487</v>
      </c>
      <c r="I191" s="131">
        <v>0</v>
      </c>
      <c r="J191" s="131">
        <v>5442470182.1000004</v>
      </c>
      <c r="K191" s="131">
        <v>5442470182.1000004</v>
      </c>
    </row>
    <row r="192" spans="1:11" x14ac:dyDescent="0.25">
      <c r="A192">
        <v>2023</v>
      </c>
      <c r="B192">
        <v>307</v>
      </c>
      <c r="C192">
        <v>12100200202</v>
      </c>
      <c r="D192">
        <v>157</v>
      </c>
      <c r="E192" t="s">
        <v>1306</v>
      </c>
      <c r="F192">
        <v>12100200202</v>
      </c>
      <c r="G192" t="s">
        <v>1307</v>
      </c>
      <c r="H192" t="s">
        <v>1487</v>
      </c>
      <c r="I192" s="131">
        <v>0</v>
      </c>
      <c r="J192" s="131">
        <v>34750000000</v>
      </c>
      <c r="K192" s="131">
        <v>38397528500</v>
      </c>
    </row>
    <row r="193" spans="1:11" x14ac:dyDescent="0.25">
      <c r="A193">
        <v>2023</v>
      </c>
      <c r="B193">
        <v>307</v>
      </c>
      <c r="C193">
        <v>12100200206</v>
      </c>
      <c r="D193">
        <v>89</v>
      </c>
      <c r="E193" t="s">
        <v>1556</v>
      </c>
      <c r="F193">
        <v>12100200206</v>
      </c>
      <c r="G193" t="s">
        <v>1557</v>
      </c>
      <c r="H193" t="s">
        <v>1487</v>
      </c>
      <c r="I193" s="131">
        <v>0</v>
      </c>
      <c r="J193" s="131">
        <v>1880477394.52</v>
      </c>
      <c r="K193" s="131">
        <v>1880477394.52</v>
      </c>
    </row>
    <row r="194" spans="1:11" x14ac:dyDescent="0.25">
      <c r="A194">
        <v>2023</v>
      </c>
      <c r="B194">
        <v>307</v>
      </c>
      <c r="C194">
        <v>12100200207</v>
      </c>
      <c r="D194">
        <v>91</v>
      </c>
      <c r="E194" t="s">
        <v>1308</v>
      </c>
      <c r="F194">
        <v>12100200207</v>
      </c>
      <c r="G194" t="s">
        <v>1309</v>
      </c>
      <c r="H194" t="s">
        <v>1487</v>
      </c>
      <c r="I194" s="131">
        <v>0</v>
      </c>
      <c r="J194" s="131">
        <v>1660656453.3699999</v>
      </c>
      <c r="K194" s="131">
        <v>1660656453.3699999</v>
      </c>
    </row>
    <row r="195" spans="1:11" x14ac:dyDescent="0.25">
      <c r="A195">
        <v>2023</v>
      </c>
      <c r="B195">
        <v>307</v>
      </c>
      <c r="C195">
        <v>12100200209</v>
      </c>
      <c r="D195">
        <v>92</v>
      </c>
      <c r="E195" t="s">
        <v>1310</v>
      </c>
      <c r="F195">
        <v>12100200209</v>
      </c>
      <c r="G195" t="s">
        <v>1311</v>
      </c>
      <c r="H195" t="s">
        <v>1487</v>
      </c>
      <c r="I195" s="131">
        <v>0</v>
      </c>
      <c r="J195" s="131">
        <v>4131423250.1399999</v>
      </c>
      <c r="K195" s="131">
        <v>0</v>
      </c>
    </row>
    <row r="196" spans="1:11" x14ac:dyDescent="0.25">
      <c r="A196">
        <v>2023</v>
      </c>
      <c r="B196">
        <v>307</v>
      </c>
      <c r="C196">
        <v>12100200213</v>
      </c>
      <c r="D196">
        <v>186</v>
      </c>
      <c r="E196" t="s">
        <v>1312</v>
      </c>
      <c r="F196">
        <v>12100200213</v>
      </c>
      <c r="G196" t="s">
        <v>1313</v>
      </c>
      <c r="H196" t="s">
        <v>1487</v>
      </c>
      <c r="I196" s="131">
        <v>0</v>
      </c>
      <c r="J196" s="131">
        <v>0</v>
      </c>
      <c r="K196" s="131">
        <v>0</v>
      </c>
    </row>
    <row r="197" spans="1:11" x14ac:dyDescent="0.25">
      <c r="A197">
        <v>2023</v>
      </c>
      <c r="B197">
        <v>307</v>
      </c>
      <c r="C197">
        <v>12100200218</v>
      </c>
      <c r="D197">
        <v>195</v>
      </c>
      <c r="E197" t="s">
        <v>1314</v>
      </c>
      <c r="F197">
        <v>12100200218</v>
      </c>
      <c r="G197" t="s">
        <v>1315</v>
      </c>
      <c r="H197" t="s">
        <v>1487</v>
      </c>
      <c r="I197" s="131">
        <v>0</v>
      </c>
      <c r="J197" s="131">
        <v>0</v>
      </c>
      <c r="K197" s="131">
        <v>0</v>
      </c>
    </row>
    <row r="198" spans="1:11" x14ac:dyDescent="0.25">
      <c r="A198">
        <v>2023</v>
      </c>
      <c r="B198">
        <v>307</v>
      </c>
      <c r="C198">
        <v>12100200219</v>
      </c>
      <c r="D198">
        <v>90</v>
      </c>
      <c r="E198" t="s">
        <v>1316</v>
      </c>
      <c r="F198">
        <v>12100200219</v>
      </c>
      <c r="G198" t="s">
        <v>1317</v>
      </c>
      <c r="H198" t="s">
        <v>1487</v>
      </c>
      <c r="I198" s="131">
        <v>0</v>
      </c>
      <c r="J198" s="131">
        <v>19052645.84</v>
      </c>
      <c r="K198" s="131">
        <v>0</v>
      </c>
    </row>
    <row r="199" spans="1:11" x14ac:dyDescent="0.25">
      <c r="A199">
        <v>2023</v>
      </c>
      <c r="B199">
        <v>307</v>
      </c>
      <c r="C199">
        <v>12100200220</v>
      </c>
      <c r="D199">
        <v>84</v>
      </c>
      <c r="E199" t="s">
        <v>1318</v>
      </c>
      <c r="F199">
        <v>12100200220</v>
      </c>
      <c r="G199" t="s">
        <v>1319</v>
      </c>
      <c r="H199" t="s">
        <v>1487</v>
      </c>
      <c r="I199" s="131">
        <v>0</v>
      </c>
      <c r="J199" s="131">
        <v>934325106.42999995</v>
      </c>
      <c r="K199" s="131">
        <v>934325106.42999995</v>
      </c>
    </row>
    <row r="200" spans="1:11" x14ac:dyDescent="0.25">
      <c r="A200">
        <v>2023</v>
      </c>
      <c r="B200">
        <v>307</v>
      </c>
      <c r="C200">
        <v>12100200221</v>
      </c>
      <c r="D200">
        <v>217</v>
      </c>
      <c r="E200" t="s">
        <v>1320</v>
      </c>
      <c r="F200">
        <v>12100200221</v>
      </c>
      <c r="G200" t="s">
        <v>1321</v>
      </c>
      <c r="H200" t="s">
        <v>1487</v>
      </c>
      <c r="I200" s="131">
        <v>0</v>
      </c>
      <c r="J200" s="131">
        <v>84050667</v>
      </c>
      <c r="K200" s="131">
        <v>84050667</v>
      </c>
    </row>
    <row r="201" spans="1:11" x14ac:dyDescent="0.25">
      <c r="A201">
        <v>2023</v>
      </c>
      <c r="B201">
        <v>307</v>
      </c>
      <c r="C201">
        <v>12100200221</v>
      </c>
      <c r="D201">
        <v>95</v>
      </c>
      <c r="E201" t="s">
        <v>1322</v>
      </c>
      <c r="F201">
        <v>12100200221</v>
      </c>
      <c r="G201" t="s">
        <v>1321</v>
      </c>
      <c r="H201" t="s">
        <v>1487</v>
      </c>
      <c r="I201" s="131">
        <v>0</v>
      </c>
      <c r="J201" s="131">
        <v>0</v>
      </c>
      <c r="K201" s="131">
        <v>0</v>
      </c>
    </row>
    <row r="202" spans="1:11" x14ac:dyDescent="0.25">
      <c r="A202">
        <v>2023</v>
      </c>
      <c r="B202">
        <v>307</v>
      </c>
      <c r="C202">
        <v>12100200222</v>
      </c>
      <c r="D202">
        <v>92</v>
      </c>
      <c r="E202" t="s">
        <v>1558</v>
      </c>
      <c r="F202">
        <v>12100200222</v>
      </c>
      <c r="G202" t="s">
        <v>1559</v>
      </c>
      <c r="H202" t="s">
        <v>1487</v>
      </c>
      <c r="I202" s="131">
        <v>0</v>
      </c>
      <c r="J202" s="131">
        <v>0</v>
      </c>
      <c r="K202" s="131">
        <v>0</v>
      </c>
    </row>
    <row r="203" spans="1:11" x14ac:dyDescent="0.25">
      <c r="A203">
        <v>2023</v>
      </c>
      <c r="B203">
        <v>307</v>
      </c>
      <c r="C203">
        <v>12100200234</v>
      </c>
      <c r="D203">
        <v>208</v>
      </c>
      <c r="E203" t="s">
        <v>1323</v>
      </c>
      <c r="F203">
        <v>12100200234</v>
      </c>
      <c r="G203" t="s">
        <v>1324</v>
      </c>
      <c r="H203" t="s">
        <v>1487</v>
      </c>
      <c r="I203" s="131">
        <v>0</v>
      </c>
      <c r="J203" s="131">
        <v>344419201.76999998</v>
      </c>
      <c r="K203" s="131">
        <v>344419201.76999998</v>
      </c>
    </row>
    <row r="204" spans="1:11" x14ac:dyDescent="0.25">
      <c r="A204">
        <v>2023</v>
      </c>
      <c r="B204">
        <v>307</v>
      </c>
      <c r="C204">
        <v>12100200235</v>
      </c>
      <c r="D204">
        <v>123</v>
      </c>
      <c r="E204" t="s">
        <v>1325</v>
      </c>
      <c r="F204">
        <v>12100200235</v>
      </c>
      <c r="G204" t="s">
        <v>1326</v>
      </c>
      <c r="H204" t="s">
        <v>1487</v>
      </c>
      <c r="I204" s="131">
        <v>0</v>
      </c>
      <c r="J204" s="131">
        <v>0</v>
      </c>
      <c r="K204" s="131">
        <v>0</v>
      </c>
    </row>
    <row r="205" spans="1:11" x14ac:dyDescent="0.25">
      <c r="A205">
        <v>2023</v>
      </c>
      <c r="B205">
        <v>307</v>
      </c>
      <c r="C205">
        <v>12100200237</v>
      </c>
      <c r="D205">
        <v>94</v>
      </c>
      <c r="E205" t="s">
        <v>1560</v>
      </c>
      <c r="F205">
        <v>12100200237</v>
      </c>
      <c r="G205" t="s">
        <v>1561</v>
      </c>
      <c r="H205" t="s">
        <v>1487</v>
      </c>
      <c r="I205" s="131">
        <v>0</v>
      </c>
      <c r="J205" s="131">
        <v>246031030.90000001</v>
      </c>
      <c r="K205" s="131">
        <v>0</v>
      </c>
    </row>
    <row r="206" spans="1:11" x14ac:dyDescent="0.25">
      <c r="A206">
        <v>2023</v>
      </c>
      <c r="B206">
        <v>307</v>
      </c>
      <c r="C206">
        <v>12100200238</v>
      </c>
      <c r="D206">
        <v>86</v>
      </c>
      <c r="E206" t="s">
        <v>1327</v>
      </c>
      <c r="F206">
        <v>12100200238</v>
      </c>
      <c r="G206" t="s">
        <v>1328</v>
      </c>
      <c r="H206" t="s">
        <v>1487</v>
      </c>
      <c r="I206" s="131">
        <v>0</v>
      </c>
      <c r="J206" s="131">
        <v>0</v>
      </c>
      <c r="K206" s="131">
        <v>0</v>
      </c>
    </row>
    <row r="207" spans="1:11" x14ac:dyDescent="0.25">
      <c r="A207">
        <v>2023</v>
      </c>
      <c r="B207">
        <v>307</v>
      </c>
      <c r="C207">
        <v>12100200239</v>
      </c>
      <c r="D207">
        <v>93</v>
      </c>
      <c r="E207" t="s">
        <v>1329</v>
      </c>
      <c r="F207">
        <v>12100200239</v>
      </c>
      <c r="G207" t="s">
        <v>1330</v>
      </c>
      <c r="H207" t="s">
        <v>1487</v>
      </c>
      <c r="I207" s="131">
        <v>0</v>
      </c>
      <c r="J207" s="131">
        <v>0</v>
      </c>
      <c r="K207" s="131">
        <v>0</v>
      </c>
    </row>
    <row r="208" spans="1:11" x14ac:dyDescent="0.25">
      <c r="A208">
        <v>2023</v>
      </c>
      <c r="B208">
        <v>307</v>
      </c>
      <c r="C208">
        <v>12100200242</v>
      </c>
      <c r="D208">
        <v>94</v>
      </c>
      <c r="E208" t="s">
        <v>1331</v>
      </c>
      <c r="F208">
        <v>12100200242</v>
      </c>
      <c r="G208" t="s">
        <v>1332</v>
      </c>
      <c r="H208" t="s">
        <v>1487</v>
      </c>
      <c r="I208" s="131">
        <v>0</v>
      </c>
      <c r="J208" s="131">
        <v>0</v>
      </c>
      <c r="K208" s="131">
        <v>0</v>
      </c>
    </row>
    <row r="209" spans="1:11" x14ac:dyDescent="0.25">
      <c r="A209">
        <v>2023</v>
      </c>
      <c r="B209">
        <v>307</v>
      </c>
      <c r="C209">
        <v>12100200243</v>
      </c>
      <c r="D209">
        <v>207</v>
      </c>
      <c r="E209" t="s">
        <v>1333</v>
      </c>
      <c r="F209">
        <v>12100200243</v>
      </c>
      <c r="G209" t="s">
        <v>1334</v>
      </c>
      <c r="H209" t="s">
        <v>1487</v>
      </c>
      <c r="I209" s="131">
        <v>0</v>
      </c>
      <c r="J209" s="131">
        <v>60254577</v>
      </c>
      <c r="K209" s="131">
        <v>0</v>
      </c>
    </row>
    <row r="210" spans="1:11" x14ac:dyDescent="0.25">
      <c r="A210">
        <v>2023</v>
      </c>
      <c r="B210">
        <v>307</v>
      </c>
      <c r="C210">
        <v>12100200244</v>
      </c>
      <c r="D210">
        <v>209</v>
      </c>
      <c r="E210" t="s">
        <v>1335</v>
      </c>
      <c r="F210">
        <v>12100200244</v>
      </c>
      <c r="G210" t="s">
        <v>1336</v>
      </c>
      <c r="H210" t="s">
        <v>1487</v>
      </c>
      <c r="I210" s="131">
        <v>0</v>
      </c>
      <c r="J210" s="131">
        <v>0</v>
      </c>
      <c r="K210" s="131">
        <v>0</v>
      </c>
    </row>
    <row r="211" spans="1:11" x14ac:dyDescent="0.25">
      <c r="A211">
        <v>2023</v>
      </c>
      <c r="B211">
        <v>307</v>
      </c>
      <c r="C211">
        <v>12100200245</v>
      </c>
      <c r="D211">
        <v>210</v>
      </c>
      <c r="E211" t="s">
        <v>1337</v>
      </c>
      <c r="F211">
        <v>12100200245</v>
      </c>
      <c r="G211" t="s">
        <v>1338</v>
      </c>
      <c r="H211" t="s">
        <v>1487</v>
      </c>
      <c r="I211" s="131">
        <v>0</v>
      </c>
      <c r="J211" s="131">
        <v>705559500.57000005</v>
      </c>
      <c r="K211" s="131">
        <v>705559500.57000005</v>
      </c>
    </row>
    <row r="212" spans="1:11" x14ac:dyDescent="0.25">
      <c r="A212">
        <v>2023</v>
      </c>
      <c r="B212">
        <v>307</v>
      </c>
      <c r="C212">
        <v>12100200246</v>
      </c>
      <c r="D212">
        <v>211</v>
      </c>
      <c r="E212" t="s">
        <v>1339</v>
      </c>
      <c r="F212">
        <v>12100200246</v>
      </c>
      <c r="G212" t="s">
        <v>1340</v>
      </c>
      <c r="H212" t="s">
        <v>1487</v>
      </c>
      <c r="I212" s="131">
        <v>0</v>
      </c>
      <c r="J212" s="131">
        <v>0</v>
      </c>
      <c r="K212" s="131">
        <v>0</v>
      </c>
    </row>
    <row r="213" spans="1:11" x14ac:dyDescent="0.25">
      <c r="A213">
        <v>2023</v>
      </c>
      <c r="B213">
        <v>307</v>
      </c>
      <c r="C213">
        <v>12100200247</v>
      </c>
      <c r="D213">
        <v>216</v>
      </c>
      <c r="E213" t="s">
        <v>1341</v>
      </c>
      <c r="F213">
        <v>12100200247</v>
      </c>
      <c r="G213" t="s">
        <v>1342</v>
      </c>
      <c r="H213" t="s">
        <v>1487</v>
      </c>
      <c r="I213" s="131">
        <v>0</v>
      </c>
      <c r="J213" s="131">
        <v>0</v>
      </c>
      <c r="K213" s="131">
        <v>0</v>
      </c>
    </row>
    <row r="214" spans="1:11" x14ac:dyDescent="0.25">
      <c r="A214">
        <v>2023</v>
      </c>
      <c r="B214">
        <v>307</v>
      </c>
      <c r="C214">
        <v>12100200248</v>
      </c>
      <c r="D214">
        <v>122</v>
      </c>
      <c r="E214" t="s">
        <v>1343</v>
      </c>
      <c r="F214">
        <v>12100200248</v>
      </c>
      <c r="G214" t="s">
        <v>1344</v>
      </c>
      <c r="H214" t="s">
        <v>1487</v>
      </c>
      <c r="I214" s="131">
        <v>0</v>
      </c>
      <c r="J214" s="131">
        <v>6685727072.4099998</v>
      </c>
      <c r="K214" s="131">
        <v>6685727072.4099998</v>
      </c>
    </row>
    <row r="215" spans="1:11" x14ac:dyDescent="0.25">
      <c r="A215">
        <v>2023</v>
      </c>
      <c r="B215">
        <v>307</v>
      </c>
      <c r="C215">
        <v>12100200249</v>
      </c>
      <c r="D215">
        <v>129</v>
      </c>
      <c r="E215" t="s">
        <v>1345</v>
      </c>
      <c r="F215">
        <v>12100200249</v>
      </c>
      <c r="G215" t="s">
        <v>1346</v>
      </c>
      <c r="H215" t="s">
        <v>1487</v>
      </c>
      <c r="I215" s="131">
        <v>0</v>
      </c>
      <c r="J215" s="131">
        <v>334489381.63999999</v>
      </c>
      <c r="K215" s="131">
        <v>334489381.63999999</v>
      </c>
    </row>
    <row r="216" spans="1:11" x14ac:dyDescent="0.25">
      <c r="A216">
        <v>2023</v>
      </c>
      <c r="B216">
        <v>307</v>
      </c>
      <c r="C216">
        <v>12100200251</v>
      </c>
      <c r="D216">
        <v>213</v>
      </c>
      <c r="E216" t="s">
        <v>1347</v>
      </c>
      <c r="F216">
        <v>12100200251</v>
      </c>
      <c r="G216" t="s">
        <v>1348</v>
      </c>
      <c r="H216" t="s">
        <v>1487</v>
      </c>
      <c r="I216" s="131">
        <v>0</v>
      </c>
      <c r="J216" s="131">
        <v>73048930.180000007</v>
      </c>
      <c r="K216" s="131">
        <v>73048930.180000007</v>
      </c>
    </row>
    <row r="217" spans="1:11" x14ac:dyDescent="0.25">
      <c r="A217">
        <v>2023</v>
      </c>
      <c r="B217">
        <v>307</v>
      </c>
      <c r="C217">
        <v>12100200252</v>
      </c>
      <c r="D217">
        <v>212</v>
      </c>
      <c r="E217" t="s">
        <v>1349</v>
      </c>
      <c r="F217">
        <v>12100200252</v>
      </c>
      <c r="G217" t="s">
        <v>1350</v>
      </c>
      <c r="H217" t="s">
        <v>1487</v>
      </c>
      <c r="I217" s="131">
        <v>0</v>
      </c>
      <c r="J217" s="131">
        <v>99878270.549999997</v>
      </c>
      <c r="K217" s="131">
        <v>99878270.549999997</v>
      </c>
    </row>
    <row r="218" spans="1:11" x14ac:dyDescent="0.25">
      <c r="A218">
        <v>2023</v>
      </c>
      <c r="B218">
        <v>307</v>
      </c>
      <c r="C218">
        <v>12100200253</v>
      </c>
      <c r="D218">
        <v>214</v>
      </c>
      <c r="E218" t="s">
        <v>1351</v>
      </c>
      <c r="F218">
        <v>12100200253</v>
      </c>
      <c r="G218" t="s">
        <v>1352</v>
      </c>
      <c r="H218" t="s">
        <v>1487</v>
      </c>
      <c r="I218" s="131">
        <v>0</v>
      </c>
      <c r="J218" s="131">
        <v>405865979.32999998</v>
      </c>
      <c r="K218" s="131">
        <v>405865979.32999998</v>
      </c>
    </row>
    <row r="219" spans="1:11" x14ac:dyDescent="0.25">
      <c r="A219">
        <v>2023</v>
      </c>
      <c r="B219">
        <v>307</v>
      </c>
      <c r="C219">
        <v>12100200254</v>
      </c>
      <c r="D219">
        <v>215</v>
      </c>
      <c r="E219" t="s">
        <v>1353</v>
      </c>
      <c r="F219">
        <v>12100200254</v>
      </c>
      <c r="G219" t="s">
        <v>1354</v>
      </c>
      <c r="H219" t="s">
        <v>1487</v>
      </c>
      <c r="I219" s="131">
        <v>0</v>
      </c>
      <c r="J219" s="131">
        <v>71938618.980000004</v>
      </c>
      <c r="K219" s="131">
        <v>71938618.980000004</v>
      </c>
    </row>
    <row r="220" spans="1:11" x14ac:dyDescent="0.25">
      <c r="A220">
        <v>2023</v>
      </c>
      <c r="B220">
        <v>307</v>
      </c>
      <c r="C220">
        <v>12100200258</v>
      </c>
      <c r="D220">
        <v>227</v>
      </c>
      <c r="E220" t="s">
        <v>1562</v>
      </c>
      <c r="F220">
        <v>12100200258</v>
      </c>
      <c r="G220" t="s">
        <v>1563</v>
      </c>
      <c r="H220" t="s">
        <v>1487</v>
      </c>
      <c r="I220" s="131">
        <v>0</v>
      </c>
      <c r="J220" s="131">
        <v>19788720416</v>
      </c>
      <c r="K220" s="131">
        <v>19788720416</v>
      </c>
    </row>
    <row r="221" spans="1:11" x14ac:dyDescent="0.25">
      <c r="A221">
        <v>2023</v>
      </c>
      <c r="B221">
        <v>307</v>
      </c>
      <c r="C221">
        <v>12100200259</v>
      </c>
      <c r="D221">
        <v>228</v>
      </c>
      <c r="E221" t="s">
        <v>1564</v>
      </c>
      <c r="F221">
        <v>12100200259</v>
      </c>
      <c r="G221" t="s">
        <v>1565</v>
      </c>
      <c r="H221" t="s">
        <v>1487</v>
      </c>
      <c r="I221" s="131">
        <v>0</v>
      </c>
      <c r="J221" s="131">
        <v>9115200000</v>
      </c>
      <c r="K221" s="131">
        <v>0</v>
      </c>
    </row>
    <row r="222" spans="1:11" x14ac:dyDescent="0.25">
      <c r="A222">
        <v>2023</v>
      </c>
      <c r="B222">
        <v>307</v>
      </c>
      <c r="C222">
        <v>12100200260</v>
      </c>
      <c r="D222">
        <v>230</v>
      </c>
      <c r="E222" t="s">
        <v>1566</v>
      </c>
      <c r="F222">
        <v>12100200260</v>
      </c>
      <c r="G222" t="s">
        <v>1567</v>
      </c>
      <c r="H222" t="s">
        <v>1487</v>
      </c>
      <c r="I222" s="131">
        <v>0</v>
      </c>
      <c r="J222" s="131">
        <v>15612200000</v>
      </c>
      <c r="K222" s="131">
        <v>15612200000</v>
      </c>
    </row>
    <row r="223" spans="1:11" x14ac:dyDescent="0.25">
      <c r="A223">
        <v>2023</v>
      </c>
      <c r="B223">
        <v>307</v>
      </c>
      <c r="C223">
        <v>12100200261</v>
      </c>
      <c r="D223">
        <v>229</v>
      </c>
      <c r="E223" t="s">
        <v>1568</v>
      </c>
      <c r="F223">
        <v>12100200261</v>
      </c>
      <c r="G223" t="s">
        <v>1569</v>
      </c>
      <c r="H223" t="s">
        <v>1487</v>
      </c>
      <c r="I223" s="131">
        <v>0</v>
      </c>
      <c r="J223" s="131">
        <v>151323517</v>
      </c>
      <c r="K223" s="131">
        <v>0</v>
      </c>
    </row>
    <row r="224" spans="1:11" x14ac:dyDescent="0.25">
      <c r="A224">
        <v>2023</v>
      </c>
      <c r="B224">
        <v>307</v>
      </c>
      <c r="C224">
        <v>12100200262</v>
      </c>
      <c r="D224">
        <v>231</v>
      </c>
      <c r="E224" t="s">
        <v>1570</v>
      </c>
      <c r="F224">
        <v>12100200262</v>
      </c>
      <c r="G224" t="s">
        <v>1571</v>
      </c>
      <c r="H224" t="s">
        <v>1487</v>
      </c>
      <c r="I224" s="131">
        <v>0</v>
      </c>
      <c r="J224" s="131">
        <v>1462010</v>
      </c>
      <c r="K224" s="131">
        <v>1462010</v>
      </c>
    </row>
    <row r="225" spans="1:11" x14ac:dyDescent="0.25">
      <c r="A225">
        <v>2023</v>
      </c>
      <c r="B225">
        <v>307</v>
      </c>
      <c r="C225">
        <v>1212</v>
      </c>
      <c r="D225" t="s">
        <v>226</v>
      </c>
      <c r="E225" t="s">
        <v>616</v>
      </c>
      <c r="F225">
        <v>1212</v>
      </c>
      <c r="G225" t="s">
        <v>617</v>
      </c>
      <c r="H225" t="s">
        <v>1487</v>
      </c>
      <c r="I225" s="131">
        <v>7989593333</v>
      </c>
      <c r="J225" s="131">
        <v>7989593333</v>
      </c>
      <c r="K225" s="131">
        <v>21325400</v>
      </c>
    </row>
    <row r="226" spans="1:11" x14ac:dyDescent="0.25">
      <c r="A226">
        <v>2023</v>
      </c>
      <c r="B226">
        <v>307</v>
      </c>
      <c r="C226">
        <v>121203</v>
      </c>
      <c r="D226" t="s">
        <v>226</v>
      </c>
      <c r="E226" t="s">
        <v>1572</v>
      </c>
      <c r="F226">
        <v>121203</v>
      </c>
      <c r="G226" t="s">
        <v>1573</v>
      </c>
      <c r="H226" t="s">
        <v>1487</v>
      </c>
      <c r="I226" s="131">
        <v>7989593333</v>
      </c>
      <c r="J226" s="131">
        <v>7989593333</v>
      </c>
      <c r="K226" s="131">
        <v>21325400</v>
      </c>
    </row>
    <row r="227" spans="1:11" x14ac:dyDescent="0.25">
      <c r="A227">
        <v>2023</v>
      </c>
      <c r="B227">
        <v>307</v>
      </c>
      <c r="C227">
        <v>121203001</v>
      </c>
      <c r="D227">
        <v>135</v>
      </c>
      <c r="E227" t="s">
        <v>1574</v>
      </c>
      <c r="F227">
        <v>121203001</v>
      </c>
      <c r="G227" t="s">
        <v>621</v>
      </c>
      <c r="H227" t="s">
        <v>1487</v>
      </c>
      <c r="I227" s="1184">
        <v>7989593333</v>
      </c>
      <c r="J227" s="131">
        <v>7989593333</v>
      </c>
      <c r="K227" s="131">
        <v>21325400</v>
      </c>
    </row>
    <row r="228" spans="1:11" x14ac:dyDescent="0.25">
      <c r="A228">
        <v>2023</v>
      </c>
      <c r="B228">
        <v>307</v>
      </c>
      <c r="C228">
        <v>1213</v>
      </c>
      <c r="D228" t="s">
        <v>226</v>
      </c>
      <c r="E228" t="s">
        <v>622</v>
      </c>
      <c r="F228">
        <v>1213</v>
      </c>
      <c r="G228" t="s">
        <v>623</v>
      </c>
      <c r="H228" t="s">
        <v>1487</v>
      </c>
      <c r="I228" s="131">
        <v>10000000</v>
      </c>
      <c r="J228" s="131">
        <v>10000000</v>
      </c>
      <c r="K228" s="131">
        <v>905624190.76999998</v>
      </c>
    </row>
    <row r="229" spans="1:11" x14ac:dyDescent="0.25">
      <c r="A229">
        <v>2023</v>
      </c>
      <c r="B229">
        <v>307</v>
      </c>
      <c r="C229">
        <v>121301</v>
      </c>
      <c r="D229">
        <v>6</v>
      </c>
      <c r="E229" t="s">
        <v>626</v>
      </c>
      <c r="F229">
        <v>121301</v>
      </c>
      <c r="G229" t="s">
        <v>606</v>
      </c>
      <c r="H229" t="s">
        <v>1487</v>
      </c>
      <c r="I229" s="131">
        <v>0</v>
      </c>
      <c r="J229" s="131">
        <v>0</v>
      </c>
      <c r="K229" s="131">
        <v>408270300.94999999</v>
      </c>
    </row>
    <row r="230" spans="1:11" x14ac:dyDescent="0.25">
      <c r="A230">
        <v>2023</v>
      </c>
      <c r="B230">
        <v>307</v>
      </c>
      <c r="C230">
        <v>121301</v>
      </c>
      <c r="D230">
        <v>20</v>
      </c>
      <c r="E230" t="s">
        <v>628</v>
      </c>
      <c r="F230">
        <v>121301</v>
      </c>
      <c r="G230" t="s">
        <v>606</v>
      </c>
      <c r="H230" t="s">
        <v>1487</v>
      </c>
      <c r="I230" s="131">
        <v>10000000</v>
      </c>
      <c r="J230" s="131">
        <v>10000000</v>
      </c>
      <c r="K230" s="131">
        <v>497353889.81999999</v>
      </c>
    </row>
    <row r="231" spans="1:11" x14ac:dyDescent="0.25">
      <c r="A231">
        <v>2023</v>
      </c>
      <c r="B231">
        <v>314</v>
      </c>
      <c r="C231">
        <v>1</v>
      </c>
      <c r="D231" t="s">
        <v>226</v>
      </c>
      <c r="E231" t="s">
        <v>632</v>
      </c>
      <c r="F231">
        <v>1</v>
      </c>
      <c r="G231" t="s">
        <v>228</v>
      </c>
      <c r="H231" t="s">
        <v>1575</v>
      </c>
      <c r="I231" s="131">
        <v>196054000000</v>
      </c>
      <c r="J231" s="131">
        <v>197794329927.5</v>
      </c>
      <c r="K231" s="131">
        <v>98307246459.470001</v>
      </c>
    </row>
    <row r="232" spans="1:11" x14ac:dyDescent="0.25">
      <c r="A232">
        <v>2023</v>
      </c>
      <c r="B232">
        <v>314</v>
      </c>
      <c r="C232">
        <v>11</v>
      </c>
      <c r="D232" t="s">
        <v>226</v>
      </c>
      <c r="E232" t="s">
        <v>633</v>
      </c>
      <c r="F232">
        <v>11</v>
      </c>
      <c r="G232" t="s">
        <v>230</v>
      </c>
      <c r="H232" t="s">
        <v>1575</v>
      </c>
      <c r="I232" s="131">
        <v>195959000000</v>
      </c>
      <c r="J232" s="131">
        <v>195943827419</v>
      </c>
      <c r="K232" s="131">
        <v>96063605332</v>
      </c>
    </row>
    <row r="233" spans="1:11" x14ac:dyDescent="0.25">
      <c r="A233">
        <v>2023</v>
      </c>
      <c r="B233">
        <v>314</v>
      </c>
      <c r="C233">
        <v>1102</v>
      </c>
      <c r="D233" t="s">
        <v>226</v>
      </c>
      <c r="E233" t="s">
        <v>634</v>
      </c>
      <c r="F233">
        <v>1102</v>
      </c>
      <c r="G233" t="s">
        <v>311</v>
      </c>
      <c r="H233" t="s">
        <v>1575</v>
      </c>
      <c r="I233" s="131">
        <v>195959000000</v>
      </c>
      <c r="J233" s="131">
        <v>195943827419</v>
      </c>
      <c r="K233" s="131">
        <v>96063605332</v>
      </c>
    </row>
    <row r="234" spans="1:11" x14ac:dyDescent="0.25">
      <c r="A234">
        <v>2023</v>
      </c>
      <c r="B234">
        <v>314</v>
      </c>
      <c r="C234">
        <v>110206</v>
      </c>
      <c r="D234" t="s">
        <v>226</v>
      </c>
      <c r="E234" t="s">
        <v>635</v>
      </c>
      <c r="F234">
        <v>110206</v>
      </c>
      <c r="G234" t="s">
        <v>406</v>
      </c>
      <c r="H234" t="s">
        <v>1575</v>
      </c>
      <c r="I234" s="131">
        <v>195959000000</v>
      </c>
      <c r="J234" s="131">
        <v>195943827419</v>
      </c>
      <c r="K234" s="131">
        <v>96063605332</v>
      </c>
    </row>
    <row r="235" spans="1:11" x14ac:dyDescent="0.25">
      <c r="A235">
        <v>2023</v>
      </c>
      <c r="B235">
        <v>314</v>
      </c>
      <c r="C235">
        <v>110206001</v>
      </c>
      <c r="D235" t="s">
        <v>226</v>
      </c>
      <c r="E235" t="s">
        <v>636</v>
      </c>
      <c r="F235">
        <v>110206001</v>
      </c>
      <c r="G235" t="s">
        <v>408</v>
      </c>
      <c r="H235" t="s">
        <v>1575</v>
      </c>
      <c r="I235" s="131">
        <v>186723000000</v>
      </c>
      <c r="J235" s="131">
        <v>186707827419</v>
      </c>
      <c r="K235" s="131">
        <v>91923377638</v>
      </c>
    </row>
    <row r="236" spans="1:11" x14ac:dyDescent="0.25">
      <c r="A236">
        <v>2023</v>
      </c>
      <c r="B236">
        <v>314</v>
      </c>
      <c r="C236">
        <v>11020600101</v>
      </c>
      <c r="D236" t="s">
        <v>226</v>
      </c>
      <c r="E236" t="s">
        <v>637</v>
      </c>
      <c r="F236">
        <v>11020600101</v>
      </c>
      <c r="G236" t="s">
        <v>638</v>
      </c>
      <c r="H236" t="s">
        <v>1575</v>
      </c>
      <c r="I236" s="131">
        <v>186723000000</v>
      </c>
      <c r="J236" s="131">
        <v>186707827419</v>
      </c>
      <c r="K236" s="131">
        <v>91923377638</v>
      </c>
    </row>
    <row r="237" spans="1:11" x14ac:dyDescent="0.25">
      <c r="A237">
        <v>2023</v>
      </c>
      <c r="B237">
        <v>314</v>
      </c>
      <c r="C237">
        <v>1102060010101</v>
      </c>
      <c r="D237">
        <v>25</v>
      </c>
      <c r="E237" t="s">
        <v>639</v>
      </c>
      <c r="F237">
        <v>1102060010101</v>
      </c>
      <c r="G237" t="s">
        <v>640</v>
      </c>
      <c r="H237" t="s">
        <v>1575</v>
      </c>
      <c r="I237" s="131">
        <v>156853000000</v>
      </c>
      <c r="J237" s="131">
        <v>156837827419</v>
      </c>
      <c r="K237" s="131">
        <v>80482869270</v>
      </c>
    </row>
    <row r="238" spans="1:11" x14ac:dyDescent="0.25">
      <c r="A238">
        <v>2023</v>
      </c>
      <c r="B238">
        <v>314</v>
      </c>
      <c r="C238">
        <v>1102060010101</v>
      </c>
      <c r="D238">
        <v>26</v>
      </c>
      <c r="E238" t="s">
        <v>641</v>
      </c>
      <c r="F238">
        <v>1102060010101</v>
      </c>
      <c r="G238" t="s">
        <v>640</v>
      </c>
      <c r="H238" t="s">
        <v>1575</v>
      </c>
      <c r="I238" s="131">
        <v>29870000000</v>
      </c>
      <c r="J238" s="131">
        <v>29870000000</v>
      </c>
      <c r="K238" s="131">
        <v>11440508368</v>
      </c>
    </row>
    <row r="239" spans="1:11" x14ac:dyDescent="0.25">
      <c r="A239">
        <v>2023</v>
      </c>
      <c r="B239">
        <v>314</v>
      </c>
      <c r="C239">
        <v>110206006</v>
      </c>
      <c r="D239" t="s">
        <v>226</v>
      </c>
      <c r="E239" t="s">
        <v>642</v>
      </c>
      <c r="F239">
        <v>110206006</v>
      </c>
      <c r="G239" t="s">
        <v>428</v>
      </c>
      <c r="H239" t="s">
        <v>1575</v>
      </c>
      <c r="I239" s="131">
        <v>9236000000</v>
      </c>
      <c r="J239" s="131">
        <v>9236000000</v>
      </c>
      <c r="K239" s="131">
        <v>4140227694</v>
      </c>
    </row>
    <row r="240" spans="1:11" x14ac:dyDescent="0.25">
      <c r="A240">
        <v>2023</v>
      </c>
      <c r="B240">
        <v>314</v>
      </c>
      <c r="C240">
        <v>11020600606</v>
      </c>
      <c r="D240" t="s">
        <v>226</v>
      </c>
      <c r="E240" t="s">
        <v>643</v>
      </c>
      <c r="F240">
        <v>11020600606</v>
      </c>
      <c r="G240" t="s">
        <v>430</v>
      </c>
      <c r="H240" t="s">
        <v>1575</v>
      </c>
      <c r="I240" s="131">
        <v>9236000000</v>
      </c>
      <c r="J240" s="131">
        <v>9236000000</v>
      </c>
      <c r="K240" s="131">
        <v>4140227694</v>
      </c>
    </row>
    <row r="241" spans="1:11" x14ac:dyDescent="0.25">
      <c r="A241">
        <v>2023</v>
      </c>
      <c r="B241">
        <v>314</v>
      </c>
      <c r="C241">
        <v>1102060060600</v>
      </c>
      <c r="D241" t="s">
        <v>226</v>
      </c>
      <c r="E241" t="s">
        <v>644</v>
      </c>
      <c r="F241">
        <v>1102060060600</v>
      </c>
      <c r="G241" t="s">
        <v>430</v>
      </c>
      <c r="H241" t="s">
        <v>1575</v>
      </c>
      <c r="I241" s="131">
        <v>9236000000</v>
      </c>
      <c r="J241" s="131">
        <v>9236000000</v>
      </c>
      <c r="K241" s="131">
        <v>4140227694</v>
      </c>
    </row>
    <row r="242" spans="1:11" x14ac:dyDescent="0.25">
      <c r="A242">
        <v>2023</v>
      </c>
      <c r="B242">
        <v>314</v>
      </c>
      <c r="C242">
        <v>110206006060000</v>
      </c>
      <c r="D242" t="s">
        <v>226</v>
      </c>
      <c r="E242" t="s">
        <v>645</v>
      </c>
      <c r="F242">
        <v>110206006060000</v>
      </c>
      <c r="G242" t="s">
        <v>430</v>
      </c>
      <c r="H242" t="s">
        <v>1575</v>
      </c>
      <c r="I242" s="131">
        <v>9236000000</v>
      </c>
      <c r="J242" s="131">
        <v>9236000000</v>
      </c>
      <c r="K242" s="131">
        <v>4140227694</v>
      </c>
    </row>
    <row r="243" spans="1:11" x14ac:dyDescent="0.25">
      <c r="A243">
        <v>2023</v>
      </c>
      <c r="B243">
        <v>314</v>
      </c>
      <c r="C243">
        <v>1.1020600606E+17</v>
      </c>
      <c r="D243" t="s">
        <v>226</v>
      </c>
      <c r="E243" t="s">
        <v>1576</v>
      </c>
      <c r="F243">
        <v>1.1020600606E+17</v>
      </c>
      <c r="G243" t="s">
        <v>430</v>
      </c>
      <c r="H243" t="s">
        <v>1575</v>
      </c>
      <c r="I243" s="131">
        <v>9236000000</v>
      </c>
      <c r="J243" s="131">
        <v>9236000000</v>
      </c>
      <c r="K243" s="131">
        <v>4140227694</v>
      </c>
    </row>
    <row r="244" spans="1:11" x14ac:dyDescent="0.25">
      <c r="A244">
        <v>2023</v>
      </c>
      <c r="B244">
        <v>314</v>
      </c>
      <c r="C244">
        <v>1.1020600606E+20</v>
      </c>
      <c r="D244" t="s">
        <v>226</v>
      </c>
      <c r="E244" t="s">
        <v>1577</v>
      </c>
      <c r="F244">
        <v>1.1020600606E+20</v>
      </c>
      <c r="G244" t="s">
        <v>430</v>
      </c>
      <c r="H244" t="s">
        <v>1575</v>
      </c>
      <c r="I244" s="131">
        <v>9236000000</v>
      </c>
      <c r="J244" s="131">
        <v>9236000000</v>
      </c>
      <c r="K244" s="131">
        <v>4140227694</v>
      </c>
    </row>
    <row r="245" spans="1:11" x14ac:dyDescent="0.25">
      <c r="A245">
        <v>2023</v>
      </c>
      <c r="B245">
        <v>314</v>
      </c>
      <c r="C245">
        <v>1.1020600605999999E+35</v>
      </c>
      <c r="D245">
        <v>81</v>
      </c>
      <c r="E245" t="s">
        <v>648</v>
      </c>
      <c r="F245">
        <v>1.1020600605999999E+35</v>
      </c>
      <c r="G245" t="s">
        <v>649</v>
      </c>
      <c r="H245" t="s">
        <v>1575</v>
      </c>
      <c r="I245" s="131">
        <v>9236000000</v>
      </c>
      <c r="J245" s="131">
        <v>9236000000</v>
      </c>
      <c r="K245" s="131">
        <v>4140227694</v>
      </c>
    </row>
    <row r="246" spans="1:11" x14ac:dyDescent="0.25">
      <c r="A246">
        <v>2023</v>
      </c>
      <c r="B246">
        <v>314</v>
      </c>
      <c r="C246">
        <v>12</v>
      </c>
      <c r="D246" t="s">
        <v>226</v>
      </c>
      <c r="E246" t="s">
        <v>666</v>
      </c>
      <c r="F246">
        <v>12</v>
      </c>
      <c r="G246" t="s">
        <v>517</v>
      </c>
      <c r="H246" t="s">
        <v>1575</v>
      </c>
      <c r="I246" s="131">
        <v>95000000</v>
      </c>
      <c r="J246" s="131">
        <v>1850502508.5</v>
      </c>
      <c r="K246" s="131">
        <v>2243641127.4699998</v>
      </c>
    </row>
    <row r="247" spans="1:11" x14ac:dyDescent="0.25">
      <c r="A247">
        <v>2023</v>
      </c>
      <c r="B247">
        <v>314</v>
      </c>
      <c r="C247">
        <v>1205</v>
      </c>
      <c r="D247" t="s">
        <v>226</v>
      </c>
      <c r="E247" t="s">
        <v>667</v>
      </c>
      <c r="F247">
        <v>1205</v>
      </c>
      <c r="G247" t="s">
        <v>529</v>
      </c>
      <c r="H247" t="s">
        <v>1575</v>
      </c>
      <c r="I247" s="131">
        <v>15000000</v>
      </c>
      <c r="J247" s="131">
        <v>15000000</v>
      </c>
      <c r="K247" s="131">
        <v>277562016.97000003</v>
      </c>
    </row>
    <row r="248" spans="1:11" x14ac:dyDescent="0.25">
      <c r="A248">
        <v>2023</v>
      </c>
      <c r="B248">
        <v>314</v>
      </c>
      <c r="C248">
        <v>120502</v>
      </c>
      <c r="D248" t="s">
        <v>226</v>
      </c>
      <c r="E248" t="s">
        <v>668</v>
      </c>
      <c r="F248">
        <v>120502</v>
      </c>
      <c r="G248" t="s">
        <v>531</v>
      </c>
      <c r="H248" t="s">
        <v>1575</v>
      </c>
      <c r="I248" s="131">
        <v>15000000</v>
      </c>
      <c r="J248" s="131">
        <v>15000000</v>
      </c>
      <c r="K248" s="131">
        <v>277562016.97000003</v>
      </c>
    </row>
    <row r="249" spans="1:11" x14ac:dyDescent="0.25">
      <c r="A249">
        <v>2023</v>
      </c>
      <c r="B249">
        <v>314</v>
      </c>
      <c r="C249">
        <v>120502001</v>
      </c>
      <c r="D249" t="s">
        <v>226</v>
      </c>
      <c r="E249" t="s">
        <v>669</v>
      </c>
      <c r="F249">
        <v>120502001</v>
      </c>
      <c r="G249" t="s">
        <v>228</v>
      </c>
      <c r="H249" t="s">
        <v>1575</v>
      </c>
      <c r="I249" s="131">
        <v>15000000</v>
      </c>
      <c r="J249" s="131">
        <v>15000000</v>
      </c>
      <c r="K249" s="131">
        <v>277562016.97000003</v>
      </c>
    </row>
    <row r="250" spans="1:11" x14ac:dyDescent="0.25">
      <c r="A250">
        <v>2023</v>
      </c>
      <c r="B250">
        <v>314</v>
      </c>
      <c r="C250">
        <v>12050200101</v>
      </c>
      <c r="D250" t="s">
        <v>226</v>
      </c>
      <c r="E250" t="s">
        <v>670</v>
      </c>
      <c r="F250">
        <v>12050200101</v>
      </c>
      <c r="G250" t="s">
        <v>230</v>
      </c>
      <c r="H250" t="s">
        <v>1575</v>
      </c>
      <c r="I250" s="131">
        <v>15000000</v>
      </c>
      <c r="J250" s="131">
        <v>15000000</v>
      </c>
      <c r="K250" s="131">
        <v>277562016.97000003</v>
      </c>
    </row>
    <row r="251" spans="1:11" x14ac:dyDescent="0.25">
      <c r="A251">
        <v>2023</v>
      </c>
      <c r="B251">
        <v>314</v>
      </c>
      <c r="C251">
        <v>1205020010102</v>
      </c>
      <c r="D251" t="s">
        <v>226</v>
      </c>
      <c r="E251" t="s">
        <v>671</v>
      </c>
      <c r="F251">
        <v>1205020010102</v>
      </c>
      <c r="G251" t="s">
        <v>311</v>
      </c>
      <c r="H251" t="s">
        <v>1575</v>
      </c>
      <c r="I251" s="131">
        <v>15000000</v>
      </c>
      <c r="J251" s="131">
        <v>15000000</v>
      </c>
      <c r="K251" s="131">
        <v>277562016.97000003</v>
      </c>
    </row>
    <row r="252" spans="1:11" x14ac:dyDescent="0.25">
      <c r="A252">
        <v>2023</v>
      </c>
      <c r="B252">
        <v>314</v>
      </c>
      <c r="C252">
        <v>120502001010206</v>
      </c>
      <c r="D252" t="s">
        <v>226</v>
      </c>
      <c r="E252" t="s">
        <v>672</v>
      </c>
      <c r="F252">
        <v>120502001010206</v>
      </c>
      <c r="G252" t="s">
        <v>406</v>
      </c>
      <c r="H252" t="s">
        <v>1575</v>
      </c>
      <c r="I252" s="131">
        <v>15000000</v>
      </c>
      <c r="J252" s="131">
        <v>15000000</v>
      </c>
      <c r="K252" s="131">
        <v>277562016.97000003</v>
      </c>
    </row>
    <row r="253" spans="1:11" x14ac:dyDescent="0.25">
      <c r="A253">
        <v>2023</v>
      </c>
      <c r="B253">
        <v>314</v>
      </c>
      <c r="C253">
        <v>1.20502001010206E+17</v>
      </c>
      <c r="D253" t="s">
        <v>226</v>
      </c>
      <c r="E253" t="s">
        <v>1578</v>
      </c>
      <c r="F253">
        <v>1.20502001010206E+17</v>
      </c>
      <c r="G253" t="s">
        <v>408</v>
      </c>
      <c r="H253" t="s">
        <v>1575</v>
      </c>
      <c r="I253" s="131">
        <v>15000000</v>
      </c>
      <c r="J253" s="131">
        <v>5000000</v>
      </c>
      <c r="K253" s="131">
        <v>273855277.16000003</v>
      </c>
    </row>
    <row r="254" spans="1:11" x14ac:dyDescent="0.25">
      <c r="A254">
        <v>2023</v>
      </c>
      <c r="B254">
        <v>314</v>
      </c>
      <c r="C254">
        <v>1.20502001010206E+20</v>
      </c>
      <c r="D254">
        <v>21</v>
      </c>
      <c r="E254" t="s">
        <v>1360</v>
      </c>
      <c r="F254">
        <v>1.20502001010206E+20</v>
      </c>
      <c r="G254" t="s">
        <v>675</v>
      </c>
      <c r="H254" t="s">
        <v>1575</v>
      </c>
      <c r="I254" s="131">
        <v>5000000</v>
      </c>
      <c r="J254" s="131">
        <v>5000000</v>
      </c>
      <c r="K254" s="131">
        <v>273855277.16000003</v>
      </c>
    </row>
    <row r="255" spans="1:11" x14ac:dyDescent="0.25">
      <c r="A255">
        <v>2023</v>
      </c>
      <c r="B255">
        <v>314</v>
      </c>
      <c r="C255">
        <v>1.20502001010206E+20</v>
      </c>
      <c r="D255">
        <v>81</v>
      </c>
      <c r="E255" t="s">
        <v>1361</v>
      </c>
      <c r="F255">
        <v>1.20502001010206E+20</v>
      </c>
      <c r="G255" t="s">
        <v>677</v>
      </c>
      <c r="H255" t="s">
        <v>1575</v>
      </c>
      <c r="I255" s="131">
        <v>10000000</v>
      </c>
      <c r="J255" s="131">
        <v>0</v>
      </c>
      <c r="K255" s="131">
        <v>0</v>
      </c>
    </row>
    <row r="256" spans="1:11" x14ac:dyDescent="0.25">
      <c r="A256">
        <v>2023</v>
      </c>
      <c r="B256">
        <v>314</v>
      </c>
      <c r="C256">
        <v>1.20502001010206E+17</v>
      </c>
      <c r="D256" t="s">
        <v>226</v>
      </c>
      <c r="E256" t="s">
        <v>1579</v>
      </c>
      <c r="F256">
        <v>1.20502001010206E+17</v>
      </c>
      <c r="G256" t="s">
        <v>428</v>
      </c>
      <c r="H256" t="s">
        <v>1575</v>
      </c>
      <c r="I256" s="131">
        <v>0</v>
      </c>
      <c r="J256" s="131">
        <v>10000000</v>
      </c>
      <c r="K256" s="131">
        <v>3706739.81</v>
      </c>
    </row>
    <row r="257" spans="1:11" x14ac:dyDescent="0.25">
      <c r="A257">
        <v>2023</v>
      </c>
      <c r="B257">
        <v>314</v>
      </c>
      <c r="C257">
        <v>1.20502001010206E+20</v>
      </c>
      <c r="D257" t="s">
        <v>226</v>
      </c>
      <c r="E257" t="s">
        <v>1580</v>
      </c>
      <c r="F257">
        <v>1.20502001010206E+20</v>
      </c>
      <c r="G257" t="s">
        <v>430</v>
      </c>
      <c r="H257" t="s">
        <v>1575</v>
      </c>
      <c r="I257" s="131">
        <v>0</v>
      </c>
      <c r="J257" s="131">
        <v>10000000</v>
      </c>
      <c r="K257" s="131">
        <v>3706739.81</v>
      </c>
    </row>
    <row r="258" spans="1:11" x14ac:dyDescent="0.25">
      <c r="A258">
        <v>2023</v>
      </c>
      <c r="B258">
        <v>314</v>
      </c>
      <c r="C258">
        <v>1.20502001010206E+35</v>
      </c>
      <c r="D258">
        <v>81</v>
      </c>
      <c r="E258" t="s">
        <v>684</v>
      </c>
      <c r="F258">
        <v>1.20502001010206E+35</v>
      </c>
      <c r="G258" t="s">
        <v>685</v>
      </c>
      <c r="H258" t="s">
        <v>1575</v>
      </c>
      <c r="I258" s="131">
        <v>0</v>
      </c>
      <c r="J258" s="131">
        <v>10000000</v>
      </c>
      <c r="K258" s="131">
        <v>3706739.81</v>
      </c>
    </row>
    <row r="259" spans="1:11" x14ac:dyDescent="0.25">
      <c r="A259">
        <v>2023</v>
      </c>
      <c r="B259">
        <v>314</v>
      </c>
      <c r="C259">
        <v>1210</v>
      </c>
      <c r="D259" t="s">
        <v>226</v>
      </c>
      <c r="E259" t="s">
        <v>1581</v>
      </c>
      <c r="F259">
        <v>1210</v>
      </c>
      <c r="G259" t="s">
        <v>1123</v>
      </c>
      <c r="H259" t="s">
        <v>1575</v>
      </c>
      <c r="I259" s="131">
        <v>0</v>
      </c>
      <c r="J259" s="131">
        <v>1755502508.5</v>
      </c>
      <c r="K259" s="131">
        <v>1847677256.5</v>
      </c>
    </row>
    <row r="260" spans="1:11" x14ac:dyDescent="0.25">
      <c r="A260">
        <v>2023</v>
      </c>
      <c r="B260">
        <v>314</v>
      </c>
      <c r="C260">
        <v>121001</v>
      </c>
      <c r="D260">
        <v>236</v>
      </c>
      <c r="E260" t="s">
        <v>1582</v>
      </c>
      <c r="F260">
        <v>121001</v>
      </c>
      <c r="G260" t="s">
        <v>1583</v>
      </c>
      <c r="H260" t="s">
        <v>1575</v>
      </c>
      <c r="I260" s="131">
        <v>0</v>
      </c>
      <c r="J260" s="131">
        <v>706885427.62</v>
      </c>
      <c r="K260" s="131">
        <v>706885427.62</v>
      </c>
    </row>
    <row r="261" spans="1:11" x14ac:dyDescent="0.25">
      <c r="A261">
        <v>2023</v>
      </c>
      <c r="B261">
        <v>314</v>
      </c>
      <c r="C261">
        <v>121002</v>
      </c>
      <c r="D261" t="s">
        <v>226</v>
      </c>
      <c r="E261" t="s">
        <v>1584</v>
      </c>
      <c r="F261">
        <v>121002</v>
      </c>
      <c r="G261" t="s">
        <v>1551</v>
      </c>
      <c r="H261" t="s">
        <v>1575</v>
      </c>
      <c r="I261" s="131">
        <v>0</v>
      </c>
      <c r="J261" s="131">
        <v>1048617080.88</v>
      </c>
      <c r="K261" s="131">
        <v>1140791828.8800001</v>
      </c>
    </row>
    <row r="262" spans="1:11" x14ac:dyDescent="0.25">
      <c r="A262">
        <v>2023</v>
      </c>
      <c r="B262">
        <v>314</v>
      </c>
      <c r="C262">
        <v>121002001</v>
      </c>
      <c r="D262" t="s">
        <v>226</v>
      </c>
      <c r="E262" t="s">
        <v>1585</v>
      </c>
      <c r="F262">
        <v>121002001</v>
      </c>
      <c r="G262" t="s">
        <v>1553</v>
      </c>
      <c r="H262" t="s">
        <v>1575</v>
      </c>
      <c r="I262" s="131">
        <v>0</v>
      </c>
      <c r="J262" s="131">
        <v>0</v>
      </c>
      <c r="K262" s="131">
        <v>0</v>
      </c>
    </row>
    <row r="263" spans="1:11" x14ac:dyDescent="0.25">
      <c r="A263">
        <v>2023</v>
      </c>
      <c r="B263">
        <v>314</v>
      </c>
      <c r="C263">
        <v>12100200101</v>
      </c>
      <c r="D263">
        <v>88</v>
      </c>
      <c r="E263" t="s">
        <v>1586</v>
      </c>
      <c r="F263">
        <v>12100200101</v>
      </c>
      <c r="G263" t="s">
        <v>1303</v>
      </c>
      <c r="H263" t="s">
        <v>1575</v>
      </c>
      <c r="I263" s="131">
        <v>0</v>
      </c>
      <c r="J263" s="131">
        <v>0</v>
      </c>
      <c r="K263" s="131">
        <v>0</v>
      </c>
    </row>
    <row r="264" spans="1:11" x14ac:dyDescent="0.25">
      <c r="A264">
        <v>2023</v>
      </c>
      <c r="B264">
        <v>314</v>
      </c>
      <c r="C264">
        <v>121002002</v>
      </c>
      <c r="D264" t="s">
        <v>226</v>
      </c>
      <c r="E264" t="s">
        <v>1587</v>
      </c>
      <c r="F264">
        <v>121002002</v>
      </c>
      <c r="G264" t="s">
        <v>1555</v>
      </c>
      <c r="H264" t="s">
        <v>1575</v>
      </c>
      <c r="I264" s="131">
        <v>0</v>
      </c>
      <c r="J264" s="131">
        <v>1048617080.88</v>
      </c>
      <c r="K264" s="131">
        <v>1140791828.8800001</v>
      </c>
    </row>
    <row r="265" spans="1:11" x14ac:dyDescent="0.25">
      <c r="A265">
        <v>2023</v>
      </c>
      <c r="B265">
        <v>314</v>
      </c>
      <c r="C265">
        <v>12100200205</v>
      </c>
      <c r="D265">
        <v>9</v>
      </c>
      <c r="E265" t="s">
        <v>1362</v>
      </c>
      <c r="F265">
        <v>12100200205</v>
      </c>
      <c r="G265" t="s">
        <v>1363</v>
      </c>
      <c r="H265" t="s">
        <v>1575</v>
      </c>
      <c r="I265" s="131">
        <v>0</v>
      </c>
      <c r="J265" s="131">
        <v>116366216.68000001</v>
      </c>
      <c r="K265" s="131">
        <v>116366216.68000001</v>
      </c>
    </row>
    <row r="266" spans="1:11" x14ac:dyDescent="0.25">
      <c r="A266">
        <v>2023</v>
      </c>
      <c r="B266">
        <v>314</v>
      </c>
      <c r="C266">
        <v>12100200210</v>
      </c>
      <c r="D266">
        <v>137</v>
      </c>
      <c r="E266" t="s">
        <v>1364</v>
      </c>
      <c r="F266">
        <v>12100200210</v>
      </c>
      <c r="G266" t="s">
        <v>1365</v>
      </c>
      <c r="H266" t="s">
        <v>1575</v>
      </c>
      <c r="I266" s="131">
        <v>0</v>
      </c>
      <c r="J266" s="131">
        <v>639676314.25</v>
      </c>
      <c r="K266" s="131">
        <v>731851062.25</v>
      </c>
    </row>
    <row r="267" spans="1:11" x14ac:dyDescent="0.25">
      <c r="A267">
        <v>2023</v>
      </c>
      <c r="B267">
        <v>314</v>
      </c>
      <c r="C267">
        <v>12100200211</v>
      </c>
      <c r="D267">
        <v>183</v>
      </c>
      <c r="E267" t="s">
        <v>1366</v>
      </c>
      <c r="F267">
        <v>12100200211</v>
      </c>
      <c r="G267" t="s">
        <v>1367</v>
      </c>
      <c r="H267" t="s">
        <v>1575</v>
      </c>
      <c r="I267" s="131">
        <v>0</v>
      </c>
      <c r="J267" s="131">
        <v>55159599.399999999</v>
      </c>
      <c r="K267" s="131">
        <v>55159599.399999999</v>
      </c>
    </row>
    <row r="268" spans="1:11" x14ac:dyDescent="0.25">
      <c r="A268">
        <v>2023</v>
      </c>
      <c r="B268">
        <v>314</v>
      </c>
      <c r="C268">
        <v>12100200216</v>
      </c>
      <c r="D268">
        <v>189</v>
      </c>
      <c r="E268" t="s">
        <v>1368</v>
      </c>
      <c r="F268">
        <v>12100200216</v>
      </c>
      <c r="G268" t="s">
        <v>1369</v>
      </c>
      <c r="H268" t="s">
        <v>1575</v>
      </c>
      <c r="I268" s="131">
        <v>0</v>
      </c>
      <c r="J268" s="131">
        <v>237414950.55000001</v>
      </c>
      <c r="K268" s="131">
        <v>237414950.55000001</v>
      </c>
    </row>
    <row r="269" spans="1:11" x14ac:dyDescent="0.25">
      <c r="A269">
        <v>2023</v>
      </c>
      <c r="B269">
        <v>314</v>
      </c>
      <c r="C269">
        <v>1213</v>
      </c>
      <c r="D269" t="s">
        <v>226</v>
      </c>
      <c r="E269" t="s">
        <v>686</v>
      </c>
      <c r="F269">
        <v>1213</v>
      </c>
      <c r="G269" t="s">
        <v>623</v>
      </c>
      <c r="H269" t="s">
        <v>1575</v>
      </c>
      <c r="I269" s="131">
        <v>80000000</v>
      </c>
      <c r="J269" s="131">
        <v>80000000</v>
      </c>
      <c r="K269" s="131">
        <v>118401854</v>
      </c>
    </row>
    <row r="270" spans="1:11" x14ac:dyDescent="0.25">
      <c r="A270">
        <v>2023</v>
      </c>
      <c r="B270">
        <v>314</v>
      </c>
      <c r="C270">
        <v>121301</v>
      </c>
      <c r="D270">
        <v>204</v>
      </c>
      <c r="E270" t="s">
        <v>1374</v>
      </c>
      <c r="F270">
        <v>121301</v>
      </c>
      <c r="G270" t="s">
        <v>606</v>
      </c>
      <c r="H270" t="s">
        <v>1575</v>
      </c>
      <c r="I270" s="131">
        <v>80000000</v>
      </c>
      <c r="J270" s="131">
        <v>80000000</v>
      </c>
      <c r="K270" s="131">
        <v>118401854</v>
      </c>
    </row>
    <row r="271" spans="1:11" x14ac:dyDescent="0.25">
      <c r="A271">
        <v>2023</v>
      </c>
      <c r="B271">
        <v>318</v>
      </c>
      <c r="C271">
        <v>1</v>
      </c>
      <c r="D271" t="s">
        <v>226</v>
      </c>
      <c r="E271" t="s">
        <v>688</v>
      </c>
      <c r="F271">
        <v>1</v>
      </c>
      <c r="G271" t="s">
        <v>228</v>
      </c>
      <c r="H271" t="s">
        <v>1588</v>
      </c>
      <c r="I271" s="131">
        <v>55872866400.879997</v>
      </c>
      <c r="J271" s="131">
        <v>69753554838.740005</v>
      </c>
      <c r="K271" s="131">
        <v>37245807038.959999</v>
      </c>
    </row>
    <row r="272" spans="1:11" x14ac:dyDescent="0.25">
      <c r="A272">
        <v>2023</v>
      </c>
      <c r="B272">
        <v>318</v>
      </c>
      <c r="C272">
        <v>11</v>
      </c>
      <c r="D272" t="s">
        <v>226</v>
      </c>
      <c r="E272" t="s">
        <v>689</v>
      </c>
      <c r="F272">
        <v>11</v>
      </c>
      <c r="G272" t="s">
        <v>230</v>
      </c>
      <c r="H272" t="s">
        <v>1588</v>
      </c>
      <c r="I272" s="131">
        <v>55229048441.879997</v>
      </c>
      <c r="J272" s="131">
        <v>60964537892.879997</v>
      </c>
      <c r="K272" s="131">
        <v>30024786288.860001</v>
      </c>
    </row>
    <row r="273" spans="1:11" x14ac:dyDescent="0.25">
      <c r="A273">
        <v>2023</v>
      </c>
      <c r="B273">
        <v>318</v>
      </c>
      <c r="C273">
        <v>1101</v>
      </c>
      <c r="D273" t="s">
        <v>226</v>
      </c>
      <c r="E273" t="s">
        <v>690</v>
      </c>
      <c r="F273">
        <v>1101</v>
      </c>
      <c r="G273" t="s">
        <v>232</v>
      </c>
      <c r="H273" t="s">
        <v>1588</v>
      </c>
      <c r="I273" s="131">
        <v>27146796870</v>
      </c>
      <c r="J273" s="131">
        <v>27351616147</v>
      </c>
      <c r="K273" s="131">
        <v>12413503824.959999</v>
      </c>
    </row>
    <row r="274" spans="1:11" x14ac:dyDescent="0.25">
      <c r="A274">
        <v>2023</v>
      </c>
      <c r="B274">
        <v>318</v>
      </c>
      <c r="C274">
        <v>110101</v>
      </c>
      <c r="D274" t="s">
        <v>226</v>
      </c>
      <c r="E274" t="s">
        <v>691</v>
      </c>
      <c r="F274">
        <v>110101</v>
      </c>
      <c r="G274" t="s">
        <v>234</v>
      </c>
      <c r="H274" t="s">
        <v>1588</v>
      </c>
      <c r="I274" s="131">
        <v>1237100665</v>
      </c>
      <c r="J274" s="131">
        <v>1237100665</v>
      </c>
      <c r="K274" s="131">
        <v>756720524.75</v>
      </c>
    </row>
    <row r="275" spans="1:11" x14ac:dyDescent="0.25">
      <c r="A275">
        <v>2023</v>
      </c>
      <c r="B275">
        <v>318</v>
      </c>
      <c r="C275">
        <v>110101101</v>
      </c>
      <c r="D275" t="s">
        <v>226</v>
      </c>
      <c r="E275" t="s">
        <v>692</v>
      </c>
      <c r="F275">
        <v>110101101</v>
      </c>
      <c r="G275" t="s">
        <v>693</v>
      </c>
      <c r="H275" t="s">
        <v>1588</v>
      </c>
      <c r="I275" s="131">
        <v>1237100665</v>
      </c>
      <c r="J275" s="131">
        <v>1237100665</v>
      </c>
      <c r="K275" s="131">
        <v>756720524.75</v>
      </c>
    </row>
    <row r="276" spans="1:11" x14ac:dyDescent="0.25">
      <c r="A276">
        <v>2023</v>
      </c>
      <c r="B276">
        <v>318</v>
      </c>
      <c r="C276">
        <v>11010110101</v>
      </c>
      <c r="D276">
        <v>154</v>
      </c>
      <c r="E276" t="s">
        <v>694</v>
      </c>
      <c r="F276">
        <v>11010110101</v>
      </c>
      <c r="G276" t="s">
        <v>695</v>
      </c>
      <c r="H276" t="s">
        <v>1588</v>
      </c>
      <c r="I276" s="132">
        <v>117771983</v>
      </c>
      <c r="J276" s="131">
        <v>117771983</v>
      </c>
      <c r="K276" s="131">
        <v>42127650</v>
      </c>
    </row>
    <row r="277" spans="1:11" x14ac:dyDescent="0.25">
      <c r="A277">
        <v>2023</v>
      </c>
      <c r="B277">
        <v>318</v>
      </c>
      <c r="C277">
        <v>11010110102</v>
      </c>
      <c r="D277">
        <v>154</v>
      </c>
      <c r="E277" t="s">
        <v>696</v>
      </c>
      <c r="F277">
        <v>11010110102</v>
      </c>
      <c r="G277" t="s">
        <v>697</v>
      </c>
      <c r="H277" t="s">
        <v>1588</v>
      </c>
      <c r="I277" s="132">
        <v>723456469</v>
      </c>
      <c r="J277" s="131">
        <v>723456469</v>
      </c>
      <c r="K277" s="131">
        <v>472442308</v>
      </c>
    </row>
    <row r="278" spans="1:11" x14ac:dyDescent="0.25">
      <c r="A278">
        <v>2023</v>
      </c>
      <c r="B278">
        <v>318</v>
      </c>
      <c r="C278">
        <v>11010110103</v>
      </c>
      <c r="D278">
        <v>72</v>
      </c>
      <c r="E278" t="s">
        <v>698</v>
      </c>
      <c r="F278">
        <v>11010110103</v>
      </c>
      <c r="G278" t="s">
        <v>699</v>
      </c>
      <c r="H278" t="s">
        <v>1588</v>
      </c>
      <c r="I278" s="132">
        <v>43298523</v>
      </c>
      <c r="J278" s="131">
        <v>43298523</v>
      </c>
      <c r="K278" s="131">
        <v>15488107</v>
      </c>
    </row>
    <row r="279" spans="1:11" x14ac:dyDescent="0.25">
      <c r="A279">
        <v>2023</v>
      </c>
      <c r="B279">
        <v>318</v>
      </c>
      <c r="C279">
        <v>11010110104</v>
      </c>
      <c r="D279">
        <v>72</v>
      </c>
      <c r="E279" t="s">
        <v>700</v>
      </c>
      <c r="F279">
        <v>11010110104</v>
      </c>
      <c r="G279" t="s">
        <v>701</v>
      </c>
      <c r="H279" t="s">
        <v>1588</v>
      </c>
      <c r="I279" s="132">
        <v>265976643</v>
      </c>
      <c r="J279" s="131">
        <v>265976643</v>
      </c>
      <c r="K279" s="131">
        <v>173692023.75</v>
      </c>
    </row>
    <row r="280" spans="1:11" x14ac:dyDescent="0.25">
      <c r="A280">
        <v>2023</v>
      </c>
      <c r="B280">
        <v>318</v>
      </c>
      <c r="C280">
        <v>11010110105</v>
      </c>
      <c r="D280">
        <v>181</v>
      </c>
      <c r="E280" t="s">
        <v>702</v>
      </c>
      <c r="F280">
        <v>11010110105</v>
      </c>
      <c r="G280" t="s">
        <v>703</v>
      </c>
      <c r="H280" t="s">
        <v>1588</v>
      </c>
      <c r="I280" s="132">
        <v>12123587</v>
      </c>
      <c r="J280" s="131">
        <v>12123587</v>
      </c>
      <c r="K280" s="131">
        <v>4336668</v>
      </c>
    </row>
    <row r="281" spans="1:11" x14ac:dyDescent="0.25">
      <c r="A281">
        <v>2023</v>
      </c>
      <c r="B281">
        <v>318</v>
      </c>
      <c r="C281">
        <v>11010110106</v>
      </c>
      <c r="D281">
        <v>181</v>
      </c>
      <c r="E281" t="s">
        <v>704</v>
      </c>
      <c r="F281">
        <v>11010110106</v>
      </c>
      <c r="G281" t="s">
        <v>705</v>
      </c>
      <c r="H281" t="s">
        <v>1588</v>
      </c>
      <c r="I281" s="132">
        <v>74473460</v>
      </c>
      <c r="J281" s="131">
        <v>74473460</v>
      </c>
      <c r="K281" s="131">
        <v>48633768</v>
      </c>
    </row>
    <row r="282" spans="1:11" x14ac:dyDescent="0.25">
      <c r="A282">
        <v>2023</v>
      </c>
      <c r="B282">
        <v>318</v>
      </c>
      <c r="C282">
        <v>110102</v>
      </c>
      <c r="D282" t="s">
        <v>226</v>
      </c>
      <c r="E282" t="s">
        <v>706</v>
      </c>
      <c r="F282">
        <v>110102</v>
      </c>
      <c r="G282" t="s">
        <v>241</v>
      </c>
      <c r="H282" t="s">
        <v>1588</v>
      </c>
      <c r="I282" s="131">
        <v>25909696205</v>
      </c>
      <c r="J282" s="131">
        <v>26114515482</v>
      </c>
      <c r="K282" s="131">
        <v>11656783300.209999</v>
      </c>
    </row>
    <row r="283" spans="1:11" x14ac:dyDescent="0.25">
      <c r="A283">
        <v>2023</v>
      </c>
      <c r="B283">
        <v>318</v>
      </c>
      <c r="C283">
        <v>110102101</v>
      </c>
      <c r="D283" t="s">
        <v>226</v>
      </c>
      <c r="E283" t="s">
        <v>707</v>
      </c>
      <c r="F283">
        <v>110102101</v>
      </c>
      <c r="G283" t="s">
        <v>708</v>
      </c>
      <c r="H283" t="s">
        <v>1588</v>
      </c>
      <c r="I283" s="131">
        <v>632179190</v>
      </c>
      <c r="J283" s="131">
        <v>632179190</v>
      </c>
      <c r="K283" s="131">
        <v>406134615.25</v>
      </c>
    </row>
    <row r="284" spans="1:11" x14ac:dyDescent="0.25">
      <c r="A284">
        <v>2023</v>
      </c>
      <c r="B284">
        <v>318</v>
      </c>
      <c r="C284">
        <v>11010210101</v>
      </c>
      <c r="D284">
        <v>154</v>
      </c>
      <c r="E284" t="s">
        <v>709</v>
      </c>
      <c r="F284">
        <v>11010210101</v>
      </c>
      <c r="G284" t="s">
        <v>710</v>
      </c>
      <c r="H284" t="s">
        <v>1588</v>
      </c>
      <c r="I284" s="132">
        <v>429881850</v>
      </c>
      <c r="J284" s="131">
        <v>429881850</v>
      </c>
      <c r="K284" s="131">
        <v>276171528</v>
      </c>
    </row>
    <row r="285" spans="1:11" x14ac:dyDescent="0.25">
      <c r="A285">
        <v>2023</v>
      </c>
      <c r="B285">
        <v>318</v>
      </c>
      <c r="C285">
        <v>11010210102</v>
      </c>
      <c r="D285">
        <v>72</v>
      </c>
      <c r="E285" t="s">
        <v>711</v>
      </c>
      <c r="F285">
        <v>11010210102</v>
      </c>
      <c r="G285" t="s">
        <v>712</v>
      </c>
      <c r="H285" t="s">
        <v>1588</v>
      </c>
      <c r="I285" s="132">
        <v>158044798</v>
      </c>
      <c r="J285" s="131">
        <v>158044798</v>
      </c>
      <c r="K285" s="131">
        <v>101533631.5</v>
      </c>
    </row>
    <row r="286" spans="1:11" x14ac:dyDescent="0.25">
      <c r="A286">
        <v>2023</v>
      </c>
      <c r="B286">
        <v>318</v>
      </c>
      <c r="C286">
        <v>11010210103</v>
      </c>
      <c r="D286">
        <v>181</v>
      </c>
      <c r="E286" t="s">
        <v>713</v>
      </c>
      <c r="F286">
        <v>11010210103</v>
      </c>
      <c r="G286" t="s">
        <v>714</v>
      </c>
      <c r="H286" t="s">
        <v>1588</v>
      </c>
      <c r="I286" s="132">
        <v>0</v>
      </c>
      <c r="J286" s="131">
        <v>0</v>
      </c>
      <c r="K286" s="131">
        <v>24361507.5</v>
      </c>
    </row>
    <row r="287" spans="1:11" x14ac:dyDescent="0.25">
      <c r="A287">
        <v>2023</v>
      </c>
      <c r="B287">
        <v>318</v>
      </c>
      <c r="C287">
        <v>11010210104</v>
      </c>
      <c r="D287">
        <v>182</v>
      </c>
      <c r="E287" t="s">
        <v>715</v>
      </c>
      <c r="F287">
        <v>11010210104</v>
      </c>
      <c r="G287" t="s">
        <v>714</v>
      </c>
      <c r="H287" t="s">
        <v>1588</v>
      </c>
      <c r="I287" s="132">
        <v>44252542</v>
      </c>
      <c r="J287" s="131">
        <v>44252542</v>
      </c>
      <c r="K287" s="131">
        <v>4067948.25</v>
      </c>
    </row>
    <row r="288" spans="1:11" x14ac:dyDescent="0.25">
      <c r="A288">
        <v>2023</v>
      </c>
      <c r="B288">
        <v>318</v>
      </c>
      <c r="C288">
        <v>110102103</v>
      </c>
      <c r="D288" t="s">
        <v>226</v>
      </c>
      <c r="E288" t="s">
        <v>716</v>
      </c>
      <c r="F288">
        <v>110102103</v>
      </c>
      <c r="G288" t="s">
        <v>259</v>
      </c>
      <c r="H288" t="s">
        <v>1588</v>
      </c>
      <c r="I288" s="131">
        <v>1219071964</v>
      </c>
      <c r="J288" s="131">
        <v>1219071964</v>
      </c>
      <c r="K288" s="131">
        <v>483706241</v>
      </c>
    </row>
    <row r="289" spans="1:13" x14ac:dyDescent="0.25">
      <c r="A289">
        <v>2023</v>
      </c>
      <c r="B289">
        <v>318</v>
      </c>
      <c r="C289">
        <v>11010210302</v>
      </c>
      <c r="D289" t="s">
        <v>226</v>
      </c>
      <c r="E289" t="s">
        <v>717</v>
      </c>
      <c r="F289">
        <v>11010210302</v>
      </c>
      <c r="G289" t="s">
        <v>259</v>
      </c>
      <c r="H289" t="s">
        <v>1588</v>
      </c>
      <c r="I289" s="131">
        <v>1219071964</v>
      </c>
      <c r="J289" s="131">
        <v>1219071964</v>
      </c>
      <c r="K289" s="131">
        <v>483706241</v>
      </c>
    </row>
    <row r="290" spans="1:13" x14ac:dyDescent="0.25">
      <c r="A290">
        <v>2023</v>
      </c>
      <c r="B290">
        <v>318</v>
      </c>
      <c r="C290">
        <v>1101021030201</v>
      </c>
      <c r="D290">
        <v>154</v>
      </c>
      <c r="E290" t="s">
        <v>718</v>
      </c>
      <c r="F290">
        <v>1101021030201</v>
      </c>
      <c r="G290" t="s">
        <v>259</v>
      </c>
      <c r="H290" t="s">
        <v>1588</v>
      </c>
      <c r="I290" s="132">
        <v>914303973</v>
      </c>
      <c r="J290" s="131">
        <v>914303973</v>
      </c>
      <c r="K290" s="131">
        <v>0</v>
      </c>
      <c r="M290" s="131">
        <f>+K293/L23</f>
        <v>0.3565664383163254</v>
      </c>
    </row>
    <row r="291" spans="1:13" x14ac:dyDescent="0.25">
      <c r="A291">
        <v>2023</v>
      </c>
      <c r="B291">
        <v>318</v>
      </c>
      <c r="C291">
        <v>1101021030201</v>
      </c>
      <c r="D291">
        <v>155</v>
      </c>
      <c r="E291" t="s">
        <v>719</v>
      </c>
      <c r="F291">
        <v>1101021030201</v>
      </c>
      <c r="G291" t="s">
        <v>259</v>
      </c>
      <c r="H291" t="s">
        <v>1588</v>
      </c>
      <c r="I291" s="132">
        <v>0</v>
      </c>
      <c r="J291" s="131">
        <v>0</v>
      </c>
      <c r="K291" s="131">
        <v>0</v>
      </c>
      <c r="M291" s="131">
        <f>+K23/L23</f>
        <v>0.6434335616836746</v>
      </c>
    </row>
    <row r="292" spans="1:13" x14ac:dyDescent="0.25">
      <c r="A292">
        <v>2023</v>
      </c>
      <c r="B292">
        <v>318</v>
      </c>
      <c r="C292">
        <v>1101021030201</v>
      </c>
      <c r="D292">
        <v>72</v>
      </c>
      <c r="E292" t="s">
        <v>1589</v>
      </c>
      <c r="F292">
        <v>1101021030201</v>
      </c>
      <c r="G292" t="s">
        <v>259</v>
      </c>
      <c r="H292" t="s">
        <v>1588</v>
      </c>
      <c r="I292" s="132">
        <v>304767991</v>
      </c>
      <c r="J292" s="131">
        <v>304767991</v>
      </c>
      <c r="K292" s="131">
        <v>483706241</v>
      </c>
      <c r="M292" s="131">
        <f>+M290+M291</f>
        <v>1</v>
      </c>
    </row>
    <row r="293" spans="1:13" x14ac:dyDescent="0.25">
      <c r="A293">
        <v>2023</v>
      </c>
      <c r="B293">
        <v>318</v>
      </c>
      <c r="C293">
        <v>110102104</v>
      </c>
      <c r="D293" t="s">
        <v>226</v>
      </c>
      <c r="E293" t="s">
        <v>720</v>
      </c>
      <c r="F293">
        <v>110102104</v>
      </c>
      <c r="G293" t="s">
        <v>264</v>
      </c>
      <c r="H293" t="s">
        <v>1588</v>
      </c>
      <c r="I293" s="131">
        <v>2062546782</v>
      </c>
      <c r="J293" s="131">
        <v>2062546782</v>
      </c>
      <c r="K293" s="131">
        <v>886015994.96000004</v>
      </c>
    </row>
    <row r="294" spans="1:13" x14ac:dyDescent="0.25">
      <c r="A294">
        <v>2023</v>
      </c>
      <c r="B294">
        <v>318</v>
      </c>
      <c r="C294">
        <v>11010210402</v>
      </c>
      <c r="D294" t="s">
        <v>226</v>
      </c>
      <c r="E294" t="s">
        <v>721</v>
      </c>
      <c r="F294">
        <v>11010210402</v>
      </c>
      <c r="G294" t="s">
        <v>272</v>
      </c>
      <c r="H294" t="s">
        <v>1588</v>
      </c>
      <c r="I294" s="131">
        <v>2062546782</v>
      </c>
      <c r="J294" s="131">
        <v>2062546782</v>
      </c>
      <c r="K294" s="131">
        <v>886015994.96000004</v>
      </c>
    </row>
    <row r="295" spans="1:13" x14ac:dyDescent="0.25">
      <c r="A295">
        <v>2023</v>
      </c>
      <c r="B295">
        <v>318</v>
      </c>
      <c r="C295">
        <v>1101021040201</v>
      </c>
      <c r="D295">
        <v>154</v>
      </c>
      <c r="E295" t="s">
        <v>1379</v>
      </c>
      <c r="F295">
        <v>1101021040201</v>
      </c>
      <c r="G295" t="s">
        <v>274</v>
      </c>
      <c r="H295" t="s">
        <v>1588</v>
      </c>
      <c r="I295" s="132">
        <v>257818348</v>
      </c>
      <c r="J295" s="131">
        <v>257818348</v>
      </c>
      <c r="K295" s="131">
        <v>103835343.48</v>
      </c>
    </row>
    <row r="296" spans="1:13" x14ac:dyDescent="0.25">
      <c r="A296">
        <v>2023</v>
      </c>
      <c r="B296">
        <v>318</v>
      </c>
      <c r="C296">
        <v>1101021040201</v>
      </c>
      <c r="D296">
        <v>58</v>
      </c>
      <c r="E296" t="s">
        <v>1380</v>
      </c>
      <c r="F296">
        <v>1101021040201</v>
      </c>
      <c r="G296" t="s">
        <v>274</v>
      </c>
      <c r="H296" t="s">
        <v>1588</v>
      </c>
      <c r="I296" s="132">
        <v>128909174</v>
      </c>
      <c r="J296" s="131">
        <v>128909174</v>
      </c>
      <c r="K296" s="131">
        <v>51917671.740000002</v>
      </c>
    </row>
    <row r="297" spans="1:13" x14ac:dyDescent="0.25">
      <c r="A297">
        <v>2023</v>
      </c>
      <c r="B297">
        <v>318</v>
      </c>
      <c r="C297">
        <v>1101021040201</v>
      </c>
      <c r="D297">
        <v>72</v>
      </c>
      <c r="E297" t="s">
        <v>1381</v>
      </c>
      <c r="F297">
        <v>1101021040201</v>
      </c>
      <c r="G297" t="s">
        <v>274</v>
      </c>
      <c r="H297" t="s">
        <v>1588</v>
      </c>
      <c r="I297" s="132">
        <v>128909174</v>
      </c>
      <c r="J297" s="131">
        <v>128909174</v>
      </c>
      <c r="K297" s="131">
        <v>51917671.740000002</v>
      </c>
    </row>
    <row r="298" spans="1:13" x14ac:dyDescent="0.25">
      <c r="A298">
        <v>2023</v>
      </c>
      <c r="B298">
        <v>318</v>
      </c>
      <c r="C298">
        <v>1101021040202</v>
      </c>
      <c r="D298">
        <v>154</v>
      </c>
      <c r="E298" t="s">
        <v>1382</v>
      </c>
      <c r="F298">
        <v>1101021040202</v>
      </c>
      <c r="G298" t="s">
        <v>276</v>
      </c>
      <c r="H298" t="s">
        <v>1588</v>
      </c>
      <c r="I298" s="132">
        <v>773455044</v>
      </c>
      <c r="J298" s="131">
        <v>773455044</v>
      </c>
      <c r="K298" s="131">
        <v>300512202</v>
      </c>
    </row>
    <row r="299" spans="1:13" x14ac:dyDescent="0.25">
      <c r="A299">
        <v>2023</v>
      </c>
      <c r="B299">
        <v>318</v>
      </c>
      <c r="C299">
        <v>1101021040202</v>
      </c>
      <c r="D299">
        <v>58</v>
      </c>
      <c r="E299" t="s">
        <v>1383</v>
      </c>
      <c r="F299">
        <v>1101021040202</v>
      </c>
      <c r="G299" t="s">
        <v>276</v>
      </c>
      <c r="H299" t="s">
        <v>1588</v>
      </c>
      <c r="I299" s="132">
        <v>386727521</v>
      </c>
      <c r="J299" s="131">
        <v>386727521</v>
      </c>
      <c r="K299" s="131">
        <v>188916553</v>
      </c>
    </row>
    <row r="300" spans="1:13" x14ac:dyDescent="0.25">
      <c r="A300">
        <v>2023</v>
      </c>
      <c r="B300">
        <v>318</v>
      </c>
      <c r="C300">
        <v>1101021040202</v>
      </c>
      <c r="D300">
        <v>72</v>
      </c>
      <c r="E300" t="s">
        <v>1384</v>
      </c>
      <c r="F300">
        <v>1101021040202</v>
      </c>
      <c r="G300" t="s">
        <v>276</v>
      </c>
      <c r="H300" t="s">
        <v>1588</v>
      </c>
      <c r="I300" s="132">
        <v>386727521</v>
      </c>
      <c r="J300" s="131">
        <v>386727521</v>
      </c>
      <c r="K300" s="131">
        <v>188916553</v>
      </c>
    </row>
    <row r="301" spans="1:13" x14ac:dyDescent="0.25">
      <c r="A301">
        <v>2023</v>
      </c>
      <c r="B301">
        <v>318</v>
      </c>
      <c r="C301">
        <v>110102105</v>
      </c>
      <c r="D301" t="s">
        <v>226</v>
      </c>
      <c r="E301" t="s">
        <v>732</v>
      </c>
      <c r="F301">
        <v>110102105</v>
      </c>
      <c r="G301" t="s">
        <v>278</v>
      </c>
      <c r="H301" t="s">
        <v>1588</v>
      </c>
      <c r="I301" s="131">
        <v>3851377846</v>
      </c>
      <c r="J301" s="131">
        <v>4056197123</v>
      </c>
      <c r="K301" s="131">
        <v>1847768371</v>
      </c>
    </row>
    <row r="302" spans="1:13" x14ac:dyDescent="0.25">
      <c r="A302">
        <v>2023</v>
      </c>
      <c r="B302">
        <v>318</v>
      </c>
      <c r="C302">
        <v>11010210501</v>
      </c>
      <c r="D302">
        <v>154</v>
      </c>
      <c r="E302" t="s">
        <v>1385</v>
      </c>
      <c r="F302">
        <v>11010210501</v>
      </c>
      <c r="G302" t="s">
        <v>280</v>
      </c>
      <c r="H302" t="s">
        <v>1588</v>
      </c>
      <c r="I302" s="132">
        <v>1906432034</v>
      </c>
      <c r="J302" s="131">
        <v>2008841673</v>
      </c>
      <c r="K302" s="131">
        <v>892603000</v>
      </c>
    </row>
    <row r="303" spans="1:13" x14ac:dyDescent="0.25">
      <c r="A303">
        <v>2023</v>
      </c>
      <c r="B303">
        <v>318</v>
      </c>
      <c r="C303">
        <v>11010210501</v>
      </c>
      <c r="D303">
        <v>58</v>
      </c>
      <c r="E303" t="s">
        <v>1386</v>
      </c>
      <c r="F303">
        <v>11010210501</v>
      </c>
      <c r="G303" t="s">
        <v>280</v>
      </c>
      <c r="H303" t="s">
        <v>1588</v>
      </c>
      <c r="I303" s="132">
        <v>953216017</v>
      </c>
      <c r="J303" s="131">
        <v>1004420836</v>
      </c>
      <c r="K303" s="131">
        <v>446301500</v>
      </c>
    </row>
    <row r="304" spans="1:13" x14ac:dyDescent="0.25">
      <c r="A304">
        <v>2023</v>
      </c>
      <c r="B304">
        <v>318</v>
      </c>
      <c r="C304">
        <v>11010210501</v>
      </c>
      <c r="D304">
        <v>72</v>
      </c>
      <c r="E304" t="s">
        <v>1387</v>
      </c>
      <c r="F304">
        <v>11010210501</v>
      </c>
      <c r="G304" t="s">
        <v>280</v>
      </c>
      <c r="H304" t="s">
        <v>1588</v>
      </c>
      <c r="I304" s="132">
        <v>953216016</v>
      </c>
      <c r="J304" s="131">
        <v>1004420835</v>
      </c>
      <c r="K304" s="131">
        <v>446301500</v>
      </c>
    </row>
    <row r="305" spans="1:11" x14ac:dyDescent="0.25">
      <c r="A305">
        <v>2023</v>
      </c>
      <c r="B305">
        <v>318</v>
      </c>
      <c r="C305">
        <v>11010210502</v>
      </c>
      <c r="D305">
        <v>154</v>
      </c>
      <c r="E305" t="s">
        <v>1388</v>
      </c>
      <c r="F305">
        <v>11010210502</v>
      </c>
      <c r="G305" t="s">
        <v>282</v>
      </c>
      <c r="H305" t="s">
        <v>1588</v>
      </c>
      <c r="I305" s="132">
        <v>19256889</v>
      </c>
      <c r="J305" s="131">
        <v>19256889</v>
      </c>
      <c r="K305" s="131">
        <v>31007371</v>
      </c>
    </row>
    <row r="306" spans="1:11" x14ac:dyDescent="0.25">
      <c r="A306">
        <v>2023</v>
      </c>
      <c r="B306">
        <v>318</v>
      </c>
      <c r="C306">
        <v>11010210502</v>
      </c>
      <c r="D306">
        <v>58</v>
      </c>
      <c r="E306" t="s">
        <v>1389</v>
      </c>
      <c r="F306">
        <v>11010210502</v>
      </c>
      <c r="G306" t="s">
        <v>282</v>
      </c>
      <c r="H306" t="s">
        <v>1588</v>
      </c>
      <c r="I306" s="132">
        <v>9628445</v>
      </c>
      <c r="J306" s="131">
        <v>9628445</v>
      </c>
      <c r="K306" s="131">
        <v>15777500</v>
      </c>
    </row>
    <row r="307" spans="1:11" x14ac:dyDescent="0.25">
      <c r="A307">
        <v>2023</v>
      </c>
      <c r="B307">
        <v>318</v>
      </c>
      <c r="C307">
        <v>11010210502</v>
      </c>
      <c r="D307">
        <v>72</v>
      </c>
      <c r="E307" t="s">
        <v>1390</v>
      </c>
      <c r="F307">
        <v>11010210502</v>
      </c>
      <c r="G307" t="s">
        <v>282</v>
      </c>
      <c r="H307" t="s">
        <v>1588</v>
      </c>
      <c r="I307" s="132">
        <v>9628445</v>
      </c>
      <c r="J307" s="131">
        <v>9628445</v>
      </c>
      <c r="K307" s="131">
        <v>15777500</v>
      </c>
    </row>
    <row r="308" spans="1:11" x14ac:dyDescent="0.25">
      <c r="A308">
        <v>2023</v>
      </c>
      <c r="B308">
        <v>318</v>
      </c>
      <c r="C308">
        <v>110102106</v>
      </c>
      <c r="D308" t="s">
        <v>226</v>
      </c>
      <c r="E308" t="s">
        <v>743</v>
      </c>
      <c r="F308">
        <v>110102106</v>
      </c>
      <c r="G308" t="s">
        <v>284</v>
      </c>
      <c r="H308" t="s">
        <v>1588</v>
      </c>
      <c r="I308" s="131">
        <v>18144520423</v>
      </c>
      <c r="J308" s="131">
        <v>18144520423</v>
      </c>
      <c r="K308" s="131">
        <v>8033158078</v>
      </c>
    </row>
    <row r="309" spans="1:11" x14ac:dyDescent="0.25">
      <c r="A309">
        <v>2023</v>
      </c>
      <c r="B309">
        <v>318</v>
      </c>
      <c r="C309">
        <v>11010210601</v>
      </c>
      <c r="D309" t="s">
        <v>226</v>
      </c>
      <c r="E309" t="s">
        <v>744</v>
      </c>
      <c r="F309">
        <v>11010210601</v>
      </c>
      <c r="G309" t="s">
        <v>286</v>
      </c>
      <c r="H309" t="s">
        <v>1588</v>
      </c>
      <c r="I309" s="131">
        <v>13809428000</v>
      </c>
      <c r="J309" s="131">
        <v>13809428000</v>
      </c>
      <c r="K309" s="131">
        <v>5761705452</v>
      </c>
    </row>
    <row r="310" spans="1:11" x14ac:dyDescent="0.25">
      <c r="A310">
        <v>2023</v>
      </c>
      <c r="B310">
        <v>318</v>
      </c>
      <c r="C310">
        <v>1101021060102</v>
      </c>
      <c r="D310">
        <v>154</v>
      </c>
      <c r="E310" t="s">
        <v>745</v>
      </c>
      <c r="F310">
        <v>1101021060102</v>
      </c>
      <c r="G310" t="s">
        <v>288</v>
      </c>
      <c r="H310" t="s">
        <v>1588</v>
      </c>
      <c r="I310" s="132">
        <v>13809428000</v>
      </c>
      <c r="J310" s="131">
        <v>13809428000</v>
      </c>
      <c r="K310" s="131">
        <v>5761705452</v>
      </c>
    </row>
    <row r="311" spans="1:11" x14ac:dyDescent="0.25">
      <c r="A311">
        <v>2023</v>
      </c>
      <c r="B311">
        <v>318</v>
      </c>
      <c r="C311">
        <v>11010210602</v>
      </c>
      <c r="D311" t="s">
        <v>226</v>
      </c>
      <c r="E311" t="s">
        <v>746</v>
      </c>
      <c r="F311">
        <v>11010210602</v>
      </c>
      <c r="G311" t="s">
        <v>747</v>
      </c>
      <c r="H311" t="s">
        <v>1588</v>
      </c>
      <c r="I311" s="131">
        <v>4335092423</v>
      </c>
      <c r="J311" s="131">
        <v>4335092423</v>
      </c>
      <c r="K311" s="131">
        <v>2271452626</v>
      </c>
    </row>
    <row r="312" spans="1:11" x14ac:dyDescent="0.25">
      <c r="A312">
        <v>2023</v>
      </c>
      <c r="B312">
        <v>318</v>
      </c>
      <c r="C312">
        <v>1101021060202</v>
      </c>
      <c r="D312">
        <v>154</v>
      </c>
      <c r="E312" t="s">
        <v>748</v>
      </c>
      <c r="F312">
        <v>1101021060202</v>
      </c>
      <c r="G312" t="s">
        <v>749</v>
      </c>
      <c r="H312" t="s">
        <v>1588</v>
      </c>
      <c r="I312" s="132">
        <v>4335092423</v>
      </c>
      <c r="J312" s="131">
        <v>4335092423</v>
      </c>
      <c r="K312" s="131">
        <v>2271452626</v>
      </c>
    </row>
    <row r="313" spans="1:11" x14ac:dyDescent="0.25">
      <c r="A313">
        <v>2023</v>
      </c>
      <c r="B313">
        <v>318</v>
      </c>
      <c r="C313">
        <v>1102</v>
      </c>
      <c r="D313" t="s">
        <v>226</v>
      </c>
      <c r="E313" t="s">
        <v>750</v>
      </c>
      <c r="F313">
        <v>1102</v>
      </c>
      <c r="G313" t="s">
        <v>311</v>
      </c>
      <c r="H313" t="s">
        <v>1588</v>
      </c>
      <c r="I313" s="131">
        <v>28082251571.880001</v>
      </c>
      <c r="J313" s="131">
        <v>33612921745.880001</v>
      </c>
      <c r="K313" s="131">
        <v>17611282463.900002</v>
      </c>
    </row>
    <row r="314" spans="1:11" x14ac:dyDescent="0.25">
      <c r="A314">
        <v>2023</v>
      </c>
      <c r="B314">
        <v>318</v>
      </c>
      <c r="C314">
        <v>110202</v>
      </c>
      <c r="D314" t="s">
        <v>226</v>
      </c>
      <c r="E314" t="s">
        <v>751</v>
      </c>
      <c r="F314">
        <v>110202</v>
      </c>
      <c r="G314" t="s">
        <v>341</v>
      </c>
      <c r="H314" t="s">
        <v>1588</v>
      </c>
      <c r="I314" s="131">
        <v>399000000</v>
      </c>
      <c r="J314" s="131">
        <v>399000000</v>
      </c>
      <c r="K314" s="131">
        <v>170263193.19999999</v>
      </c>
    </row>
    <row r="315" spans="1:11" x14ac:dyDescent="0.25">
      <c r="A315">
        <v>2023</v>
      </c>
      <c r="B315">
        <v>318</v>
      </c>
      <c r="C315">
        <v>110202101</v>
      </c>
      <c r="D315" t="s">
        <v>226</v>
      </c>
      <c r="E315" t="s">
        <v>752</v>
      </c>
      <c r="F315">
        <v>110202101</v>
      </c>
      <c r="G315" t="s">
        <v>343</v>
      </c>
      <c r="H315" t="s">
        <v>1588</v>
      </c>
      <c r="I315" s="131">
        <v>399000000</v>
      </c>
      <c r="J315" s="131">
        <v>399000000</v>
      </c>
      <c r="K315" s="131">
        <v>170263193.19999999</v>
      </c>
    </row>
    <row r="316" spans="1:11" x14ac:dyDescent="0.25">
      <c r="A316">
        <v>2023</v>
      </c>
      <c r="B316">
        <v>318</v>
      </c>
      <c r="C316">
        <v>11020210101</v>
      </c>
      <c r="D316">
        <v>63</v>
      </c>
      <c r="E316" t="s">
        <v>753</v>
      </c>
      <c r="F316">
        <v>11020210101</v>
      </c>
      <c r="G316" t="s">
        <v>754</v>
      </c>
      <c r="H316" t="s">
        <v>1588</v>
      </c>
      <c r="I316" s="132">
        <v>25000000</v>
      </c>
      <c r="J316" s="131">
        <v>25000000</v>
      </c>
      <c r="K316" s="131">
        <v>17043000</v>
      </c>
    </row>
    <row r="317" spans="1:11" x14ac:dyDescent="0.25">
      <c r="A317">
        <v>2023</v>
      </c>
      <c r="B317">
        <v>318</v>
      </c>
      <c r="C317">
        <v>11020210102</v>
      </c>
      <c r="D317">
        <v>63</v>
      </c>
      <c r="E317" t="s">
        <v>755</v>
      </c>
      <c r="F317">
        <v>11020210102</v>
      </c>
      <c r="G317" t="s">
        <v>756</v>
      </c>
      <c r="H317" t="s">
        <v>1588</v>
      </c>
      <c r="I317" s="132">
        <v>24000000</v>
      </c>
      <c r="J317" s="131">
        <v>24000000</v>
      </c>
      <c r="K317" s="131">
        <v>2618000</v>
      </c>
    </row>
    <row r="318" spans="1:11" x14ac:dyDescent="0.25">
      <c r="A318">
        <v>2023</v>
      </c>
      <c r="B318">
        <v>318</v>
      </c>
      <c r="C318">
        <v>11020210103</v>
      </c>
      <c r="D318">
        <v>63</v>
      </c>
      <c r="E318" t="s">
        <v>757</v>
      </c>
      <c r="F318">
        <v>11020210103</v>
      </c>
      <c r="G318" t="s">
        <v>758</v>
      </c>
      <c r="H318" t="s">
        <v>1588</v>
      </c>
      <c r="I318" s="132">
        <v>350000000</v>
      </c>
      <c r="J318" s="131">
        <v>350000000</v>
      </c>
      <c r="K318" s="131">
        <v>150602193.19999999</v>
      </c>
    </row>
    <row r="319" spans="1:11" x14ac:dyDescent="0.25">
      <c r="A319">
        <v>2023</v>
      </c>
      <c r="B319">
        <v>318</v>
      </c>
      <c r="C319">
        <v>110206</v>
      </c>
      <c r="D319" t="s">
        <v>226</v>
      </c>
      <c r="E319" t="s">
        <v>759</v>
      </c>
      <c r="F319">
        <v>110206</v>
      </c>
      <c r="G319" t="s">
        <v>406</v>
      </c>
      <c r="H319" t="s">
        <v>1588</v>
      </c>
      <c r="I319" s="131">
        <v>8800172070</v>
      </c>
      <c r="J319" s="131">
        <v>10711277027</v>
      </c>
      <c r="K319" s="131">
        <v>6571146221</v>
      </c>
    </row>
    <row r="320" spans="1:11" x14ac:dyDescent="0.25">
      <c r="A320">
        <v>2023</v>
      </c>
      <c r="B320">
        <v>318</v>
      </c>
      <c r="C320">
        <v>110206001</v>
      </c>
      <c r="D320" t="s">
        <v>226</v>
      </c>
      <c r="E320" t="s">
        <v>760</v>
      </c>
      <c r="F320">
        <v>110206001</v>
      </c>
      <c r="G320" t="s">
        <v>408</v>
      </c>
      <c r="H320" t="s">
        <v>1588</v>
      </c>
      <c r="I320" s="131">
        <v>6568196463</v>
      </c>
      <c r="J320" s="131">
        <v>6747987594</v>
      </c>
      <c r="K320" s="131">
        <v>3416387699</v>
      </c>
    </row>
    <row r="321" spans="1:11" x14ac:dyDescent="0.25">
      <c r="A321">
        <v>2023</v>
      </c>
      <c r="B321">
        <v>318</v>
      </c>
      <c r="C321">
        <v>11020600102</v>
      </c>
      <c r="D321" t="s">
        <v>226</v>
      </c>
      <c r="E321" t="s">
        <v>761</v>
      </c>
      <c r="F321">
        <v>11020600102</v>
      </c>
      <c r="G321" t="s">
        <v>762</v>
      </c>
      <c r="H321" t="s">
        <v>1588</v>
      </c>
      <c r="I321" s="131">
        <v>6568196463</v>
      </c>
      <c r="J321" s="131">
        <v>6747987594</v>
      </c>
      <c r="K321" s="131">
        <v>3416387699</v>
      </c>
    </row>
    <row r="322" spans="1:11" x14ac:dyDescent="0.25">
      <c r="A322">
        <v>2023</v>
      </c>
      <c r="B322">
        <v>318</v>
      </c>
      <c r="C322">
        <v>1102060010202</v>
      </c>
      <c r="D322">
        <v>61</v>
      </c>
      <c r="E322" t="s">
        <v>763</v>
      </c>
      <c r="F322">
        <v>1102060010202</v>
      </c>
      <c r="G322" t="s">
        <v>764</v>
      </c>
      <c r="H322" t="s">
        <v>1588</v>
      </c>
      <c r="I322" s="132">
        <v>4758262654</v>
      </c>
      <c r="J322" s="131">
        <v>4830048704</v>
      </c>
      <c r="K322" s="131">
        <v>2449563763</v>
      </c>
    </row>
    <row r="323" spans="1:11" x14ac:dyDescent="0.25">
      <c r="A323">
        <v>2023</v>
      </c>
      <c r="B323">
        <v>318</v>
      </c>
      <c r="C323">
        <v>1102060010204</v>
      </c>
      <c r="D323">
        <v>171</v>
      </c>
      <c r="E323" t="s">
        <v>765</v>
      </c>
      <c r="F323">
        <v>1102060010204</v>
      </c>
      <c r="G323" t="s">
        <v>766</v>
      </c>
      <c r="H323" t="s">
        <v>1588</v>
      </c>
      <c r="I323" s="132">
        <v>1809933809</v>
      </c>
      <c r="J323" s="131">
        <v>1917938890</v>
      </c>
      <c r="K323" s="131">
        <v>966823936</v>
      </c>
    </row>
    <row r="324" spans="1:11" x14ac:dyDescent="0.25">
      <c r="A324">
        <v>2023</v>
      </c>
      <c r="B324">
        <v>318</v>
      </c>
      <c r="C324">
        <v>110206006</v>
      </c>
      <c r="D324" t="s">
        <v>226</v>
      </c>
      <c r="E324" t="s">
        <v>767</v>
      </c>
      <c r="F324">
        <v>110206006</v>
      </c>
      <c r="G324" t="s">
        <v>428</v>
      </c>
      <c r="H324" t="s">
        <v>1588</v>
      </c>
      <c r="I324" s="131">
        <v>2231975607</v>
      </c>
      <c r="J324" s="131">
        <v>3963289433</v>
      </c>
      <c r="K324" s="131">
        <v>3154758522</v>
      </c>
    </row>
    <row r="325" spans="1:11" x14ac:dyDescent="0.25">
      <c r="A325">
        <v>2023</v>
      </c>
      <c r="B325">
        <v>318</v>
      </c>
      <c r="C325">
        <v>11020600601</v>
      </c>
      <c r="D325" t="s">
        <v>226</v>
      </c>
      <c r="E325" t="s">
        <v>768</v>
      </c>
      <c r="F325">
        <v>11020600601</v>
      </c>
      <c r="G325" t="s">
        <v>680</v>
      </c>
      <c r="H325" t="s">
        <v>1588</v>
      </c>
      <c r="I325" s="131">
        <v>2231975607</v>
      </c>
      <c r="J325" s="131">
        <v>3963289433</v>
      </c>
      <c r="K325" s="131">
        <v>3154758522</v>
      </c>
    </row>
    <row r="326" spans="1:11" x14ac:dyDescent="0.25">
      <c r="A326">
        <v>2023</v>
      </c>
      <c r="B326">
        <v>318</v>
      </c>
      <c r="C326">
        <v>1102060060101</v>
      </c>
      <c r="D326">
        <v>110</v>
      </c>
      <c r="E326" t="s">
        <v>769</v>
      </c>
      <c r="F326">
        <v>1102060060101</v>
      </c>
      <c r="G326" t="s">
        <v>770</v>
      </c>
      <c r="H326" t="s">
        <v>1588</v>
      </c>
      <c r="I326" s="131">
        <v>1902238000</v>
      </c>
      <c r="J326" s="131">
        <v>2780525000</v>
      </c>
      <c r="K326" s="131">
        <v>2780525000</v>
      </c>
    </row>
    <row r="327" spans="1:11" x14ac:dyDescent="0.25">
      <c r="A327">
        <v>2023</v>
      </c>
      <c r="B327">
        <v>318</v>
      </c>
      <c r="C327">
        <v>1102060060102</v>
      </c>
      <c r="D327">
        <v>111</v>
      </c>
      <c r="E327" t="s">
        <v>771</v>
      </c>
      <c r="F327">
        <v>1102060060102</v>
      </c>
      <c r="G327" t="s">
        <v>772</v>
      </c>
      <c r="H327" t="s">
        <v>1588</v>
      </c>
      <c r="I327" s="131">
        <v>241380734</v>
      </c>
      <c r="J327" s="131">
        <v>241380734</v>
      </c>
      <c r="K327" s="131">
        <v>103799787</v>
      </c>
    </row>
    <row r="328" spans="1:11" x14ac:dyDescent="0.25">
      <c r="A328">
        <v>2023</v>
      </c>
      <c r="B328">
        <v>318</v>
      </c>
      <c r="C328">
        <v>1102060060103</v>
      </c>
      <c r="D328">
        <v>113</v>
      </c>
      <c r="E328" t="s">
        <v>773</v>
      </c>
      <c r="F328">
        <v>1102060060103</v>
      </c>
      <c r="G328" t="s">
        <v>774</v>
      </c>
      <c r="H328" t="s">
        <v>1588</v>
      </c>
      <c r="I328" s="131">
        <v>26166434</v>
      </c>
      <c r="J328" s="131">
        <v>245273702</v>
      </c>
      <c r="K328" s="131">
        <v>245273702</v>
      </c>
    </row>
    <row r="329" spans="1:11" x14ac:dyDescent="0.25">
      <c r="A329">
        <v>2023</v>
      </c>
      <c r="B329">
        <v>318</v>
      </c>
      <c r="C329">
        <v>1102060060104</v>
      </c>
      <c r="D329">
        <v>114</v>
      </c>
      <c r="E329" t="s">
        <v>775</v>
      </c>
      <c r="F329">
        <v>1102060060104</v>
      </c>
      <c r="G329" t="s">
        <v>776</v>
      </c>
      <c r="H329" t="s">
        <v>1588</v>
      </c>
      <c r="I329" s="131">
        <v>62190439</v>
      </c>
      <c r="J329" s="131">
        <v>25160033</v>
      </c>
      <c r="K329" s="131">
        <v>25160033</v>
      </c>
    </row>
    <row r="330" spans="1:11" x14ac:dyDescent="0.25">
      <c r="A330">
        <v>2023</v>
      </c>
      <c r="B330">
        <v>318</v>
      </c>
      <c r="C330">
        <v>1102060060112</v>
      </c>
      <c r="D330">
        <v>180</v>
      </c>
      <c r="E330" t="s">
        <v>1590</v>
      </c>
      <c r="F330">
        <v>1102060060112</v>
      </c>
      <c r="G330" t="s">
        <v>1591</v>
      </c>
      <c r="H330" t="s">
        <v>1588</v>
      </c>
      <c r="I330" s="131">
        <v>0</v>
      </c>
      <c r="J330" s="131">
        <v>670949964</v>
      </c>
      <c r="K330" s="131">
        <v>0</v>
      </c>
    </row>
    <row r="331" spans="1:11" x14ac:dyDescent="0.25">
      <c r="A331">
        <v>2023</v>
      </c>
      <c r="B331">
        <v>318</v>
      </c>
      <c r="C331">
        <v>110207</v>
      </c>
      <c r="D331" t="s">
        <v>226</v>
      </c>
      <c r="E331" t="s">
        <v>781</v>
      </c>
      <c r="F331">
        <v>110207</v>
      </c>
      <c r="G331" t="s">
        <v>497</v>
      </c>
      <c r="H331" t="s">
        <v>1588</v>
      </c>
      <c r="I331" s="131">
        <v>18883079501.880001</v>
      </c>
      <c r="J331" s="131">
        <v>22502644718.880001</v>
      </c>
      <c r="K331" s="131">
        <v>10869873049.700001</v>
      </c>
    </row>
    <row r="332" spans="1:11" x14ac:dyDescent="0.25">
      <c r="A332">
        <v>2023</v>
      </c>
      <c r="B332">
        <v>318</v>
      </c>
      <c r="C332">
        <v>110207001</v>
      </c>
      <c r="D332" t="s">
        <v>226</v>
      </c>
      <c r="E332" t="s">
        <v>782</v>
      </c>
      <c r="F332">
        <v>110207001</v>
      </c>
      <c r="G332" t="s">
        <v>783</v>
      </c>
      <c r="H332" t="s">
        <v>1588</v>
      </c>
      <c r="I332" s="131">
        <v>9493046612</v>
      </c>
      <c r="J332" s="131">
        <v>9493046612</v>
      </c>
      <c r="K332" s="131">
        <v>5584534784.3800001</v>
      </c>
    </row>
    <row r="333" spans="1:11" x14ac:dyDescent="0.25">
      <c r="A333">
        <v>2023</v>
      </c>
      <c r="B333">
        <v>318</v>
      </c>
      <c r="C333">
        <v>11020700103</v>
      </c>
      <c r="D333" t="s">
        <v>226</v>
      </c>
      <c r="E333" t="s">
        <v>784</v>
      </c>
      <c r="F333">
        <v>11020700103</v>
      </c>
      <c r="G333" t="s">
        <v>785</v>
      </c>
      <c r="H333" t="s">
        <v>1588</v>
      </c>
      <c r="I333" s="131">
        <v>2170409040</v>
      </c>
      <c r="J333" s="131">
        <v>2170409040</v>
      </c>
      <c r="K333" s="131">
        <v>1388864879</v>
      </c>
    </row>
    <row r="334" spans="1:11" x14ac:dyDescent="0.25">
      <c r="A334">
        <v>2023</v>
      </c>
      <c r="B334">
        <v>318</v>
      </c>
      <c r="C334">
        <v>1102070010301</v>
      </c>
      <c r="D334">
        <v>154</v>
      </c>
      <c r="E334" t="s">
        <v>786</v>
      </c>
      <c r="F334">
        <v>1102070010301</v>
      </c>
      <c r="G334" t="s">
        <v>1399</v>
      </c>
      <c r="H334" t="s">
        <v>1588</v>
      </c>
      <c r="I334" s="132">
        <v>1106908610</v>
      </c>
      <c r="J334" s="131">
        <v>1106908610</v>
      </c>
      <c r="K334" s="131">
        <v>756464149</v>
      </c>
    </row>
    <row r="335" spans="1:11" x14ac:dyDescent="0.25">
      <c r="A335">
        <v>2023</v>
      </c>
      <c r="B335">
        <v>318</v>
      </c>
      <c r="C335">
        <v>1102070010302</v>
      </c>
      <c r="D335">
        <v>154</v>
      </c>
      <c r="E335" t="s">
        <v>787</v>
      </c>
      <c r="F335">
        <v>1102070010302</v>
      </c>
      <c r="G335" t="s">
        <v>788</v>
      </c>
      <c r="H335" t="s">
        <v>1588</v>
      </c>
      <c r="I335" s="132">
        <v>368969537</v>
      </c>
      <c r="J335" s="131">
        <v>368969537</v>
      </c>
      <c r="K335" s="131">
        <v>187963968</v>
      </c>
    </row>
    <row r="336" spans="1:11" x14ac:dyDescent="0.25">
      <c r="A336">
        <v>2023</v>
      </c>
      <c r="B336">
        <v>318</v>
      </c>
      <c r="C336">
        <v>1102070010303</v>
      </c>
      <c r="D336">
        <v>72</v>
      </c>
      <c r="E336" t="s">
        <v>789</v>
      </c>
      <c r="F336">
        <v>1102070010303</v>
      </c>
      <c r="G336" t="s">
        <v>790</v>
      </c>
      <c r="H336" t="s">
        <v>1588</v>
      </c>
      <c r="I336" s="132">
        <v>135650565</v>
      </c>
      <c r="J336" s="131">
        <v>135650565</v>
      </c>
      <c r="K336" s="131">
        <v>69104400</v>
      </c>
    </row>
    <row r="337" spans="1:11" x14ac:dyDescent="0.25">
      <c r="A337">
        <v>2023</v>
      </c>
      <c r="B337">
        <v>318</v>
      </c>
      <c r="C337">
        <v>1102070010304</v>
      </c>
      <c r="D337">
        <v>72</v>
      </c>
      <c r="E337" t="s">
        <v>793</v>
      </c>
      <c r="F337">
        <v>1102070010304</v>
      </c>
      <c r="G337" t="s">
        <v>792</v>
      </c>
      <c r="H337" t="s">
        <v>1588</v>
      </c>
      <c r="I337" s="132">
        <v>406951695</v>
      </c>
      <c r="J337" s="131">
        <v>406951695</v>
      </c>
      <c r="K337" s="131">
        <v>278111820</v>
      </c>
    </row>
    <row r="338" spans="1:11" x14ac:dyDescent="0.25">
      <c r="A338">
        <v>2023</v>
      </c>
      <c r="B338">
        <v>318</v>
      </c>
      <c r="C338">
        <v>1102070010305</v>
      </c>
      <c r="D338">
        <v>181</v>
      </c>
      <c r="E338" t="s">
        <v>794</v>
      </c>
      <c r="F338">
        <v>1102070010305</v>
      </c>
      <c r="G338" t="s">
        <v>795</v>
      </c>
      <c r="H338" t="s">
        <v>1588</v>
      </c>
      <c r="I338" s="132">
        <v>37982158</v>
      </c>
      <c r="J338" s="131">
        <v>37982158</v>
      </c>
      <c r="K338" s="131">
        <v>19349232</v>
      </c>
    </row>
    <row r="339" spans="1:11" x14ac:dyDescent="0.25">
      <c r="A339">
        <v>2023</v>
      </c>
      <c r="B339">
        <v>318</v>
      </c>
      <c r="C339">
        <v>1102070010306</v>
      </c>
      <c r="D339">
        <v>181</v>
      </c>
      <c r="E339" t="s">
        <v>796</v>
      </c>
      <c r="F339">
        <v>1102070010306</v>
      </c>
      <c r="G339" t="s">
        <v>797</v>
      </c>
      <c r="H339" t="s">
        <v>1588</v>
      </c>
      <c r="I339" s="132">
        <v>113946475</v>
      </c>
      <c r="J339" s="131">
        <v>113946475</v>
      </c>
      <c r="K339" s="131">
        <v>77871310</v>
      </c>
    </row>
    <row r="340" spans="1:11" x14ac:dyDescent="0.25">
      <c r="A340">
        <v>2023</v>
      </c>
      <c r="B340">
        <v>318</v>
      </c>
      <c r="C340">
        <v>11020700104</v>
      </c>
      <c r="D340" t="s">
        <v>226</v>
      </c>
      <c r="E340" t="s">
        <v>798</v>
      </c>
      <c r="F340">
        <v>11020700104</v>
      </c>
      <c r="G340" t="s">
        <v>799</v>
      </c>
      <c r="H340" t="s">
        <v>1588</v>
      </c>
      <c r="I340" s="131">
        <v>6362968704</v>
      </c>
      <c r="J340" s="131">
        <v>6362968704</v>
      </c>
      <c r="K340" s="131">
        <v>3664165920.8800001</v>
      </c>
    </row>
    <row r="341" spans="1:11" x14ac:dyDescent="0.25">
      <c r="A341">
        <v>2023</v>
      </c>
      <c r="B341">
        <v>318</v>
      </c>
      <c r="C341">
        <v>1102070010401</v>
      </c>
      <c r="D341">
        <v>154</v>
      </c>
      <c r="E341" t="s">
        <v>800</v>
      </c>
      <c r="F341">
        <v>1102070010401</v>
      </c>
      <c r="G341" t="s">
        <v>801</v>
      </c>
      <c r="H341" t="s">
        <v>1588</v>
      </c>
      <c r="I341" s="132">
        <v>4326818719</v>
      </c>
      <c r="J341" s="131">
        <v>4326818719</v>
      </c>
      <c r="K341" s="131">
        <v>2491632826.8800001</v>
      </c>
    </row>
    <row r="342" spans="1:11" x14ac:dyDescent="0.25">
      <c r="A342">
        <v>2023</v>
      </c>
      <c r="B342">
        <v>318</v>
      </c>
      <c r="C342">
        <v>1102070010402</v>
      </c>
      <c r="D342">
        <v>72</v>
      </c>
      <c r="E342" t="s">
        <v>802</v>
      </c>
      <c r="F342">
        <v>1102070010402</v>
      </c>
      <c r="G342" t="s">
        <v>803</v>
      </c>
      <c r="H342" t="s">
        <v>1588</v>
      </c>
      <c r="I342" s="132">
        <v>1590742176</v>
      </c>
      <c r="J342" s="131">
        <v>1590742176</v>
      </c>
      <c r="K342" s="131">
        <v>916041480</v>
      </c>
    </row>
    <row r="343" spans="1:11" x14ac:dyDescent="0.25">
      <c r="A343">
        <v>2023</v>
      </c>
      <c r="B343">
        <v>318</v>
      </c>
      <c r="C343">
        <v>1102070010403</v>
      </c>
      <c r="D343">
        <v>181</v>
      </c>
      <c r="E343" t="s">
        <v>804</v>
      </c>
      <c r="F343">
        <v>1102070010403</v>
      </c>
      <c r="G343" t="s">
        <v>805</v>
      </c>
      <c r="H343" t="s">
        <v>1588</v>
      </c>
      <c r="I343" s="132">
        <v>445407809</v>
      </c>
      <c r="J343" s="131">
        <v>445407809</v>
      </c>
      <c r="K343" s="131">
        <v>256491614</v>
      </c>
    </row>
    <row r="344" spans="1:11" x14ac:dyDescent="0.25">
      <c r="A344">
        <v>2023</v>
      </c>
      <c r="B344">
        <v>318</v>
      </c>
      <c r="C344">
        <v>11020700105</v>
      </c>
      <c r="D344" t="s">
        <v>226</v>
      </c>
      <c r="E344" t="s">
        <v>806</v>
      </c>
      <c r="F344">
        <v>11020700105</v>
      </c>
      <c r="G344" t="s">
        <v>807</v>
      </c>
      <c r="H344" t="s">
        <v>1588</v>
      </c>
      <c r="I344" s="131">
        <v>31137815</v>
      </c>
      <c r="J344" s="131">
        <v>31137815</v>
      </c>
      <c r="K344" s="131">
        <v>15288457.5</v>
      </c>
    </row>
    <row r="345" spans="1:11" x14ac:dyDescent="0.25">
      <c r="A345">
        <v>2023</v>
      </c>
      <c r="B345">
        <v>318</v>
      </c>
      <c r="C345">
        <v>1102070010501</v>
      </c>
      <c r="D345">
        <v>154</v>
      </c>
      <c r="E345" t="s">
        <v>808</v>
      </c>
      <c r="F345">
        <v>1102070010501</v>
      </c>
      <c r="G345" t="s">
        <v>809</v>
      </c>
      <c r="H345" t="s">
        <v>1588</v>
      </c>
      <c r="I345" s="132">
        <v>21173714</v>
      </c>
      <c r="J345" s="131">
        <v>21173714</v>
      </c>
      <c r="K345" s="131">
        <v>10396151</v>
      </c>
    </row>
    <row r="346" spans="1:11" x14ac:dyDescent="0.25">
      <c r="A346">
        <v>2023</v>
      </c>
      <c r="B346">
        <v>318</v>
      </c>
      <c r="C346">
        <v>1102070010502</v>
      </c>
      <c r="D346">
        <v>72</v>
      </c>
      <c r="E346" t="s">
        <v>810</v>
      </c>
      <c r="F346">
        <v>1102070010502</v>
      </c>
      <c r="G346" t="s">
        <v>811</v>
      </c>
      <c r="H346" t="s">
        <v>1588</v>
      </c>
      <c r="I346" s="132">
        <v>7784454</v>
      </c>
      <c r="J346" s="131">
        <v>7784454</v>
      </c>
      <c r="K346" s="131">
        <v>3822114.5</v>
      </c>
    </row>
    <row r="347" spans="1:11" x14ac:dyDescent="0.25">
      <c r="A347">
        <v>2023</v>
      </c>
      <c r="B347">
        <v>318</v>
      </c>
      <c r="C347">
        <v>1102070010503</v>
      </c>
      <c r="D347">
        <v>181</v>
      </c>
      <c r="E347" t="s">
        <v>812</v>
      </c>
      <c r="F347">
        <v>1102070010503</v>
      </c>
      <c r="G347" t="s">
        <v>813</v>
      </c>
      <c r="H347" t="s">
        <v>1588</v>
      </c>
      <c r="I347" s="132">
        <v>2179647</v>
      </c>
      <c r="J347" s="131">
        <v>2179647</v>
      </c>
      <c r="K347" s="131">
        <v>1070192</v>
      </c>
    </row>
    <row r="348" spans="1:11" x14ac:dyDescent="0.25">
      <c r="A348">
        <v>2023</v>
      </c>
      <c r="B348">
        <v>318</v>
      </c>
      <c r="C348">
        <v>11020700109</v>
      </c>
      <c r="D348" t="s">
        <v>226</v>
      </c>
      <c r="E348" t="s">
        <v>814</v>
      </c>
      <c r="F348">
        <v>11020700109</v>
      </c>
      <c r="G348" t="s">
        <v>815</v>
      </c>
      <c r="H348" t="s">
        <v>1588</v>
      </c>
      <c r="I348" s="131">
        <v>928531053</v>
      </c>
      <c r="J348" s="131">
        <v>928531053</v>
      </c>
      <c r="K348" s="131">
        <v>516215527</v>
      </c>
    </row>
    <row r="349" spans="1:11" x14ac:dyDescent="0.25">
      <c r="A349">
        <v>2023</v>
      </c>
      <c r="B349">
        <v>318</v>
      </c>
      <c r="C349">
        <v>1102070010901</v>
      </c>
      <c r="D349">
        <v>154</v>
      </c>
      <c r="E349" t="s">
        <v>816</v>
      </c>
      <c r="F349">
        <v>1102070010901</v>
      </c>
      <c r="G349" t="s">
        <v>817</v>
      </c>
      <c r="H349" t="s">
        <v>1588</v>
      </c>
      <c r="I349" s="132">
        <v>631401116</v>
      </c>
      <c r="J349" s="131">
        <v>631401116</v>
      </c>
      <c r="K349" s="131">
        <v>401676988</v>
      </c>
    </row>
    <row r="350" spans="1:11" x14ac:dyDescent="0.25">
      <c r="A350">
        <v>2023</v>
      </c>
      <c r="B350">
        <v>318</v>
      </c>
      <c r="C350">
        <v>1102070010903</v>
      </c>
      <c r="D350">
        <v>72</v>
      </c>
      <c r="E350" t="s">
        <v>820</v>
      </c>
      <c r="F350">
        <v>1102070010903</v>
      </c>
      <c r="G350" t="s">
        <v>821</v>
      </c>
      <c r="H350" t="s">
        <v>1588</v>
      </c>
      <c r="I350" s="132">
        <v>232132763</v>
      </c>
      <c r="J350" s="131">
        <v>232132763</v>
      </c>
      <c r="K350" s="131">
        <v>43373770</v>
      </c>
    </row>
    <row r="351" spans="1:11" x14ac:dyDescent="0.25">
      <c r="A351">
        <v>2023</v>
      </c>
      <c r="B351">
        <v>318</v>
      </c>
      <c r="C351">
        <v>1102070010904</v>
      </c>
      <c r="D351">
        <v>72</v>
      </c>
      <c r="E351" t="s">
        <v>822</v>
      </c>
      <c r="F351">
        <v>1102070010904</v>
      </c>
      <c r="G351" t="s">
        <v>823</v>
      </c>
      <c r="H351" t="s">
        <v>1588</v>
      </c>
      <c r="I351" s="132">
        <v>0</v>
      </c>
      <c r="J351" s="131">
        <v>0</v>
      </c>
      <c r="K351" s="131">
        <v>71164769</v>
      </c>
    </row>
    <row r="352" spans="1:11" x14ac:dyDescent="0.25">
      <c r="A352">
        <v>2023</v>
      </c>
      <c r="B352">
        <v>318</v>
      </c>
      <c r="C352">
        <v>1102070010905</v>
      </c>
      <c r="D352">
        <v>181</v>
      </c>
      <c r="E352" t="s">
        <v>824</v>
      </c>
      <c r="F352">
        <v>1102070010905</v>
      </c>
      <c r="G352" t="s">
        <v>825</v>
      </c>
      <c r="H352" t="s">
        <v>1588</v>
      </c>
      <c r="I352" s="132">
        <v>64997174</v>
      </c>
      <c r="J352" s="131">
        <v>64997174</v>
      </c>
      <c r="K352" s="131">
        <v>0</v>
      </c>
    </row>
    <row r="353" spans="1:11" x14ac:dyDescent="0.25">
      <c r="A353">
        <v>2023</v>
      </c>
      <c r="B353">
        <v>318</v>
      </c>
      <c r="C353">
        <v>110207002</v>
      </c>
      <c r="D353" t="s">
        <v>226</v>
      </c>
      <c r="E353" t="s">
        <v>828</v>
      </c>
      <c r="F353">
        <v>110207002</v>
      </c>
      <c r="G353" t="s">
        <v>499</v>
      </c>
      <c r="H353" t="s">
        <v>1588</v>
      </c>
      <c r="I353" s="131">
        <v>9390032889.8799992</v>
      </c>
      <c r="J353" s="131">
        <v>13009598106.879999</v>
      </c>
      <c r="K353" s="131">
        <v>5285338265.3199997</v>
      </c>
    </row>
    <row r="354" spans="1:11" x14ac:dyDescent="0.25">
      <c r="A354">
        <v>2023</v>
      </c>
      <c r="B354">
        <v>318</v>
      </c>
      <c r="C354">
        <v>11020700201</v>
      </c>
      <c r="D354" t="s">
        <v>226</v>
      </c>
      <c r="E354" t="s">
        <v>829</v>
      </c>
      <c r="F354">
        <v>11020700201</v>
      </c>
      <c r="G354" t="s">
        <v>501</v>
      </c>
      <c r="H354" t="s">
        <v>1588</v>
      </c>
      <c r="I354" s="131">
        <v>9387792893</v>
      </c>
      <c r="J354" s="131">
        <v>13007358110</v>
      </c>
      <c r="K354" s="131">
        <v>5284734795.3199997</v>
      </c>
    </row>
    <row r="355" spans="1:11" x14ac:dyDescent="0.25">
      <c r="A355">
        <v>2023</v>
      </c>
      <c r="B355">
        <v>318</v>
      </c>
      <c r="C355">
        <v>1102070020102</v>
      </c>
      <c r="D355" t="s">
        <v>226</v>
      </c>
      <c r="E355" t="s">
        <v>830</v>
      </c>
      <c r="F355">
        <v>1102070020102</v>
      </c>
      <c r="G355" t="s">
        <v>503</v>
      </c>
      <c r="H355" t="s">
        <v>1588</v>
      </c>
      <c r="I355" s="131">
        <v>0</v>
      </c>
      <c r="J355" s="131">
        <v>0</v>
      </c>
      <c r="K355" s="131">
        <v>519061050</v>
      </c>
    </row>
    <row r="356" spans="1:11" x14ac:dyDescent="0.25">
      <c r="A356">
        <v>2023</v>
      </c>
      <c r="B356">
        <v>318</v>
      </c>
      <c r="C356">
        <v>110207002010201</v>
      </c>
      <c r="D356" t="s">
        <v>226</v>
      </c>
      <c r="E356" t="s">
        <v>831</v>
      </c>
      <c r="F356">
        <v>110207002010201</v>
      </c>
      <c r="G356" t="s">
        <v>505</v>
      </c>
      <c r="H356" t="s">
        <v>1588</v>
      </c>
      <c r="I356" s="131">
        <v>0</v>
      </c>
      <c r="J356" s="131">
        <v>0</v>
      </c>
      <c r="K356" s="131">
        <v>384061110</v>
      </c>
    </row>
    <row r="357" spans="1:11" x14ac:dyDescent="0.25">
      <c r="A357">
        <v>2023</v>
      </c>
      <c r="B357">
        <v>318</v>
      </c>
      <c r="C357">
        <v>1.1020700201020099E+17</v>
      </c>
      <c r="D357">
        <v>154</v>
      </c>
      <c r="E357" t="s">
        <v>1400</v>
      </c>
      <c r="F357">
        <v>1.1020700201020099E+17</v>
      </c>
      <c r="G357" t="s">
        <v>1241</v>
      </c>
      <c r="H357" t="s">
        <v>1588</v>
      </c>
      <c r="I357" s="132">
        <v>0</v>
      </c>
      <c r="J357" s="131">
        <v>0</v>
      </c>
      <c r="K357" s="131">
        <v>192030555</v>
      </c>
    </row>
    <row r="358" spans="1:11" x14ac:dyDescent="0.25">
      <c r="A358">
        <v>2023</v>
      </c>
      <c r="B358">
        <v>318</v>
      </c>
      <c r="C358">
        <v>1.1020700201020099E+17</v>
      </c>
      <c r="D358">
        <v>58</v>
      </c>
      <c r="E358" t="s">
        <v>1401</v>
      </c>
      <c r="F358">
        <v>1.1020700201020099E+17</v>
      </c>
      <c r="G358" t="s">
        <v>1241</v>
      </c>
      <c r="H358" t="s">
        <v>1588</v>
      </c>
      <c r="I358" s="132">
        <v>0</v>
      </c>
      <c r="J358" s="131">
        <v>0</v>
      </c>
      <c r="K358" s="131">
        <v>96015277.5</v>
      </c>
    </row>
    <row r="359" spans="1:11" x14ac:dyDescent="0.25">
      <c r="A359">
        <v>2023</v>
      </c>
      <c r="B359">
        <v>318</v>
      </c>
      <c r="C359">
        <v>1.1020700201020099E+17</v>
      </c>
      <c r="D359">
        <v>72</v>
      </c>
      <c r="E359" t="s">
        <v>1402</v>
      </c>
      <c r="F359">
        <v>1.1020700201020099E+17</v>
      </c>
      <c r="G359" t="s">
        <v>1241</v>
      </c>
      <c r="H359" t="s">
        <v>1588</v>
      </c>
      <c r="I359" s="132">
        <v>0</v>
      </c>
      <c r="J359" s="131">
        <v>0</v>
      </c>
      <c r="K359" s="131">
        <v>96015277.5</v>
      </c>
    </row>
    <row r="360" spans="1:11" x14ac:dyDescent="0.25">
      <c r="A360">
        <v>2023</v>
      </c>
      <c r="B360">
        <v>318</v>
      </c>
      <c r="C360">
        <v>110207002010202</v>
      </c>
      <c r="D360" t="s">
        <v>226</v>
      </c>
      <c r="E360" t="s">
        <v>1592</v>
      </c>
      <c r="F360">
        <v>110207002010202</v>
      </c>
      <c r="G360" t="s">
        <v>1248</v>
      </c>
      <c r="H360" t="s">
        <v>1588</v>
      </c>
      <c r="I360" s="131">
        <v>0</v>
      </c>
      <c r="J360" s="131">
        <v>0</v>
      </c>
      <c r="K360" s="131">
        <v>134999940</v>
      </c>
    </row>
    <row r="361" spans="1:11" x14ac:dyDescent="0.25">
      <c r="A361">
        <v>2023</v>
      </c>
      <c r="B361">
        <v>318</v>
      </c>
      <c r="C361">
        <v>1.10207002010202E+17</v>
      </c>
      <c r="D361">
        <v>154</v>
      </c>
      <c r="E361" t="s">
        <v>1406</v>
      </c>
      <c r="F361">
        <v>1.10207002010202E+17</v>
      </c>
      <c r="G361" t="s">
        <v>1248</v>
      </c>
      <c r="H361" t="s">
        <v>1588</v>
      </c>
      <c r="I361" s="132">
        <v>0</v>
      </c>
      <c r="J361" s="131">
        <v>0</v>
      </c>
      <c r="K361" s="131">
        <v>14896755</v>
      </c>
    </row>
    <row r="362" spans="1:11" x14ac:dyDescent="0.25">
      <c r="A362">
        <v>2023</v>
      </c>
      <c r="B362">
        <v>318</v>
      </c>
      <c r="C362">
        <v>1.10207002010202E+17</v>
      </c>
      <c r="D362">
        <v>58</v>
      </c>
      <c r="E362" t="s">
        <v>1407</v>
      </c>
      <c r="F362">
        <v>1.10207002010202E+17</v>
      </c>
      <c r="G362" t="s">
        <v>1248</v>
      </c>
      <c r="H362" t="s">
        <v>1588</v>
      </c>
      <c r="I362" s="132">
        <v>0</v>
      </c>
      <c r="J362" s="131">
        <v>0</v>
      </c>
      <c r="K362" s="131">
        <v>60051592.5</v>
      </c>
    </row>
    <row r="363" spans="1:11" x14ac:dyDescent="0.25">
      <c r="A363">
        <v>2023</v>
      </c>
      <c r="B363">
        <v>318</v>
      </c>
      <c r="C363">
        <v>1.10207002010202E+17</v>
      </c>
      <c r="D363">
        <v>72</v>
      </c>
      <c r="E363" t="s">
        <v>1408</v>
      </c>
      <c r="F363">
        <v>1.10207002010202E+17</v>
      </c>
      <c r="G363" t="s">
        <v>1248</v>
      </c>
      <c r="H363" t="s">
        <v>1588</v>
      </c>
      <c r="I363" s="132">
        <v>0</v>
      </c>
      <c r="J363" s="131">
        <v>0</v>
      </c>
      <c r="K363" s="131">
        <v>60051592.5</v>
      </c>
    </row>
    <row r="364" spans="1:11" x14ac:dyDescent="0.25">
      <c r="A364">
        <v>2023</v>
      </c>
      <c r="B364">
        <v>318</v>
      </c>
      <c r="C364">
        <v>1102070020103</v>
      </c>
      <c r="D364" t="s">
        <v>226</v>
      </c>
      <c r="E364" t="s">
        <v>1593</v>
      </c>
      <c r="F364">
        <v>1102070020103</v>
      </c>
      <c r="G364" t="s">
        <v>508</v>
      </c>
      <c r="H364" t="s">
        <v>1588</v>
      </c>
      <c r="I364" s="131">
        <v>9387792893</v>
      </c>
      <c r="J364" s="131">
        <v>13007358110</v>
      </c>
      <c r="K364" s="131">
        <v>4765673745.3199997</v>
      </c>
    </row>
    <row r="365" spans="1:11" x14ac:dyDescent="0.25">
      <c r="A365">
        <v>2023</v>
      </c>
      <c r="B365">
        <v>318</v>
      </c>
      <c r="C365">
        <v>110207002010302</v>
      </c>
      <c r="D365" t="s">
        <v>226</v>
      </c>
      <c r="E365" t="s">
        <v>1594</v>
      </c>
      <c r="F365">
        <v>110207002010302</v>
      </c>
      <c r="G365" t="s">
        <v>510</v>
      </c>
      <c r="H365" t="s">
        <v>1588</v>
      </c>
      <c r="I365" s="131">
        <v>9387792893</v>
      </c>
      <c r="J365" s="131">
        <v>13007358110</v>
      </c>
      <c r="K365" s="131">
        <v>4765673745.3199997</v>
      </c>
    </row>
    <row r="366" spans="1:11" x14ac:dyDescent="0.25">
      <c r="A366">
        <v>2023</v>
      </c>
      <c r="B366">
        <v>318</v>
      </c>
      <c r="C366">
        <v>1.10207002010302E+17</v>
      </c>
      <c r="D366">
        <v>154</v>
      </c>
      <c r="E366" t="s">
        <v>1409</v>
      </c>
      <c r="F366">
        <v>1.10207002010302E+17</v>
      </c>
      <c r="G366" t="s">
        <v>512</v>
      </c>
      <c r="H366" t="s">
        <v>1588</v>
      </c>
      <c r="I366" s="132">
        <v>3520422335</v>
      </c>
      <c r="J366" s="131">
        <v>5330204944</v>
      </c>
      <c r="K366" s="131">
        <v>1867444877.6600001</v>
      </c>
    </row>
    <row r="367" spans="1:11" x14ac:dyDescent="0.25">
      <c r="A367">
        <v>2023</v>
      </c>
      <c r="B367">
        <v>318</v>
      </c>
      <c r="C367">
        <v>1.10207002010302E+17</v>
      </c>
      <c r="D367">
        <v>58</v>
      </c>
      <c r="E367" t="s">
        <v>1410</v>
      </c>
      <c r="F367">
        <v>1.10207002010302E+17</v>
      </c>
      <c r="G367" t="s">
        <v>512</v>
      </c>
      <c r="H367" t="s">
        <v>1588</v>
      </c>
      <c r="I367" s="132">
        <v>1760211167</v>
      </c>
      <c r="J367" s="131">
        <v>2665102471</v>
      </c>
      <c r="K367" s="131">
        <v>933722439.83000004</v>
      </c>
    </row>
    <row r="368" spans="1:11" x14ac:dyDescent="0.25">
      <c r="A368">
        <v>2023</v>
      </c>
      <c r="B368">
        <v>318</v>
      </c>
      <c r="C368">
        <v>1.10207002010302E+17</v>
      </c>
      <c r="D368">
        <v>72</v>
      </c>
      <c r="E368" t="s">
        <v>1411</v>
      </c>
      <c r="F368">
        <v>1.10207002010302E+17</v>
      </c>
      <c r="G368" t="s">
        <v>512</v>
      </c>
      <c r="H368" t="s">
        <v>1588</v>
      </c>
      <c r="I368" s="132">
        <v>1760211167</v>
      </c>
      <c r="J368" s="131">
        <v>2665102471</v>
      </c>
      <c r="K368" s="131">
        <v>933722437.83000004</v>
      </c>
    </row>
    <row r="369" spans="1:11" x14ac:dyDescent="0.25">
      <c r="A369">
        <v>2023</v>
      </c>
      <c r="B369">
        <v>318</v>
      </c>
      <c r="C369">
        <v>1.10207002010302E+17</v>
      </c>
      <c r="D369" t="s">
        <v>226</v>
      </c>
      <c r="E369" t="s">
        <v>1595</v>
      </c>
      <c r="F369">
        <v>1.10207002010302E+17</v>
      </c>
      <c r="G369" t="s">
        <v>1534</v>
      </c>
      <c r="H369" t="s">
        <v>1588</v>
      </c>
      <c r="I369" s="131">
        <v>2346948224</v>
      </c>
      <c r="J369" s="131">
        <v>2346948224</v>
      </c>
      <c r="K369" s="131">
        <v>1030783990</v>
      </c>
    </row>
    <row r="370" spans="1:11" x14ac:dyDescent="0.25">
      <c r="A370">
        <v>2023</v>
      </c>
      <c r="B370">
        <v>318</v>
      </c>
      <c r="C370">
        <v>1.1020700201030201E+20</v>
      </c>
      <c r="D370">
        <v>154</v>
      </c>
      <c r="E370" t="s">
        <v>1596</v>
      </c>
      <c r="F370">
        <v>1.1020700201030201E+20</v>
      </c>
      <c r="G370" t="s">
        <v>1255</v>
      </c>
      <c r="H370" t="s">
        <v>1588</v>
      </c>
      <c r="I370" s="132">
        <v>1173474112</v>
      </c>
      <c r="J370" s="131">
        <v>1173474112</v>
      </c>
      <c r="K370" s="131">
        <v>529803526</v>
      </c>
    </row>
    <row r="371" spans="1:11" x14ac:dyDescent="0.25">
      <c r="A371">
        <v>2023</v>
      </c>
      <c r="B371">
        <v>318</v>
      </c>
      <c r="C371">
        <v>1.1020700201030201E+20</v>
      </c>
      <c r="D371">
        <v>58</v>
      </c>
      <c r="E371" t="s">
        <v>1413</v>
      </c>
      <c r="F371">
        <v>1.1020700201030201E+20</v>
      </c>
      <c r="G371" t="s">
        <v>1255</v>
      </c>
      <c r="H371" t="s">
        <v>1588</v>
      </c>
      <c r="I371" s="132">
        <v>586737056</v>
      </c>
      <c r="J371" s="131">
        <v>586737056</v>
      </c>
      <c r="K371" s="131">
        <v>250490232</v>
      </c>
    </row>
    <row r="372" spans="1:11" x14ac:dyDescent="0.25">
      <c r="A372">
        <v>2023</v>
      </c>
      <c r="B372">
        <v>318</v>
      </c>
      <c r="C372">
        <v>1.1020700201030201E+20</v>
      </c>
      <c r="D372">
        <v>72</v>
      </c>
      <c r="E372" t="s">
        <v>1414</v>
      </c>
      <c r="F372">
        <v>1.1020700201030201E+20</v>
      </c>
      <c r="G372" t="s">
        <v>1255</v>
      </c>
      <c r="H372" t="s">
        <v>1588</v>
      </c>
      <c r="I372" s="132">
        <v>586737056</v>
      </c>
      <c r="J372" s="131">
        <v>586737056</v>
      </c>
      <c r="K372" s="131">
        <v>250490232</v>
      </c>
    </row>
    <row r="373" spans="1:11" x14ac:dyDescent="0.25">
      <c r="A373">
        <v>2023</v>
      </c>
      <c r="B373">
        <v>318</v>
      </c>
      <c r="C373">
        <v>11020700202</v>
      </c>
      <c r="D373" t="s">
        <v>226</v>
      </c>
      <c r="E373" t="s">
        <v>1597</v>
      </c>
      <c r="F373">
        <v>11020700202</v>
      </c>
      <c r="G373" t="s">
        <v>1536</v>
      </c>
      <c r="H373" t="s">
        <v>1588</v>
      </c>
      <c r="I373" s="131">
        <v>2239996.88</v>
      </c>
      <c r="J373" s="131">
        <v>2239996.88</v>
      </c>
      <c r="K373" s="131">
        <v>603470</v>
      </c>
    </row>
    <row r="374" spans="1:11" x14ac:dyDescent="0.25">
      <c r="A374">
        <v>2023</v>
      </c>
      <c r="B374">
        <v>318</v>
      </c>
      <c r="C374">
        <v>1102070020201</v>
      </c>
      <c r="D374">
        <v>154</v>
      </c>
      <c r="E374" t="s">
        <v>1415</v>
      </c>
      <c r="F374">
        <v>1102070020201</v>
      </c>
      <c r="G374" t="s">
        <v>1259</v>
      </c>
      <c r="H374" t="s">
        <v>1588</v>
      </c>
      <c r="I374" s="132">
        <v>1119998.8799999999</v>
      </c>
      <c r="J374" s="131">
        <v>1119998.8799999999</v>
      </c>
      <c r="K374" s="131">
        <v>301735</v>
      </c>
    </row>
    <row r="375" spans="1:11" x14ac:dyDescent="0.25">
      <c r="A375">
        <v>2023</v>
      </c>
      <c r="B375">
        <v>318</v>
      </c>
      <c r="C375">
        <v>1102070020201</v>
      </c>
      <c r="D375">
        <v>58</v>
      </c>
      <c r="E375" t="s">
        <v>1416</v>
      </c>
      <c r="F375">
        <v>1102070020201</v>
      </c>
      <c r="G375" t="s">
        <v>1259</v>
      </c>
      <c r="H375" t="s">
        <v>1588</v>
      </c>
      <c r="I375" s="132">
        <v>559999</v>
      </c>
      <c r="J375" s="131">
        <v>559999</v>
      </c>
      <c r="K375" s="131">
        <v>150867.5</v>
      </c>
    </row>
    <row r="376" spans="1:11" x14ac:dyDescent="0.25">
      <c r="A376">
        <v>2023</v>
      </c>
      <c r="B376">
        <v>318</v>
      </c>
      <c r="C376">
        <v>1102070020201</v>
      </c>
      <c r="D376">
        <v>72</v>
      </c>
      <c r="E376" t="s">
        <v>1417</v>
      </c>
      <c r="F376">
        <v>1102070020201</v>
      </c>
      <c r="G376" t="s">
        <v>1259</v>
      </c>
      <c r="H376" t="s">
        <v>1588</v>
      </c>
      <c r="I376" s="132">
        <v>559999</v>
      </c>
      <c r="J376" s="131">
        <v>559999</v>
      </c>
      <c r="K376" s="131">
        <v>150867.5</v>
      </c>
    </row>
    <row r="377" spans="1:11" x14ac:dyDescent="0.25">
      <c r="A377">
        <v>2023</v>
      </c>
      <c r="B377">
        <v>318</v>
      </c>
      <c r="C377">
        <v>12</v>
      </c>
      <c r="D377" t="s">
        <v>226</v>
      </c>
      <c r="E377" t="s">
        <v>837</v>
      </c>
      <c r="F377">
        <v>12</v>
      </c>
      <c r="G377" t="s">
        <v>517</v>
      </c>
      <c r="H377" t="s">
        <v>1588</v>
      </c>
      <c r="I377" s="131">
        <v>643817959</v>
      </c>
      <c r="J377" s="131">
        <v>8789016945.8600006</v>
      </c>
      <c r="K377" s="131">
        <v>7221020750.1000004</v>
      </c>
    </row>
    <row r="378" spans="1:11" x14ac:dyDescent="0.25">
      <c r="A378">
        <v>2023</v>
      </c>
      <c r="B378">
        <v>318</v>
      </c>
      <c r="C378">
        <v>1205</v>
      </c>
      <c r="D378" t="s">
        <v>226</v>
      </c>
      <c r="E378" t="s">
        <v>838</v>
      </c>
      <c r="F378">
        <v>1205</v>
      </c>
      <c r="G378" t="s">
        <v>529</v>
      </c>
      <c r="H378" t="s">
        <v>1588</v>
      </c>
      <c r="I378" s="131">
        <v>7000000</v>
      </c>
      <c r="J378" s="131">
        <v>7000000</v>
      </c>
      <c r="K378" s="131">
        <v>179289175.09999999</v>
      </c>
    </row>
    <row r="379" spans="1:11" x14ac:dyDescent="0.25">
      <c r="A379">
        <v>2023</v>
      </c>
      <c r="B379">
        <v>318</v>
      </c>
      <c r="C379">
        <v>120502</v>
      </c>
      <c r="D379" t="s">
        <v>226</v>
      </c>
      <c r="E379" t="s">
        <v>839</v>
      </c>
      <c r="F379">
        <v>120502</v>
      </c>
      <c r="G379" t="s">
        <v>531</v>
      </c>
      <c r="H379" t="s">
        <v>1588</v>
      </c>
      <c r="I379" s="131">
        <v>7000000</v>
      </c>
      <c r="J379" s="131">
        <v>7000000</v>
      </c>
      <c r="K379" s="131">
        <v>179289175.09999999</v>
      </c>
    </row>
    <row r="380" spans="1:11" x14ac:dyDescent="0.25">
      <c r="A380">
        <v>2023</v>
      </c>
      <c r="B380">
        <v>318</v>
      </c>
      <c r="C380">
        <v>120502015</v>
      </c>
      <c r="D380">
        <v>63</v>
      </c>
      <c r="E380" t="s">
        <v>1418</v>
      </c>
      <c r="F380">
        <v>120502015</v>
      </c>
      <c r="G380" t="s">
        <v>1419</v>
      </c>
      <c r="H380" t="s">
        <v>1588</v>
      </c>
      <c r="I380" s="132">
        <v>1000000</v>
      </c>
      <c r="J380" s="131">
        <v>1000000</v>
      </c>
      <c r="K380" s="131">
        <v>506006.24</v>
      </c>
    </row>
    <row r="381" spans="1:11" x14ac:dyDescent="0.25">
      <c r="A381">
        <v>2023</v>
      </c>
      <c r="B381">
        <v>318</v>
      </c>
      <c r="C381">
        <v>120502016</v>
      </c>
      <c r="D381">
        <v>58</v>
      </c>
      <c r="E381" t="s">
        <v>1420</v>
      </c>
      <c r="F381">
        <v>120502016</v>
      </c>
      <c r="G381" t="s">
        <v>1421</v>
      </c>
      <c r="H381" t="s">
        <v>1588</v>
      </c>
      <c r="I381" s="132">
        <v>2000000</v>
      </c>
      <c r="J381" s="131">
        <v>2000000</v>
      </c>
      <c r="K381" s="131">
        <v>85727303.870000005</v>
      </c>
    </row>
    <row r="382" spans="1:11" x14ac:dyDescent="0.25">
      <c r="A382">
        <v>2023</v>
      </c>
      <c r="B382">
        <v>318</v>
      </c>
      <c r="C382">
        <v>120502016</v>
      </c>
      <c r="D382">
        <v>72</v>
      </c>
      <c r="E382" t="s">
        <v>1422</v>
      </c>
      <c r="F382">
        <v>120502016</v>
      </c>
      <c r="G382" t="s">
        <v>1421</v>
      </c>
      <c r="H382" t="s">
        <v>1588</v>
      </c>
      <c r="I382" s="132">
        <v>0</v>
      </c>
      <c r="J382" s="131">
        <v>0</v>
      </c>
      <c r="K382" s="131">
        <v>1392726.99</v>
      </c>
    </row>
    <row r="383" spans="1:11" x14ac:dyDescent="0.25">
      <c r="A383">
        <v>2023</v>
      </c>
      <c r="B383">
        <v>318</v>
      </c>
      <c r="C383">
        <v>120502017</v>
      </c>
      <c r="D383">
        <v>171</v>
      </c>
      <c r="E383" t="s">
        <v>1423</v>
      </c>
      <c r="F383">
        <v>120502017</v>
      </c>
      <c r="G383" t="s">
        <v>1424</v>
      </c>
      <c r="H383" t="s">
        <v>1588</v>
      </c>
      <c r="I383" s="132">
        <v>1000000</v>
      </c>
      <c r="J383" s="131">
        <v>1000000</v>
      </c>
      <c r="K383" s="131">
        <v>11254196.300000001</v>
      </c>
    </row>
    <row r="384" spans="1:11" x14ac:dyDescent="0.25">
      <c r="A384">
        <v>2023</v>
      </c>
      <c r="B384">
        <v>318</v>
      </c>
      <c r="C384">
        <v>120502018</v>
      </c>
      <c r="D384">
        <v>61</v>
      </c>
      <c r="E384" t="s">
        <v>1425</v>
      </c>
      <c r="F384">
        <v>120502018</v>
      </c>
      <c r="G384" t="s">
        <v>1426</v>
      </c>
      <c r="H384" t="s">
        <v>1588</v>
      </c>
      <c r="I384" s="132">
        <v>3000000</v>
      </c>
      <c r="J384" s="131">
        <v>3000000</v>
      </c>
      <c r="K384" s="131">
        <v>76098654.829999998</v>
      </c>
    </row>
    <row r="385" spans="1:11" x14ac:dyDescent="0.25">
      <c r="A385">
        <v>2023</v>
      </c>
      <c r="B385">
        <v>318</v>
      </c>
      <c r="C385">
        <v>120502023</v>
      </c>
      <c r="D385">
        <v>161</v>
      </c>
      <c r="E385" t="s">
        <v>1427</v>
      </c>
      <c r="F385">
        <v>120502023</v>
      </c>
      <c r="G385" t="s">
        <v>1428</v>
      </c>
      <c r="H385" t="s">
        <v>1588</v>
      </c>
      <c r="I385" s="131">
        <v>0</v>
      </c>
      <c r="J385" s="131">
        <v>0</v>
      </c>
      <c r="K385" s="131">
        <v>24109.61</v>
      </c>
    </row>
    <row r="386" spans="1:11" x14ac:dyDescent="0.25">
      <c r="A386">
        <v>2023</v>
      </c>
      <c r="B386">
        <v>318</v>
      </c>
      <c r="C386">
        <v>120502024</v>
      </c>
      <c r="D386">
        <v>102</v>
      </c>
      <c r="E386" t="s">
        <v>1429</v>
      </c>
      <c r="F386">
        <v>120502024</v>
      </c>
      <c r="G386" t="s">
        <v>1430</v>
      </c>
      <c r="H386" t="s">
        <v>1588</v>
      </c>
      <c r="I386" s="131">
        <v>0</v>
      </c>
      <c r="J386" s="131">
        <v>0</v>
      </c>
      <c r="K386" s="131">
        <v>764.84</v>
      </c>
    </row>
    <row r="387" spans="1:11" x14ac:dyDescent="0.25">
      <c r="A387">
        <v>2023</v>
      </c>
      <c r="B387">
        <v>318</v>
      </c>
      <c r="C387">
        <v>120502026</v>
      </c>
      <c r="D387">
        <v>152</v>
      </c>
      <c r="E387" t="s">
        <v>1431</v>
      </c>
      <c r="F387">
        <v>120502026</v>
      </c>
      <c r="G387" t="s">
        <v>1432</v>
      </c>
      <c r="H387" t="s">
        <v>1588</v>
      </c>
      <c r="I387" s="131">
        <v>0</v>
      </c>
      <c r="J387" s="131">
        <v>0</v>
      </c>
      <c r="K387" s="131">
        <v>33.119999999999997</v>
      </c>
    </row>
    <row r="388" spans="1:11" x14ac:dyDescent="0.25">
      <c r="A388">
        <v>2023</v>
      </c>
      <c r="B388">
        <v>318</v>
      </c>
      <c r="C388">
        <v>120502027</v>
      </c>
      <c r="D388">
        <v>154</v>
      </c>
      <c r="E388" t="s">
        <v>1433</v>
      </c>
      <c r="F388">
        <v>120502027</v>
      </c>
      <c r="G388" t="s">
        <v>1434</v>
      </c>
      <c r="H388" t="s">
        <v>1588</v>
      </c>
      <c r="I388" s="131">
        <v>0</v>
      </c>
      <c r="J388" s="131">
        <v>0</v>
      </c>
      <c r="K388" s="131">
        <v>440899.77</v>
      </c>
    </row>
    <row r="389" spans="1:11" x14ac:dyDescent="0.25">
      <c r="A389">
        <v>2023</v>
      </c>
      <c r="B389">
        <v>318</v>
      </c>
      <c r="C389">
        <v>120502027</v>
      </c>
      <c r="D389">
        <v>167</v>
      </c>
      <c r="E389" t="s">
        <v>1435</v>
      </c>
      <c r="F389">
        <v>120502027</v>
      </c>
      <c r="G389" t="s">
        <v>1434</v>
      </c>
      <c r="H389" t="s">
        <v>1588</v>
      </c>
      <c r="I389" s="131">
        <v>0</v>
      </c>
      <c r="J389" s="131">
        <v>0</v>
      </c>
      <c r="K389" s="131">
        <v>234818.96</v>
      </c>
    </row>
    <row r="390" spans="1:11" x14ac:dyDescent="0.25">
      <c r="A390">
        <v>2023</v>
      </c>
      <c r="B390">
        <v>318</v>
      </c>
      <c r="C390">
        <v>120502028</v>
      </c>
      <c r="D390">
        <v>65</v>
      </c>
      <c r="E390" t="s">
        <v>1436</v>
      </c>
      <c r="F390">
        <v>120502028</v>
      </c>
      <c r="G390" t="s">
        <v>1437</v>
      </c>
      <c r="H390" t="s">
        <v>1588</v>
      </c>
      <c r="I390" s="131">
        <v>0</v>
      </c>
      <c r="J390" s="131">
        <v>0</v>
      </c>
      <c r="K390" s="131">
        <v>3601062.64</v>
      </c>
    </row>
    <row r="391" spans="1:11" x14ac:dyDescent="0.25">
      <c r="A391">
        <v>2023</v>
      </c>
      <c r="B391">
        <v>318</v>
      </c>
      <c r="C391">
        <v>120502029</v>
      </c>
      <c r="D391">
        <v>96</v>
      </c>
      <c r="E391" t="s">
        <v>1438</v>
      </c>
      <c r="F391">
        <v>120502029</v>
      </c>
      <c r="G391" t="s">
        <v>1439</v>
      </c>
      <c r="H391" t="s">
        <v>1588</v>
      </c>
      <c r="I391" s="131">
        <v>0</v>
      </c>
      <c r="J391" s="131">
        <v>0</v>
      </c>
      <c r="K391" s="131">
        <v>8597.93</v>
      </c>
    </row>
    <row r="392" spans="1:11" x14ac:dyDescent="0.25">
      <c r="A392">
        <v>2023</v>
      </c>
      <c r="B392">
        <v>318</v>
      </c>
      <c r="C392">
        <v>1208</v>
      </c>
      <c r="D392" t="s">
        <v>226</v>
      </c>
      <c r="E392" t="s">
        <v>867</v>
      </c>
      <c r="F392">
        <v>1208</v>
      </c>
      <c r="G392" t="s">
        <v>868</v>
      </c>
      <c r="H392" t="s">
        <v>1588</v>
      </c>
      <c r="I392" s="131">
        <v>636817959</v>
      </c>
      <c r="J392" s="131">
        <v>636817959</v>
      </c>
      <c r="K392" s="131">
        <v>1153761022</v>
      </c>
    </row>
    <row r="393" spans="1:11" x14ac:dyDescent="0.25">
      <c r="A393">
        <v>2023</v>
      </c>
      <c r="B393">
        <v>318</v>
      </c>
      <c r="C393">
        <v>120804</v>
      </c>
      <c r="D393" t="s">
        <v>226</v>
      </c>
      <c r="E393" t="s">
        <v>869</v>
      </c>
      <c r="F393">
        <v>120804</v>
      </c>
      <c r="G393" t="s">
        <v>870</v>
      </c>
      <c r="H393" t="s">
        <v>1588</v>
      </c>
      <c r="I393" s="131">
        <v>636817959</v>
      </c>
      <c r="J393" s="131">
        <v>636817959</v>
      </c>
      <c r="K393" s="131">
        <v>1153761022</v>
      </c>
    </row>
    <row r="394" spans="1:11" x14ac:dyDescent="0.25">
      <c r="A394">
        <v>2023</v>
      </c>
      <c r="B394">
        <v>318</v>
      </c>
      <c r="C394">
        <v>120804001</v>
      </c>
      <c r="D394" t="s">
        <v>226</v>
      </c>
      <c r="E394" t="s">
        <v>871</v>
      </c>
      <c r="F394">
        <v>120804001</v>
      </c>
      <c r="G394" t="s">
        <v>872</v>
      </c>
      <c r="H394" t="s">
        <v>1588</v>
      </c>
      <c r="I394" s="131">
        <v>0</v>
      </c>
      <c r="J394" s="131">
        <v>0</v>
      </c>
      <c r="K394" s="131">
        <v>1153761022</v>
      </c>
    </row>
    <row r="395" spans="1:11" x14ac:dyDescent="0.25">
      <c r="A395">
        <v>2023</v>
      </c>
      <c r="B395">
        <v>318</v>
      </c>
      <c r="C395">
        <v>12080400101</v>
      </c>
      <c r="D395">
        <v>154</v>
      </c>
      <c r="E395" t="s">
        <v>873</v>
      </c>
      <c r="F395">
        <v>12080400101</v>
      </c>
      <c r="G395" t="s">
        <v>874</v>
      </c>
      <c r="H395" t="s">
        <v>1588</v>
      </c>
      <c r="I395" s="132">
        <v>0</v>
      </c>
      <c r="J395" s="131">
        <v>0</v>
      </c>
      <c r="K395" s="131">
        <v>644576087</v>
      </c>
    </row>
    <row r="396" spans="1:11" x14ac:dyDescent="0.25">
      <c r="A396">
        <v>2023</v>
      </c>
      <c r="B396">
        <v>318</v>
      </c>
      <c r="C396">
        <v>12080400102</v>
      </c>
      <c r="D396">
        <v>154</v>
      </c>
      <c r="E396" t="s">
        <v>875</v>
      </c>
      <c r="F396">
        <v>12080400102</v>
      </c>
      <c r="G396" t="s">
        <v>876</v>
      </c>
      <c r="H396" t="s">
        <v>1588</v>
      </c>
      <c r="I396" s="132">
        <v>0</v>
      </c>
      <c r="J396" s="131">
        <v>0</v>
      </c>
      <c r="K396" s="131">
        <v>292205855</v>
      </c>
    </row>
    <row r="397" spans="1:11" x14ac:dyDescent="0.25">
      <c r="A397">
        <v>2023</v>
      </c>
      <c r="B397">
        <v>318</v>
      </c>
      <c r="C397">
        <v>12080400103</v>
      </c>
      <c r="D397">
        <v>154</v>
      </c>
      <c r="E397" t="s">
        <v>877</v>
      </c>
      <c r="F397">
        <v>12080400103</v>
      </c>
      <c r="G397" t="s">
        <v>878</v>
      </c>
      <c r="H397" t="s">
        <v>1588</v>
      </c>
      <c r="I397" s="132">
        <v>0</v>
      </c>
      <c r="J397" s="131">
        <v>0</v>
      </c>
      <c r="K397" s="131">
        <v>216979080</v>
      </c>
    </row>
    <row r="398" spans="1:11" x14ac:dyDescent="0.25">
      <c r="A398">
        <v>2023</v>
      </c>
      <c r="B398">
        <v>318</v>
      </c>
      <c r="C398">
        <v>120804002</v>
      </c>
      <c r="D398">
        <v>154</v>
      </c>
      <c r="E398" t="s">
        <v>1598</v>
      </c>
      <c r="F398">
        <v>120804002</v>
      </c>
      <c r="G398" t="s">
        <v>1599</v>
      </c>
      <c r="H398" t="s">
        <v>1588</v>
      </c>
      <c r="I398" s="132">
        <v>636817959</v>
      </c>
      <c r="J398" s="131">
        <v>636817959</v>
      </c>
      <c r="K398" s="131">
        <v>0</v>
      </c>
    </row>
    <row r="399" spans="1:11" x14ac:dyDescent="0.25">
      <c r="A399">
        <v>2023</v>
      </c>
      <c r="B399">
        <v>318</v>
      </c>
      <c r="C399">
        <v>1210</v>
      </c>
      <c r="D399" t="s">
        <v>226</v>
      </c>
      <c r="E399" t="s">
        <v>1600</v>
      </c>
      <c r="F399">
        <v>1210</v>
      </c>
      <c r="G399" t="s">
        <v>1123</v>
      </c>
      <c r="H399" t="s">
        <v>1588</v>
      </c>
      <c r="I399" s="131">
        <v>0</v>
      </c>
      <c r="J399" s="131">
        <v>8145198986.8599997</v>
      </c>
      <c r="K399" s="131">
        <v>5887970553</v>
      </c>
    </row>
    <row r="400" spans="1:11" x14ac:dyDescent="0.25">
      <c r="A400">
        <v>2023</v>
      </c>
      <c r="B400">
        <v>318</v>
      </c>
      <c r="C400">
        <v>121002</v>
      </c>
      <c r="D400" t="s">
        <v>226</v>
      </c>
      <c r="E400" t="s">
        <v>1601</v>
      </c>
      <c r="F400">
        <v>121002</v>
      </c>
      <c r="G400" t="s">
        <v>1551</v>
      </c>
      <c r="H400" t="s">
        <v>1588</v>
      </c>
      <c r="I400" s="131">
        <v>0</v>
      </c>
      <c r="J400" s="131">
        <v>8145198986.8599997</v>
      </c>
      <c r="K400" s="131">
        <v>5887970553</v>
      </c>
    </row>
    <row r="401" spans="1:11" x14ac:dyDescent="0.25">
      <c r="A401">
        <v>2023</v>
      </c>
      <c r="B401">
        <v>318</v>
      </c>
      <c r="C401">
        <v>121002002</v>
      </c>
      <c r="D401" t="s">
        <v>226</v>
      </c>
      <c r="E401" t="s">
        <v>1602</v>
      </c>
      <c r="F401">
        <v>121002002</v>
      </c>
      <c r="G401" t="s">
        <v>1555</v>
      </c>
      <c r="H401" t="s">
        <v>1588</v>
      </c>
      <c r="I401" s="131">
        <v>0</v>
      </c>
      <c r="J401" s="131">
        <v>8145198986.8599997</v>
      </c>
      <c r="K401" s="131">
        <v>5887970553</v>
      </c>
    </row>
    <row r="402" spans="1:11" x14ac:dyDescent="0.25">
      <c r="A402">
        <v>2023</v>
      </c>
      <c r="B402">
        <v>318</v>
      </c>
      <c r="C402">
        <v>12100200204</v>
      </c>
      <c r="D402">
        <v>98</v>
      </c>
      <c r="E402" t="s">
        <v>1440</v>
      </c>
      <c r="F402">
        <v>12100200204</v>
      </c>
      <c r="G402" t="s">
        <v>1441</v>
      </c>
      <c r="H402" t="s">
        <v>1588</v>
      </c>
      <c r="I402" s="131">
        <v>0</v>
      </c>
      <c r="J402" s="131">
        <v>1060639061.29</v>
      </c>
      <c r="K402" s="131">
        <v>0</v>
      </c>
    </row>
    <row r="403" spans="1:11" x14ac:dyDescent="0.25">
      <c r="A403">
        <v>2023</v>
      </c>
      <c r="B403">
        <v>318</v>
      </c>
      <c r="C403">
        <v>12100200226</v>
      </c>
      <c r="D403">
        <v>199</v>
      </c>
      <c r="E403" t="s">
        <v>1603</v>
      </c>
      <c r="F403">
        <v>12100200226</v>
      </c>
      <c r="G403" t="s">
        <v>1445</v>
      </c>
      <c r="H403" t="s">
        <v>1588</v>
      </c>
      <c r="I403" s="131">
        <v>0</v>
      </c>
      <c r="J403" s="131">
        <v>780549861.13</v>
      </c>
      <c r="K403" s="131">
        <v>780549861.13</v>
      </c>
    </row>
    <row r="404" spans="1:11" x14ac:dyDescent="0.25">
      <c r="A404">
        <v>2023</v>
      </c>
      <c r="B404">
        <v>318</v>
      </c>
      <c r="C404">
        <v>12100200227</v>
      </c>
      <c r="D404">
        <v>200</v>
      </c>
      <c r="E404" t="s">
        <v>1446</v>
      </c>
      <c r="F404">
        <v>12100200227</v>
      </c>
      <c r="G404" t="s">
        <v>1447</v>
      </c>
      <c r="H404" t="s">
        <v>1588</v>
      </c>
      <c r="I404" s="131">
        <v>0</v>
      </c>
      <c r="J404" s="131">
        <v>4075229.73</v>
      </c>
      <c r="K404" s="131">
        <v>4075229.73</v>
      </c>
    </row>
    <row r="405" spans="1:11" x14ac:dyDescent="0.25">
      <c r="A405">
        <v>2023</v>
      </c>
      <c r="B405">
        <v>318</v>
      </c>
      <c r="C405">
        <v>12100200228</v>
      </c>
      <c r="D405">
        <v>99</v>
      </c>
      <c r="E405" t="s">
        <v>1448</v>
      </c>
      <c r="F405">
        <v>12100200228</v>
      </c>
      <c r="G405" t="s">
        <v>1449</v>
      </c>
      <c r="H405" t="s">
        <v>1588</v>
      </c>
      <c r="I405" s="131">
        <v>0</v>
      </c>
      <c r="J405" s="131">
        <v>696605698.64999998</v>
      </c>
      <c r="K405" s="131">
        <v>696605698.64999998</v>
      </c>
    </row>
    <row r="406" spans="1:11" x14ac:dyDescent="0.25">
      <c r="A406">
        <v>2023</v>
      </c>
      <c r="B406">
        <v>318</v>
      </c>
      <c r="C406">
        <v>12100200231</v>
      </c>
      <c r="D406">
        <v>192</v>
      </c>
      <c r="E406" t="s">
        <v>1454</v>
      </c>
      <c r="F406">
        <v>12100200231</v>
      </c>
      <c r="G406" t="s">
        <v>1455</v>
      </c>
      <c r="H406" t="s">
        <v>1588</v>
      </c>
      <c r="I406" s="131">
        <v>0</v>
      </c>
      <c r="J406" s="131">
        <v>156125011.09999999</v>
      </c>
      <c r="K406" s="131">
        <v>0</v>
      </c>
    </row>
    <row r="407" spans="1:11" x14ac:dyDescent="0.25">
      <c r="A407">
        <v>2023</v>
      </c>
      <c r="B407">
        <v>318</v>
      </c>
      <c r="C407">
        <v>12100200232</v>
      </c>
      <c r="D407">
        <v>193</v>
      </c>
      <c r="E407" t="s">
        <v>1456</v>
      </c>
      <c r="F407">
        <v>12100200232</v>
      </c>
      <c r="G407" t="s">
        <v>1457</v>
      </c>
      <c r="H407" t="s">
        <v>1588</v>
      </c>
      <c r="I407" s="131">
        <v>0</v>
      </c>
      <c r="J407" s="131">
        <v>1040464361.47</v>
      </c>
      <c r="K407" s="131">
        <v>0</v>
      </c>
    </row>
    <row r="408" spans="1:11" x14ac:dyDescent="0.25">
      <c r="A408">
        <v>2023</v>
      </c>
      <c r="B408">
        <v>318</v>
      </c>
      <c r="C408">
        <v>12100200257</v>
      </c>
      <c r="D408">
        <v>169</v>
      </c>
      <c r="E408" t="s">
        <v>1463</v>
      </c>
      <c r="F408">
        <v>12100200257</v>
      </c>
      <c r="G408" t="s">
        <v>1464</v>
      </c>
      <c r="H408" t="s">
        <v>1588</v>
      </c>
      <c r="I408" s="131">
        <v>0</v>
      </c>
      <c r="J408" s="131">
        <v>4356206814.6300001</v>
      </c>
      <c r="K408" s="131">
        <v>4356206814.6300001</v>
      </c>
    </row>
    <row r="409" spans="1:11" x14ac:dyDescent="0.25">
      <c r="A409">
        <v>2023</v>
      </c>
      <c r="B409">
        <v>318</v>
      </c>
      <c r="C409">
        <v>12100200263</v>
      </c>
      <c r="D409">
        <v>127</v>
      </c>
      <c r="E409" t="s">
        <v>1604</v>
      </c>
      <c r="F409">
        <v>12100200263</v>
      </c>
      <c r="G409" t="s">
        <v>1605</v>
      </c>
      <c r="H409" t="s">
        <v>1588</v>
      </c>
      <c r="I409" s="131">
        <v>0</v>
      </c>
      <c r="J409" s="131">
        <v>31354345.460000001</v>
      </c>
      <c r="K409" s="131">
        <v>31354345.460000001</v>
      </c>
    </row>
    <row r="410" spans="1:11" x14ac:dyDescent="0.25">
      <c r="A410">
        <v>2023</v>
      </c>
      <c r="B410">
        <v>318</v>
      </c>
      <c r="C410">
        <v>12100200264</v>
      </c>
      <c r="D410">
        <v>167</v>
      </c>
      <c r="E410" t="s">
        <v>1606</v>
      </c>
      <c r="F410">
        <v>12100200264</v>
      </c>
      <c r="G410" t="s">
        <v>1607</v>
      </c>
      <c r="H410" t="s">
        <v>1588</v>
      </c>
      <c r="I410" s="131">
        <v>0</v>
      </c>
      <c r="J410" s="131">
        <v>4451929.72</v>
      </c>
      <c r="K410" s="131">
        <v>4451929.72</v>
      </c>
    </row>
    <row r="411" spans="1:11" x14ac:dyDescent="0.25">
      <c r="A411">
        <v>2023</v>
      </c>
      <c r="B411">
        <v>318</v>
      </c>
      <c r="C411">
        <v>12100200265</v>
      </c>
      <c r="D411">
        <v>232</v>
      </c>
      <c r="E411" t="s">
        <v>1608</v>
      </c>
      <c r="F411">
        <v>12100200265</v>
      </c>
      <c r="G411" t="s">
        <v>1609</v>
      </c>
      <c r="H411" t="s">
        <v>1588</v>
      </c>
      <c r="I411" s="131">
        <v>0</v>
      </c>
      <c r="J411" s="131">
        <v>138821.76000000001</v>
      </c>
      <c r="K411" s="131">
        <v>138821.76000000001</v>
      </c>
    </row>
    <row r="412" spans="1:11" x14ac:dyDescent="0.25">
      <c r="A412">
        <v>2023</v>
      </c>
      <c r="B412">
        <v>318</v>
      </c>
      <c r="C412">
        <v>12100200266</v>
      </c>
      <c r="D412">
        <v>233</v>
      </c>
      <c r="E412" t="s">
        <v>1610</v>
      </c>
      <c r="F412">
        <v>12100200266</v>
      </c>
      <c r="G412" t="s">
        <v>1611</v>
      </c>
      <c r="H412" t="s">
        <v>1588</v>
      </c>
      <c r="I412" s="131">
        <v>0</v>
      </c>
      <c r="J412" s="131">
        <v>14202359.43</v>
      </c>
      <c r="K412" s="131">
        <v>14202359.43</v>
      </c>
    </row>
    <row r="413" spans="1:11" x14ac:dyDescent="0.25">
      <c r="A413">
        <v>2023</v>
      </c>
      <c r="B413">
        <v>318</v>
      </c>
      <c r="C413">
        <v>12100200267</v>
      </c>
      <c r="D413">
        <v>234</v>
      </c>
      <c r="E413" t="s">
        <v>1612</v>
      </c>
      <c r="F413">
        <v>12100200267</v>
      </c>
      <c r="G413" t="s">
        <v>1613</v>
      </c>
      <c r="H413" t="s">
        <v>1588</v>
      </c>
      <c r="I413" s="131">
        <v>0</v>
      </c>
      <c r="J413" s="131">
        <v>385492.49</v>
      </c>
      <c r="K413" s="131">
        <v>385492.49</v>
      </c>
    </row>
    <row r="414" spans="1:11" x14ac:dyDescent="0.25">
      <c r="A414">
        <v>2023</v>
      </c>
      <c r="B414">
        <v>6</v>
      </c>
      <c r="C414">
        <v>1</v>
      </c>
      <c r="D414" t="s">
        <v>226</v>
      </c>
      <c r="E414">
        <v>44932</v>
      </c>
      <c r="F414">
        <v>1</v>
      </c>
      <c r="G414" t="s">
        <v>228</v>
      </c>
      <c r="H414" t="s">
        <v>1614</v>
      </c>
      <c r="I414" s="131">
        <v>0</v>
      </c>
      <c r="J414" s="131">
        <v>78984423997.600006</v>
      </c>
      <c r="K414" s="131">
        <v>3847591543.9899998</v>
      </c>
    </row>
    <row r="415" spans="1:11" x14ac:dyDescent="0.25">
      <c r="A415">
        <v>2023</v>
      </c>
      <c r="B415">
        <v>6</v>
      </c>
      <c r="C415">
        <v>11</v>
      </c>
      <c r="D415" t="s">
        <v>226</v>
      </c>
      <c r="E415">
        <v>45236</v>
      </c>
      <c r="F415">
        <v>11</v>
      </c>
      <c r="G415" t="s">
        <v>230</v>
      </c>
      <c r="H415" t="s">
        <v>1614</v>
      </c>
      <c r="I415" s="131">
        <v>0</v>
      </c>
      <c r="J415" s="131">
        <v>78984423997.600006</v>
      </c>
      <c r="K415" s="131">
        <v>3846922526.3800001</v>
      </c>
    </row>
    <row r="416" spans="1:11" x14ac:dyDescent="0.25">
      <c r="A416">
        <v>2023</v>
      </c>
      <c r="B416">
        <v>6</v>
      </c>
      <c r="C416">
        <v>1102</v>
      </c>
      <c r="D416" t="s">
        <v>226</v>
      </c>
      <c r="E416" t="s">
        <v>881</v>
      </c>
      <c r="F416">
        <v>1102</v>
      </c>
      <c r="G416" t="s">
        <v>311</v>
      </c>
      <c r="H416" t="s">
        <v>1614</v>
      </c>
      <c r="I416" s="131">
        <v>0</v>
      </c>
      <c r="J416" s="131">
        <v>78984423997.600006</v>
      </c>
      <c r="K416" s="131">
        <v>3846922526.3800001</v>
      </c>
    </row>
    <row r="417" spans="1:11" x14ac:dyDescent="0.25">
      <c r="A417">
        <v>2023</v>
      </c>
      <c r="B417">
        <v>6</v>
      </c>
      <c r="C417">
        <v>110206</v>
      </c>
      <c r="D417" t="s">
        <v>226</v>
      </c>
      <c r="E417" t="s">
        <v>882</v>
      </c>
      <c r="F417">
        <v>110206</v>
      </c>
      <c r="G417" t="s">
        <v>406</v>
      </c>
      <c r="H417" t="s">
        <v>1614</v>
      </c>
      <c r="I417" s="131">
        <v>0</v>
      </c>
      <c r="J417" s="131">
        <v>78984423997.600006</v>
      </c>
      <c r="K417" s="131">
        <v>3846922526.3800001</v>
      </c>
    </row>
    <row r="418" spans="1:11" x14ac:dyDescent="0.25">
      <c r="A418">
        <v>2023</v>
      </c>
      <c r="B418">
        <v>6</v>
      </c>
      <c r="C418">
        <v>110206002</v>
      </c>
      <c r="D418" t="s">
        <v>226</v>
      </c>
      <c r="E418" t="s">
        <v>883</v>
      </c>
      <c r="F418">
        <v>110206002</v>
      </c>
      <c r="G418" t="s">
        <v>1615</v>
      </c>
      <c r="H418" t="s">
        <v>1614</v>
      </c>
      <c r="I418" s="131">
        <v>0</v>
      </c>
      <c r="J418" s="131">
        <v>78984423997.600006</v>
      </c>
      <c r="K418" s="131">
        <v>3846922526.3800001</v>
      </c>
    </row>
    <row r="419" spans="1:11" x14ac:dyDescent="0.25">
      <c r="A419">
        <v>2023</v>
      </c>
      <c r="B419">
        <v>6</v>
      </c>
      <c r="C419">
        <v>11020600201</v>
      </c>
      <c r="D419" t="s">
        <v>226</v>
      </c>
      <c r="E419" t="s">
        <v>885</v>
      </c>
      <c r="F419">
        <v>11020600201</v>
      </c>
      <c r="G419" t="s">
        <v>1616</v>
      </c>
      <c r="H419" t="s">
        <v>1614</v>
      </c>
      <c r="I419" s="131">
        <v>0</v>
      </c>
      <c r="J419" s="131">
        <v>78984423997.600006</v>
      </c>
      <c r="K419" s="131">
        <v>3846922526.3800001</v>
      </c>
    </row>
    <row r="420" spans="1:11" x14ac:dyDescent="0.25">
      <c r="A420">
        <v>2023</v>
      </c>
      <c r="B420">
        <v>6</v>
      </c>
      <c r="C420">
        <v>1102060020101</v>
      </c>
      <c r="D420" t="s">
        <v>226</v>
      </c>
      <c r="E420" t="s">
        <v>1617</v>
      </c>
      <c r="F420">
        <v>1102060020101</v>
      </c>
      <c r="G420" t="s">
        <v>1618</v>
      </c>
      <c r="H420" t="s">
        <v>1614</v>
      </c>
      <c r="I420" s="131">
        <v>0</v>
      </c>
      <c r="J420" s="131">
        <v>51105967.200000003</v>
      </c>
      <c r="K420" s="131">
        <v>0</v>
      </c>
    </row>
    <row r="421" spans="1:11" x14ac:dyDescent="0.25">
      <c r="A421">
        <v>2023</v>
      </c>
      <c r="B421">
        <v>6</v>
      </c>
      <c r="C421">
        <v>110206002010101</v>
      </c>
      <c r="D421" t="s">
        <v>226</v>
      </c>
      <c r="E421" t="s">
        <v>1619</v>
      </c>
      <c r="F421">
        <v>110206002010101</v>
      </c>
      <c r="G421" t="s">
        <v>1620</v>
      </c>
      <c r="H421" t="s">
        <v>1614</v>
      </c>
      <c r="I421" s="131">
        <v>0</v>
      </c>
      <c r="J421" s="131">
        <v>51105967.200000003</v>
      </c>
      <c r="K421" s="131">
        <v>0</v>
      </c>
    </row>
    <row r="422" spans="1:11" x14ac:dyDescent="0.25">
      <c r="A422">
        <v>2023</v>
      </c>
      <c r="B422">
        <v>6</v>
      </c>
      <c r="C422">
        <v>1.1020600201010099E+17</v>
      </c>
      <c r="D422">
        <v>70</v>
      </c>
      <c r="E422" t="s">
        <v>1621</v>
      </c>
      <c r="F422">
        <v>1.1020600201010099E+17</v>
      </c>
      <c r="G422" t="s">
        <v>1622</v>
      </c>
      <c r="H422" t="s">
        <v>1614</v>
      </c>
      <c r="I422" s="131">
        <v>0</v>
      </c>
      <c r="J422" s="131">
        <v>51105967.200000003</v>
      </c>
      <c r="K422" s="131">
        <v>0</v>
      </c>
    </row>
    <row r="423" spans="1:11" x14ac:dyDescent="0.25">
      <c r="A423">
        <v>2023</v>
      </c>
      <c r="B423">
        <v>6</v>
      </c>
      <c r="C423">
        <v>1102060020103</v>
      </c>
      <c r="D423" t="s">
        <v>226</v>
      </c>
      <c r="E423" t="s">
        <v>1623</v>
      </c>
      <c r="F423">
        <v>1102060020103</v>
      </c>
      <c r="G423" t="s">
        <v>1624</v>
      </c>
      <c r="H423" t="s">
        <v>1614</v>
      </c>
      <c r="I423" s="131">
        <v>0</v>
      </c>
      <c r="J423" s="131">
        <v>78933318030.399994</v>
      </c>
      <c r="K423" s="131">
        <v>3846922526.3800001</v>
      </c>
    </row>
    <row r="424" spans="1:11" x14ac:dyDescent="0.25">
      <c r="A424">
        <v>2023</v>
      </c>
      <c r="B424">
        <v>6</v>
      </c>
      <c r="C424">
        <v>110206002010301</v>
      </c>
      <c r="D424" t="s">
        <v>226</v>
      </c>
      <c r="E424" t="s">
        <v>1625</v>
      </c>
      <c r="F424">
        <v>110206002010301</v>
      </c>
      <c r="G424" t="s">
        <v>1626</v>
      </c>
      <c r="H424" t="s">
        <v>1614</v>
      </c>
      <c r="I424" s="131">
        <v>0</v>
      </c>
      <c r="J424" s="131">
        <v>611840302.19000006</v>
      </c>
      <c r="K424" s="131">
        <v>121482365.64</v>
      </c>
    </row>
    <row r="425" spans="1:11" x14ac:dyDescent="0.25">
      <c r="A425">
        <v>2023</v>
      </c>
      <c r="B425">
        <v>6</v>
      </c>
      <c r="C425">
        <v>1.1020600201030099E+17</v>
      </c>
      <c r="D425" t="s">
        <v>226</v>
      </c>
      <c r="E425" t="s">
        <v>1627</v>
      </c>
      <c r="F425">
        <v>1.1020600201030099E+17</v>
      </c>
      <c r="G425" t="s">
        <v>1628</v>
      </c>
      <c r="H425" t="s">
        <v>1614</v>
      </c>
      <c r="I425" s="131">
        <v>0</v>
      </c>
      <c r="J425" s="131">
        <v>611840302.19000006</v>
      </c>
      <c r="K425" s="131">
        <v>121482365.64</v>
      </c>
    </row>
    <row r="426" spans="1:11" x14ac:dyDescent="0.25">
      <c r="A426">
        <v>2023</v>
      </c>
      <c r="B426">
        <v>6</v>
      </c>
      <c r="C426">
        <v>1.1020600201030101E+20</v>
      </c>
      <c r="D426" t="s">
        <v>226</v>
      </c>
      <c r="E426" t="s">
        <v>1629</v>
      </c>
      <c r="F426">
        <v>1.1020600201030101E+20</v>
      </c>
      <c r="G426" t="s">
        <v>1628</v>
      </c>
      <c r="H426" t="s">
        <v>1614</v>
      </c>
      <c r="I426" s="131">
        <v>0</v>
      </c>
      <c r="J426" s="131">
        <v>611840302.19000006</v>
      </c>
      <c r="K426" s="131">
        <v>121482365.64</v>
      </c>
    </row>
    <row r="427" spans="1:11" x14ac:dyDescent="0.25">
      <c r="A427">
        <v>2023</v>
      </c>
      <c r="B427">
        <v>6</v>
      </c>
      <c r="C427">
        <v>1.1020600201030101E+35</v>
      </c>
      <c r="D427">
        <v>70</v>
      </c>
      <c r="E427" t="s">
        <v>1630</v>
      </c>
      <c r="F427">
        <v>1.1020600201030101E+35</v>
      </c>
      <c r="G427" t="s">
        <v>1467</v>
      </c>
      <c r="H427" t="s">
        <v>1614</v>
      </c>
      <c r="I427" s="131">
        <v>0</v>
      </c>
      <c r="J427" s="131">
        <v>611840302.19000006</v>
      </c>
      <c r="K427" s="131">
        <v>121482365.64</v>
      </c>
    </row>
    <row r="428" spans="1:11" x14ac:dyDescent="0.25">
      <c r="A428">
        <v>2023</v>
      </c>
      <c r="B428">
        <v>6</v>
      </c>
      <c r="C428">
        <v>1.1020600201030101E+35</v>
      </c>
      <c r="D428">
        <v>70</v>
      </c>
      <c r="E428" t="s">
        <v>1630</v>
      </c>
      <c r="F428">
        <v>1.1020600201030101E+35</v>
      </c>
      <c r="G428" t="s">
        <v>1467</v>
      </c>
      <c r="H428" t="s">
        <v>1614</v>
      </c>
      <c r="I428" s="131">
        <v>0</v>
      </c>
      <c r="J428" s="131">
        <v>0</v>
      </c>
      <c r="K428" s="131">
        <v>0</v>
      </c>
    </row>
    <row r="429" spans="1:11" x14ac:dyDescent="0.25">
      <c r="A429">
        <v>2023</v>
      </c>
      <c r="B429">
        <v>6</v>
      </c>
      <c r="C429">
        <v>110206002010303</v>
      </c>
      <c r="D429" t="s">
        <v>226</v>
      </c>
      <c r="E429" t="s">
        <v>1631</v>
      </c>
      <c r="F429">
        <v>110206002010303</v>
      </c>
      <c r="G429" t="s">
        <v>1632</v>
      </c>
      <c r="H429" t="s">
        <v>1614</v>
      </c>
      <c r="I429" s="131">
        <v>0</v>
      </c>
      <c r="J429" s="131">
        <v>77226706153.210007</v>
      </c>
      <c r="K429" s="131">
        <v>3627875159.5</v>
      </c>
    </row>
    <row r="430" spans="1:11" x14ac:dyDescent="0.25">
      <c r="A430">
        <v>2023</v>
      </c>
      <c r="B430">
        <v>6</v>
      </c>
      <c r="C430">
        <v>1.1020600201030301E+17</v>
      </c>
      <c r="D430" t="s">
        <v>226</v>
      </c>
      <c r="E430" t="s">
        <v>1633</v>
      </c>
      <c r="F430">
        <v>1.1020600201030301E+17</v>
      </c>
      <c r="G430" t="s">
        <v>1634</v>
      </c>
      <c r="H430" t="s">
        <v>1614</v>
      </c>
      <c r="I430" s="131">
        <v>0</v>
      </c>
      <c r="J430" s="131">
        <v>77226706153.210007</v>
      </c>
      <c r="K430" s="131">
        <v>3627875159.5</v>
      </c>
    </row>
    <row r="431" spans="1:11" x14ac:dyDescent="0.25">
      <c r="A431">
        <v>2023</v>
      </c>
      <c r="B431">
        <v>6</v>
      </c>
      <c r="C431">
        <v>1.10206002010303E+20</v>
      </c>
      <c r="D431" t="s">
        <v>226</v>
      </c>
      <c r="E431" t="s">
        <v>1635</v>
      </c>
      <c r="F431">
        <v>1.10206002010303E+20</v>
      </c>
      <c r="G431" t="s">
        <v>1634</v>
      </c>
      <c r="H431" t="s">
        <v>1614</v>
      </c>
      <c r="I431" s="131">
        <v>0</v>
      </c>
      <c r="J431" s="131">
        <v>77226706153.210007</v>
      </c>
      <c r="K431" s="131">
        <v>3627875159.5</v>
      </c>
    </row>
    <row r="432" spans="1:11" x14ac:dyDescent="0.25">
      <c r="A432">
        <v>2023</v>
      </c>
      <c r="B432">
        <v>6</v>
      </c>
      <c r="C432">
        <v>1.10206002010303E+35</v>
      </c>
      <c r="D432">
        <v>70</v>
      </c>
      <c r="E432" t="s">
        <v>1636</v>
      </c>
      <c r="F432">
        <v>1.10206002010303E+35</v>
      </c>
      <c r="G432" t="s">
        <v>1637</v>
      </c>
      <c r="H432" t="s">
        <v>1614</v>
      </c>
      <c r="I432" s="131">
        <v>0</v>
      </c>
      <c r="J432" s="131">
        <v>4205222353.3200002</v>
      </c>
      <c r="K432" s="131">
        <v>917683816.5</v>
      </c>
    </row>
    <row r="433" spans="1:11" x14ac:dyDescent="0.25">
      <c r="A433">
        <v>2023</v>
      </c>
      <c r="B433">
        <v>6</v>
      </c>
      <c r="C433">
        <v>1.10206002010303E+35</v>
      </c>
      <c r="D433">
        <v>70</v>
      </c>
      <c r="E433" t="s">
        <v>1638</v>
      </c>
      <c r="F433">
        <v>1.10206002010303E+35</v>
      </c>
      <c r="G433" t="s">
        <v>1639</v>
      </c>
      <c r="H433" t="s">
        <v>1614</v>
      </c>
      <c r="I433" s="131">
        <v>0</v>
      </c>
      <c r="J433" s="131">
        <v>87533753.769999996</v>
      </c>
      <c r="K433" s="131">
        <v>0</v>
      </c>
    </row>
    <row r="434" spans="1:11" x14ac:dyDescent="0.25">
      <c r="A434">
        <v>2023</v>
      </c>
      <c r="B434">
        <v>6</v>
      </c>
      <c r="C434">
        <v>1.10206002010303E+35</v>
      </c>
      <c r="D434">
        <v>70</v>
      </c>
      <c r="E434" t="s">
        <v>1640</v>
      </c>
      <c r="F434">
        <v>1.10206002010303E+35</v>
      </c>
      <c r="G434" t="s">
        <v>895</v>
      </c>
      <c r="H434" t="s">
        <v>1614</v>
      </c>
      <c r="I434" s="131">
        <v>0</v>
      </c>
      <c r="J434" s="131">
        <v>1202955908.3299999</v>
      </c>
      <c r="K434" s="131">
        <v>0</v>
      </c>
    </row>
    <row r="435" spans="1:11" x14ac:dyDescent="0.25">
      <c r="A435">
        <v>2023</v>
      </c>
      <c r="B435">
        <v>6</v>
      </c>
      <c r="C435">
        <v>1.10206002010303E+35</v>
      </c>
      <c r="D435">
        <v>70</v>
      </c>
      <c r="E435" t="s">
        <v>1641</v>
      </c>
      <c r="F435">
        <v>1.10206002010303E+35</v>
      </c>
      <c r="G435" t="s">
        <v>1642</v>
      </c>
      <c r="H435" t="s">
        <v>1614</v>
      </c>
      <c r="I435" s="131">
        <v>0</v>
      </c>
      <c r="J435" s="131">
        <v>78482636.319999993</v>
      </c>
      <c r="K435" s="131">
        <v>0</v>
      </c>
    </row>
    <row r="436" spans="1:11" x14ac:dyDescent="0.25">
      <c r="A436">
        <v>2023</v>
      </c>
      <c r="B436">
        <v>6</v>
      </c>
      <c r="C436">
        <v>1.10206002010303E+35</v>
      </c>
      <c r="D436">
        <v>70</v>
      </c>
      <c r="E436" t="s">
        <v>1643</v>
      </c>
      <c r="F436">
        <v>1.10206002010303E+35</v>
      </c>
      <c r="G436" t="s">
        <v>1644</v>
      </c>
      <c r="H436" t="s">
        <v>1614</v>
      </c>
      <c r="I436" s="131">
        <v>0</v>
      </c>
      <c r="J436" s="131">
        <v>5437701350.6999998</v>
      </c>
      <c r="K436" s="131">
        <v>453838056</v>
      </c>
    </row>
    <row r="437" spans="1:11" x14ac:dyDescent="0.25">
      <c r="A437">
        <v>2023</v>
      </c>
      <c r="B437">
        <v>6</v>
      </c>
      <c r="C437">
        <v>1.10206002010303E+35</v>
      </c>
      <c r="D437">
        <v>70</v>
      </c>
      <c r="E437" t="s">
        <v>1645</v>
      </c>
      <c r="F437">
        <v>1.10206002010303E+35</v>
      </c>
      <c r="G437" t="s">
        <v>1646</v>
      </c>
      <c r="H437" t="s">
        <v>1614</v>
      </c>
      <c r="I437" s="131">
        <v>0</v>
      </c>
      <c r="J437" s="131">
        <v>13569353481</v>
      </c>
      <c r="K437" s="131">
        <v>1489718349</v>
      </c>
    </row>
    <row r="438" spans="1:11" x14ac:dyDescent="0.25">
      <c r="A438">
        <v>2023</v>
      </c>
      <c r="B438">
        <v>6</v>
      </c>
      <c r="C438">
        <v>1.10206002010303E+35</v>
      </c>
      <c r="D438">
        <v>70</v>
      </c>
      <c r="E438" t="s">
        <v>1647</v>
      </c>
      <c r="F438">
        <v>1.10206002010303E+35</v>
      </c>
      <c r="G438" t="s">
        <v>1648</v>
      </c>
      <c r="H438" t="s">
        <v>1614</v>
      </c>
      <c r="I438" s="131">
        <v>0</v>
      </c>
      <c r="J438" s="131">
        <v>8021290382.5299997</v>
      </c>
      <c r="K438" s="131">
        <v>0</v>
      </c>
    </row>
    <row r="439" spans="1:11" x14ac:dyDescent="0.25">
      <c r="A439">
        <v>2023</v>
      </c>
      <c r="B439">
        <v>6</v>
      </c>
      <c r="C439">
        <v>1.10206002010303E+35</v>
      </c>
      <c r="D439">
        <v>70</v>
      </c>
      <c r="E439" t="s">
        <v>1649</v>
      </c>
      <c r="F439">
        <v>1.10206002010303E+35</v>
      </c>
      <c r="G439" t="s">
        <v>1650</v>
      </c>
      <c r="H439" t="s">
        <v>1614</v>
      </c>
      <c r="I439" s="131">
        <v>0</v>
      </c>
      <c r="J439" s="131">
        <v>6900730032.8900003</v>
      </c>
      <c r="K439" s="131">
        <v>64000000</v>
      </c>
    </row>
    <row r="440" spans="1:11" x14ac:dyDescent="0.25">
      <c r="A440">
        <v>2023</v>
      </c>
      <c r="B440">
        <v>6</v>
      </c>
      <c r="C440">
        <v>1.10206002010303E+35</v>
      </c>
      <c r="D440">
        <v>70</v>
      </c>
      <c r="E440" t="s">
        <v>1651</v>
      </c>
      <c r="F440">
        <v>1.10206002010303E+35</v>
      </c>
      <c r="G440" t="s">
        <v>1652</v>
      </c>
      <c r="H440" t="s">
        <v>1614</v>
      </c>
      <c r="I440" s="131">
        <v>0</v>
      </c>
      <c r="J440" s="131">
        <v>3121938369</v>
      </c>
      <c r="K440" s="131">
        <v>0</v>
      </c>
    </row>
    <row r="441" spans="1:11" x14ac:dyDescent="0.25">
      <c r="A441">
        <v>2023</v>
      </c>
      <c r="B441">
        <v>6</v>
      </c>
      <c r="C441">
        <v>1.10206002010303E+35</v>
      </c>
      <c r="D441">
        <v>70</v>
      </c>
      <c r="E441" t="s">
        <v>1653</v>
      </c>
      <c r="F441">
        <v>1.10206002010303E+35</v>
      </c>
      <c r="G441" t="s">
        <v>1654</v>
      </c>
      <c r="H441" t="s">
        <v>1614</v>
      </c>
      <c r="I441" s="131">
        <v>0</v>
      </c>
      <c r="J441" s="131">
        <v>736376434</v>
      </c>
      <c r="K441" s="131">
        <v>702634938</v>
      </c>
    </row>
    <row r="442" spans="1:11" x14ac:dyDescent="0.25">
      <c r="A442">
        <v>2023</v>
      </c>
      <c r="B442">
        <v>6</v>
      </c>
      <c r="C442">
        <v>1.10206002010303E+35</v>
      </c>
      <c r="D442">
        <v>70</v>
      </c>
      <c r="E442" t="s">
        <v>1655</v>
      </c>
      <c r="F442">
        <v>1.10206002010303E+35</v>
      </c>
      <c r="G442" t="s">
        <v>1656</v>
      </c>
      <c r="H442" t="s">
        <v>1614</v>
      </c>
      <c r="I442" s="131">
        <v>0</v>
      </c>
      <c r="J442" s="131">
        <v>14236983783</v>
      </c>
      <c r="K442" s="131">
        <v>0</v>
      </c>
    </row>
    <row r="443" spans="1:11" x14ac:dyDescent="0.25">
      <c r="A443">
        <v>2023</v>
      </c>
      <c r="B443">
        <v>6</v>
      </c>
      <c r="C443">
        <v>1.10206002010303E+35</v>
      </c>
      <c r="D443">
        <v>70</v>
      </c>
      <c r="E443" t="s">
        <v>1657</v>
      </c>
      <c r="F443">
        <v>1.10206002010303E+35</v>
      </c>
      <c r="G443" t="s">
        <v>1658</v>
      </c>
      <c r="H443" t="s">
        <v>1614</v>
      </c>
      <c r="I443" s="131">
        <v>0</v>
      </c>
      <c r="J443" s="131">
        <v>19628137668.349998</v>
      </c>
      <c r="K443" s="131">
        <v>0</v>
      </c>
    </row>
    <row r="444" spans="1:11" x14ac:dyDescent="0.25">
      <c r="A444">
        <v>2023</v>
      </c>
      <c r="B444">
        <v>6</v>
      </c>
      <c r="C444">
        <v>110206002010306</v>
      </c>
      <c r="D444" t="s">
        <v>226</v>
      </c>
      <c r="E444" t="s">
        <v>1659</v>
      </c>
      <c r="F444">
        <v>110206002010306</v>
      </c>
      <c r="G444" t="s">
        <v>1660</v>
      </c>
      <c r="H444" t="s">
        <v>1614</v>
      </c>
      <c r="I444" s="131">
        <v>0</v>
      </c>
      <c r="J444" s="131">
        <v>1094771575</v>
      </c>
      <c r="K444" s="131">
        <v>97565001.239999995</v>
      </c>
    </row>
    <row r="445" spans="1:11" x14ac:dyDescent="0.25">
      <c r="A445">
        <v>2023</v>
      </c>
      <c r="B445">
        <v>6</v>
      </c>
      <c r="C445">
        <v>1.10206002010306E+17</v>
      </c>
      <c r="D445" t="s">
        <v>226</v>
      </c>
      <c r="E445" t="s">
        <v>1661</v>
      </c>
      <c r="F445">
        <v>1.10206002010306E+17</v>
      </c>
      <c r="G445" t="s">
        <v>1662</v>
      </c>
      <c r="H445" t="s">
        <v>1614</v>
      </c>
      <c r="I445" s="131">
        <v>0</v>
      </c>
      <c r="J445" s="131">
        <v>1094771575</v>
      </c>
      <c r="K445" s="131">
        <v>97565001.239999995</v>
      </c>
    </row>
    <row r="446" spans="1:11" x14ac:dyDescent="0.25">
      <c r="A446">
        <v>2023</v>
      </c>
      <c r="B446">
        <v>6</v>
      </c>
      <c r="C446">
        <v>1.10206002010306E+20</v>
      </c>
      <c r="D446" t="s">
        <v>226</v>
      </c>
      <c r="E446" t="s">
        <v>1663</v>
      </c>
      <c r="F446">
        <v>1.10206002010306E+20</v>
      </c>
      <c r="G446" t="s">
        <v>1662</v>
      </c>
      <c r="H446" t="s">
        <v>1614</v>
      </c>
      <c r="I446" s="131">
        <v>0</v>
      </c>
      <c r="J446" s="131">
        <v>1094771575</v>
      </c>
      <c r="K446" s="131">
        <v>97565001.239999995</v>
      </c>
    </row>
    <row r="447" spans="1:11" x14ac:dyDescent="0.25">
      <c r="A447">
        <v>2023</v>
      </c>
      <c r="B447">
        <v>6</v>
      </c>
      <c r="C447">
        <v>1.1020600201030601E+35</v>
      </c>
      <c r="D447">
        <v>70</v>
      </c>
      <c r="E447" t="s">
        <v>1664</v>
      </c>
      <c r="F447">
        <v>1.1020600201030601E+35</v>
      </c>
      <c r="G447" t="s">
        <v>1665</v>
      </c>
      <c r="H447" t="s">
        <v>1614</v>
      </c>
      <c r="I447" s="131">
        <v>0</v>
      </c>
      <c r="J447" s="131">
        <v>916743849</v>
      </c>
      <c r="K447" s="131">
        <v>0</v>
      </c>
    </row>
    <row r="448" spans="1:11" x14ac:dyDescent="0.25">
      <c r="A448">
        <v>2023</v>
      </c>
      <c r="B448">
        <v>6</v>
      </c>
      <c r="C448">
        <v>1.1020600201030601E+35</v>
      </c>
      <c r="D448">
        <v>70</v>
      </c>
      <c r="E448" t="s">
        <v>1666</v>
      </c>
      <c r="F448">
        <v>1.1020600201030601E+35</v>
      </c>
      <c r="G448" t="s">
        <v>1667</v>
      </c>
      <c r="H448" t="s">
        <v>1614</v>
      </c>
      <c r="I448" s="131">
        <v>0</v>
      </c>
      <c r="J448" s="131">
        <v>162072969</v>
      </c>
      <c r="K448" s="131">
        <v>97565001.239999995</v>
      </c>
    </row>
    <row r="449" spans="1:11" x14ac:dyDescent="0.25">
      <c r="A449">
        <v>2023</v>
      </c>
      <c r="B449">
        <v>6</v>
      </c>
      <c r="C449">
        <v>1.1020600201030601E+35</v>
      </c>
      <c r="D449">
        <v>70</v>
      </c>
      <c r="E449" t="s">
        <v>1668</v>
      </c>
      <c r="F449">
        <v>1.1020600201030601E+35</v>
      </c>
      <c r="G449" t="s">
        <v>1669</v>
      </c>
      <c r="H449" t="s">
        <v>1614</v>
      </c>
      <c r="I449" s="131">
        <v>0</v>
      </c>
      <c r="J449" s="131">
        <v>15954757</v>
      </c>
      <c r="K449" s="131">
        <v>0</v>
      </c>
    </row>
    <row r="450" spans="1:11" x14ac:dyDescent="0.25">
      <c r="A450">
        <v>2023</v>
      </c>
      <c r="B450">
        <v>6</v>
      </c>
      <c r="C450">
        <v>12</v>
      </c>
      <c r="D450" t="s">
        <v>226</v>
      </c>
      <c r="E450">
        <v>45266</v>
      </c>
      <c r="F450">
        <v>12</v>
      </c>
      <c r="G450" t="s">
        <v>517</v>
      </c>
      <c r="H450" t="s">
        <v>1614</v>
      </c>
      <c r="I450" s="131">
        <v>0</v>
      </c>
      <c r="J450" s="131">
        <v>0</v>
      </c>
      <c r="K450" s="131">
        <v>669017.61</v>
      </c>
    </row>
    <row r="451" spans="1:11" x14ac:dyDescent="0.25">
      <c r="A451">
        <v>2023</v>
      </c>
      <c r="B451">
        <v>6</v>
      </c>
      <c r="C451">
        <v>1205</v>
      </c>
      <c r="D451" t="s">
        <v>226</v>
      </c>
      <c r="E451" t="s">
        <v>1670</v>
      </c>
      <c r="F451">
        <v>1205</v>
      </c>
      <c r="G451" t="s">
        <v>529</v>
      </c>
      <c r="H451" t="s">
        <v>1614</v>
      </c>
      <c r="I451" s="131">
        <v>0</v>
      </c>
      <c r="J451" s="131">
        <v>0</v>
      </c>
      <c r="K451" s="131">
        <v>669017.61</v>
      </c>
    </row>
    <row r="452" spans="1:11" x14ac:dyDescent="0.25">
      <c r="A452">
        <v>2023</v>
      </c>
      <c r="B452">
        <v>6</v>
      </c>
      <c r="C452">
        <v>120502</v>
      </c>
      <c r="D452" t="s">
        <v>226</v>
      </c>
      <c r="E452" t="s">
        <v>1671</v>
      </c>
      <c r="F452">
        <v>120502</v>
      </c>
      <c r="G452" t="s">
        <v>531</v>
      </c>
      <c r="H452" t="s">
        <v>1614</v>
      </c>
      <c r="I452" s="131">
        <v>0</v>
      </c>
      <c r="J452" s="131">
        <v>0</v>
      </c>
      <c r="K452" s="131">
        <v>669017.61</v>
      </c>
    </row>
    <row r="453" spans="1:11" x14ac:dyDescent="0.25">
      <c r="A453">
        <v>2023</v>
      </c>
      <c r="B453">
        <v>6</v>
      </c>
      <c r="C453">
        <v>120502001</v>
      </c>
      <c r="D453" t="s">
        <v>226</v>
      </c>
      <c r="E453" t="s">
        <v>1672</v>
      </c>
      <c r="F453">
        <v>120502001</v>
      </c>
      <c r="G453" t="s">
        <v>228</v>
      </c>
      <c r="H453" t="s">
        <v>1614</v>
      </c>
      <c r="I453" s="131">
        <v>0</v>
      </c>
      <c r="J453" s="131">
        <v>0</v>
      </c>
      <c r="K453" s="131">
        <v>669017.61</v>
      </c>
    </row>
    <row r="454" spans="1:11" x14ac:dyDescent="0.25">
      <c r="A454">
        <v>2023</v>
      </c>
      <c r="B454">
        <v>6</v>
      </c>
      <c r="C454">
        <v>12050200101</v>
      </c>
      <c r="D454" t="s">
        <v>226</v>
      </c>
      <c r="E454" t="s">
        <v>1673</v>
      </c>
      <c r="F454">
        <v>12050200101</v>
      </c>
      <c r="G454" t="s">
        <v>230</v>
      </c>
      <c r="H454" t="s">
        <v>1614</v>
      </c>
      <c r="I454" s="131">
        <v>0</v>
      </c>
      <c r="J454" s="131">
        <v>0</v>
      </c>
      <c r="K454" s="131">
        <v>669017.61</v>
      </c>
    </row>
    <row r="455" spans="1:11" x14ac:dyDescent="0.25">
      <c r="A455">
        <v>2023</v>
      </c>
      <c r="B455">
        <v>6</v>
      </c>
      <c r="C455">
        <v>1205020010102</v>
      </c>
      <c r="D455" t="s">
        <v>226</v>
      </c>
      <c r="E455" t="s">
        <v>1674</v>
      </c>
      <c r="F455">
        <v>1205020010102</v>
      </c>
      <c r="G455" t="s">
        <v>311</v>
      </c>
      <c r="H455" t="s">
        <v>1614</v>
      </c>
      <c r="I455" s="131">
        <v>0</v>
      </c>
      <c r="J455" s="131">
        <v>0</v>
      </c>
      <c r="K455" s="131">
        <v>669017.61</v>
      </c>
    </row>
    <row r="456" spans="1:11" x14ac:dyDescent="0.25">
      <c r="A456">
        <v>2023</v>
      </c>
      <c r="B456">
        <v>6</v>
      </c>
      <c r="C456">
        <v>120502001010206</v>
      </c>
      <c r="D456" t="s">
        <v>226</v>
      </c>
      <c r="E456" t="s">
        <v>1675</v>
      </c>
      <c r="F456">
        <v>120502001010206</v>
      </c>
      <c r="G456" t="s">
        <v>406</v>
      </c>
      <c r="H456" t="s">
        <v>1614</v>
      </c>
      <c r="I456" s="131">
        <v>0</v>
      </c>
      <c r="J456" s="131">
        <v>0</v>
      </c>
      <c r="K456" s="131">
        <v>669017.61</v>
      </c>
    </row>
    <row r="457" spans="1:11" x14ac:dyDescent="0.25">
      <c r="A457">
        <v>2023</v>
      </c>
      <c r="B457">
        <v>6</v>
      </c>
      <c r="C457">
        <v>1.20502001010206E+17</v>
      </c>
      <c r="D457">
        <v>70</v>
      </c>
      <c r="E457" t="s">
        <v>1477</v>
      </c>
      <c r="F457">
        <v>1.20502001010206E+17</v>
      </c>
      <c r="G457" t="s">
        <v>1478</v>
      </c>
      <c r="H457" t="s">
        <v>1614</v>
      </c>
      <c r="I457" s="131">
        <v>0</v>
      </c>
      <c r="J457" s="131">
        <v>0</v>
      </c>
      <c r="K457" s="131">
        <v>669017.61</v>
      </c>
    </row>
    <row r="459" spans="1:11" x14ac:dyDescent="0.25">
      <c r="I459" s="131">
        <f>SUBTOTAL(9,I2:I458)</f>
        <v>2931688270768.999</v>
      </c>
    </row>
    <row r="461" spans="1:11" x14ac:dyDescent="0.25">
      <c r="I461" s="131">
        <f>+I2+I231+I271</f>
        <v>420671495293</v>
      </c>
    </row>
  </sheetData>
  <autoFilter ref="A1:N457" xr:uid="{BBC96349-EB0B-4551-BB71-1801FE6212C9}"/>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9C11-56D1-405F-92CE-68A556F58F60}">
  <sheetPr>
    <tabColor rgb="FFFF6600"/>
  </sheetPr>
  <dimension ref="A1:E309"/>
  <sheetViews>
    <sheetView workbookViewId="0">
      <selection activeCell="C7" sqref="C7"/>
    </sheetView>
  </sheetViews>
  <sheetFormatPr baseColWidth="10" defaultColWidth="11.42578125" defaultRowHeight="15" x14ac:dyDescent="0.25"/>
  <cols>
    <col min="2" max="2" width="14" bestFit="1" customWidth="1"/>
    <col min="3" max="3" width="48.140625" bestFit="1" customWidth="1"/>
    <col min="4" max="4" width="97.85546875" bestFit="1" customWidth="1"/>
    <col min="5" max="5" width="17.85546875" style="131" bestFit="1" customWidth="1"/>
  </cols>
  <sheetData>
    <row r="1" spans="1:5" x14ac:dyDescent="0.25">
      <c r="A1" t="s">
        <v>1188</v>
      </c>
      <c r="B1" t="s">
        <v>222</v>
      </c>
      <c r="C1" t="s">
        <v>223</v>
      </c>
      <c r="D1" t="s">
        <v>224</v>
      </c>
      <c r="E1" s="131" t="s">
        <v>1189</v>
      </c>
    </row>
    <row r="2" spans="1:5" x14ac:dyDescent="0.25">
      <c r="A2">
        <v>307</v>
      </c>
      <c r="B2">
        <v>20</v>
      </c>
      <c r="C2" t="s">
        <v>238</v>
      </c>
      <c r="D2" t="s">
        <v>239</v>
      </c>
      <c r="E2" s="1184">
        <v>7309281887.7399998</v>
      </c>
    </row>
    <row r="3" spans="1:5" x14ac:dyDescent="0.25">
      <c r="A3">
        <v>307</v>
      </c>
      <c r="B3">
        <v>1</v>
      </c>
      <c r="C3" t="s">
        <v>1190</v>
      </c>
      <c r="D3" t="s">
        <v>1191</v>
      </c>
      <c r="E3" s="1184">
        <v>57024492.570000008</v>
      </c>
    </row>
    <row r="4" spans="1:5" x14ac:dyDescent="0.25">
      <c r="A4">
        <v>307</v>
      </c>
      <c r="B4">
        <v>13</v>
      </c>
      <c r="C4" t="s">
        <v>1192</v>
      </c>
      <c r="D4" t="s">
        <v>1193</v>
      </c>
      <c r="E4" s="1184">
        <v>28512246.170000002</v>
      </c>
    </row>
    <row r="5" spans="1:5" x14ac:dyDescent="0.25">
      <c r="A5">
        <v>307</v>
      </c>
      <c r="B5">
        <v>20</v>
      </c>
      <c r="C5" t="s">
        <v>1194</v>
      </c>
      <c r="D5" t="s">
        <v>1195</v>
      </c>
      <c r="E5" s="1184">
        <v>171073476.91000003</v>
      </c>
    </row>
    <row r="6" spans="1:5" x14ac:dyDescent="0.25">
      <c r="A6">
        <v>307</v>
      </c>
      <c r="B6">
        <v>52</v>
      </c>
      <c r="C6" t="s">
        <v>1196</v>
      </c>
      <c r="D6" t="s">
        <v>1197</v>
      </c>
      <c r="E6" s="1184">
        <v>11404898.58</v>
      </c>
    </row>
    <row r="7" spans="1:5" x14ac:dyDescent="0.25">
      <c r="A7">
        <v>307</v>
      </c>
      <c r="B7">
        <v>53</v>
      </c>
      <c r="C7" t="s">
        <v>1198</v>
      </c>
      <c r="D7" t="s">
        <v>1199</v>
      </c>
      <c r="E7" s="1184">
        <v>17107346.210000001</v>
      </c>
    </row>
    <row r="8" spans="1:5" x14ac:dyDescent="0.25">
      <c r="A8">
        <v>307</v>
      </c>
      <c r="B8">
        <v>1</v>
      </c>
      <c r="C8" t="s">
        <v>1200</v>
      </c>
      <c r="D8" t="s">
        <v>1201</v>
      </c>
      <c r="E8" s="1184">
        <v>2536079254.4000001</v>
      </c>
    </row>
    <row r="9" spans="1:5" x14ac:dyDescent="0.25">
      <c r="A9">
        <v>307</v>
      </c>
      <c r="B9">
        <v>13</v>
      </c>
      <c r="C9" t="s">
        <v>1202</v>
      </c>
      <c r="D9" t="s">
        <v>1203</v>
      </c>
      <c r="E9" s="1184">
        <v>1268039627.2</v>
      </c>
    </row>
    <row r="10" spans="1:5" x14ac:dyDescent="0.25">
      <c r="A10">
        <v>307</v>
      </c>
      <c r="B10">
        <v>20</v>
      </c>
      <c r="C10" t="s">
        <v>1204</v>
      </c>
      <c r="D10" t="s">
        <v>1205</v>
      </c>
      <c r="E10" s="1184">
        <v>7608237762.1999998</v>
      </c>
    </row>
    <row r="11" spans="1:5" x14ac:dyDescent="0.25">
      <c r="A11">
        <v>307</v>
      </c>
      <c r="B11">
        <v>52</v>
      </c>
      <c r="C11" t="s">
        <v>1206</v>
      </c>
      <c r="D11" t="s">
        <v>1207</v>
      </c>
      <c r="E11" s="1184">
        <v>507215851.27999997</v>
      </c>
    </row>
    <row r="12" spans="1:5" x14ac:dyDescent="0.25">
      <c r="A12">
        <v>307</v>
      </c>
      <c r="B12">
        <v>53</v>
      </c>
      <c r="C12" t="s">
        <v>1208</v>
      </c>
      <c r="D12" t="s">
        <v>1209</v>
      </c>
      <c r="E12" s="1184">
        <v>760823774.91999996</v>
      </c>
    </row>
    <row r="13" spans="1:5" x14ac:dyDescent="0.25">
      <c r="A13">
        <v>307</v>
      </c>
      <c r="B13">
        <v>20</v>
      </c>
      <c r="C13" t="s">
        <v>256</v>
      </c>
      <c r="D13" t="s">
        <v>257</v>
      </c>
      <c r="E13" s="1184">
        <v>314986300</v>
      </c>
    </row>
    <row r="14" spans="1:5" x14ac:dyDescent="0.25">
      <c r="A14">
        <v>307</v>
      </c>
      <c r="B14">
        <v>145</v>
      </c>
      <c r="C14" t="s">
        <v>1210</v>
      </c>
      <c r="D14" t="s">
        <v>274</v>
      </c>
      <c r="E14" s="1184">
        <v>31885741.529999997</v>
      </c>
    </row>
    <row r="15" spans="1:5" x14ac:dyDescent="0.25">
      <c r="A15">
        <v>307</v>
      </c>
      <c r="B15">
        <v>20</v>
      </c>
      <c r="C15" t="s">
        <v>273</v>
      </c>
      <c r="D15" t="s">
        <v>274</v>
      </c>
      <c r="E15" s="1184">
        <v>637714830.60000002</v>
      </c>
    </row>
    <row r="16" spans="1:5" x14ac:dyDescent="0.25">
      <c r="A16">
        <v>307</v>
      </c>
      <c r="B16">
        <v>145</v>
      </c>
      <c r="C16" t="s">
        <v>1211</v>
      </c>
      <c r="D16" t="s">
        <v>276</v>
      </c>
      <c r="E16" s="1184">
        <v>87639020</v>
      </c>
    </row>
    <row r="17" spans="1:5" x14ac:dyDescent="0.25">
      <c r="A17">
        <v>307</v>
      </c>
      <c r="B17">
        <v>20</v>
      </c>
      <c r="C17" t="s">
        <v>275</v>
      </c>
      <c r="D17" t="s">
        <v>276</v>
      </c>
      <c r="E17" s="1184">
        <v>1698381500</v>
      </c>
    </row>
    <row r="18" spans="1:5" x14ac:dyDescent="0.25">
      <c r="A18">
        <v>307</v>
      </c>
      <c r="B18">
        <v>20</v>
      </c>
      <c r="C18" t="s">
        <v>279</v>
      </c>
      <c r="D18" t="s">
        <v>280</v>
      </c>
      <c r="E18" s="1184">
        <v>8010408024</v>
      </c>
    </row>
    <row r="19" spans="1:5" x14ac:dyDescent="0.25">
      <c r="A19">
        <v>307</v>
      </c>
      <c r="B19">
        <v>20</v>
      </c>
      <c r="C19" t="s">
        <v>281</v>
      </c>
      <c r="D19" t="s">
        <v>282</v>
      </c>
      <c r="E19" s="1184">
        <v>537925000</v>
      </c>
    </row>
    <row r="20" spans="1:5" x14ac:dyDescent="0.25">
      <c r="A20">
        <v>307</v>
      </c>
      <c r="B20">
        <v>20</v>
      </c>
      <c r="C20" t="s">
        <v>287</v>
      </c>
      <c r="D20" t="s">
        <v>288</v>
      </c>
      <c r="E20" s="1184">
        <v>6071220185</v>
      </c>
    </row>
    <row r="21" spans="1:5" x14ac:dyDescent="0.25">
      <c r="A21">
        <v>307</v>
      </c>
      <c r="B21">
        <v>20</v>
      </c>
      <c r="C21" t="s">
        <v>289</v>
      </c>
      <c r="D21" t="s">
        <v>290</v>
      </c>
      <c r="E21" s="1184">
        <v>4765658850</v>
      </c>
    </row>
    <row r="22" spans="1:5" x14ac:dyDescent="0.25">
      <c r="A22">
        <v>307</v>
      </c>
      <c r="B22">
        <v>42</v>
      </c>
      <c r="C22" t="s">
        <v>291</v>
      </c>
      <c r="D22" t="s">
        <v>292</v>
      </c>
      <c r="E22" s="1184">
        <v>2352113722.1700001</v>
      </c>
    </row>
    <row r="23" spans="1:5" x14ac:dyDescent="0.25">
      <c r="A23">
        <v>307</v>
      </c>
      <c r="B23">
        <v>6</v>
      </c>
      <c r="C23" t="s">
        <v>1212</v>
      </c>
      <c r="D23" t="s">
        <v>1213</v>
      </c>
      <c r="E23" s="1184">
        <v>2754964640</v>
      </c>
    </row>
    <row r="24" spans="1:5" x14ac:dyDescent="0.25">
      <c r="A24">
        <v>307</v>
      </c>
      <c r="B24">
        <v>178</v>
      </c>
      <c r="C24" t="s">
        <v>1214</v>
      </c>
      <c r="D24" t="s">
        <v>1215</v>
      </c>
      <c r="E24" s="1184">
        <v>687975360</v>
      </c>
    </row>
    <row r="25" spans="1:5" x14ac:dyDescent="0.25">
      <c r="A25">
        <v>307</v>
      </c>
      <c r="B25">
        <v>4</v>
      </c>
      <c r="C25" t="s">
        <v>1216</v>
      </c>
      <c r="D25" t="s">
        <v>1217</v>
      </c>
      <c r="E25" s="1184">
        <v>3318305849.9899998</v>
      </c>
    </row>
    <row r="26" spans="1:5" x14ac:dyDescent="0.25">
      <c r="A26">
        <v>307</v>
      </c>
      <c r="B26">
        <v>176</v>
      </c>
      <c r="C26" t="s">
        <v>1218</v>
      </c>
      <c r="D26" t="s">
        <v>1219</v>
      </c>
      <c r="E26" s="1184">
        <v>1329033390</v>
      </c>
    </row>
    <row r="27" spans="1:5" x14ac:dyDescent="0.25">
      <c r="A27">
        <v>307</v>
      </c>
      <c r="B27">
        <v>177</v>
      </c>
      <c r="C27" t="s">
        <v>1220</v>
      </c>
      <c r="D27" t="s">
        <v>1221</v>
      </c>
      <c r="E27" s="1184">
        <v>1989272460.01</v>
      </c>
    </row>
    <row r="28" spans="1:5" x14ac:dyDescent="0.25">
      <c r="A28">
        <v>307</v>
      </c>
      <c r="B28">
        <v>5</v>
      </c>
      <c r="C28" t="s">
        <v>1222</v>
      </c>
      <c r="D28" t="s">
        <v>1223</v>
      </c>
      <c r="E28" s="1184">
        <v>282749359.99000001</v>
      </c>
    </row>
    <row r="29" spans="1:5" x14ac:dyDescent="0.25">
      <c r="A29">
        <v>307</v>
      </c>
      <c r="B29">
        <v>33</v>
      </c>
      <c r="C29" t="s">
        <v>1224</v>
      </c>
      <c r="D29" t="s">
        <v>1225</v>
      </c>
      <c r="E29" s="1184">
        <v>141374680.00999999</v>
      </c>
    </row>
    <row r="30" spans="1:5" x14ac:dyDescent="0.25">
      <c r="A30">
        <v>307</v>
      </c>
      <c r="B30">
        <v>34</v>
      </c>
      <c r="C30" t="s">
        <v>1226</v>
      </c>
      <c r="D30" t="s">
        <v>1227</v>
      </c>
      <c r="E30" s="1184">
        <v>141477800.00999999</v>
      </c>
    </row>
    <row r="31" spans="1:5" x14ac:dyDescent="0.25">
      <c r="A31">
        <v>307</v>
      </c>
      <c r="B31">
        <v>39</v>
      </c>
      <c r="C31" t="s">
        <v>1228</v>
      </c>
      <c r="D31" t="s">
        <v>1229</v>
      </c>
      <c r="E31" s="1184">
        <v>706770279.98000002</v>
      </c>
    </row>
    <row r="32" spans="1:5" x14ac:dyDescent="0.25">
      <c r="A32">
        <v>307</v>
      </c>
      <c r="B32">
        <v>41</v>
      </c>
      <c r="C32" t="s">
        <v>1230</v>
      </c>
      <c r="D32" t="s">
        <v>1231</v>
      </c>
      <c r="E32" s="1184">
        <v>141374680.00999999</v>
      </c>
    </row>
    <row r="33" spans="1:5" x14ac:dyDescent="0.25">
      <c r="A33">
        <v>307</v>
      </c>
      <c r="B33">
        <v>18</v>
      </c>
      <c r="C33" t="s">
        <v>322</v>
      </c>
      <c r="D33" t="s">
        <v>323</v>
      </c>
      <c r="E33" s="1184">
        <v>17391448</v>
      </c>
    </row>
    <row r="34" spans="1:5" x14ac:dyDescent="0.25">
      <c r="A34">
        <v>307</v>
      </c>
      <c r="B34">
        <v>18</v>
      </c>
      <c r="C34" t="s">
        <v>324</v>
      </c>
      <c r="D34" t="s">
        <v>325</v>
      </c>
      <c r="E34" s="1184">
        <v>12508885</v>
      </c>
    </row>
    <row r="35" spans="1:5" x14ac:dyDescent="0.25">
      <c r="A35">
        <v>307</v>
      </c>
      <c r="B35">
        <v>18</v>
      </c>
      <c r="C35" t="s">
        <v>326</v>
      </c>
      <c r="D35" t="s">
        <v>327</v>
      </c>
      <c r="E35" s="1184">
        <v>70201215</v>
      </c>
    </row>
    <row r="36" spans="1:5" x14ac:dyDescent="0.25">
      <c r="A36">
        <v>307</v>
      </c>
      <c r="B36">
        <v>18</v>
      </c>
      <c r="C36" t="s">
        <v>328</v>
      </c>
      <c r="D36" t="s">
        <v>329</v>
      </c>
      <c r="E36" s="1184">
        <v>11676984</v>
      </c>
    </row>
    <row r="37" spans="1:5" x14ac:dyDescent="0.25">
      <c r="A37">
        <v>307</v>
      </c>
      <c r="B37">
        <v>18</v>
      </c>
      <c r="C37" t="s">
        <v>330</v>
      </c>
      <c r="D37" t="s">
        <v>331</v>
      </c>
      <c r="E37" s="1184">
        <v>4762714</v>
      </c>
    </row>
    <row r="38" spans="1:5" x14ac:dyDescent="0.25">
      <c r="A38">
        <v>307</v>
      </c>
      <c r="B38">
        <v>18</v>
      </c>
      <c r="C38" t="s">
        <v>332</v>
      </c>
      <c r="D38" t="s">
        <v>333</v>
      </c>
      <c r="E38" s="1184">
        <v>2502820</v>
      </c>
    </row>
    <row r="39" spans="1:5" x14ac:dyDescent="0.25">
      <c r="A39">
        <v>307</v>
      </c>
      <c r="B39">
        <v>18</v>
      </c>
      <c r="C39" t="s">
        <v>334</v>
      </c>
      <c r="D39" t="s">
        <v>335</v>
      </c>
      <c r="E39" s="1184">
        <v>0</v>
      </c>
    </row>
    <row r="40" spans="1:5" x14ac:dyDescent="0.25">
      <c r="A40">
        <v>307</v>
      </c>
      <c r="B40">
        <v>18</v>
      </c>
      <c r="C40" t="s">
        <v>336</v>
      </c>
      <c r="D40" t="s">
        <v>337</v>
      </c>
      <c r="E40" s="1184">
        <v>4794152.2799999993</v>
      </c>
    </row>
    <row r="41" spans="1:5" x14ac:dyDescent="0.25">
      <c r="A41">
        <v>307</v>
      </c>
      <c r="B41">
        <v>18</v>
      </c>
      <c r="C41" t="s">
        <v>338</v>
      </c>
      <c r="D41" t="s">
        <v>339</v>
      </c>
      <c r="E41" s="1184">
        <v>126592840</v>
      </c>
    </row>
    <row r="42" spans="1:5" x14ac:dyDescent="0.25">
      <c r="A42">
        <v>307</v>
      </c>
      <c r="B42">
        <v>20</v>
      </c>
      <c r="C42" t="s">
        <v>351</v>
      </c>
      <c r="D42" t="s">
        <v>352</v>
      </c>
      <c r="E42" s="1184">
        <v>36754704.200000003</v>
      </c>
    </row>
    <row r="43" spans="1:5" x14ac:dyDescent="0.25">
      <c r="A43">
        <v>307</v>
      </c>
      <c r="B43">
        <v>20</v>
      </c>
      <c r="C43" t="s">
        <v>353</v>
      </c>
      <c r="D43" t="s">
        <v>354</v>
      </c>
      <c r="E43" s="131">
        <v>0</v>
      </c>
    </row>
    <row r="44" spans="1:5" x14ac:dyDescent="0.25">
      <c r="A44">
        <v>307</v>
      </c>
      <c r="B44">
        <v>20</v>
      </c>
      <c r="C44" t="s">
        <v>355</v>
      </c>
      <c r="D44" t="s">
        <v>356</v>
      </c>
      <c r="E44" s="1184">
        <v>68788806.120000005</v>
      </c>
    </row>
    <row r="45" spans="1:5" x14ac:dyDescent="0.25">
      <c r="A45">
        <v>307</v>
      </c>
      <c r="B45">
        <v>20</v>
      </c>
      <c r="C45" t="s">
        <v>357</v>
      </c>
      <c r="D45" t="s">
        <v>358</v>
      </c>
      <c r="E45" s="131">
        <v>0</v>
      </c>
    </row>
    <row r="46" spans="1:5" x14ac:dyDescent="0.25">
      <c r="A46">
        <v>307</v>
      </c>
      <c r="B46">
        <v>20</v>
      </c>
      <c r="C46" t="s">
        <v>1232</v>
      </c>
      <c r="D46" t="s">
        <v>369</v>
      </c>
      <c r="E46" s="1184">
        <v>2195330432.0899997</v>
      </c>
    </row>
    <row r="47" spans="1:5" x14ac:dyDescent="0.25">
      <c r="A47">
        <v>307</v>
      </c>
      <c r="B47">
        <v>20</v>
      </c>
      <c r="C47" t="s">
        <v>370</v>
      </c>
      <c r="D47" t="s">
        <v>371</v>
      </c>
      <c r="E47" s="1184">
        <v>395844</v>
      </c>
    </row>
    <row r="48" spans="1:5" x14ac:dyDescent="0.25">
      <c r="A48">
        <v>307</v>
      </c>
      <c r="B48">
        <v>20</v>
      </c>
      <c r="C48" t="s">
        <v>374</v>
      </c>
      <c r="D48" t="s">
        <v>375</v>
      </c>
      <c r="E48" s="131">
        <v>0</v>
      </c>
    </row>
    <row r="49" spans="1:5" x14ac:dyDescent="0.25">
      <c r="A49">
        <v>307</v>
      </c>
      <c r="B49">
        <v>20</v>
      </c>
      <c r="C49" t="s">
        <v>383</v>
      </c>
      <c r="D49" t="s">
        <v>384</v>
      </c>
      <c r="E49" s="1184">
        <v>496222496.51999998</v>
      </c>
    </row>
    <row r="50" spans="1:5" x14ac:dyDescent="0.25">
      <c r="A50">
        <v>307</v>
      </c>
      <c r="B50">
        <v>20</v>
      </c>
      <c r="C50" t="s">
        <v>389</v>
      </c>
      <c r="D50" t="s">
        <v>390</v>
      </c>
      <c r="E50" s="1184">
        <v>71663960.129999995</v>
      </c>
    </row>
    <row r="51" spans="1:5" x14ac:dyDescent="0.25">
      <c r="A51">
        <v>307</v>
      </c>
      <c r="B51">
        <v>20</v>
      </c>
      <c r="C51" t="s">
        <v>397</v>
      </c>
      <c r="D51" t="s">
        <v>398</v>
      </c>
      <c r="E51" s="1184">
        <v>109541333.34999999</v>
      </c>
    </row>
    <row r="52" spans="1:5" x14ac:dyDescent="0.25">
      <c r="A52">
        <v>307</v>
      </c>
      <c r="B52">
        <v>20</v>
      </c>
      <c r="C52" t="s">
        <v>403</v>
      </c>
      <c r="D52" t="s">
        <v>404</v>
      </c>
      <c r="E52" s="131">
        <v>0</v>
      </c>
    </row>
    <row r="53" spans="1:5" x14ac:dyDescent="0.25">
      <c r="A53">
        <v>307</v>
      </c>
      <c r="B53">
        <v>27</v>
      </c>
      <c r="C53" t="s">
        <v>409</v>
      </c>
      <c r="D53" t="s">
        <v>410</v>
      </c>
      <c r="E53" s="1184">
        <v>1439375253</v>
      </c>
    </row>
    <row r="54" spans="1:5" x14ac:dyDescent="0.25">
      <c r="A54">
        <v>307</v>
      </c>
      <c r="B54">
        <v>23</v>
      </c>
      <c r="C54" t="s">
        <v>1233</v>
      </c>
      <c r="D54" t="s">
        <v>416</v>
      </c>
      <c r="E54" s="1184">
        <v>1361192294</v>
      </c>
    </row>
    <row r="55" spans="1:5" x14ac:dyDescent="0.25">
      <c r="A55">
        <v>307</v>
      </c>
      <c r="B55">
        <v>47</v>
      </c>
      <c r="C55" t="s">
        <v>417</v>
      </c>
      <c r="D55" t="s">
        <v>418</v>
      </c>
      <c r="E55" s="1184">
        <v>119068844</v>
      </c>
    </row>
    <row r="56" spans="1:5" x14ac:dyDescent="0.25">
      <c r="A56">
        <v>307</v>
      </c>
      <c r="B56">
        <v>225</v>
      </c>
      <c r="C56" t="s">
        <v>1234</v>
      </c>
      <c r="D56" t="s">
        <v>1235</v>
      </c>
      <c r="E56" s="131">
        <v>15612200000</v>
      </c>
    </row>
    <row r="57" spans="1:5" x14ac:dyDescent="0.25">
      <c r="A57">
        <v>307</v>
      </c>
      <c r="B57">
        <v>218</v>
      </c>
      <c r="C57" t="s">
        <v>1236</v>
      </c>
      <c r="D57" t="s">
        <v>438</v>
      </c>
      <c r="E57" s="131">
        <v>0</v>
      </c>
    </row>
    <row r="58" spans="1:5" x14ac:dyDescent="0.25">
      <c r="A58">
        <v>307</v>
      </c>
      <c r="B58">
        <v>219</v>
      </c>
      <c r="C58" t="s">
        <v>1237</v>
      </c>
      <c r="D58" t="s">
        <v>438</v>
      </c>
      <c r="E58" s="131">
        <v>0</v>
      </c>
    </row>
    <row r="59" spans="1:5" x14ac:dyDescent="0.25">
      <c r="A59">
        <v>307</v>
      </c>
      <c r="B59">
        <v>226</v>
      </c>
      <c r="C59" t="s">
        <v>1238</v>
      </c>
      <c r="D59" t="s">
        <v>438</v>
      </c>
      <c r="E59" s="131">
        <v>19788720416</v>
      </c>
    </row>
    <row r="60" spans="1:5" x14ac:dyDescent="0.25">
      <c r="A60">
        <v>307</v>
      </c>
      <c r="B60">
        <v>201</v>
      </c>
      <c r="C60" t="s">
        <v>439</v>
      </c>
      <c r="D60" t="s">
        <v>440</v>
      </c>
      <c r="E60" s="131">
        <v>0</v>
      </c>
    </row>
    <row r="61" spans="1:5" x14ac:dyDescent="0.25">
      <c r="A61">
        <v>307</v>
      </c>
      <c r="B61">
        <v>56</v>
      </c>
      <c r="C61" t="s">
        <v>441</v>
      </c>
      <c r="D61" t="s">
        <v>442</v>
      </c>
      <c r="E61" s="131">
        <v>453382640</v>
      </c>
    </row>
    <row r="62" spans="1:5" x14ac:dyDescent="0.25">
      <c r="A62">
        <v>307</v>
      </c>
      <c r="B62">
        <v>20</v>
      </c>
      <c r="C62" t="s">
        <v>1239</v>
      </c>
      <c r="D62" t="s">
        <v>325</v>
      </c>
      <c r="E62" s="1184">
        <v>3959655</v>
      </c>
    </row>
    <row r="63" spans="1:5" x14ac:dyDescent="0.25">
      <c r="A63">
        <v>307</v>
      </c>
      <c r="B63">
        <v>20</v>
      </c>
      <c r="C63" t="s">
        <v>452</v>
      </c>
      <c r="D63" t="s">
        <v>453</v>
      </c>
      <c r="E63" s="131">
        <v>0</v>
      </c>
    </row>
    <row r="64" spans="1:5" x14ac:dyDescent="0.25">
      <c r="A64">
        <v>307</v>
      </c>
      <c r="B64">
        <v>20</v>
      </c>
      <c r="C64" t="s">
        <v>454</v>
      </c>
      <c r="D64" t="s">
        <v>455</v>
      </c>
      <c r="E64" s="1184">
        <v>7151595</v>
      </c>
    </row>
    <row r="65" spans="1:5" x14ac:dyDescent="0.25">
      <c r="A65">
        <v>307</v>
      </c>
      <c r="B65">
        <v>20</v>
      </c>
      <c r="C65" t="s">
        <v>456</v>
      </c>
      <c r="D65" t="s">
        <v>457</v>
      </c>
      <c r="E65" s="1184">
        <v>70477227.180000007</v>
      </c>
    </row>
    <row r="66" spans="1:5" x14ac:dyDescent="0.25">
      <c r="A66">
        <v>307</v>
      </c>
      <c r="B66">
        <v>20</v>
      </c>
      <c r="C66" t="s">
        <v>460</v>
      </c>
      <c r="D66" t="s">
        <v>461</v>
      </c>
      <c r="E66" s="1184">
        <v>875552</v>
      </c>
    </row>
    <row r="67" spans="1:5" x14ac:dyDescent="0.25">
      <c r="A67">
        <v>307</v>
      </c>
      <c r="B67">
        <v>20</v>
      </c>
      <c r="C67" t="s">
        <v>462</v>
      </c>
      <c r="D67" t="s">
        <v>463</v>
      </c>
      <c r="E67" s="1184">
        <v>461412680</v>
      </c>
    </row>
    <row r="68" spans="1:5" x14ac:dyDescent="0.25">
      <c r="A68">
        <v>307</v>
      </c>
      <c r="B68">
        <v>20</v>
      </c>
      <c r="C68" t="s">
        <v>464</v>
      </c>
      <c r="D68" t="s">
        <v>465</v>
      </c>
      <c r="E68" s="1184">
        <v>1612166</v>
      </c>
    </row>
    <row r="69" spans="1:5" x14ac:dyDescent="0.25">
      <c r="A69">
        <v>307</v>
      </c>
      <c r="B69">
        <v>20</v>
      </c>
      <c r="C69" t="s">
        <v>467</v>
      </c>
      <c r="D69" t="s">
        <v>339</v>
      </c>
      <c r="E69" s="131">
        <v>0</v>
      </c>
    </row>
    <row r="70" spans="1:5" x14ac:dyDescent="0.25">
      <c r="A70">
        <v>307</v>
      </c>
      <c r="B70">
        <v>20</v>
      </c>
      <c r="C70" t="s">
        <v>468</v>
      </c>
      <c r="D70" t="s">
        <v>469</v>
      </c>
      <c r="E70" s="1184">
        <v>24029964</v>
      </c>
    </row>
    <row r="71" spans="1:5" x14ac:dyDescent="0.25">
      <c r="A71">
        <v>307</v>
      </c>
      <c r="B71">
        <v>20</v>
      </c>
      <c r="C71" t="s">
        <v>470</v>
      </c>
      <c r="D71" t="s">
        <v>471</v>
      </c>
      <c r="E71" s="1184">
        <v>733857</v>
      </c>
    </row>
    <row r="72" spans="1:5" x14ac:dyDescent="0.25">
      <c r="A72">
        <v>307</v>
      </c>
      <c r="B72">
        <v>20</v>
      </c>
      <c r="C72" t="s">
        <v>474</v>
      </c>
      <c r="D72" t="s">
        <v>475</v>
      </c>
      <c r="E72" s="131">
        <v>0</v>
      </c>
    </row>
    <row r="73" spans="1:5" x14ac:dyDescent="0.25">
      <c r="A73">
        <v>307</v>
      </c>
      <c r="B73">
        <v>20</v>
      </c>
      <c r="C73" t="s">
        <v>476</v>
      </c>
      <c r="D73" t="s">
        <v>477</v>
      </c>
      <c r="E73" s="1184">
        <v>2517551</v>
      </c>
    </row>
    <row r="74" spans="1:5" x14ac:dyDescent="0.25">
      <c r="A74">
        <v>307</v>
      </c>
      <c r="B74">
        <v>20</v>
      </c>
      <c r="C74" t="s">
        <v>478</v>
      </c>
      <c r="D74" t="s">
        <v>479</v>
      </c>
      <c r="E74" s="131">
        <v>0</v>
      </c>
    </row>
    <row r="75" spans="1:5" x14ac:dyDescent="0.25">
      <c r="A75">
        <v>307</v>
      </c>
      <c r="B75">
        <v>20</v>
      </c>
      <c r="C75" t="s">
        <v>482</v>
      </c>
      <c r="D75" t="s">
        <v>483</v>
      </c>
      <c r="E75" s="131">
        <v>0</v>
      </c>
    </row>
    <row r="76" spans="1:5" x14ac:dyDescent="0.25">
      <c r="A76">
        <v>307</v>
      </c>
      <c r="B76">
        <v>20</v>
      </c>
      <c r="C76" t="s">
        <v>484</v>
      </c>
      <c r="D76" t="s">
        <v>485</v>
      </c>
      <c r="E76" s="1184">
        <v>2947924</v>
      </c>
    </row>
    <row r="77" spans="1:5" x14ac:dyDescent="0.25">
      <c r="A77">
        <v>307</v>
      </c>
      <c r="B77">
        <v>20</v>
      </c>
      <c r="C77" t="s">
        <v>490</v>
      </c>
      <c r="D77" t="s">
        <v>491</v>
      </c>
      <c r="E77" s="1184">
        <v>1956741</v>
      </c>
    </row>
    <row r="78" spans="1:5" x14ac:dyDescent="0.25">
      <c r="A78">
        <v>307</v>
      </c>
      <c r="B78">
        <v>20</v>
      </c>
      <c r="C78" t="s">
        <v>492</v>
      </c>
      <c r="D78" t="s">
        <v>493</v>
      </c>
      <c r="E78" s="1184">
        <v>6522299</v>
      </c>
    </row>
    <row r="79" spans="1:5" x14ac:dyDescent="0.25">
      <c r="A79">
        <v>307</v>
      </c>
      <c r="B79">
        <v>35</v>
      </c>
      <c r="C79" t="s">
        <v>1240</v>
      </c>
      <c r="D79" t="s">
        <v>1241</v>
      </c>
      <c r="E79" s="1184">
        <v>14640459.860000001</v>
      </c>
    </row>
    <row r="80" spans="1:5" x14ac:dyDescent="0.25">
      <c r="A80">
        <v>307</v>
      </c>
      <c r="B80">
        <v>179</v>
      </c>
      <c r="C80" t="s">
        <v>1242</v>
      </c>
      <c r="D80" t="s">
        <v>1243</v>
      </c>
      <c r="E80" s="1184"/>
    </row>
    <row r="81" spans="1:5" x14ac:dyDescent="0.25">
      <c r="A81">
        <v>307</v>
      </c>
      <c r="B81">
        <v>20</v>
      </c>
      <c r="C81" t="s">
        <v>1244</v>
      </c>
      <c r="D81" t="s">
        <v>505</v>
      </c>
      <c r="E81" s="1184">
        <v>48111596.169999994</v>
      </c>
    </row>
    <row r="82" spans="1:5" x14ac:dyDescent="0.25">
      <c r="A82">
        <v>307</v>
      </c>
      <c r="B82">
        <v>35</v>
      </c>
      <c r="C82" t="s">
        <v>1245</v>
      </c>
      <c r="D82" t="s">
        <v>1246</v>
      </c>
      <c r="E82" s="1184">
        <v>62137.23000000001</v>
      </c>
    </row>
    <row r="83" spans="1:5" x14ac:dyDescent="0.25">
      <c r="A83">
        <v>307</v>
      </c>
      <c r="B83">
        <v>179</v>
      </c>
      <c r="C83" t="s">
        <v>1247</v>
      </c>
      <c r="D83" t="s">
        <v>1248</v>
      </c>
      <c r="E83" s="1184">
        <v>1799886.41</v>
      </c>
    </row>
    <row r="84" spans="1:5" x14ac:dyDescent="0.25">
      <c r="A84">
        <v>307</v>
      </c>
      <c r="B84">
        <v>20</v>
      </c>
      <c r="C84" t="s">
        <v>1249</v>
      </c>
      <c r="D84" t="s">
        <v>1248</v>
      </c>
      <c r="E84" s="1184">
        <v>204007.78000000003</v>
      </c>
    </row>
    <row r="85" spans="1:5" x14ac:dyDescent="0.25">
      <c r="A85">
        <v>307</v>
      </c>
      <c r="B85">
        <v>179</v>
      </c>
      <c r="C85" t="s">
        <v>1250</v>
      </c>
      <c r="D85" t="s">
        <v>1251</v>
      </c>
      <c r="E85" s="1184">
        <v>490622666.72000003</v>
      </c>
    </row>
    <row r="86" spans="1:5" x14ac:dyDescent="0.25">
      <c r="A86">
        <v>307</v>
      </c>
      <c r="B86">
        <v>20</v>
      </c>
      <c r="C86" t="s">
        <v>1252</v>
      </c>
      <c r="D86" t="s">
        <v>1251</v>
      </c>
      <c r="E86" s="1184">
        <v>6851023602.8799992</v>
      </c>
    </row>
    <row r="87" spans="1:5" x14ac:dyDescent="0.25">
      <c r="A87">
        <v>307</v>
      </c>
      <c r="B87">
        <v>35</v>
      </c>
      <c r="C87" t="s">
        <v>1253</v>
      </c>
      <c r="D87" t="s">
        <v>1251</v>
      </c>
      <c r="E87" s="1184">
        <v>2085092826.1600001</v>
      </c>
    </row>
    <row r="88" spans="1:5" x14ac:dyDescent="0.25">
      <c r="A88">
        <v>307</v>
      </c>
      <c r="B88">
        <v>179</v>
      </c>
      <c r="C88" t="s">
        <v>1254</v>
      </c>
      <c r="D88" t="s">
        <v>1255</v>
      </c>
      <c r="E88" s="1184">
        <v>122755463.73</v>
      </c>
    </row>
    <row r="89" spans="1:5" x14ac:dyDescent="0.25">
      <c r="A89">
        <v>307</v>
      </c>
      <c r="B89">
        <v>20</v>
      </c>
      <c r="C89" t="s">
        <v>1256</v>
      </c>
      <c r="D89" t="s">
        <v>1255</v>
      </c>
      <c r="E89" s="1184">
        <v>1870359962.5</v>
      </c>
    </row>
    <row r="90" spans="1:5" x14ac:dyDescent="0.25">
      <c r="A90">
        <v>307</v>
      </c>
      <c r="B90">
        <v>35</v>
      </c>
      <c r="C90" t="s">
        <v>1257</v>
      </c>
      <c r="D90" t="s">
        <v>1255</v>
      </c>
      <c r="E90" s="1184">
        <v>569133923.63</v>
      </c>
    </row>
    <row r="91" spans="1:5" x14ac:dyDescent="0.25">
      <c r="A91">
        <v>307</v>
      </c>
      <c r="B91">
        <v>20</v>
      </c>
      <c r="C91" t="s">
        <v>1258</v>
      </c>
      <c r="D91" t="s">
        <v>1259</v>
      </c>
      <c r="E91" s="1184">
        <v>5376097.9500000002</v>
      </c>
    </row>
    <row r="92" spans="1:5" x14ac:dyDescent="0.25">
      <c r="A92">
        <v>307</v>
      </c>
      <c r="B92">
        <v>205</v>
      </c>
      <c r="C92" t="s">
        <v>1260</v>
      </c>
      <c r="D92" t="s">
        <v>1259</v>
      </c>
      <c r="E92" s="1184">
        <v>1378500</v>
      </c>
    </row>
    <row r="93" spans="1:5" x14ac:dyDescent="0.25">
      <c r="A93">
        <v>307</v>
      </c>
      <c r="B93">
        <v>35</v>
      </c>
      <c r="C93" t="s">
        <v>1261</v>
      </c>
      <c r="D93" t="s">
        <v>1259</v>
      </c>
      <c r="E93" s="1184">
        <v>1929952.05</v>
      </c>
    </row>
    <row r="94" spans="1:5" x14ac:dyDescent="0.25">
      <c r="A94">
        <v>307</v>
      </c>
      <c r="B94">
        <v>20</v>
      </c>
      <c r="C94" t="s">
        <v>526</v>
      </c>
      <c r="D94" t="s">
        <v>527</v>
      </c>
      <c r="E94" s="131">
        <v>0</v>
      </c>
    </row>
    <row r="95" spans="1:5" x14ac:dyDescent="0.25">
      <c r="A95">
        <v>307</v>
      </c>
      <c r="B95">
        <v>20</v>
      </c>
      <c r="C95" t="s">
        <v>1262</v>
      </c>
      <c r="D95" t="s">
        <v>1263</v>
      </c>
      <c r="E95" s="131">
        <v>0</v>
      </c>
    </row>
    <row r="96" spans="1:5" x14ac:dyDescent="0.25">
      <c r="A96">
        <v>307</v>
      </c>
      <c r="B96">
        <v>4</v>
      </c>
      <c r="C96" t="s">
        <v>1264</v>
      </c>
      <c r="D96" t="s">
        <v>1265</v>
      </c>
      <c r="E96" s="1184">
        <v>53314638.090000004</v>
      </c>
    </row>
    <row r="97" spans="1:5" x14ac:dyDescent="0.25">
      <c r="A97">
        <v>307</v>
      </c>
      <c r="B97">
        <v>176</v>
      </c>
      <c r="C97" t="s">
        <v>1266</v>
      </c>
      <c r="D97" t="s">
        <v>1267</v>
      </c>
      <c r="E97" s="1184">
        <v>21325855.219999999</v>
      </c>
    </row>
    <row r="98" spans="1:5" x14ac:dyDescent="0.25">
      <c r="A98">
        <v>307</v>
      </c>
      <c r="B98">
        <v>5</v>
      </c>
      <c r="C98" t="s">
        <v>1268</v>
      </c>
      <c r="D98" t="s">
        <v>1269</v>
      </c>
      <c r="E98" s="1184">
        <v>3076381.8200000003</v>
      </c>
    </row>
    <row r="99" spans="1:5" x14ac:dyDescent="0.25">
      <c r="A99">
        <v>307</v>
      </c>
      <c r="B99">
        <v>33</v>
      </c>
      <c r="C99" t="s">
        <v>1270</v>
      </c>
      <c r="D99" t="s">
        <v>1271</v>
      </c>
      <c r="E99" s="1184">
        <v>1538190.9300000002</v>
      </c>
    </row>
    <row r="100" spans="1:5" x14ac:dyDescent="0.25">
      <c r="A100">
        <v>307</v>
      </c>
      <c r="B100">
        <v>34</v>
      </c>
      <c r="C100" t="s">
        <v>1272</v>
      </c>
      <c r="D100" t="s">
        <v>1273</v>
      </c>
      <c r="E100" s="1184">
        <v>1538190.9300000002</v>
      </c>
    </row>
    <row r="101" spans="1:5" x14ac:dyDescent="0.25">
      <c r="A101">
        <v>307</v>
      </c>
      <c r="B101">
        <v>39</v>
      </c>
      <c r="C101" t="s">
        <v>1274</v>
      </c>
      <c r="D101" t="s">
        <v>1275</v>
      </c>
      <c r="E101" s="1184">
        <v>6902667.2299999995</v>
      </c>
    </row>
    <row r="102" spans="1:5" x14ac:dyDescent="0.25">
      <c r="A102">
        <v>307</v>
      </c>
      <c r="B102">
        <v>41</v>
      </c>
      <c r="C102" t="s">
        <v>1276</v>
      </c>
      <c r="D102" t="s">
        <v>1277</v>
      </c>
      <c r="E102" s="1184">
        <v>2326478.29</v>
      </c>
    </row>
    <row r="103" spans="1:5" x14ac:dyDescent="0.25">
      <c r="A103">
        <v>307</v>
      </c>
      <c r="B103">
        <v>6</v>
      </c>
      <c r="C103" t="s">
        <v>1278</v>
      </c>
      <c r="D103" t="s">
        <v>1279</v>
      </c>
      <c r="E103" s="1184">
        <v>43410720.629999995</v>
      </c>
    </row>
    <row r="104" spans="1:5" x14ac:dyDescent="0.25">
      <c r="A104">
        <v>307</v>
      </c>
      <c r="B104">
        <v>178</v>
      </c>
      <c r="C104" t="s">
        <v>1280</v>
      </c>
      <c r="D104" t="s">
        <v>1281</v>
      </c>
      <c r="E104" s="1184">
        <v>10852680.140000001</v>
      </c>
    </row>
    <row r="105" spans="1:5" x14ac:dyDescent="0.25">
      <c r="A105">
        <v>307</v>
      </c>
      <c r="B105">
        <v>135</v>
      </c>
      <c r="C105" t="s">
        <v>1282</v>
      </c>
      <c r="D105" t="s">
        <v>1283</v>
      </c>
      <c r="E105" s="1184">
        <v>37893871.93</v>
      </c>
    </row>
    <row r="106" spans="1:5" x14ac:dyDescent="0.25">
      <c r="A106">
        <v>307</v>
      </c>
      <c r="B106">
        <v>42</v>
      </c>
      <c r="C106" t="s">
        <v>1284</v>
      </c>
      <c r="D106" t="s">
        <v>1285</v>
      </c>
      <c r="E106" s="1184">
        <v>85082810.650000006</v>
      </c>
    </row>
    <row r="107" spans="1:5" x14ac:dyDescent="0.25">
      <c r="A107">
        <v>307</v>
      </c>
      <c r="B107">
        <v>27</v>
      </c>
      <c r="C107" t="s">
        <v>1286</v>
      </c>
      <c r="D107" t="s">
        <v>1287</v>
      </c>
      <c r="E107" s="1184">
        <v>13324736.870000001</v>
      </c>
    </row>
    <row r="108" spans="1:5" x14ac:dyDescent="0.25">
      <c r="A108">
        <v>307</v>
      </c>
      <c r="B108">
        <v>20</v>
      </c>
      <c r="C108" t="s">
        <v>1288</v>
      </c>
      <c r="D108" t="s">
        <v>1289</v>
      </c>
      <c r="E108" s="1184">
        <v>451364701.05000001</v>
      </c>
    </row>
    <row r="109" spans="1:5" x14ac:dyDescent="0.25">
      <c r="A109">
        <v>307</v>
      </c>
      <c r="B109">
        <v>177</v>
      </c>
      <c r="C109" t="s">
        <v>1290</v>
      </c>
      <c r="D109" t="s">
        <v>1291</v>
      </c>
      <c r="E109" s="131">
        <v>31988782.789999999</v>
      </c>
    </row>
    <row r="110" spans="1:5" x14ac:dyDescent="0.25">
      <c r="A110">
        <v>307</v>
      </c>
      <c r="B110">
        <v>23</v>
      </c>
      <c r="C110" t="s">
        <v>1292</v>
      </c>
      <c r="D110" t="s">
        <v>1293</v>
      </c>
      <c r="E110" s="1184">
        <v>1375262.58</v>
      </c>
    </row>
    <row r="111" spans="1:5" x14ac:dyDescent="0.25">
      <c r="A111">
        <v>307</v>
      </c>
      <c r="B111">
        <v>134</v>
      </c>
      <c r="C111" t="s">
        <v>1294</v>
      </c>
      <c r="D111" t="s">
        <v>1295</v>
      </c>
      <c r="E111" s="131">
        <v>164.1</v>
      </c>
    </row>
    <row r="112" spans="1:5" x14ac:dyDescent="0.25">
      <c r="A112">
        <v>307</v>
      </c>
      <c r="B112">
        <v>179</v>
      </c>
      <c r="C112" t="s">
        <v>1296</v>
      </c>
      <c r="D112" t="s">
        <v>1297</v>
      </c>
      <c r="E112" s="131">
        <v>90988.94</v>
      </c>
    </row>
    <row r="113" spans="1:5" x14ac:dyDescent="0.25">
      <c r="A113">
        <v>307</v>
      </c>
      <c r="B113">
        <v>145</v>
      </c>
      <c r="C113" t="s">
        <v>1298</v>
      </c>
      <c r="D113" t="s">
        <v>1299</v>
      </c>
      <c r="E113" s="131">
        <v>18180.14</v>
      </c>
    </row>
    <row r="114" spans="1:5" x14ac:dyDescent="0.25">
      <c r="A114">
        <v>307</v>
      </c>
      <c r="B114">
        <v>46</v>
      </c>
      <c r="C114" t="s">
        <v>1300</v>
      </c>
      <c r="D114" t="s">
        <v>1301</v>
      </c>
      <c r="E114" s="131">
        <v>0</v>
      </c>
    </row>
    <row r="115" spans="1:5" x14ac:dyDescent="0.25">
      <c r="A115">
        <v>307</v>
      </c>
      <c r="B115">
        <v>88</v>
      </c>
      <c r="C115" t="s">
        <v>1302</v>
      </c>
      <c r="D115" t="s">
        <v>1303</v>
      </c>
      <c r="E115" s="131">
        <v>612249471.07999992</v>
      </c>
    </row>
    <row r="116" spans="1:5" x14ac:dyDescent="0.25">
      <c r="A116">
        <v>307</v>
      </c>
      <c r="B116">
        <v>82</v>
      </c>
      <c r="C116" t="s">
        <v>1304</v>
      </c>
      <c r="D116" t="s">
        <v>1305</v>
      </c>
      <c r="E116" s="131">
        <v>0</v>
      </c>
    </row>
    <row r="117" spans="1:5" x14ac:dyDescent="0.25">
      <c r="A117">
        <v>307</v>
      </c>
      <c r="B117">
        <v>157</v>
      </c>
      <c r="C117" t="s">
        <v>1306</v>
      </c>
      <c r="D117" t="s">
        <v>1307</v>
      </c>
      <c r="E117" s="131">
        <v>0</v>
      </c>
    </row>
    <row r="118" spans="1:5" x14ac:dyDescent="0.25">
      <c r="A118">
        <v>307</v>
      </c>
      <c r="B118">
        <v>91</v>
      </c>
      <c r="C118" t="s">
        <v>1308</v>
      </c>
      <c r="D118" t="s">
        <v>1309</v>
      </c>
      <c r="E118" s="131">
        <v>0</v>
      </c>
    </row>
    <row r="119" spans="1:5" x14ac:dyDescent="0.25">
      <c r="A119">
        <v>307</v>
      </c>
      <c r="B119">
        <v>92</v>
      </c>
      <c r="C119" t="s">
        <v>1310</v>
      </c>
      <c r="D119" t="s">
        <v>1311</v>
      </c>
      <c r="E119" s="131">
        <v>0</v>
      </c>
    </row>
    <row r="120" spans="1:5" x14ac:dyDescent="0.25">
      <c r="A120">
        <v>307</v>
      </c>
      <c r="B120">
        <v>186</v>
      </c>
      <c r="C120" t="s">
        <v>1312</v>
      </c>
      <c r="D120" t="s">
        <v>1313</v>
      </c>
      <c r="E120" s="131">
        <v>0</v>
      </c>
    </row>
    <row r="121" spans="1:5" x14ac:dyDescent="0.25">
      <c r="A121">
        <v>307</v>
      </c>
      <c r="B121">
        <v>195</v>
      </c>
      <c r="C121" t="s">
        <v>1314</v>
      </c>
      <c r="D121" t="s">
        <v>1315</v>
      </c>
      <c r="E121" s="131">
        <v>0</v>
      </c>
    </row>
    <row r="122" spans="1:5" x14ac:dyDescent="0.25">
      <c r="A122">
        <v>307</v>
      </c>
      <c r="B122">
        <v>90</v>
      </c>
      <c r="C122" t="s">
        <v>1316</v>
      </c>
      <c r="D122" t="s">
        <v>1317</v>
      </c>
      <c r="E122" s="131">
        <v>0</v>
      </c>
    </row>
    <row r="123" spans="1:5" x14ac:dyDescent="0.25">
      <c r="A123">
        <v>307</v>
      </c>
      <c r="B123">
        <v>84</v>
      </c>
      <c r="C123" t="s">
        <v>1318</v>
      </c>
      <c r="D123" t="s">
        <v>1319</v>
      </c>
      <c r="E123" s="131">
        <v>0</v>
      </c>
    </row>
    <row r="124" spans="1:5" x14ac:dyDescent="0.25">
      <c r="A124">
        <v>307</v>
      </c>
      <c r="B124">
        <v>217</v>
      </c>
      <c r="C124" t="s">
        <v>1320</v>
      </c>
      <c r="D124" t="s">
        <v>1321</v>
      </c>
      <c r="E124" s="131">
        <v>0</v>
      </c>
    </row>
    <row r="125" spans="1:5" x14ac:dyDescent="0.25">
      <c r="A125">
        <v>307</v>
      </c>
      <c r="B125">
        <v>95</v>
      </c>
      <c r="C125" t="s">
        <v>1322</v>
      </c>
      <c r="D125" t="s">
        <v>1321</v>
      </c>
      <c r="E125" s="131">
        <v>0</v>
      </c>
    </row>
    <row r="126" spans="1:5" x14ac:dyDescent="0.25">
      <c r="A126">
        <v>307</v>
      </c>
      <c r="B126">
        <v>208</v>
      </c>
      <c r="C126" t="s">
        <v>1323</v>
      </c>
      <c r="D126" t="s">
        <v>1324</v>
      </c>
      <c r="E126" s="131">
        <v>0</v>
      </c>
    </row>
    <row r="127" spans="1:5" x14ac:dyDescent="0.25">
      <c r="A127">
        <v>307</v>
      </c>
      <c r="B127">
        <v>123</v>
      </c>
      <c r="C127" t="s">
        <v>1325</v>
      </c>
      <c r="D127" t="s">
        <v>1326</v>
      </c>
      <c r="E127" s="131">
        <v>0</v>
      </c>
    </row>
    <row r="128" spans="1:5" x14ac:dyDescent="0.25">
      <c r="A128">
        <v>307</v>
      </c>
      <c r="B128">
        <v>86</v>
      </c>
      <c r="C128" t="s">
        <v>1327</v>
      </c>
      <c r="D128" t="s">
        <v>1328</v>
      </c>
      <c r="E128" s="131">
        <v>0</v>
      </c>
    </row>
    <row r="129" spans="1:5" x14ac:dyDescent="0.25">
      <c r="A129">
        <v>307</v>
      </c>
      <c r="B129">
        <v>93</v>
      </c>
      <c r="C129" t="s">
        <v>1329</v>
      </c>
      <c r="D129" t="s">
        <v>1330</v>
      </c>
      <c r="E129" s="131">
        <v>0</v>
      </c>
    </row>
    <row r="130" spans="1:5" x14ac:dyDescent="0.25">
      <c r="A130">
        <v>307</v>
      </c>
      <c r="B130">
        <v>94</v>
      </c>
      <c r="C130" t="s">
        <v>1331</v>
      </c>
      <c r="D130" t="s">
        <v>1332</v>
      </c>
      <c r="E130" s="131">
        <v>0</v>
      </c>
    </row>
    <row r="131" spans="1:5" x14ac:dyDescent="0.25">
      <c r="A131">
        <v>307</v>
      </c>
      <c r="B131">
        <v>207</v>
      </c>
      <c r="C131" t="s">
        <v>1333</v>
      </c>
      <c r="D131" t="s">
        <v>1334</v>
      </c>
      <c r="E131" s="131">
        <v>0</v>
      </c>
    </row>
    <row r="132" spans="1:5" x14ac:dyDescent="0.25">
      <c r="A132">
        <v>307</v>
      </c>
      <c r="B132">
        <v>209</v>
      </c>
      <c r="C132" t="s">
        <v>1335</v>
      </c>
      <c r="D132" t="s">
        <v>1336</v>
      </c>
      <c r="E132" s="131">
        <v>0</v>
      </c>
    </row>
    <row r="133" spans="1:5" x14ac:dyDescent="0.25">
      <c r="A133">
        <v>307</v>
      </c>
      <c r="B133">
        <v>210</v>
      </c>
      <c r="C133" t="s">
        <v>1337</v>
      </c>
      <c r="D133" t="s">
        <v>1338</v>
      </c>
      <c r="E133" s="131">
        <v>0</v>
      </c>
    </row>
    <row r="134" spans="1:5" x14ac:dyDescent="0.25">
      <c r="A134">
        <v>307</v>
      </c>
      <c r="B134">
        <v>211</v>
      </c>
      <c r="C134" t="s">
        <v>1339</v>
      </c>
      <c r="D134" t="s">
        <v>1340</v>
      </c>
      <c r="E134" s="131">
        <v>0</v>
      </c>
    </row>
    <row r="135" spans="1:5" x14ac:dyDescent="0.25">
      <c r="A135">
        <v>307</v>
      </c>
      <c r="B135">
        <v>216</v>
      </c>
      <c r="C135" t="s">
        <v>1341</v>
      </c>
      <c r="D135" t="s">
        <v>1342</v>
      </c>
      <c r="E135" s="131">
        <v>0</v>
      </c>
    </row>
    <row r="136" spans="1:5" x14ac:dyDescent="0.25">
      <c r="A136">
        <v>307</v>
      </c>
      <c r="B136">
        <v>122</v>
      </c>
      <c r="C136" t="s">
        <v>1343</v>
      </c>
      <c r="D136" t="s">
        <v>1344</v>
      </c>
      <c r="E136" s="131">
        <v>0</v>
      </c>
    </row>
    <row r="137" spans="1:5" x14ac:dyDescent="0.25">
      <c r="A137">
        <v>307</v>
      </c>
      <c r="B137">
        <v>129</v>
      </c>
      <c r="C137" t="s">
        <v>1345</v>
      </c>
      <c r="D137" t="s">
        <v>1346</v>
      </c>
      <c r="E137" s="131">
        <v>0</v>
      </c>
    </row>
    <row r="138" spans="1:5" x14ac:dyDescent="0.25">
      <c r="A138">
        <v>307</v>
      </c>
      <c r="B138">
        <v>213</v>
      </c>
      <c r="C138" t="s">
        <v>1347</v>
      </c>
      <c r="D138" t="s">
        <v>1348</v>
      </c>
      <c r="E138" s="131">
        <v>0</v>
      </c>
    </row>
    <row r="139" spans="1:5" x14ac:dyDescent="0.25">
      <c r="A139">
        <v>307</v>
      </c>
      <c r="B139">
        <v>212</v>
      </c>
      <c r="C139" t="s">
        <v>1349</v>
      </c>
      <c r="D139" t="s">
        <v>1350</v>
      </c>
      <c r="E139" s="131">
        <v>0</v>
      </c>
    </row>
    <row r="140" spans="1:5" x14ac:dyDescent="0.25">
      <c r="A140">
        <v>307</v>
      </c>
      <c r="B140">
        <v>214</v>
      </c>
      <c r="C140" t="s">
        <v>1351</v>
      </c>
      <c r="D140" t="s">
        <v>1352</v>
      </c>
      <c r="E140" s="131">
        <v>0</v>
      </c>
    </row>
    <row r="141" spans="1:5" x14ac:dyDescent="0.25">
      <c r="A141">
        <v>307</v>
      </c>
      <c r="B141">
        <v>215</v>
      </c>
      <c r="C141" t="s">
        <v>1353</v>
      </c>
      <c r="D141" t="s">
        <v>1354</v>
      </c>
      <c r="E141" s="131">
        <v>0</v>
      </c>
    </row>
    <row r="142" spans="1:5" x14ac:dyDescent="0.25">
      <c r="A142">
        <v>307</v>
      </c>
      <c r="B142">
        <v>135</v>
      </c>
      <c r="C142" t="s">
        <v>1355</v>
      </c>
      <c r="D142" t="s">
        <v>621</v>
      </c>
      <c r="E142" s="131">
        <v>8257203322</v>
      </c>
    </row>
    <row r="143" spans="1:5" x14ac:dyDescent="0.25">
      <c r="A143">
        <v>307</v>
      </c>
      <c r="B143">
        <v>6</v>
      </c>
      <c r="C143" t="s">
        <v>626</v>
      </c>
      <c r="D143" t="s">
        <v>606</v>
      </c>
    </row>
    <row r="144" spans="1:5" x14ac:dyDescent="0.25">
      <c r="A144">
        <v>307</v>
      </c>
      <c r="B144">
        <v>20</v>
      </c>
      <c r="C144" t="s">
        <v>628</v>
      </c>
      <c r="D144" t="s">
        <v>606</v>
      </c>
      <c r="E144" s="131">
        <v>85575790.840000004</v>
      </c>
    </row>
    <row r="145" spans="1:5" x14ac:dyDescent="0.25">
      <c r="A145">
        <v>307</v>
      </c>
      <c r="B145">
        <v>202</v>
      </c>
      <c r="C145" t="s">
        <v>1356</v>
      </c>
      <c r="D145" t="s">
        <v>606</v>
      </c>
      <c r="E145" s="131">
        <v>1496145993.8900001</v>
      </c>
    </row>
    <row r="146" spans="1:5" x14ac:dyDescent="0.25">
      <c r="A146">
        <v>307</v>
      </c>
      <c r="B146">
        <v>84</v>
      </c>
      <c r="C146" t="s">
        <v>1357</v>
      </c>
      <c r="D146" t="s">
        <v>606</v>
      </c>
      <c r="E146" s="131">
        <v>0</v>
      </c>
    </row>
    <row r="147" spans="1:5" x14ac:dyDescent="0.25">
      <c r="A147">
        <v>307</v>
      </c>
      <c r="B147">
        <v>88</v>
      </c>
      <c r="C147" t="s">
        <v>630</v>
      </c>
      <c r="D147" t="s">
        <v>606</v>
      </c>
      <c r="E147" s="131">
        <v>1862280</v>
      </c>
    </row>
    <row r="148" spans="1:5" x14ac:dyDescent="0.25">
      <c r="A148">
        <v>307</v>
      </c>
      <c r="B148">
        <v>20</v>
      </c>
      <c r="C148" t="s">
        <v>1358</v>
      </c>
      <c r="D148" t="s">
        <v>1359</v>
      </c>
      <c r="E148" s="131">
        <v>0</v>
      </c>
    </row>
    <row r="149" spans="1:5" x14ac:dyDescent="0.25">
      <c r="A149">
        <v>314</v>
      </c>
      <c r="B149">
        <v>25</v>
      </c>
      <c r="C149" t="s">
        <v>639</v>
      </c>
      <c r="D149" t="s">
        <v>640</v>
      </c>
      <c r="E149" s="131">
        <v>81089829777</v>
      </c>
    </row>
    <row r="150" spans="1:5" x14ac:dyDescent="0.25">
      <c r="A150">
        <v>314</v>
      </c>
      <c r="B150">
        <v>26</v>
      </c>
      <c r="C150" t="s">
        <v>641</v>
      </c>
      <c r="D150" t="s">
        <v>640</v>
      </c>
      <c r="E150" s="131">
        <v>9487174915</v>
      </c>
    </row>
    <row r="151" spans="1:5" x14ac:dyDescent="0.25">
      <c r="A151">
        <v>314</v>
      </c>
      <c r="B151">
        <v>81</v>
      </c>
      <c r="C151" t="s">
        <v>648</v>
      </c>
      <c r="D151" t="s">
        <v>649</v>
      </c>
      <c r="E151" s="131">
        <v>3952676463</v>
      </c>
    </row>
    <row r="152" spans="1:5" x14ac:dyDescent="0.25">
      <c r="A152">
        <v>314</v>
      </c>
      <c r="B152">
        <v>21</v>
      </c>
      <c r="C152" t="s">
        <v>1360</v>
      </c>
      <c r="D152" t="s">
        <v>675</v>
      </c>
      <c r="E152" s="131">
        <v>189017764.94</v>
      </c>
    </row>
    <row r="153" spans="1:5" x14ac:dyDescent="0.25">
      <c r="A153">
        <v>314</v>
      </c>
      <c r="B153">
        <v>81</v>
      </c>
      <c r="C153" t="s">
        <v>1361</v>
      </c>
      <c r="D153" t="s">
        <v>677</v>
      </c>
      <c r="E153" s="131">
        <v>0</v>
      </c>
    </row>
    <row r="154" spans="1:5" x14ac:dyDescent="0.25">
      <c r="A154">
        <v>314</v>
      </c>
      <c r="B154">
        <v>173</v>
      </c>
      <c r="C154" t="s">
        <v>681</v>
      </c>
      <c r="D154" t="s">
        <v>682</v>
      </c>
      <c r="E154" s="131">
        <v>6820.4</v>
      </c>
    </row>
    <row r="155" spans="1:5" x14ac:dyDescent="0.25">
      <c r="A155">
        <v>314</v>
      </c>
      <c r="B155">
        <v>81</v>
      </c>
      <c r="C155" t="s">
        <v>684</v>
      </c>
      <c r="D155" t="s">
        <v>685</v>
      </c>
      <c r="E155" s="131">
        <v>4259639.38</v>
      </c>
    </row>
    <row r="156" spans="1:5" x14ac:dyDescent="0.25">
      <c r="A156">
        <v>314</v>
      </c>
      <c r="B156">
        <v>9</v>
      </c>
      <c r="C156" t="s">
        <v>1362</v>
      </c>
      <c r="D156" t="s">
        <v>1363</v>
      </c>
      <c r="E156" s="131">
        <v>184467908.42000002</v>
      </c>
    </row>
    <row r="157" spans="1:5" x14ac:dyDescent="0.25">
      <c r="A157">
        <v>314</v>
      </c>
      <c r="B157">
        <v>137</v>
      </c>
      <c r="C157" t="s">
        <v>1364</v>
      </c>
      <c r="D157" t="s">
        <v>1365</v>
      </c>
      <c r="E157" s="131">
        <v>0</v>
      </c>
    </row>
    <row r="158" spans="1:5" x14ac:dyDescent="0.25">
      <c r="A158">
        <v>314</v>
      </c>
      <c r="B158">
        <v>183</v>
      </c>
      <c r="C158" t="s">
        <v>1366</v>
      </c>
      <c r="D158" t="s">
        <v>1367</v>
      </c>
      <c r="E158" s="131">
        <v>0</v>
      </c>
    </row>
    <row r="159" spans="1:5" x14ac:dyDescent="0.25">
      <c r="A159">
        <v>314</v>
      </c>
      <c r="B159">
        <v>189</v>
      </c>
      <c r="C159" t="s">
        <v>1368</v>
      </c>
      <c r="D159" t="s">
        <v>1369</v>
      </c>
      <c r="E159" s="131">
        <v>3303649.73</v>
      </c>
    </row>
    <row r="160" spans="1:5" x14ac:dyDescent="0.25">
      <c r="A160">
        <v>314</v>
      </c>
      <c r="B160">
        <v>187</v>
      </c>
      <c r="C160" t="s">
        <v>1370</v>
      </c>
      <c r="D160" t="s">
        <v>1371</v>
      </c>
      <c r="E160" s="131">
        <v>0</v>
      </c>
    </row>
    <row r="161" spans="1:5" x14ac:dyDescent="0.25">
      <c r="A161">
        <v>314</v>
      </c>
      <c r="B161">
        <v>220</v>
      </c>
      <c r="C161" t="s">
        <v>1372</v>
      </c>
      <c r="D161" t="s">
        <v>1373</v>
      </c>
      <c r="E161" s="131">
        <v>83988426</v>
      </c>
    </row>
    <row r="162" spans="1:5" x14ac:dyDescent="0.25">
      <c r="A162">
        <v>314</v>
      </c>
      <c r="B162">
        <v>204</v>
      </c>
      <c r="C162" t="s">
        <v>1374</v>
      </c>
      <c r="D162" t="s">
        <v>606</v>
      </c>
      <c r="E162" s="131">
        <v>16247826</v>
      </c>
    </row>
    <row r="163" spans="1:5" x14ac:dyDescent="0.25">
      <c r="A163">
        <v>314</v>
      </c>
      <c r="B163">
        <v>220</v>
      </c>
      <c r="C163" t="s">
        <v>1375</v>
      </c>
      <c r="D163" t="s">
        <v>606</v>
      </c>
      <c r="E163" s="131">
        <v>0</v>
      </c>
    </row>
    <row r="164" spans="1:5" x14ac:dyDescent="0.25">
      <c r="A164">
        <v>314</v>
      </c>
      <c r="B164">
        <v>223</v>
      </c>
      <c r="C164" t="s">
        <v>1376</v>
      </c>
      <c r="D164" t="s">
        <v>606</v>
      </c>
      <c r="E164" s="131">
        <v>0</v>
      </c>
    </row>
    <row r="165" spans="1:5" x14ac:dyDescent="0.25">
      <c r="A165">
        <v>314</v>
      </c>
      <c r="B165">
        <v>227</v>
      </c>
      <c r="C165" t="s">
        <v>1377</v>
      </c>
      <c r="D165" t="s">
        <v>606</v>
      </c>
      <c r="E165" s="131">
        <v>58724</v>
      </c>
    </row>
    <row r="166" spans="1:5" x14ac:dyDescent="0.25">
      <c r="A166">
        <v>314</v>
      </c>
      <c r="B166">
        <v>228</v>
      </c>
      <c r="C166" t="s">
        <v>1378</v>
      </c>
      <c r="D166" t="s">
        <v>606</v>
      </c>
      <c r="E166" s="131">
        <v>1696322</v>
      </c>
    </row>
    <row r="167" spans="1:5" x14ac:dyDescent="0.25">
      <c r="A167">
        <v>318</v>
      </c>
      <c r="B167">
        <v>154</v>
      </c>
      <c r="C167" t="s">
        <v>694</v>
      </c>
      <c r="D167" t="s">
        <v>695</v>
      </c>
      <c r="E167" s="131">
        <v>43085182</v>
      </c>
    </row>
    <row r="168" spans="1:5" x14ac:dyDescent="0.25">
      <c r="A168">
        <v>318</v>
      </c>
      <c r="B168">
        <v>154</v>
      </c>
      <c r="C168" t="s">
        <v>696</v>
      </c>
      <c r="D168" t="s">
        <v>697</v>
      </c>
      <c r="E168" s="131">
        <v>241254305</v>
      </c>
    </row>
    <row r="169" spans="1:5" x14ac:dyDescent="0.25">
      <c r="A169">
        <v>318</v>
      </c>
      <c r="B169">
        <v>72</v>
      </c>
      <c r="C169" t="s">
        <v>698</v>
      </c>
      <c r="D169" t="s">
        <v>699</v>
      </c>
      <c r="E169" s="131">
        <v>15840141</v>
      </c>
    </row>
    <row r="170" spans="1:5" x14ac:dyDescent="0.25">
      <c r="A170">
        <v>318</v>
      </c>
      <c r="B170">
        <v>72</v>
      </c>
      <c r="C170" t="s">
        <v>700</v>
      </c>
      <c r="D170" t="s">
        <v>701</v>
      </c>
      <c r="E170" s="131">
        <v>88696436</v>
      </c>
    </row>
    <row r="171" spans="1:5" x14ac:dyDescent="0.25">
      <c r="A171">
        <v>318</v>
      </c>
      <c r="B171">
        <v>181</v>
      </c>
      <c r="C171" t="s">
        <v>702</v>
      </c>
      <c r="D171" t="s">
        <v>703</v>
      </c>
      <c r="E171" s="131">
        <v>4435240</v>
      </c>
    </row>
    <row r="172" spans="1:5" x14ac:dyDescent="0.25">
      <c r="A172">
        <v>318</v>
      </c>
      <c r="B172">
        <v>181</v>
      </c>
      <c r="C172" t="s">
        <v>704</v>
      </c>
      <c r="D172" t="s">
        <v>705</v>
      </c>
      <c r="E172" s="131">
        <v>24835002</v>
      </c>
    </row>
    <row r="173" spans="1:5" x14ac:dyDescent="0.25">
      <c r="A173">
        <v>318</v>
      </c>
      <c r="B173">
        <v>154</v>
      </c>
      <c r="C173" t="s">
        <v>709</v>
      </c>
      <c r="D173" t="s">
        <v>710</v>
      </c>
      <c r="E173" s="131">
        <v>291948453.48000002</v>
      </c>
    </row>
    <row r="174" spans="1:5" x14ac:dyDescent="0.25">
      <c r="A174">
        <v>318</v>
      </c>
      <c r="B174">
        <v>72</v>
      </c>
      <c r="C174" t="s">
        <v>711</v>
      </c>
      <c r="D174" t="s">
        <v>712</v>
      </c>
      <c r="E174" s="131">
        <v>107333979.75</v>
      </c>
    </row>
    <row r="175" spans="1:5" x14ac:dyDescent="0.25">
      <c r="A175">
        <v>318</v>
      </c>
      <c r="B175">
        <v>181</v>
      </c>
      <c r="C175" t="s">
        <v>713</v>
      </c>
      <c r="D175" t="s">
        <v>714</v>
      </c>
      <c r="E175" s="131">
        <v>25948794.52</v>
      </c>
    </row>
    <row r="176" spans="1:5" x14ac:dyDescent="0.25">
      <c r="A176">
        <v>318</v>
      </c>
      <c r="B176">
        <v>182</v>
      </c>
      <c r="C176" t="s">
        <v>715</v>
      </c>
      <c r="D176" t="s">
        <v>714</v>
      </c>
      <c r="E176" s="131">
        <v>4087523.25</v>
      </c>
    </row>
    <row r="177" spans="1:5" x14ac:dyDescent="0.25">
      <c r="A177">
        <v>318</v>
      </c>
      <c r="B177">
        <v>154</v>
      </c>
      <c r="C177" t="s">
        <v>718</v>
      </c>
      <c r="D177" t="s">
        <v>259</v>
      </c>
      <c r="E177" s="131">
        <v>0</v>
      </c>
    </row>
    <row r="178" spans="1:5" x14ac:dyDescent="0.25">
      <c r="A178">
        <v>318</v>
      </c>
      <c r="B178">
        <v>155</v>
      </c>
      <c r="C178" t="s">
        <v>719</v>
      </c>
      <c r="D178" t="s">
        <v>259</v>
      </c>
      <c r="E178" s="131">
        <v>0</v>
      </c>
    </row>
    <row r="179" spans="1:5" x14ac:dyDescent="0.25">
      <c r="A179">
        <v>318</v>
      </c>
      <c r="B179">
        <v>154</v>
      </c>
      <c r="C179" t="s">
        <v>1379</v>
      </c>
      <c r="D179" t="s">
        <v>274</v>
      </c>
      <c r="E179" s="131">
        <v>196628739.44</v>
      </c>
    </row>
    <row r="180" spans="1:5" x14ac:dyDescent="0.25">
      <c r="A180">
        <v>318</v>
      </c>
      <c r="B180">
        <v>58</v>
      </c>
      <c r="C180" t="s">
        <v>1380</v>
      </c>
      <c r="D180" t="s">
        <v>274</v>
      </c>
      <c r="E180" s="131">
        <v>98314369.719999999</v>
      </c>
    </row>
    <row r="181" spans="1:5" x14ac:dyDescent="0.25">
      <c r="A181">
        <v>318</v>
      </c>
      <c r="B181">
        <v>72</v>
      </c>
      <c r="C181" t="s">
        <v>1381</v>
      </c>
      <c r="D181" t="s">
        <v>274</v>
      </c>
      <c r="E181" s="131">
        <v>98314369.710000008</v>
      </c>
    </row>
    <row r="182" spans="1:5" x14ac:dyDescent="0.25">
      <c r="A182">
        <v>318</v>
      </c>
      <c r="B182">
        <v>154</v>
      </c>
      <c r="C182" t="s">
        <v>1382</v>
      </c>
      <c r="D182" t="s">
        <v>276</v>
      </c>
      <c r="E182" s="131">
        <v>470315056</v>
      </c>
    </row>
    <row r="183" spans="1:5" x14ac:dyDescent="0.25">
      <c r="A183">
        <v>318</v>
      </c>
      <c r="B183">
        <v>58</v>
      </c>
      <c r="C183" t="s">
        <v>1383</v>
      </c>
      <c r="D183" t="s">
        <v>276</v>
      </c>
      <c r="E183" s="131">
        <v>270220685</v>
      </c>
    </row>
    <row r="184" spans="1:5" x14ac:dyDescent="0.25">
      <c r="A184">
        <v>318</v>
      </c>
      <c r="B184">
        <v>72</v>
      </c>
      <c r="C184" t="s">
        <v>1384</v>
      </c>
      <c r="D184" t="s">
        <v>276</v>
      </c>
      <c r="E184" s="131">
        <v>270220685</v>
      </c>
    </row>
    <row r="185" spans="1:5" x14ac:dyDescent="0.25">
      <c r="A185">
        <v>318</v>
      </c>
      <c r="B185">
        <v>154</v>
      </c>
      <c r="C185" t="s">
        <v>1385</v>
      </c>
      <c r="D185" t="s">
        <v>280</v>
      </c>
      <c r="E185" s="131">
        <v>945709000</v>
      </c>
    </row>
    <row r="186" spans="1:5" x14ac:dyDescent="0.25">
      <c r="A186">
        <v>318</v>
      </c>
      <c r="B186">
        <v>58</v>
      </c>
      <c r="C186" t="s">
        <v>1386</v>
      </c>
      <c r="D186" t="s">
        <v>280</v>
      </c>
      <c r="E186" s="131">
        <v>472854500</v>
      </c>
    </row>
    <row r="187" spans="1:5" x14ac:dyDescent="0.25">
      <c r="A187">
        <v>318</v>
      </c>
      <c r="B187">
        <v>72</v>
      </c>
      <c r="C187" t="s">
        <v>1387</v>
      </c>
      <c r="D187" t="s">
        <v>280</v>
      </c>
      <c r="E187" s="131">
        <v>472854500</v>
      </c>
    </row>
    <row r="188" spans="1:5" x14ac:dyDescent="0.25">
      <c r="A188">
        <v>318</v>
      </c>
      <c r="B188">
        <v>154</v>
      </c>
      <c r="C188" t="s">
        <v>1388</v>
      </c>
      <c r="D188" t="s">
        <v>282</v>
      </c>
      <c r="E188" s="131">
        <v>8068056</v>
      </c>
    </row>
    <row r="189" spans="1:5" x14ac:dyDescent="0.25">
      <c r="A189">
        <v>318</v>
      </c>
      <c r="B189">
        <v>58</v>
      </c>
      <c r="C189" t="s">
        <v>1389</v>
      </c>
      <c r="D189" t="s">
        <v>282</v>
      </c>
      <c r="E189" s="131">
        <v>4358000</v>
      </c>
    </row>
    <row r="190" spans="1:5" x14ac:dyDescent="0.25">
      <c r="A190">
        <v>318</v>
      </c>
      <c r="B190">
        <v>72</v>
      </c>
      <c r="C190" t="s">
        <v>1390</v>
      </c>
      <c r="D190" t="s">
        <v>282</v>
      </c>
      <c r="E190" s="131">
        <v>4358000</v>
      </c>
    </row>
    <row r="191" spans="1:5" x14ac:dyDescent="0.25">
      <c r="A191">
        <v>318</v>
      </c>
      <c r="B191">
        <v>154</v>
      </c>
      <c r="C191" t="s">
        <v>745</v>
      </c>
      <c r="D191" t="s">
        <v>288</v>
      </c>
      <c r="E191" s="131">
        <v>8117014878</v>
      </c>
    </row>
    <row r="192" spans="1:5" x14ac:dyDescent="0.25">
      <c r="A192">
        <v>318</v>
      </c>
      <c r="B192">
        <v>154</v>
      </c>
      <c r="C192" t="s">
        <v>748</v>
      </c>
      <c r="D192" t="s">
        <v>749</v>
      </c>
      <c r="E192" s="131">
        <v>3316197980</v>
      </c>
    </row>
    <row r="193" spans="1:5" x14ac:dyDescent="0.25">
      <c r="A193">
        <v>318</v>
      </c>
      <c r="B193">
        <v>63</v>
      </c>
      <c r="C193" t="s">
        <v>753</v>
      </c>
      <c r="D193" t="s">
        <v>754</v>
      </c>
      <c r="E193" s="131">
        <v>15477000</v>
      </c>
    </row>
    <row r="194" spans="1:5" x14ac:dyDescent="0.25">
      <c r="A194">
        <v>318</v>
      </c>
      <c r="B194">
        <v>63</v>
      </c>
      <c r="C194" t="s">
        <v>755</v>
      </c>
      <c r="D194" t="s">
        <v>756</v>
      </c>
      <c r="E194" s="131">
        <v>1800900</v>
      </c>
    </row>
    <row r="195" spans="1:5" x14ac:dyDescent="0.25">
      <c r="A195">
        <v>318</v>
      </c>
      <c r="B195">
        <v>63</v>
      </c>
      <c r="C195" t="s">
        <v>757</v>
      </c>
      <c r="D195" t="s">
        <v>758</v>
      </c>
      <c r="E195" s="131">
        <v>194218752.34999999</v>
      </c>
    </row>
    <row r="196" spans="1:5" x14ac:dyDescent="0.25">
      <c r="A196">
        <v>318</v>
      </c>
      <c r="B196">
        <v>61</v>
      </c>
      <c r="C196" t="s">
        <v>763</v>
      </c>
      <c r="D196" t="s">
        <v>764</v>
      </c>
      <c r="E196" s="131">
        <v>2329798340</v>
      </c>
    </row>
    <row r="197" spans="1:5" x14ac:dyDescent="0.25">
      <c r="A197">
        <v>318</v>
      </c>
      <c r="B197">
        <v>171</v>
      </c>
      <c r="C197" t="s">
        <v>765</v>
      </c>
      <c r="D197" t="s">
        <v>766</v>
      </c>
      <c r="E197" s="131">
        <v>737016825</v>
      </c>
    </row>
    <row r="198" spans="1:5" x14ac:dyDescent="0.25">
      <c r="A198">
        <v>318</v>
      </c>
      <c r="B198">
        <v>110</v>
      </c>
      <c r="C198" t="s">
        <v>769</v>
      </c>
      <c r="D198" t="s">
        <v>770</v>
      </c>
      <c r="E198" s="131">
        <v>147403368</v>
      </c>
    </row>
    <row r="199" spans="1:5" x14ac:dyDescent="0.25">
      <c r="A199">
        <v>318</v>
      </c>
      <c r="B199">
        <v>111</v>
      </c>
      <c r="C199" t="s">
        <v>771</v>
      </c>
      <c r="D199" t="s">
        <v>772</v>
      </c>
      <c r="E199" s="131">
        <v>116048430</v>
      </c>
    </row>
    <row r="200" spans="1:5" x14ac:dyDescent="0.25">
      <c r="A200">
        <v>318</v>
      </c>
      <c r="B200">
        <v>113</v>
      </c>
      <c r="C200" t="s">
        <v>773</v>
      </c>
      <c r="D200" t="s">
        <v>774</v>
      </c>
      <c r="E200" s="131">
        <v>0</v>
      </c>
    </row>
    <row r="201" spans="1:5" x14ac:dyDescent="0.25">
      <c r="A201">
        <v>318</v>
      </c>
      <c r="B201">
        <v>114</v>
      </c>
      <c r="C201" t="s">
        <v>775</v>
      </c>
      <c r="D201" t="s">
        <v>776</v>
      </c>
      <c r="E201" s="131">
        <v>0</v>
      </c>
    </row>
    <row r="202" spans="1:5" x14ac:dyDescent="0.25">
      <c r="A202">
        <v>318</v>
      </c>
      <c r="B202">
        <v>174</v>
      </c>
      <c r="C202" t="s">
        <v>1391</v>
      </c>
      <c r="D202" t="s">
        <v>1392</v>
      </c>
      <c r="E202" s="131">
        <v>6443391987</v>
      </c>
    </row>
    <row r="203" spans="1:5" x14ac:dyDescent="0.25">
      <c r="A203">
        <v>318</v>
      </c>
      <c r="B203">
        <v>222</v>
      </c>
      <c r="C203" t="s">
        <v>1393</v>
      </c>
      <c r="D203" t="s">
        <v>1394</v>
      </c>
      <c r="E203" s="131">
        <v>112500000</v>
      </c>
    </row>
    <row r="204" spans="1:5" x14ac:dyDescent="0.25">
      <c r="A204">
        <v>318</v>
      </c>
      <c r="B204">
        <v>224</v>
      </c>
      <c r="C204" t="s">
        <v>1395</v>
      </c>
      <c r="D204" t="s">
        <v>1396</v>
      </c>
      <c r="E204" s="131">
        <v>332594127</v>
      </c>
    </row>
    <row r="205" spans="1:5" x14ac:dyDescent="0.25">
      <c r="A205">
        <v>318</v>
      </c>
      <c r="B205">
        <v>180</v>
      </c>
      <c r="C205" t="s">
        <v>1397</v>
      </c>
      <c r="D205" t="s">
        <v>1398</v>
      </c>
      <c r="E205" s="131">
        <v>420739920</v>
      </c>
    </row>
    <row r="206" spans="1:5" x14ac:dyDescent="0.25">
      <c r="A206">
        <v>318</v>
      </c>
      <c r="B206">
        <v>154</v>
      </c>
      <c r="C206" t="s">
        <v>786</v>
      </c>
      <c r="D206" t="s">
        <v>1399</v>
      </c>
      <c r="E206" s="131">
        <v>742000306</v>
      </c>
    </row>
    <row r="207" spans="1:5" x14ac:dyDescent="0.25">
      <c r="A207">
        <v>318</v>
      </c>
      <c r="B207">
        <v>154</v>
      </c>
      <c r="C207" t="s">
        <v>787</v>
      </c>
      <c r="D207" t="s">
        <v>788</v>
      </c>
      <c r="E207" s="131">
        <v>290872811</v>
      </c>
    </row>
    <row r="208" spans="1:5" x14ac:dyDescent="0.25">
      <c r="A208">
        <v>318</v>
      </c>
      <c r="B208">
        <v>72</v>
      </c>
      <c r="C208" t="s">
        <v>789</v>
      </c>
      <c r="D208" t="s">
        <v>790</v>
      </c>
      <c r="E208" s="131">
        <v>106938534</v>
      </c>
    </row>
    <row r="209" spans="1:5" x14ac:dyDescent="0.25">
      <c r="A209">
        <v>318</v>
      </c>
      <c r="B209">
        <v>72</v>
      </c>
      <c r="C209" t="s">
        <v>793</v>
      </c>
      <c r="D209" t="s">
        <v>792</v>
      </c>
      <c r="E209" s="131">
        <v>272794230</v>
      </c>
    </row>
    <row r="210" spans="1:5" x14ac:dyDescent="0.25">
      <c r="A210">
        <v>318</v>
      </c>
      <c r="B210">
        <v>181</v>
      </c>
      <c r="C210" t="s">
        <v>794</v>
      </c>
      <c r="D210" t="s">
        <v>795</v>
      </c>
      <c r="E210" s="131">
        <v>29942789</v>
      </c>
    </row>
    <row r="211" spans="1:5" x14ac:dyDescent="0.25">
      <c r="A211">
        <v>318</v>
      </c>
      <c r="B211">
        <v>181</v>
      </c>
      <c r="C211" t="s">
        <v>796</v>
      </c>
      <c r="D211" t="s">
        <v>797</v>
      </c>
      <c r="E211" s="131">
        <v>76382384</v>
      </c>
    </row>
    <row r="212" spans="1:5" x14ac:dyDescent="0.25">
      <c r="A212">
        <v>318</v>
      </c>
      <c r="B212">
        <v>154</v>
      </c>
      <c r="C212" t="s">
        <v>800</v>
      </c>
      <c r="D212" t="s">
        <v>801</v>
      </c>
      <c r="E212" s="131">
        <v>2447023856</v>
      </c>
    </row>
    <row r="213" spans="1:5" x14ac:dyDescent="0.25">
      <c r="A213">
        <v>318</v>
      </c>
      <c r="B213">
        <v>72</v>
      </c>
      <c r="C213" t="s">
        <v>802</v>
      </c>
      <c r="D213" t="s">
        <v>803</v>
      </c>
      <c r="E213" s="131">
        <v>899641124</v>
      </c>
    </row>
    <row r="214" spans="1:5" x14ac:dyDescent="0.25">
      <c r="A214">
        <v>318</v>
      </c>
      <c r="B214">
        <v>181</v>
      </c>
      <c r="C214" t="s">
        <v>804</v>
      </c>
      <c r="D214" t="s">
        <v>805</v>
      </c>
      <c r="E214" s="131">
        <v>251899514</v>
      </c>
    </row>
    <row r="215" spans="1:5" x14ac:dyDescent="0.25">
      <c r="A215">
        <v>318</v>
      </c>
      <c r="B215">
        <v>154</v>
      </c>
      <c r="C215" t="s">
        <v>808</v>
      </c>
      <c r="D215" t="s">
        <v>809</v>
      </c>
      <c r="E215" s="131">
        <v>9129680</v>
      </c>
    </row>
    <row r="216" spans="1:5" x14ac:dyDescent="0.25">
      <c r="A216">
        <v>318</v>
      </c>
      <c r="B216">
        <v>72</v>
      </c>
      <c r="C216" t="s">
        <v>810</v>
      </c>
      <c r="D216" t="s">
        <v>811</v>
      </c>
      <c r="E216" s="131">
        <v>3356500</v>
      </c>
    </row>
    <row r="217" spans="1:5" x14ac:dyDescent="0.25">
      <c r="A217">
        <v>318</v>
      </c>
      <c r="B217">
        <v>181</v>
      </c>
      <c r="C217" t="s">
        <v>812</v>
      </c>
      <c r="D217" t="s">
        <v>813</v>
      </c>
      <c r="E217" s="131">
        <v>939820</v>
      </c>
    </row>
    <row r="218" spans="1:5" x14ac:dyDescent="0.25">
      <c r="A218">
        <v>318</v>
      </c>
      <c r="B218">
        <v>154</v>
      </c>
      <c r="C218" t="s">
        <v>816</v>
      </c>
      <c r="D218" t="s">
        <v>817</v>
      </c>
      <c r="E218" s="131">
        <v>118688735</v>
      </c>
    </row>
    <row r="219" spans="1:5" x14ac:dyDescent="0.25">
      <c r="A219">
        <v>318</v>
      </c>
      <c r="B219">
        <v>154</v>
      </c>
      <c r="C219" t="s">
        <v>818</v>
      </c>
      <c r="D219" t="s">
        <v>819</v>
      </c>
      <c r="E219" s="131">
        <v>190012916</v>
      </c>
    </row>
    <row r="220" spans="1:5" x14ac:dyDescent="0.25">
      <c r="A220">
        <v>318</v>
      </c>
      <c r="B220">
        <v>72</v>
      </c>
      <c r="C220" t="s">
        <v>820</v>
      </c>
      <c r="D220" t="s">
        <v>821</v>
      </c>
      <c r="E220" s="131">
        <v>39562912</v>
      </c>
    </row>
    <row r="221" spans="1:5" x14ac:dyDescent="0.25">
      <c r="A221">
        <v>318</v>
      </c>
      <c r="B221">
        <v>72</v>
      </c>
      <c r="C221" t="s">
        <v>822</v>
      </c>
      <c r="D221" t="s">
        <v>823</v>
      </c>
      <c r="E221" s="131">
        <v>63337639</v>
      </c>
    </row>
    <row r="222" spans="1:5" x14ac:dyDescent="0.25">
      <c r="A222">
        <v>318</v>
      </c>
      <c r="B222">
        <v>181</v>
      </c>
      <c r="C222" t="s">
        <v>824</v>
      </c>
      <c r="D222" t="s">
        <v>825</v>
      </c>
      <c r="E222" s="131">
        <v>0</v>
      </c>
    </row>
    <row r="223" spans="1:5" x14ac:dyDescent="0.25">
      <c r="A223">
        <v>318</v>
      </c>
      <c r="B223">
        <v>181</v>
      </c>
      <c r="C223" t="s">
        <v>826</v>
      </c>
      <c r="D223" t="s">
        <v>827</v>
      </c>
      <c r="E223" s="131">
        <v>0</v>
      </c>
    </row>
    <row r="224" spans="1:5" x14ac:dyDescent="0.25">
      <c r="A224">
        <v>318</v>
      </c>
      <c r="B224">
        <v>154</v>
      </c>
      <c r="C224" t="s">
        <v>1400</v>
      </c>
      <c r="D224" t="s">
        <v>1241</v>
      </c>
      <c r="E224" s="131">
        <v>83720567.780000001</v>
      </c>
    </row>
    <row r="225" spans="1:5" x14ac:dyDescent="0.25">
      <c r="A225">
        <v>318</v>
      </c>
      <c r="B225">
        <v>58</v>
      </c>
      <c r="C225" t="s">
        <v>1401</v>
      </c>
      <c r="D225" t="s">
        <v>1241</v>
      </c>
      <c r="E225" s="131">
        <v>41860283.890000001</v>
      </c>
    </row>
    <row r="226" spans="1:5" x14ac:dyDescent="0.25">
      <c r="A226">
        <v>318</v>
      </c>
      <c r="B226">
        <v>72</v>
      </c>
      <c r="C226" t="s">
        <v>1402</v>
      </c>
      <c r="D226" t="s">
        <v>1241</v>
      </c>
      <c r="E226" s="131">
        <v>41860283.890000001</v>
      </c>
    </row>
    <row r="227" spans="1:5" x14ac:dyDescent="0.25">
      <c r="A227">
        <v>318</v>
      </c>
      <c r="B227">
        <v>154</v>
      </c>
      <c r="C227" t="s">
        <v>1403</v>
      </c>
      <c r="D227" t="s">
        <v>1243</v>
      </c>
      <c r="E227" s="131">
        <v>0</v>
      </c>
    </row>
    <row r="228" spans="1:5" x14ac:dyDescent="0.25">
      <c r="A228">
        <v>318</v>
      </c>
      <c r="B228">
        <v>58</v>
      </c>
      <c r="C228" t="s">
        <v>1404</v>
      </c>
      <c r="D228" t="s">
        <v>1243</v>
      </c>
      <c r="E228" s="131">
        <v>53492.140000000014</v>
      </c>
    </row>
    <row r="229" spans="1:5" x14ac:dyDescent="0.25">
      <c r="A229">
        <v>318</v>
      </c>
      <c r="B229">
        <v>72</v>
      </c>
      <c r="C229" t="s">
        <v>1405</v>
      </c>
      <c r="D229" t="s">
        <v>1243</v>
      </c>
      <c r="E229" s="131">
        <v>53492.140000000014</v>
      </c>
    </row>
    <row r="230" spans="1:5" x14ac:dyDescent="0.25">
      <c r="A230">
        <v>318</v>
      </c>
      <c r="B230">
        <v>154</v>
      </c>
      <c r="C230" t="s">
        <v>1406</v>
      </c>
      <c r="D230" t="s">
        <v>1248</v>
      </c>
      <c r="E230" s="131">
        <v>106984.28999999998</v>
      </c>
    </row>
    <row r="231" spans="1:5" x14ac:dyDescent="0.25">
      <c r="A231">
        <v>318</v>
      </c>
      <c r="B231">
        <v>58</v>
      </c>
      <c r="C231" t="s">
        <v>1407</v>
      </c>
      <c r="D231" t="s">
        <v>1248</v>
      </c>
      <c r="E231" s="131">
        <v>0</v>
      </c>
    </row>
    <row r="232" spans="1:5" x14ac:dyDescent="0.25">
      <c r="A232">
        <v>318</v>
      </c>
      <c r="B232">
        <v>72</v>
      </c>
      <c r="C232" t="s">
        <v>1408</v>
      </c>
      <c r="D232" t="s">
        <v>1248</v>
      </c>
      <c r="E232" s="131">
        <v>0</v>
      </c>
    </row>
    <row r="233" spans="1:5" x14ac:dyDescent="0.25">
      <c r="A233">
        <v>318</v>
      </c>
      <c r="B233">
        <v>154</v>
      </c>
      <c r="C233" t="s">
        <v>1409</v>
      </c>
      <c r="D233" t="s">
        <v>512</v>
      </c>
      <c r="E233" s="131">
        <v>2753405339.1199999</v>
      </c>
    </row>
    <row r="234" spans="1:5" x14ac:dyDescent="0.25">
      <c r="A234">
        <v>318</v>
      </c>
      <c r="B234">
        <v>58</v>
      </c>
      <c r="C234" t="s">
        <v>1410</v>
      </c>
      <c r="D234" t="s">
        <v>512</v>
      </c>
      <c r="E234" s="131">
        <v>1312271604.0599999</v>
      </c>
    </row>
    <row r="235" spans="1:5" x14ac:dyDescent="0.25">
      <c r="A235">
        <v>318</v>
      </c>
      <c r="B235">
        <v>72</v>
      </c>
      <c r="C235" t="s">
        <v>1411</v>
      </c>
      <c r="D235" t="s">
        <v>512</v>
      </c>
      <c r="E235" s="131">
        <v>1312271604.0599999</v>
      </c>
    </row>
    <row r="236" spans="1:5" x14ac:dyDescent="0.25">
      <c r="A236">
        <v>318</v>
      </c>
      <c r="B236">
        <v>154</v>
      </c>
      <c r="C236" t="s">
        <v>1412</v>
      </c>
      <c r="D236" t="s">
        <v>1251</v>
      </c>
      <c r="E236" s="131">
        <v>749500817.06999993</v>
      </c>
    </row>
    <row r="237" spans="1:5" x14ac:dyDescent="0.25">
      <c r="A237">
        <v>318</v>
      </c>
      <c r="B237">
        <v>58</v>
      </c>
      <c r="C237" t="s">
        <v>1413</v>
      </c>
      <c r="D237" t="s">
        <v>1255</v>
      </c>
      <c r="E237" s="131">
        <v>404145847.52999997</v>
      </c>
    </row>
    <row r="238" spans="1:5" x14ac:dyDescent="0.25">
      <c r="A238">
        <v>318</v>
      </c>
      <c r="B238">
        <v>72</v>
      </c>
      <c r="C238" t="s">
        <v>1414</v>
      </c>
      <c r="D238" t="s">
        <v>1255</v>
      </c>
      <c r="E238" s="131">
        <v>404145847.52999997</v>
      </c>
    </row>
    <row r="239" spans="1:5" x14ac:dyDescent="0.25">
      <c r="A239">
        <v>318</v>
      </c>
      <c r="B239">
        <v>154</v>
      </c>
      <c r="C239" t="s">
        <v>1415</v>
      </c>
      <c r="D239" t="s">
        <v>1259</v>
      </c>
      <c r="E239" s="131">
        <v>2550225</v>
      </c>
    </row>
    <row r="240" spans="1:5" x14ac:dyDescent="0.25">
      <c r="A240">
        <v>318</v>
      </c>
      <c r="B240">
        <v>58</v>
      </c>
      <c r="C240" t="s">
        <v>1416</v>
      </c>
      <c r="D240" t="s">
        <v>1259</v>
      </c>
      <c r="E240" s="131">
        <v>1275112.5</v>
      </c>
    </row>
    <row r="241" spans="1:5" x14ac:dyDescent="0.25">
      <c r="A241">
        <v>318</v>
      </c>
      <c r="B241">
        <v>72</v>
      </c>
      <c r="C241" t="s">
        <v>1417</v>
      </c>
      <c r="D241" t="s">
        <v>1259</v>
      </c>
      <c r="E241" s="131">
        <v>1275112.5</v>
      </c>
    </row>
    <row r="242" spans="1:5" x14ac:dyDescent="0.25">
      <c r="A242">
        <v>318</v>
      </c>
      <c r="B242">
        <v>63</v>
      </c>
      <c r="C242" t="s">
        <v>1418</v>
      </c>
      <c r="D242" t="s">
        <v>1419</v>
      </c>
      <c r="E242" s="131">
        <v>605644.42000000004</v>
      </c>
    </row>
    <row r="243" spans="1:5" x14ac:dyDescent="0.25">
      <c r="A243">
        <v>318</v>
      </c>
      <c r="B243">
        <v>58</v>
      </c>
      <c r="C243" t="s">
        <v>1420</v>
      </c>
      <c r="D243" t="s">
        <v>1421</v>
      </c>
      <c r="E243" s="131">
        <v>69698638.900000006</v>
      </c>
    </row>
    <row r="244" spans="1:5" x14ac:dyDescent="0.25">
      <c r="A244">
        <v>318</v>
      </c>
      <c r="B244">
        <v>72</v>
      </c>
      <c r="C244" t="s">
        <v>1422</v>
      </c>
      <c r="D244" t="s">
        <v>1421</v>
      </c>
      <c r="E244" s="131">
        <v>2298936.5099999998</v>
      </c>
    </row>
    <row r="245" spans="1:5" x14ac:dyDescent="0.25">
      <c r="A245">
        <v>318</v>
      </c>
      <c r="B245">
        <v>171</v>
      </c>
      <c r="C245" t="s">
        <v>1423</v>
      </c>
      <c r="D245" t="s">
        <v>1424</v>
      </c>
      <c r="E245" s="131">
        <v>22190109.590000004</v>
      </c>
    </row>
    <row r="246" spans="1:5" x14ac:dyDescent="0.25">
      <c r="A246">
        <v>318</v>
      </c>
      <c r="B246">
        <v>61</v>
      </c>
      <c r="C246" t="s">
        <v>1425</v>
      </c>
      <c r="D246" t="s">
        <v>1426</v>
      </c>
      <c r="E246" s="131">
        <v>77031275.929999992</v>
      </c>
    </row>
    <row r="247" spans="1:5" x14ac:dyDescent="0.25">
      <c r="A247">
        <v>318</v>
      </c>
      <c r="B247">
        <v>161</v>
      </c>
      <c r="C247" t="s">
        <v>1427</v>
      </c>
      <c r="D247" t="s">
        <v>1428</v>
      </c>
      <c r="E247" s="131">
        <v>15758.44</v>
      </c>
    </row>
    <row r="248" spans="1:5" x14ac:dyDescent="0.25">
      <c r="A248">
        <v>318</v>
      </c>
      <c r="B248">
        <v>102</v>
      </c>
      <c r="C248" t="s">
        <v>1429</v>
      </c>
      <c r="D248" t="s">
        <v>1430</v>
      </c>
      <c r="E248" s="131">
        <v>637.68000000000006</v>
      </c>
    </row>
    <row r="249" spans="1:5" x14ac:dyDescent="0.25">
      <c r="A249">
        <v>318</v>
      </c>
      <c r="B249">
        <v>152</v>
      </c>
      <c r="C249" t="s">
        <v>1431</v>
      </c>
      <c r="D249" t="s">
        <v>1432</v>
      </c>
      <c r="E249" s="131">
        <v>284.06</v>
      </c>
    </row>
    <row r="250" spans="1:5" x14ac:dyDescent="0.25">
      <c r="A250">
        <v>318</v>
      </c>
      <c r="B250">
        <v>154</v>
      </c>
      <c r="C250" t="s">
        <v>1433</v>
      </c>
      <c r="D250" t="s">
        <v>1434</v>
      </c>
      <c r="E250" s="131">
        <v>391629.5</v>
      </c>
    </row>
    <row r="251" spans="1:5" x14ac:dyDescent="0.25">
      <c r="A251">
        <v>318</v>
      </c>
      <c r="B251">
        <v>167</v>
      </c>
      <c r="C251" t="s">
        <v>1435</v>
      </c>
      <c r="D251" t="s">
        <v>1434</v>
      </c>
      <c r="E251" s="131">
        <v>103569.95</v>
      </c>
    </row>
    <row r="252" spans="1:5" x14ac:dyDescent="0.25">
      <c r="A252">
        <v>318</v>
      </c>
      <c r="B252">
        <v>65</v>
      </c>
      <c r="C252" t="s">
        <v>1436</v>
      </c>
      <c r="D252" t="s">
        <v>1437</v>
      </c>
      <c r="E252" s="131">
        <v>1588295.5499999998</v>
      </c>
    </row>
    <row r="253" spans="1:5" x14ac:dyDescent="0.25">
      <c r="A253">
        <v>318</v>
      </c>
      <c r="B253">
        <v>96</v>
      </c>
      <c r="C253" t="s">
        <v>1438</v>
      </c>
      <c r="D253" t="s">
        <v>1439</v>
      </c>
      <c r="E253" s="131">
        <v>8696.93</v>
      </c>
    </row>
    <row r="254" spans="1:5" x14ac:dyDescent="0.25">
      <c r="A254">
        <v>318</v>
      </c>
      <c r="B254">
        <v>154</v>
      </c>
      <c r="C254" t="s">
        <v>873</v>
      </c>
      <c r="D254" t="s">
        <v>874</v>
      </c>
      <c r="E254" s="131">
        <v>446208143</v>
      </c>
    </row>
    <row r="255" spans="1:5" x14ac:dyDescent="0.25">
      <c r="A255">
        <v>318</v>
      </c>
      <c r="B255">
        <v>154</v>
      </c>
      <c r="C255" t="s">
        <v>875</v>
      </c>
      <c r="D255" t="s">
        <v>876</v>
      </c>
      <c r="E255" s="131">
        <v>178470077</v>
      </c>
    </row>
    <row r="256" spans="1:5" x14ac:dyDescent="0.25">
      <c r="A256">
        <v>318</v>
      </c>
      <c r="B256">
        <v>154</v>
      </c>
      <c r="C256" t="s">
        <v>877</v>
      </c>
      <c r="D256" t="s">
        <v>878</v>
      </c>
      <c r="E256" s="131">
        <v>155652474</v>
      </c>
    </row>
    <row r="257" spans="1:5" x14ac:dyDescent="0.25">
      <c r="A257">
        <v>318</v>
      </c>
      <c r="B257">
        <v>98</v>
      </c>
      <c r="C257" t="s">
        <v>1440</v>
      </c>
      <c r="D257" t="s">
        <v>1441</v>
      </c>
      <c r="E257" s="131">
        <v>0</v>
      </c>
    </row>
    <row r="258" spans="1:5" x14ac:dyDescent="0.25">
      <c r="A258">
        <v>318</v>
      </c>
      <c r="B258">
        <v>198</v>
      </c>
      <c r="C258" t="s">
        <v>1442</v>
      </c>
      <c r="D258" t="s">
        <v>1443</v>
      </c>
      <c r="E258" s="131">
        <v>0</v>
      </c>
    </row>
    <row r="259" spans="1:5" x14ac:dyDescent="0.25">
      <c r="A259">
        <v>318</v>
      </c>
      <c r="B259">
        <v>96</v>
      </c>
      <c r="C259" t="s">
        <v>1444</v>
      </c>
      <c r="D259" t="s">
        <v>1445</v>
      </c>
      <c r="E259" s="131">
        <v>0</v>
      </c>
    </row>
    <row r="260" spans="1:5" x14ac:dyDescent="0.25">
      <c r="A260">
        <v>318</v>
      </c>
      <c r="B260">
        <v>200</v>
      </c>
      <c r="C260" t="s">
        <v>1446</v>
      </c>
      <c r="D260" t="s">
        <v>1447</v>
      </c>
      <c r="E260" s="131">
        <v>0</v>
      </c>
    </row>
    <row r="261" spans="1:5" x14ac:dyDescent="0.25">
      <c r="A261">
        <v>318</v>
      </c>
      <c r="B261">
        <v>99</v>
      </c>
      <c r="C261" t="s">
        <v>1448</v>
      </c>
      <c r="D261" t="s">
        <v>1449</v>
      </c>
      <c r="E261" s="131">
        <v>0</v>
      </c>
    </row>
    <row r="262" spans="1:5" x14ac:dyDescent="0.25">
      <c r="A262">
        <v>318</v>
      </c>
      <c r="B262">
        <v>191</v>
      </c>
      <c r="C262" t="s">
        <v>1450</v>
      </c>
      <c r="D262" t="s">
        <v>1451</v>
      </c>
      <c r="E262" s="131">
        <v>0</v>
      </c>
    </row>
    <row r="263" spans="1:5" x14ac:dyDescent="0.25">
      <c r="A263">
        <v>318</v>
      </c>
      <c r="B263">
        <v>97</v>
      </c>
      <c r="C263" t="s">
        <v>1452</v>
      </c>
      <c r="D263" t="s">
        <v>1453</v>
      </c>
      <c r="E263" s="131">
        <v>0</v>
      </c>
    </row>
    <row r="264" spans="1:5" x14ac:dyDescent="0.25">
      <c r="A264">
        <v>318</v>
      </c>
      <c r="B264">
        <v>192</v>
      </c>
      <c r="C264" t="s">
        <v>1454</v>
      </c>
      <c r="D264" t="s">
        <v>1455</v>
      </c>
      <c r="E264" s="131">
        <v>0</v>
      </c>
    </row>
    <row r="265" spans="1:5" x14ac:dyDescent="0.25">
      <c r="A265">
        <v>318</v>
      </c>
      <c r="B265">
        <v>193</v>
      </c>
      <c r="C265" t="s">
        <v>1456</v>
      </c>
      <c r="D265" t="s">
        <v>1457</v>
      </c>
      <c r="E265" s="131">
        <v>0</v>
      </c>
    </row>
    <row r="266" spans="1:5" x14ac:dyDescent="0.25">
      <c r="A266">
        <v>318</v>
      </c>
      <c r="B266">
        <v>152</v>
      </c>
      <c r="C266" t="s">
        <v>1458</v>
      </c>
      <c r="D266" t="s">
        <v>1459</v>
      </c>
      <c r="E266" s="131">
        <v>12226.6</v>
      </c>
    </row>
    <row r="267" spans="1:5" x14ac:dyDescent="0.25">
      <c r="A267">
        <v>318</v>
      </c>
      <c r="B267">
        <v>220</v>
      </c>
      <c r="C267" t="s">
        <v>1460</v>
      </c>
      <c r="D267" t="s">
        <v>1373</v>
      </c>
      <c r="E267" s="131">
        <v>0</v>
      </c>
    </row>
    <row r="268" spans="1:5" x14ac:dyDescent="0.25">
      <c r="A268">
        <v>318</v>
      </c>
      <c r="B268">
        <v>221</v>
      </c>
      <c r="C268" t="s">
        <v>1461</v>
      </c>
      <c r="D268" t="s">
        <v>1462</v>
      </c>
      <c r="E268" s="131">
        <v>0</v>
      </c>
    </row>
    <row r="269" spans="1:5" x14ac:dyDescent="0.25">
      <c r="A269">
        <v>318</v>
      </c>
      <c r="B269">
        <v>169</v>
      </c>
      <c r="C269" t="s">
        <v>1463</v>
      </c>
      <c r="D269" t="s">
        <v>1464</v>
      </c>
      <c r="E269" s="131">
        <v>3926845415.9499998</v>
      </c>
    </row>
    <row r="270" spans="1:5" x14ac:dyDescent="0.25">
      <c r="A270">
        <v>318</v>
      </c>
      <c r="B270">
        <v>63</v>
      </c>
      <c r="C270" t="s">
        <v>1465</v>
      </c>
      <c r="D270" t="s">
        <v>1359</v>
      </c>
      <c r="E270" s="131">
        <v>0</v>
      </c>
    </row>
    <row r="271" spans="1:5" x14ac:dyDescent="0.25">
      <c r="A271">
        <v>6</v>
      </c>
      <c r="B271">
        <v>70</v>
      </c>
      <c r="C271" t="s">
        <v>887</v>
      </c>
      <c r="D271" t="s">
        <v>888</v>
      </c>
      <c r="E271" s="131">
        <v>0</v>
      </c>
    </row>
    <row r="272" spans="1:5" x14ac:dyDescent="0.25">
      <c r="A272">
        <v>6</v>
      </c>
      <c r="B272">
        <v>70</v>
      </c>
      <c r="C272" t="s">
        <v>889</v>
      </c>
      <c r="D272" t="s">
        <v>1466</v>
      </c>
      <c r="E272" s="131">
        <v>188705449.49000001</v>
      </c>
    </row>
    <row r="273" spans="1:5" x14ac:dyDescent="0.25">
      <c r="A273">
        <v>6</v>
      </c>
      <c r="B273">
        <v>70</v>
      </c>
      <c r="C273" t="s">
        <v>890</v>
      </c>
      <c r="D273" t="s">
        <v>888</v>
      </c>
      <c r="E273" s="131">
        <v>0</v>
      </c>
    </row>
    <row r="274" spans="1:5" x14ac:dyDescent="0.25">
      <c r="A274">
        <v>6</v>
      </c>
      <c r="B274">
        <v>70</v>
      </c>
      <c r="C274" t="s">
        <v>891</v>
      </c>
      <c r="D274" t="s">
        <v>1467</v>
      </c>
      <c r="E274" s="131">
        <v>-99845859.420000002</v>
      </c>
    </row>
    <row r="275" spans="1:5" x14ac:dyDescent="0.25">
      <c r="A275">
        <v>6</v>
      </c>
      <c r="B275">
        <v>70</v>
      </c>
      <c r="C275" t="s">
        <v>894</v>
      </c>
      <c r="D275" t="s">
        <v>895</v>
      </c>
      <c r="E275" s="131">
        <v>1673099360.8099999</v>
      </c>
    </row>
    <row r="276" spans="1:5" x14ac:dyDescent="0.25">
      <c r="A276">
        <v>6</v>
      </c>
      <c r="B276">
        <v>70</v>
      </c>
      <c r="C276" t="s">
        <v>896</v>
      </c>
      <c r="D276" t="s">
        <v>897</v>
      </c>
      <c r="E276" s="131">
        <v>0</v>
      </c>
    </row>
    <row r="277" spans="1:5" x14ac:dyDescent="0.25">
      <c r="A277">
        <v>6</v>
      </c>
      <c r="B277">
        <v>70</v>
      </c>
      <c r="C277" t="s">
        <v>1468</v>
      </c>
      <c r="D277" t="s">
        <v>1469</v>
      </c>
      <c r="E277" s="131">
        <v>100783333</v>
      </c>
    </row>
    <row r="278" spans="1:5" x14ac:dyDescent="0.25">
      <c r="A278">
        <v>6</v>
      </c>
      <c r="B278">
        <v>70</v>
      </c>
      <c r="C278" t="s">
        <v>898</v>
      </c>
      <c r="D278" t="s">
        <v>899</v>
      </c>
      <c r="E278" s="131">
        <v>0</v>
      </c>
    </row>
    <row r="279" spans="1:5" x14ac:dyDescent="0.25">
      <c r="A279">
        <v>6</v>
      </c>
      <c r="B279">
        <v>70</v>
      </c>
      <c r="C279" t="s">
        <v>900</v>
      </c>
      <c r="D279" t="s">
        <v>901</v>
      </c>
      <c r="E279" s="131">
        <v>1533119177.53</v>
      </c>
    </row>
    <row r="280" spans="1:5" x14ac:dyDescent="0.25">
      <c r="A280">
        <v>6</v>
      </c>
      <c r="B280">
        <v>70</v>
      </c>
      <c r="C280" t="s">
        <v>902</v>
      </c>
      <c r="D280" t="s">
        <v>903</v>
      </c>
      <c r="E280" s="131">
        <v>1544640405</v>
      </c>
    </row>
    <row r="281" spans="1:5" x14ac:dyDescent="0.25">
      <c r="A281">
        <v>6</v>
      </c>
      <c r="B281">
        <v>70</v>
      </c>
      <c r="C281" t="s">
        <v>1470</v>
      </c>
      <c r="D281" t="s">
        <v>1471</v>
      </c>
      <c r="E281" s="131">
        <v>995667645.67999995</v>
      </c>
    </row>
    <row r="282" spans="1:5" x14ac:dyDescent="0.25">
      <c r="A282">
        <v>6</v>
      </c>
      <c r="B282">
        <v>70</v>
      </c>
      <c r="C282" t="s">
        <v>1472</v>
      </c>
      <c r="D282" t="s">
        <v>906</v>
      </c>
      <c r="E282" s="131">
        <v>223677276.22999999</v>
      </c>
    </row>
    <row r="283" spans="1:5" x14ac:dyDescent="0.25">
      <c r="A283">
        <v>6</v>
      </c>
      <c r="B283">
        <v>70</v>
      </c>
      <c r="C283" t="s">
        <v>1473</v>
      </c>
      <c r="D283" t="s">
        <v>907</v>
      </c>
      <c r="E283" s="131">
        <v>0</v>
      </c>
    </row>
    <row r="284" spans="1:5" x14ac:dyDescent="0.25">
      <c r="A284">
        <v>6</v>
      </c>
      <c r="B284">
        <v>70</v>
      </c>
      <c r="C284" t="s">
        <v>1474</v>
      </c>
      <c r="D284" t="s">
        <v>909</v>
      </c>
      <c r="E284" s="131">
        <v>0</v>
      </c>
    </row>
    <row r="285" spans="1:5" x14ac:dyDescent="0.25">
      <c r="A285">
        <v>6</v>
      </c>
      <c r="B285">
        <v>70</v>
      </c>
      <c r="C285" t="s">
        <v>910</v>
      </c>
      <c r="D285" t="s">
        <v>911</v>
      </c>
      <c r="E285" s="131">
        <v>0</v>
      </c>
    </row>
    <row r="286" spans="1:5" x14ac:dyDescent="0.25">
      <c r="A286">
        <v>6</v>
      </c>
      <c r="B286">
        <v>70</v>
      </c>
      <c r="C286" t="s">
        <v>912</v>
      </c>
      <c r="D286" t="s">
        <v>913</v>
      </c>
      <c r="E286" s="131">
        <v>37898500</v>
      </c>
    </row>
    <row r="287" spans="1:5" x14ac:dyDescent="0.25">
      <c r="A287">
        <v>6</v>
      </c>
      <c r="B287">
        <v>70</v>
      </c>
      <c r="C287" t="s">
        <v>914</v>
      </c>
      <c r="D287" t="s">
        <v>915</v>
      </c>
      <c r="E287" s="131">
        <v>0</v>
      </c>
    </row>
    <row r="288" spans="1:5" x14ac:dyDescent="0.25">
      <c r="A288">
        <v>6</v>
      </c>
      <c r="B288">
        <v>70</v>
      </c>
      <c r="C288" t="s">
        <v>916</v>
      </c>
      <c r="D288" t="s">
        <v>917</v>
      </c>
      <c r="E288" s="131">
        <v>0</v>
      </c>
    </row>
    <row r="289" spans="1:5" x14ac:dyDescent="0.25">
      <c r="A289">
        <v>6</v>
      </c>
      <c r="B289">
        <v>70</v>
      </c>
      <c r="C289" t="s">
        <v>918</v>
      </c>
      <c r="D289" t="s">
        <v>919</v>
      </c>
      <c r="E289" s="131">
        <v>7503710700.4700003</v>
      </c>
    </row>
    <row r="290" spans="1:5" x14ac:dyDescent="0.25">
      <c r="A290">
        <v>6</v>
      </c>
      <c r="B290">
        <v>70</v>
      </c>
      <c r="C290" t="s">
        <v>920</v>
      </c>
      <c r="D290" t="s">
        <v>921</v>
      </c>
      <c r="E290" s="131">
        <v>0</v>
      </c>
    </row>
    <row r="291" spans="1:5" x14ac:dyDescent="0.25">
      <c r="A291">
        <v>6</v>
      </c>
      <c r="B291">
        <v>70</v>
      </c>
      <c r="C291" t="s">
        <v>922</v>
      </c>
      <c r="D291" t="s">
        <v>923</v>
      </c>
      <c r="E291" s="131">
        <v>0</v>
      </c>
    </row>
    <row r="292" spans="1:5" x14ac:dyDescent="0.25">
      <c r="A292">
        <v>6</v>
      </c>
      <c r="B292">
        <v>70</v>
      </c>
      <c r="C292" t="s">
        <v>1475</v>
      </c>
      <c r="D292" t="s">
        <v>1476</v>
      </c>
      <c r="E292" s="131">
        <v>133718000</v>
      </c>
    </row>
    <row r="293" spans="1:5" x14ac:dyDescent="0.25">
      <c r="A293">
        <v>6</v>
      </c>
      <c r="B293">
        <v>70</v>
      </c>
      <c r="C293" t="s">
        <v>926</v>
      </c>
      <c r="D293" t="s">
        <v>927</v>
      </c>
      <c r="E293" s="131">
        <v>0</v>
      </c>
    </row>
    <row r="294" spans="1:5" x14ac:dyDescent="0.25">
      <c r="A294">
        <v>6</v>
      </c>
      <c r="B294">
        <v>70</v>
      </c>
      <c r="C294" t="s">
        <v>928</v>
      </c>
      <c r="D294" t="s">
        <v>929</v>
      </c>
      <c r="E294" s="131">
        <v>123221829</v>
      </c>
    </row>
    <row r="295" spans="1:5" x14ac:dyDescent="0.25">
      <c r="A295">
        <v>6</v>
      </c>
      <c r="B295">
        <v>70</v>
      </c>
      <c r="C295" t="s">
        <v>930</v>
      </c>
      <c r="D295" t="s">
        <v>931</v>
      </c>
      <c r="E295" s="131">
        <v>-8600955</v>
      </c>
    </row>
    <row r="296" spans="1:5" x14ac:dyDescent="0.25">
      <c r="A296">
        <v>6</v>
      </c>
      <c r="B296">
        <v>70</v>
      </c>
      <c r="C296" t="s">
        <v>932</v>
      </c>
      <c r="D296" t="s">
        <v>933</v>
      </c>
      <c r="E296" s="131">
        <v>0</v>
      </c>
    </row>
    <row r="297" spans="1:5" x14ac:dyDescent="0.25">
      <c r="A297">
        <v>6</v>
      </c>
      <c r="B297">
        <v>70</v>
      </c>
      <c r="C297" t="s">
        <v>934</v>
      </c>
      <c r="D297" t="s">
        <v>935</v>
      </c>
      <c r="E297" s="131">
        <v>0</v>
      </c>
    </row>
    <row r="298" spans="1:5" x14ac:dyDescent="0.25">
      <c r="A298">
        <v>6</v>
      </c>
      <c r="B298">
        <v>70</v>
      </c>
      <c r="C298" t="s">
        <v>936</v>
      </c>
      <c r="D298" t="s">
        <v>937</v>
      </c>
      <c r="E298" s="131">
        <v>2280917735</v>
      </c>
    </row>
    <row r="299" spans="1:5" x14ac:dyDescent="0.25">
      <c r="A299">
        <v>6</v>
      </c>
      <c r="B299">
        <v>70</v>
      </c>
      <c r="C299" t="s">
        <v>942</v>
      </c>
      <c r="D299" t="s">
        <v>943</v>
      </c>
      <c r="E299" s="131">
        <v>0</v>
      </c>
    </row>
    <row r="300" spans="1:5" x14ac:dyDescent="0.25">
      <c r="A300">
        <v>6</v>
      </c>
      <c r="B300">
        <v>70</v>
      </c>
      <c r="C300" t="s">
        <v>944</v>
      </c>
      <c r="D300" t="s">
        <v>945</v>
      </c>
      <c r="E300" s="131">
        <v>0</v>
      </c>
    </row>
    <row r="301" spans="1:5" x14ac:dyDescent="0.25">
      <c r="A301">
        <v>6</v>
      </c>
      <c r="B301">
        <v>70</v>
      </c>
      <c r="C301" t="s">
        <v>1477</v>
      </c>
      <c r="D301" t="s">
        <v>1478</v>
      </c>
      <c r="E301" s="131">
        <v>499364.07000000007</v>
      </c>
    </row>
    <row r="302" spans="1:5" x14ac:dyDescent="0.25">
      <c r="A302">
        <v>8</v>
      </c>
      <c r="B302">
        <v>82</v>
      </c>
      <c r="C302" t="s">
        <v>1479</v>
      </c>
      <c r="D302" t="s">
        <v>1305</v>
      </c>
      <c r="E302" s="131">
        <v>0</v>
      </c>
    </row>
    <row r="303" spans="1:5" x14ac:dyDescent="0.25">
      <c r="A303">
        <v>9</v>
      </c>
      <c r="B303">
        <v>88</v>
      </c>
      <c r="C303" t="s">
        <v>1480</v>
      </c>
      <c r="D303" t="s">
        <v>1303</v>
      </c>
      <c r="E303" s="131">
        <v>0</v>
      </c>
    </row>
    <row r="304" spans="1:5" x14ac:dyDescent="0.25">
      <c r="A304">
        <v>9</v>
      </c>
    </row>
    <row r="305" spans="1:5" x14ac:dyDescent="0.25">
      <c r="A305">
        <v>9</v>
      </c>
    </row>
    <row r="306" spans="1:5" x14ac:dyDescent="0.25">
      <c r="A306">
        <v>9</v>
      </c>
    </row>
    <row r="307" spans="1:5" x14ac:dyDescent="0.25">
      <c r="A307">
        <v>9</v>
      </c>
    </row>
    <row r="309" spans="1:5" x14ac:dyDescent="0.25">
      <c r="E309" s="131">
        <f>SUBTOTAL(9,E2:E308)</f>
        <v>277364216728.02002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0E41-3D3F-4B87-A29D-80C3DD15E652}">
  <sheetPr filterMode="1">
    <tabColor rgb="FFFF0000"/>
  </sheetPr>
  <dimension ref="A1:AS493"/>
  <sheetViews>
    <sheetView topLeftCell="A406" workbookViewId="0">
      <selection activeCell="AE493" sqref="AE493"/>
    </sheetView>
  </sheetViews>
  <sheetFormatPr baseColWidth="10" defaultColWidth="11.42578125" defaultRowHeight="15" x14ac:dyDescent="0.25"/>
  <cols>
    <col min="1" max="2" width="11.42578125" style="181"/>
    <col min="3" max="3" width="48.140625" style="181" bestFit="1" customWidth="1"/>
    <col min="4" max="4" width="28.7109375" style="1179" customWidth="1"/>
    <col min="5" max="5" width="11.42578125" style="181" customWidth="1"/>
    <col min="6" max="29" width="11.42578125" style="181" hidden="1" customWidth="1"/>
    <col min="30" max="30" width="18.85546875" style="1180" hidden="1" customWidth="1"/>
    <col min="31" max="31" width="18.85546875" style="1180" bestFit="1" customWidth="1"/>
    <col min="32" max="43" width="0" style="181" hidden="1" customWidth="1"/>
    <col min="44" max="44" width="11.42578125" style="181"/>
    <col min="45" max="45" width="18.85546875" style="1180" bestFit="1" customWidth="1"/>
    <col min="46" max="16384" width="11.42578125" style="181"/>
  </cols>
  <sheetData>
    <row r="1" spans="1:45" x14ac:dyDescent="0.25">
      <c r="A1" s="181" t="s">
        <v>1188</v>
      </c>
      <c r="B1" s="181" t="s">
        <v>222</v>
      </c>
      <c r="C1" s="181" t="s">
        <v>223</v>
      </c>
      <c r="D1" s="1179" t="s">
        <v>224</v>
      </c>
      <c r="E1" s="181" t="s">
        <v>225</v>
      </c>
      <c r="F1" s="181" t="s">
        <v>1676</v>
      </c>
      <c r="G1" s="181" t="s">
        <v>1677</v>
      </c>
      <c r="H1" s="181" t="s">
        <v>1678</v>
      </c>
      <c r="I1" s="181" t="s">
        <v>1679</v>
      </c>
      <c r="J1" s="181" t="s">
        <v>1680</v>
      </c>
      <c r="K1" s="181" t="s">
        <v>1681</v>
      </c>
      <c r="L1" s="181" t="s">
        <v>1485</v>
      </c>
      <c r="M1" s="181" t="s">
        <v>1682</v>
      </c>
      <c r="N1" s="181" t="s">
        <v>1683</v>
      </c>
      <c r="O1" s="181" t="s">
        <v>1684</v>
      </c>
      <c r="P1" s="181" t="s">
        <v>1685</v>
      </c>
      <c r="Q1" s="181" t="s">
        <v>1686</v>
      </c>
      <c r="R1" s="181" t="s">
        <v>1687</v>
      </c>
      <c r="S1" s="181" t="s">
        <v>1688</v>
      </c>
      <c r="T1" s="181" t="s">
        <v>1689</v>
      </c>
      <c r="U1" s="181" t="s">
        <v>1486</v>
      </c>
      <c r="V1" s="181" t="s">
        <v>1690</v>
      </c>
      <c r="W1" s="181" t="s">
        <v>1691</v>
      </c>
      <c r="X1" s="181" t="s">
        <v>1692</v>
      </c>
      <c r="Y1" s="181" t="s">
        <v>1693</v>
      </c>
      <c r="Z1" s="181" t="s">
        <v>1694</v>
      </c>
      <c r="AA1" s="181" t="s">
        <v>1695</v>
      </c>
      <c r="AB1" s="181" t="s">
        <v>1696</v>
      </c>
      <c r="AC1" s="181" t="s">
        <v>1697</v>
      </c>
      <c r="AD1" s="1180" t="s">
        <v>1698</v>
      </c>
      <c r="AE1" s="1180" t="s">
        <v>1699</v>
      </c>
      <c r="AF1" s="181" t="s">
        <v>1700</v>
      </c>
      <c r="AG1" s="181" t="s">
        <v>1701</v>
      </c>
      <c r="AH1" s="181" t="s">
        <v>1702</v>
      </c>
      <c r="AI1" s="181" t="s">
        <v>1703</v>
      </c>
      <c r="AJ1" s="181" t="s">
        <v>1704</v>
      </c>
      <c r="AK1" s="181" t="s">
        <v>1705</v>
      </c>
      <c r="AL1" s="181" t="s">
        <v>1706</v>
      </c>
      <c r="AM1" s="181" t="s">
        <v>1707</v>
      </c>
      <c r="AN1" s="181" t="s">
        <v>1708</v>
      </c>
    </row>
    <row r="2" spans="1:45" hidden="1" x14ac:dyDescent="0.25">
      <c r="A2" s="181">
        <v>307</v>
      </c>
      <c r="B2" s="181" t="s">
        <v>226</v>
      </c>
      <c r="C2" s="181" t="s">
        <v>227</v>
      </c>
      <c r="D2" s="1179" t="s">
        <v>228</v>
      </c>
      <c r="E2" s="181">
        <v>126781450566</v>
      </c>
      <c r="F2" s="181">
        <v>126781450566</v>
      </c>
      <c r="G2" s="181">
        <v>140801523764.75</v>
      </c>
      <c r="H2" s="181">
        <v>226716434.41</v>
      </c>
      <c r="I2" s="181">
        <v>140574807330.34</v>
      </c>
      <c r="J2" s="181">
        <v>140801523764.75</v>
      </c>
      <c r="K2" s="181">
        <v>226716434.41</v>
      </c>
      <c r="L2" s="181">
        <v>267356257896.34</v>
      </c>
      <c r="M2" s="181">
        <v>39235058242.660004</v>
      </c>
      <c r="N2" s="181">
        <v>321238997.47000003</v>
      </c>
      <c r="O2" s="181">
        <v>38913819245.190002</v>
      </c>
      <c r="P2" s="181">
        <v>39224850.409999996</v>
      </c>
      <c r="Q2" s="181">
        <v>0</v>
      </c>
      <c r="R2" s="181">
        <v>39224850.409999996</v>
      </c>
      <c r="S2" s="181">
        <v>265326881868.85001</v>
      </c>
      <c r="T2" s="181">
        <v>12187805661.33</v>
      </c>
      <c r="U2" s="181">
        <v>253139076207.51999</v>
      </c>
      <c r="V2" s="181">
        <v>39235058242.660004</v>
      </c>
      <c r="W2" s="181">
        <v>321238997.47000003</v>
      </c>
      <c r="X2" s="181">
        <v>38913819245.190002</v>
      </c>
      <c r="Y2" s="181">
        <v>39224850.409999996</v>
      </c>
      <c r="Z2" s="181">
        <v>0</v>
      </c>
      <c r="AA2" s="181">
        <v>39224850.409999996</v>
      </c>
      <c r="AB2" s="181">
        <v>265326881868.85001</v>
      </c>
      <c r="AC2" s="181">
        <v>12187805661.33</v>
      </c>
      <c r="AD2" s="1180">
        <v>253139076207.51999</v>
      </c>
      <c r="AE2" s="1180">
        <v>253178301057.92999</v>
      </c>
      <c r="AF2" s="181">
        <v>47987968885.739998</v>
      </c>
      <c r="AG2" s="181">
        <v>47987968885.739998</v>
      </c>
      <c r="AH2" s="181">
        <v>205293649367.17001</v>
      </c>
      <c r="AI2" s="181">
        <v>215732614433.20001</v>
      </c>
      <c r="AJ2" s="181">
        <v>10438965066.030001</v>
      </c>
      <c r="AK2" s="181">
        <v>215732614433.20001</v>
      </c>
      <c r="AL2" s="181">
        <v>0</v>
      </c>
      <c r="AM2" s="181">
        <v>10438965066.030001</v>
      </c>
      <c r="AN2" s="181" t="s">
        <v>1709</v>
      </c>
      <c r="AS2" s="181"/>
    </row>
    <row r="3" spans="1:45" hidden="1" x14ac:dyDescent="0.25">
      <c r="A3" s="181">
        <v>307</v>
      </c>
      <c r="B3" s="181" t="s">
        <v>226</v>
      </c>
      <c r="C3" s="181" t="s">
        <v>229</v>
      </c>
      <c r="D3" s="1179" t="s">
        <v>230</v>
      </c>
      <c r="E3" s="181">
        <v>118897761298</v>
      </c>
      <c r="F3" s="181">
        <v>118897761298</v>
      </c>
      <c r="G3" s="181">
        <v>56622110984.440002</v>
      </c>
      <c r="H3" s="181">
        <v>187491584</v>
      </c>
      <c r="I3" s="181">
        <v>56434619400.440002</v>
      </c>
      <c r="J3" s="181">
        <v>56622110984.440002</v>
      </c>
      <c r="K3" s="181">
        <v>187491584</v>
      </c>
      <c r="L3" s="181">
        <v>175332380698.44</v>
      </c>
      <c r="M3" s="181">
        <v>39235058242.660004</v>
      </c>
      <c r="N3" s="181">
        <v>321238997.47000003</v>
      </c>
      <c r="O3" s="181">
        <v>38913819245.190002</v>
      </c>
      <c r="P3" s="181">
        <v>0</v>
      </c>
      <c r="Q3" s="181">
        <v>0</v>
      </c>
      <c r="R3" s="181">
        <v>0</v>
      </c>
      <c r="S3" s="181">
        <v>204916861532.60999</v>
      </c>
      <c r="T3" s="181">
        <v>10620700751.6</v>
      </c>
      <c r="U3" s="181">
        <v>194296160781.01001</v>
      </c>
      <c r="V3" s="181">
        <v>39235058242.660004</v>
      </c>
      <c r="W3" s="181">
        <v>321238997.47000003</v>
      </c>
      <c r="X3" s="181">
        <v>38913819245.190002</v>
      </c>
      <c r="Y3" s="181">
        <v>0</v>
      </c>
      <c r="Z3" s="181">
        <v>0</v>
      </c>
      <c r="AA3" s="181">
        <v>0</v>
      </c>
      <c r="AB3" s="181">
        <v>204916861532.60999</v>
      </c>
      <c r="AC3" s="181">
        <v>10620700751.6</v>
      </c>
      <c r="AD3" s="1180">
        <v>194296160781.01001</v>
      </c>
      <c r="AE3" s="1180">
        <v>194296160781.01001</v>
      </c>
      <c r="AF3" s="181">
        <v>38112099.020000003</v>
      </c>
      <c r="AG3" s="181">
        <v>38112099.020000003</v>
      </c>
      <c r="AH3" s="181">
        <v>194400590727.38</v>
      </c>
      <c r="AI3" s="181">
        <v>204768596877.57001</v>
      </c>
      <c r="AJ3" s="181">
        <v>10368006150.190001</v>
      </c>
      <c r="AK3" s="181">
        <v>204768596877.57001</v>
      </c>
      <c r="AL3" s="181">
        <v>0</v>
      </c>
      <c r="AM3" s="181">
        <v>10368006150.190001</v>
      </c>
      <c r="AN3" s="181" t="s">
        <v>1709</v>
      </c>
      <c r="AS3" s="181"/>
    </row>
    <row r="4" spans="1:45" hidden="1" x14ac:dyDescent="0.25">
      <c r="A4" s="181">
        <v>307</v>
      </c>
      <c r="B4" s="181" t="s">
        <v>226</v>
      </c>
      <c r="C4" s="181" t="s">
        <v>231</v>
      </c>
      <c r="D4" s="1179" t="s">
        <v>232</v>
      </c>
      <c r="E4" s="181">
        <v>93354826790</v>
      </c>
      <c r="F4" s="181">
        <v>93354826790</v>
      </c>
      <c r="G4" s="181">
        <v>7194484411.4399996</v>
      </c>
      <c r="H4" s="181">
        <v>0</v>
      </c>
      <c r="I4" s="181">
        <v>7194484411.4399996</v>
      </c>
      <c r="J4" s="181">
        <v>7194484411.4399996</v>
      </c>
      <c r="K4" s="181">
        <v>0</v>
      </c>
      <c r="L4" s="181">
        <v>100549311201.44</v>
      </c>
      <c r="M4" s="181">
        <v>24366763014.349998</v>
      </c>
      <c r="N4" s="181">
        <v>282994268.12</v>
      </c>
      <c r="O4" s="181">
        <v>24083768746.23</v>
      </c>
      <c r="P4" s="181">
        <v>0</v>
      </c>
      <c r="Q4" s="181">
        <v>0</v>
      </c>
      <c r="R4" s="181">
        <v>0</v>
      </c>
      <c r="S4" s="181">
        <v>118056465718.92</v>
      </c>
      <c r="T4" s="181">
        <v>6070763481.6599998</v>
      </c>
      <c r="U4" s="181">
        <v>111985702237.25999</v>
      </c>
      <c r="V4" s="181">
        <v>24366763014.349998</v>
      </c>
      <c r="W4" s="181">
        <v>282994268.12</v>
      </c>
      <c r="X4" s="181">
        <v>24083768746.23</v>
      </c>
      <c r="Y4" s="181">
        <v>0</v>
      </c>
      <c r="Z4" s="181">
        <v>0</v>
      </c>
      <c r="AA4" s="181">
        <v>0</v>
      </c>
      <c r="AB4" s="181">
        <v>118056465718.92</v>
      </c>
      <c r="AC4" s="181">
        <v>6070763481.6599998</v>
      </c>
      <c r="AD4" s="1180">
        <v>111985702237.25999</v>
      </c>
      <c r="AE4" s="1180">
        <v>111985702237.25999</v>
      </c>
      <c r="AF4" s="181">
        <v>0</v>
      </c>
      <c r="AG4" s="181">
        <v>0</v>
      </c>
      <c r="AH4" s="181">
        <v>112113678138.92</v>
      </c>
      <c r="AI4" s="181">
        <v>118036344618.92</v>
      </c>
      <c r="AJ4" s="181">
        <v>5922666480</v>
      </c>
      <c r="AK4" s="181">
        <v>118036344618.92</v>
      </c>
      <c r="AL4" s="181">
        <v>0</v>
      </c>
      <c r="AM4" s="181">
        <v>5922666480</v>
      </c>
      <c r="AN4" s="181" t="s">
        <v>1709</v>
      </c>
      <c r="AS4" s="181"/>
    </row>
    <row r="5" spans="1:45" hidden="1" x14ac:dyDescent="0.25">
      <c r="A5" s="181">
        <v>307</v>
      </c>
      <c r="B5" s="181" t="s">
        <v>226</v>
      </c>
      <c r="C5" s="181" t="s">
        <v>233</v>
      </c>
      <c r="D5" s="1179" t="s">
        <v>234</v>
      </c>
      <c r="E5" s="181">
        <v>18334260465</v>
      </c>
      <c r="F5" s="181">
        <v>18334260465</v>
      </c>
      <c r="G5" s="181">
        <v>2217621365</v>
      </c>
      <c r="H5" s="181">
        <v>0</v>
      </c>
      <c r="I5" s="181">
        <v>2217621365</v>
      </c>
      <c r="J5" s="181">
        <v>2217621365</v>
      </c>
      <c r="K5" s="181">
        <v>0</v>
      </c>
      <c r="L5" s="181">
        <v>20551881830</v>
      </c>
      <c r="M5" s="181">
        <v>24366763014.349998</v>
      </c>
      <c r="N5" s="181">
        <v>282994268.12</v>
      </c>
      <c r="O5" s="181">
        <v>24083768746.23</v>
      </c>
      <c r="P5" s="181">
        <v>0</v>
      </c>
      <c r="Q5" s="181">
        <v>0</v>
      </c>
      <c r="R5" s="181">
        <v>0</v>
      </c>
      <c r="S5" s="181">
        <v>22095301782.650002</v>
      </c>
      <c r="T5" s="181">
        <v>33815105.659999996</v>
      </c>
      <c r="U5" s="181">
        <v>22061486676.990002</v>
      </c>
      <c r="V5" s="181">
        <v>24366763014.349998</v>
      </c>
      <c r="W5" s="181">
        <v>282994268.12</v>
      </c>
      <c r="X5" s="181">
        <v>24083768746.23</v>
      </c>
      <c r="Y5" s="181">
        <v>0</v>
      </c>
      <c r="Z5" s="181">
        <v>0</v>
      </c>
      <c r="AA5" s="181">
        <v>0</v>
      </c>
      <c r="AB5" s="181">
        <v>22095301782.650002</v>
      </c>
      <c r="AC5" s="181">
        <v>33815105.659999996</v>
      </c>
      <c r="AD5" s="1180">
        <v>22061486676.990002</v>
      </c>
      <c r="AE5" s="1180">
        <v>22061486676.990002</v>
      </c>
      <c r="AF5" s="181">
        <v>0</v>
      </c>
      <c r="AG5" s="181">
        <v>0</v>
      </c>
      <c r="AH5" s="181">
        <v>22093912182.650002</v>
      </c>
      <c r="AI5" s="181">
        <v>22094020982.650002</v>
      </c>
      <c r="AJ5" s="181">
        <v>108800</v>
      </c>
      <c r="AK5" s="181">
        <v>22094020982.650002</v>
      </c>
      <c r="AL5" s="181">
        <v>0</v>
      </c>
      <c r="AM5" s="181">
        <v>108800</v>
      </c>
      <c r="AN5" s="181" t="s">
        <v>1709</v>
      </c>
      <c r="AS5" s="181"/>
    </row>
    <row r="6" spans="1:45" ht="30" hidden="1" x14ac:dyDescent="0.25">
      <c r="A6" s="181">
        <v>307</v>
      </c>
      <c r="B6" s="181">
        <v>20</v>
      </c>
      <c r="C6" s="181" t="s">
        <v>238</v>
      </c>
      <c r="D6" s="1179" t="s">
        <v>239</v>
      </c>
      <c r="E6" s="181">
        <v>18334260465</v>
      </c>
      <c r="F6" s="181">
        <v>18334260465</v>
      </c>
      <c r="G6" s="181">
        <v>2217621365</v>
      </c>
      <c r="H6" s="181">
        <v>0</v>
      </c>
      <c r="I6" s="181">
        <v>2217621365</v>
      </c>
      <c r="J6" s="181">
        <v>2217621365</v>
      </c>
      <c r="K6" s="181">
        <v>0</v>
      </c>
      <c r="L6" s="181">
        <v>20551881830</v>
      </c>
      <c r="M6" s="181">
        <v>24366763014.349998</v>
      </c>
      <c r="N6" s="181">
        <v>282994268.12</v>
      </c>
      <c r="O6" s="181">
        <v>24083768746.23</v>
      </c>
      <c r="P6" s="181">
        <v>0</v>
      </c>
      <c r="Q6" s="181">
        <v>0</v>
      </c>
      <c r="R6" s="181">
        <v>0</v>
      </c>
      <c r="S6" s="181">
        <v>22095301782.650002</v>
      </c>
      <c r="T6" s="181">
        <v>33815105.659999996</v>
      </c>
      <c r="U6" s="181">
        <v>22061486676.990002</v>
      </c>
      <c r="V6" s="181">
        <v>24366763014.349998</v>
      </c>
      <c r="W6" s="181">
        <v>282994268.12</v>
      </c>
      <c r="X6" s="181">
        <v>24083768746.23</v>
      </c>
      <c r="Y6" s="181">
        <v>0</v>
      </c>
      <c r="Z6" s="181">
        <v>0</v>
      </c>
      <c r="AA6" s="181">
        <v>0</v>
      </c>
      <c r="AB6" s="181">
        <v>22095301782.650002</v>
      </c>
      <c r="AC6" s="181">
        <v>33815105.659999996</v>
      </c>
      <c r="AD6" s="1180">
        <v>22061486676.990002</v>
      </c>
      <c r="AE6" s="1183">
        <v>22061486676.990002</v>
      </c>
      <c r="AF6" s="181">
        <v>0</v>
      </c>
      <c r="AG6" s="181">
        <v>0</v>
      </c>
      <c r="AH6" s="181">
        <v>22093912182.650002</v>
      </c>
      <c r="AI6" s="181">
        <v>22094020982.650002</v>
      </c>
      <c r="AJ6" s="181">
        <v>108800</v>
      </c>
      <c r="AK6" s="181">
        <v>22094020982.650002</v>
      </c>
      <c r="AL6" s="181">
        <v>0</v>
      </c>
      <c r="AM6" s="181">
        <v>108800</v>
      </c>
      <c r="AN6" s="181" t="s">
        <v>140</v>
      </c>
    </row>
    <row r="7" spans="1:45" hidden="1" x14ac:dyDescent="0.25">
      <c r="A7" s="181">
        <v>307</v>
      </c>
      <c r="B7" s="181" t="s">
        <v>226</v>
      </c>
      <c r="C7" s="181" t="s">
        <v>240</v>
      </c>
      <c r="D7" s="1179" t="s">
        <v>241</v>
      </c>
      <c r="E7" s="181">
        <v>75020566325</v>
      </c>
      <c r="F7" s="181">
        <v>75020566325</v>
      </c>
      <c r="G7" s="181">
        <v>4976863046.4399996</v>
      </c>
      <c r="H7" s="181">
        <v>0</v>
      </c>
      <c r="I7" s="181">
        <v>4976863046.4399996</v>
      </c>
      <c r="J7" s="181">
        <v>4976863046.4399996</v>
      </c>
      <c r="K7" s="181">
        <v>0</v>
      </c>
      <c r="L7" s="181">
        <v>79997429371.440002</v>
      </c>
      <c r="M7" s="181">
        <v>0</v>
      </c>
      <c r="N7" s="181">
        <v>0</v>
      </c>
      <c r="O7" s="181">
        <v>0</v>
      </c>
      <c r="P7" s="181">
        <v>0</v>
      </c>
      <c r="Q7" s="181">
        <v>0</v>
      </c>
      <c r="R7" s="181">
        <v>0</v>
      </c>
      <c r="S7" s="181">
        <v>95961163936.270004</v>
      </c>
      <c r="T7" s="181">
        <v>6036948376</v>
      </c>
      <c r="U7" s="181">
        <v>89924215560.270004</v>
      </c>
      <c r="V7" s="181">
        <v>0</v>
      </c>
      <c r="W7" s="181">
        <v>0</v>
      </c>
      <c r="X7" s="181">
        <v>0</v>
      </c>
      <c r="Y7" s="181">
        <v>0</v>
      </c>
      <c r="Z7" s="181">
        <v>0</v>
      </c>
      <c r="AA7" s="181">
        <v>0</v>
      </c>
      <c r="AB7" s="181">
        <v>95961163936.270004</v>
      </c>
      <c r="AC7" s="181">
        <v>6036948376</v>
      </c>
      <c r="AD7" s="1180">
        <v>89924215560.270004</v>
      </c>
      <c r="AE7" s="1180">
        <v>89924215560.270004</v>
      </c>
      <c r="AF7" s="181">
        <v>0</v>
      </c>
      <c r="AG7" s="181">
        <v>0</v>
      </c>
      <c r="AH7" s="181">
        <v>90019765956.270004</v>
      </c>
      <c r="AI7" s="181">
        <v>95942323636.270004</v>
      </c>
      <c r="AJ7" s="181">
        <v>5922557680</v>
      </c>
      <c r="AK7" s="181">
        <v>95942323636.270004</v>
      </c>
      <c r="AL7" s="181">
        <v>0</v>
      </c>
      <c r="AM7" s="181">
        <v>5922557680</v>
      </c>
      <c r="AN7" s="181" t="s">
        <v>1709</v>
      </c>
      <c r="AS7" s="181"/>
    </row>
    <row r="8" spans="1:45" hidden="1" x14ac:dyDescent="0.25">
      <c r="A8" s="181">
        <v>307</v>
      </c>
      <c r="B8" s="181" t="s">
        <v>226</v>
      </c>
      <c r="C8" s="181" t="s">
        <v>242</v>
      </c>
      <c r="D8" s="1179" t="s">
        <v>243</v>
      </c>
      <c r="E8" s="181">
        <v>17634075676</v>
      </c>
      <c r="F8" s="181">
        <v>17634075676</v>
      </c>
      <c r="G8" s="181">
        <v>0</v>
      </c>
      <c r="H8" s="181">
        <v>0</v>
      </c>
      <c r="I8" s="181">
        <v>0</v>
      </c>
      <c r="J8" s="181">
        <v>0</v>
      </c>
      <c r="K8" s="181">
        <v>0</v>
      </c>
      <c r="L8" s="181">
        <v>17634075676</v>
      </c>
      <c r="M8" s="181">
        <v>0</v>
      </c>
      <c r="N8" s="181">
        <v>0</v>
      </c>
      <c r="O8" s="181">
        <v>0</v>
      </c>
      <c r="P8" s="181">
        <v>0</v>
      </c>
      <c r="Q8" s="181">
        <v>0</v>
      </c>
      <c r="R8" s="181">
        <v>0</v>
      </c>
      <c r="S8" s="181">
        <v>25535921555.57</v>
      </c>
      <c r="T8" s="181">
        <v>2327022803</v>
      </c>
      <c r="U8" s="181">
        <v>23208898752.57</v>
      </c>
      <c r="V8" s="181">
        <v>0</v>
      </c>
      <c r="W8" s="181">
        <v>0</v>
      </c>
      <c r="X8" s="181">
        <v>0</v>
      </c>
      <c r="Y8" s="181">
        <v>0</v>
      </c>
      <c r="Z8" s="181">
        <v>0</v>
      </c>
      <c r="AA8" s="181">
        <v>0</v>
      </c>
      <c r="AB8" s="181">
        <v>25535921555.57</v>
      </c>
      <c r="AC8" s="181">
        <v>2327022803</v>
      </c>
      <c r="AD8" s="1180">
        <v>23208898752.57</v>
      </c>
      <c r="AE8" s="1180">
        <v>23208898752.57</v>
      </c>
      <c r="AF8" s="181">
        <v>0</v>
      </c>
      <c r="AG8" s="181">
        <v>0</v>
      </c>
      <c r="AH8" s="181">
        <v>23304449148.57</v>
      </c>
      <c r="AI8" s="181">
        <v>25517081255.57</v>
      </c>
      <c r="AJ8" s="181">
        <v>2212632107</v>
      </c>
      <c r="AK8" s="181">
        <v>25517081255.57</v>
      </c>
      <c r="AL8" s="181">
        <v>0</v>
      </c>
      <c r="AM8" s="181">
        <v>2212632107</v>
      </c>
      <c r="AN8" s="181" t="s">
        <v>1709</v>
      </c>
      <c r="AS8" s="181"/>
    </row>
    <row r="9" spans="1:45" ht="30" hidden="1" x14ac:dyDescent="0.25">
      <c r="A9" s="181">
        <v>307</v>
      </c>
      <c r="B9" s="181" t="s">
        <v>226</v>
      </c>
      <c r="C9" s="181" t="s">
        <v>1488</v>
      </c>
      <c r="D9" s="1179" t="s">
        <v>245</v>
      </c>
      <c r="E9" s="181">
        <v>529022270.27999997</v>
      </c>
      <c r="F9" s="181">
        <v>529022270.27999997</v>
      </c>
      <c r="G9" s="181">
        <v>0</v>
      </c>
      <c r="H9" s="181">
        <v>0</v>
      </c>
      <c r="I9" s="181">
        <v>0</v>
      </c>
      <c r="J9" s="181">
        <v>0</v>
      </c>
      <c r="K9" s="181">
        <v>0</v>
      </c>
      <c r="L9" s="181">
        <v>529022270.27999997</v>
      </c>
      <c r="M9" s="181">
        <v>0</v>
      </c>
      <c r="N9" s="181">
        <v>0</v>
      </c>
      <c r="O9" s="181">
        <v>0</v>
      </c>
      <c r="P9" s="181">
        <v>0</v>
      </c>
      <c r="Q9" s="181">
        <v>0</v>
      </c>
      <c r="R9" s="181">
        <v>0</v>
      </c>
      <c r="S9" s="181">
        <v>720666755.57000005</v>
      </c>
      <c r="T9" s="181">
        <v>12880007</v>
      </c>
      <c r="U9" s="181">
        <v>707786748.57000005</v>
      </c>
      <c r="V9" s="181">
        <v>0</v>
      </c>
      <c r="W9" s="181">
        <v>0</v>
      </c>
      <c r="X9" s="181">
        <v>0</v>
      </c>
      <c r="Y9" s="181">
        <v>0</v>
      </c>
      <c r="Z9" s="181">
        <v>0</v>
      </c>
      <c r="AA9" s="181">
        <v>0</v>
      </c>
      <c r="AB9" s="181">
        <v>720666755.57000005</v>
      </c>
      <c r="AC9" s="181">
        <v>12880007</v>
      </c>
      <c r="AD9" s="1180">
        <v>707786748.57000005</v>
      </c>
      <c r="AE9" s="1180">
        <v>707786748.57000005</v>
      </c>
      <c r="AF9" s="181">
        <v>0</v>
      </c>
      <c r="AG9" s="181">
        <v>0</v>
      </c>
      <c r="AH9" s="181">
        <v>707786748.57000005</v>
      </c>
      <c r="AI9" s="181">
        <v>720666755.57000005</v>
      </c>
      <c r="AJ9" s="181">
        <v>12880007</v>
      </c>
      <c r="AK9" s="181">
        <v>720666755.57000005</v>
      </c>
      <c r="AL9" s="181">
        <v>0</v>
      </c>
      <c r="AM9" s="181">
        <v>12880007</v>
      </c>
      <c r="AN9" s="181" t="s">
        <v>1709</v>
      </c>
      <c r="AS9" s="181"/>
    </row>
    <row r="10" spans="1:45" ht="45" hidden="1" x14ac:dyDescent="0.25">
      <c r="A10" s="181">
        <v>307</v>
      </c>
      <c r="B10" s="181">
        <v>1</v>
      </c>
      <c r="C10" s="181" t="s">
        <v>1190</v>
      </c>
      <c r="D10" s="1179" t="s">
        <v>1191</v>
      </c>
      <c r="E10" s="181">
        <v>105804454.05</v>
      </c>
      <c r="F10" s="181">
        <v>105804454.05</v>
      </c>
      <c r="G10" s="181">
        <v>0</v>
      </c>
      <c r="H10" s="181">
        <v>0</v>
      </c>
      <c r="I10" s="181">
        <v>0</v>
      </c>
      <c r="J10" s="181">
        <v>0</v>
      </c>
      <c r="K10" s="181">
        <v>0</v>
      </c>
      <c r="L10" s="181">
        <v>105804454.05</v>
      </c>
      <c r="M10" s="181">
        <v>0</v>
      </c>
      <c r="N10" s="181">
        <v>0</v>
      </c>
      <c r="O10" s="181">
        <v>0</v>
      </c>
      <c r="P10" s="181">
        <v>0</v>
      </c>
      <c r="Q10" s="181">
        <v>0</v>
      </c>
      <c r="R10" s="181">
        <v>0</v>
      </c>
      <c r="S10" s="181">
        <v>144133351.58000001</v>
      </c>
      <c r="T10" s="181">
        <v>2576001.4</v>
      </c>
      <c r="U10" s="181">
        <v>141557350.18000001</v>
      </c>
      <c r="V10" s="181">
        <v>0</v>
      </c>
      <c r="W10" s="181">
        <v>0</v>
      </c>
      <c r="X10" s="181">
        <v>0</v>
      </c>
      <c r="Y10" s="181">
        <v>0</v>
      </c>
      <c r="Z10" s="181">
        <v>0</v>
      </c>
      <c r="AA10" s="181">
        <v>0</v>
      </c>
      <c r="AB10" s="181">
        <v>144133351.58000001</v>
      </c>
      <c r="AC10" s="181">
        <v>2576001.4</v>
      </c>
      <c r="AD10" s="1180">
        <v>141557350.18000001</v>
      </c>
      <c r="AE10" s="1183">
        <v>141557350.18000001</v>
      </c>
      <c r="AF10" s="181">
        <v>0</v>
      </c>
      <c r="AG10" s="181">
        <v>0</v>
      </c>
      <c r="AH10" s="181">
        <v>141557350.18000001</v>
      </c>
      <c r="AI10" s="181">
        <v>144133351.58000001</v>
      </c>
      <c r="AJ10" s="181">
        <v>2576001.4</v>
      </c>
      <c r="AK10" s="181">
        <v>144133351.58000001</v>
      </c>
      <c r="AL10" s="181">
        <v>0</v>
      </c>
      <c r="AM10" s="181">
        <v>2576001.4</v>
      </c>
      <c r="AN10" s="181" t="s">
        <v>30</v>
      </c>
    </row>
    <row r="11" spans="1:45" ht="45" hidden="1" x14ac:dyDescent="0.25">
      <c r="A11" s="181">
        <v>307</v>
      </c>
      <c r="B11" s="181">
        <v>13</v>
      </c>
      <c r="C11" s="181" t="s">
        <v>1192</v>
      </c>
      <c r="D11" s="1179" t="s">
        <v>1193</v>
      </c>
      <c r="E11" s="181">
        <v>52902227.039999999</v>
      </c>
      <c r="F11" s="181">
        <v>52902227.039999999</v>
      </c>
      <c r="G11" s="181">
        <v>0</v>
      </c>
      <c r="H11" s="181">
        <v>0</v>
      </c>
      <c r="I11" s="181">
        <v>0</v>
      </c>
      <c r="J11" s="181">
        <v>0</v>
      </c>
      <c r="K11" s="181">
        <v>0</v>
      </c>
      <c r="L11" s="181">
        <v>52902227.039999999</v>
      </c>
      <c r="M11" s="181">
        <v>0</v>
      </c>
      <c r="N11" s="181">
        <v>0</v>
      </c>
      <c r="O11" s="181">
        <v>0</v>
      </c>
      <c r="P11" s="181">
        <v>0</v>
      </c>
      <c r="Q11" s="181">
        <v>0</v>
      </c>
      <c r="R11" s="181">
        <v>0</v>
      </c>
      <c r="S11" s="181">
        <v>72066675.659999996</v>
      </c>
      <c r="T11" s="181">
        <v>1288000.7</v>
      </c>
      <c r="U11" s="181">
        <v>70778674.959999993</v>
      </c>
      <c r="V11" s="181">
        <v>0</v>
      </c>
      <c r="W11" s="181">
        <v>0</v>
      </c>
      <c r="X11" s="181">
        <v>0</v>
      </c>
      <c r="Y11" s="181">
        <v>0</v>
      </c>
      <c r="Z11" s="181">
        <v>0</v>
      </c>
      <c r="AA11" s="181">
        <v>0</v>
      </c>
      <c r="AB11" s="181">
        <v>72066675.659999996</v>
      </c>
      <c r="AC11" s="181">
        <v>1288000.7</v>
      </c>
      <c r="AD11" s="1180">
        <v>70778674.959999993</v>
      </c>
      <c r="AE11" s="1183">
        <v>70778674.959999993</v>
      </c>
      <c r="AF11" s="181">
        <v>0</v>
      </c>
      <c r="AG11" s="181">
        <v>0</v>
      </c>
      <c r="AH11" s="181">
        <v>70778674.959999993</v>
      </c>
      <c r="AI11" s="181">
        <v>72066675.659999996</v>
      </c>
      <c r="AJ11" s="181">
        <v>1288000.7</v>
      </c>
      <c r="AK11" s="181">
        <v>72066675.659999996</v>
      </c>
      <c r="AL11" s="181">
        <v>0</v>
      </c>
      <c r="AM11" s="181">
        <v>1288000.7</v>
      </c>
      <c r="AN11" s="181" t="s">
        <v>56</v>
      </c>
    </row>
    <row r="12" spans="1:45" ht="30" hidden="1" x14ac:dyDescent="0.25">
      <c r="A12" s="181">
        <v>307</v>
      </c>
      <c r="B12" s="181">
        <v>20</v>
      </c>
      <c r="C12" s="181" t="s">
        <v>1194</v>
      </c>
      <c r="D12" s="1179" t="s">
        <v>1195</v>
      </c>
      <c r="E12" s="181">
        <v>317413362.14999998</v>
      </c>
      <c r="F12" s="181">
        <v>317413362.14999998</v>
      </c>
      <c r="G12" s="181">
        <v>0</v>
      </c>
      <c r="H12" s="181">
        <v>0</v>
      </c>
      <c r="I12" s="181">
        <v>0</v>
      </c>
      <c r="J12" s="181">
        <v>0</v>
      </c>
      <c r="K12" s="181">
        <v>0</v>
      </c>
      <c r="L12" s="181">
        <v>317413362.14999998</v>
      </c>
      <c r="M12" s="181">
        <v>0</v>
      </c>
      <c r="N12" s="181">
        <v>0</v>
      </c>
      <c r="O12" s="181">
        <v>0</v>
      </c>
      <c r="P12" s="181">
        <v>0</v>
      </c>
      <c r="Q12" s="181">
        <v>0</v>
      </c>
      <c r="R12" s="181">
        <v>0</v>
      </c>
      <c r="S12" s="181">
        <v>432400053.97000003</v>
      </c>
      <c r="T12" s="181">
        <v>7728004.2000000002</v>
      </c>
      <c r="U12" s="181">
        <v>424672049.76999998</v>
      </c>
      <c r="V12" s="181">
        <v>0</v>
      </c>
      <c r="W12" s="181">
        <v>0</v>
      </c>
      <c r="X12" s="181">
        <v>0</v>
      </c>
      <c r="Y12" s="181">
        <v>0</v>
      </c>
      <c r="Z12" s="181">
        <v>0</v>
      </c>
      <c r="AA12" s="181">
        <v>0</v>
      </c>
      <c r="AB12" s="181">
        <v>432400053.97000003</v>
      </c>
      <c r="AC12" s="181">
        <v>7728004.2000000002</v>
      </c>
      <c r="AD12" s="1180">
        <v>424672049.76999998</v>
      </c>
      <c r="AE12" s="1183">
        <v>424672049.76999998</v>
      </c>
      <c r="AF12" s="181">
        <v>0</v>
      </c>
      <c r="AG12" s="181">
        <v>0</v>
      </c>
      <c r="AH12" s="181">
        <v>424672049.76999998</v>
      </c>
      <c r="AI12" s="181">
        <v>432400053.97000003</v>
      </c>
      <c r="AJ12" s="181">
        <v>7728004.2000000002</v>
      </c>
      <c r="AK12" s="181">
        <v>432400053.97000003</v>
      </c>
      <c r="AL12" s="181">
        <v>0</v>
      </c>
      <c r="AM12" s="181">
        <v>7728004.2000000002</v>
      </c>
      <c r="AN12" s="181" t="s">
        <v>140</v>
      </c>
    </row>
    <row r="13" spans="1:45" ht="45" hidden="1" x14ac:dyDescent="0.25">
      <c r="A13" s="181">
        <v>307</v>
      </c>
      <c r="B13" s="181">
        <v>52</v>
      </c>
      <c r="C13" s="181" t="s">
        <v>1196</v>
      </c>
      <c r="D13" s="1179" t="s">
        <v>1197</v>
      </c>
      <c r="E13" s="181">
        <v>21160890.809999999</v>
      </c>
      <c r="F13" s="181">
        <v>21160890.809999999</v>
      </c>
      <c r="G13" s="181">
        <v>0</v>
      </c>
      <c r="H13" s="181">
        <v>0</v>
      </c>
      <c r="I13" s="181">
        <v>0</v>
      </c>
      <c r="J13" s="181">
        <v>0</v>
      </c>
      <c r="K13" s="181">
        <v>0</v>
      </c>
      <c r="L13" s="181">
        <v>21160890.809999999</v>
      </c>
      <c r="M13" s="181">
        <v>0</v>
      </c>
      <c r="N13" s="181">
        <v>0</v>
      </c>
      <c r="O13" s="181">
        <v>0</v>
      </c>
      <c r="P13" s="181">
        <v>0</v>
      </c>
      <c r="Q13" s="181">
        <v>0</v>
      </c>
      <c r="R13" s="181">
        <v>0</v>
      </c>
      <c r="S13" s="181">
        <v>28826670.420000002</v>
      </c>
      <c r="T13" s="181">
        <v>515200.28</v>
      </c>
      <c r="U13" s="181">
        <v>28311470.140000001</v>
      </c>
      <c r="V13" s="181">
        <v>0</v>
      </c>
      <c r="W13" s="181">
        <v>0</v>
      </c>
      <c r="X13" s="181">
        <v>0</v>
      </c>
      <c r="Y13" s="181">
        <v>0</v>
      </c>
      <c r="Z13" s="181">
        <v>0</v>
      </c>
      <c r="AA13" s="181">
        <v>0</v>
      </c>
      <c r="AB13" s="181">
        <v>28826670.420000002</v>
      </c>
      <c r="AC13" s="181">
        <v>515200.28</v>
      </c>
      <c r="AD13" s="1180">
        <v>28311470.140000001</v>
      </c>
      <c r="AE13" s="1183">
        <v>28311470.140000001</v>
      </c>
      <c r="AF13" s="181">
        <v>0</v>
      </c>
      <c r="AG13" s="181">
        <v>0</v>
      </c>
      <c r="AH13" s="181">
        <v>28311470.140000001</v>
      </c>
      <c r="AI13" s="181">
        <v>28826670.420000002</v>
      </c>
      <c r="AJ13" s="181">
        <v>515200.28</v>
      </c>
      <c r="AK13" s="181">
        <v>28826670.420000002</v>
      </c>
      <c r="AL13" s="181">
        <v>0</v>
      </c>
      <c r="AM13" s="181">
        <v>515200.28</v>
      </c>
      <c r="AN13" s="181" t="s">
        <v>169</v>
      </c>
    </row>
    <row r="14" spans="1:45" ht="45" hidden="1" x14ac:dyDescent="0.25">
      <c r="A14" s="181">
        <v>307</v>
      </c>
      <c r="B14" s="181">
        <v>53</v>
      </c>
      <c r="C14" s="181" t="s">
        <v>1198</v>
      </c>
      <c r="D14" s="1179" t="s">
        <v>1199</v>
      </c>
      <c r="E14" s="181">
        <v>31741336.23</v>
      </c>
      <c r="F14" s="181">
        <v>31741336.23</v>
      </c>
      <c r="G14" s="181">
        <v>0</v>
      </c>
      <c r="H14" s="181">
        <v>0</v>
      </c>
      <c r="I14" s="181">
        <v>0</v>
      </c>
      <c r="J14" s="181">
        <v>0</v>
      </c>
      <c r="K14" s="181">
        <v>0</v>
      </c>
      <c r="L14" s="181">
        <v>31741336.23</v>
      </c>
      <c r="M14" s="181">
        <v>0</v>
      </c>
      <c r="N14" s="181">
        <v>0</v>
      </c>
      <c r="O14" s="181">
        <v>0</v>
      </c>
      <c r="P14" s="181">
        <v>0</v>
      </c>
      <c r="Q14" s="181">
        <v>0</v>
      </c>
      <c r="R14" s="181">
        <v>0</v>
      </c>
      <c r="S14" s="181">
        <v>43240003.939999998</v>
      </c>
      <c r="T14" s="181">
        <v>772800.42</v>
      </c>
      <c r="U14" s="181">
        <v>42467203.520000003</v>
      </c>
      <c r="V14" s="181">
        <v>0</v>
      </c>
      <c r="W14" s="181">
        <v>0</v>
      </c>
      <c r="X14" s="181">
        <v>0</v>
      </c>
      <c r="Y14" s="181">
        <v>0</v>
      </c>
      <c r="Z14" s="181">
        <v>0</v>
      </c>
      <c r="AA14" s="181">
        <v>0</v>
      </c>
      <c r="AB14" s="181">
        <v>43240003.939999998</v>
      </c>
      <c r="AC14" s="181">
        <v>772800.42</v>
      </c>
      <c r="AD14" s="1180">
        <v>42467203.520000003</v>
      </c>
      <c r="AE14" s="1183">
        <v>42467203.520000003</v>
      </c>
      <c r="AF14" s="181">
        <v>0</v>
      </c>
      <c r="AG14" s="181">
        <v>0</v>
      </c>
      <c r="AH14" s="181">
        <v>42467203.520000003</v>
      </c>
      <c r="AI14" s="181">
        <v>43240003.939999998</v>
      </c>
      <c r="AJ14" s="181">
        <v>772800.42</v>
      </c>
      <c r="AK14" s="181">
        <v>43240003.939999998</v>
      </c>
      <c r="AL14" s="181">
        <v>0</v>
      </c>
      <c r="AM14" s="181">
        <v>772800.42</v>
      </c>
      <c r="AN14" s="181" t="s">
        <v>171</v>
      </c>
    </row>
    <row r="15" spans="1:45" ht="45" hidden="1" x14ac:dyDescent="0.25">
      <c r="A15" s="181">
        <v>307</v>
      </c>
      <c r="B15" s="181" t="s">
        <v>226</v>
      </c>
      <c r="C15" s="181" t="s">
        <v>1489</v>
      </c>
      <c r="D15" s="1179" t="s">
        <v>251</v>
      </c>
      <c r="E15" s="181">
        <v>17105053405.719999</v>
      </c>
      <c r="F15" s="181">
        <v>17105053405.719999</v>
      </c>
      <c r="G15" s="181">
        <v>0</v>
      </c>
      <c r="H15" s="181">
        <v>0</v>
      </c>
      <c r="I15" s="181">
        <v>0</v>
      </c>
      <c r="J15" s="181">
        <v>0</v>
      </c>
      <c r="K15" s="181">
        <v>0</v>
      </c>
      <c r="L15" s="181">
        <v>17105053405.719999</v>
      </c>
      <c r="M15" s="181">
        <v>0</v>
      </c>
      <c r="N15" s="181">
        <v>0</v>
      </c>
      <c r="O15" s="181">
        <v>0</v>
      </c>
      <c r="P15" s="181">
        <v>0</v>
      </c>
      <c r="Q15" s="181">
        <v>0</v>
      </c>
      <c r="R15" s="181">
        <v>0</v>
      </c>
      <c r="S15" s="181">
        <v>24815254800</v>
      </c>
      <c r="T15" s="181">
        <v>2314142796</v>
      </c>
      <c r="U15" s="181">
        <v>22501112004</v>
      </c>
      <c r="V15" s="181">
        <v>0</v>
      </c>
      <c r="W15" s="181">
        <v>0</v>
      </c>
      <c r="X15" s="181">
        <v>0</v>
      </c>
      <c r="Y15" s="181">
        <v>0</v>
      </c>
      <c r="Z15" s="181">
        <v>0</v>
      </c>
      <c r="AA15" s="181">
        <v>0</v>
      </c>
      <c r="AB15" s="181">
        <v>24815254800</v>
      </c>
      <c r="AC15" s="181">
        <v>2314142796</v>
      </c>
      <c r="AD15" s="1180">
        <v>22501112004</v>
      </c>
      <c r="AE15" s="1180">
        <v>22501112004</v>
      </c>
      <c r="AF15" s="181">
        <v>0</v>
      </c>
      <c r="AG15" s="181">
        <v>0</v>
      </c>
      <c r="AH15" s="181">
        <v>22596662400</v>
      </c>
      <c r="AI15" s="181">
        <v>24796414500</v>
      </c>
      <c r="AJ15" s="181">
        <v>2199752100</v>
      </c>
      <c r="AK15" s="181">
        <v>24796414500</v>
      </c>
      <c r="AL15" s="181">
        <v>0</v>
      </c>
      <c r="AM15" s="181">
        <v>2199752100</v>
      </c>
      <c r="AN15" s="181" t="s">
        <v>1709</v>
      </c>
      <c r="AS15" s="181"/>
    </row>
    <row r="16" spans="1:45" ht="45" hidden="1" x14ac:dyDescent="0.25">
      <c r="A16" s="181">
        <v>307</v>
      </c>
      <c r="B16" s="181">
        <v>1</v>
      </c>
      <c r="C16" s="181" t="s">
        <v>1200</v>
      </c>
      <c r="D16" s="1179" t="s">
        <v>1201</v>
      </c>
      <c r="E16" s="181">
        <v>3421010680.9499998</v>
      </c>
      <c r="F16" s="181">
        <v>3421010680.9499998</v>
      </c>
      <c r="G16" s="181">
        <v>0</v>
      </c>
      <c r="H16" s="181">
        <v>0</v>
      </c>
      <c r="I16" s="181">
        <v>0</v>
      </c>
      <c r="J16" s="181">
        <v>0</v>
      </c>
      <c r="K16" s="181">
        <v>0</v>
      </c>
      <c r="L16" s="181">
        <v>3421010680.9499998</v>
      </c>
      <c r="M16" s="181">
        <v>0</v>
      </c>
      <c r="N16" s="181">
        <v>0</v>
      </c>
      <c r="O16" s="181">
        <v>0</v>
      </c>
      <c r="P16" s="181">
        <v>0</v>
      </c>
      <c r="Q16" s="181">
        <v>0</v>
      </c>
      <c r="R16" s="181">
        <v>0</v>
      </c>
      <c r="S16" s="181">
        <v>4961922841</v>
      </c>
      <c r="T16" s="181">
        <v>461700439.80000001</v>
      </c>
      <c r="U16" s="181">
        <v>4500222401.1999998</v>
      </c>
      <c r="V16" s="181">
        <v>0</v>
      </c>
      <c r="W16" s="181">
        <v>0</v>
      </c>
      <c r="X16" s="181">
        <v>0</v>
      </c>
      <c r="Y16" s="181">
        <v>0</v>
      </c>
      <c r="Z16" s="181">
        <v>0</v>
      </c>
      <c r="AA16" s="181">
        <v>0</v>
      </c>
      <c r="AB16" s="181">
        <v>4961922841</v>
      </c>
      <c r="AC16" s="181">
        <v>461700439.80000001</v>
      </c>
      <c r="AD16" s="1180">
        <v>4500222401.1999998</v>
      </c>
      <c r="AE16" s="1183">
        <v>4500222401.1999998</v>
      </c>
      <c r="AF16" s="181">
        <v>0</v>
      </c>
      <c r="AG16" s="181">
        <v>0</v>
      </c>
      <c r="AH16" s="181">
        <v>4519332480</v>
      </c>
      <c r="AI16" s="181">
        <v>4959282900</v>
      </c>
      <c r="AJ16" s="181">
        <v>439950420</v>
      </c>
      <c r="AK16" s="181">
        <v>4959282900</v>
      </c>
      <c r="AL16" s="181">
        <v>0</v>
      </c>
      <c r="AM16" s="181">
        <v>439950420</v>
      </c>
      <c r="AN16" s="181" t="s">
        <v>30</v>
      </c>
    </row>
    <row r="17" spans="1:45" ht="60" hidden="1" x14ac:dyDescent="0.25">
      <c r="A17" s="181">
        <v>307</v>
      </c>
      <c r="B17" s="181">
        <v>13</v>
      </c>
      <c r="C17" s="181" t="s">
        <v>1202</v>
      </c>
      <c r="D17" s="1179" t="s">
        <v>1203</v>
      </c>
      <c r="E17" s="181">
        <v>1710505340.96</v>
      </c>
      <c r="F17" s="181">
        <v>1710505340.96</v>
      </c>
      <c r="G17" s="181">
        <v>0</v>
      </c>
      <c r="H17" s="181">
        <v>0</v>
      </c>
      <c r="I17" s="181">
        <v>0</v>
      </c>
      <c r="J17" s="181">
        <v>0</v>
      </c>
      <c r="K17" s="181">
        <v>0</v>
      </c>
      <c r="L17" s="181">
        <v>1710505340.96</v>
      </c>
      <c r="M17" s="181">
        <v>0</v>
      </c>
      <c r="N17" s="181">
        <v>0</v>
      </c>
      <c r="O17" s="181">
        <v>0</v>
      </c>
      <c r="P17" s="181">
        <v>0</v>
      </c>
      <c r="Q17" s="181">
        <v>0</v>
      </c>
      <c r="R17" s="181">
        <v>0</v>
      </c>
      <c r="S17" s="181">
        <v>2481525480</v>
      </c>
      <c r="T17" s="181">
        <v>231414279.40000001</v>
      </c>
      <c r="U17" s="181">
        <v>2250111200.5999999</v>
      </c>
      <c r="V17" s="181">
        <v>0</v>
      </c>
      <c r="W17" s="181">
        <v>0</v>
      </c>
      <c r="X17" s="181">
        <v>0</v>
      </c>
      <c r="Y17" s="181">
        <v>0</v>
      </c>
      <c r="Z17" s="181">
        <v>0</v>
      </c>
      <c r="AA17" s="181">
        <v>0</v>
      </c>
      <c r="AB17" s="181">
        <v>2481525480</v>
      </c>
      <c r="AC17" s="181">
        <v>231414279.40000001</v>
      </c>
      <c r="AD17" s="1180">
        <v>2250111200.5999999</v>
      </c>
      <c r="AE17" s="1183">
        <v>2250111200.5999999</v>
      </c>
      <c r="AF17" s="181">
        <v>0</v>
      </c>
      <c r="AG17" s="181">
        <v>0</v>
      </c>
      <c r="AH17" s="181">
        <v>2259666240</v>
      </c>
      <c r="AI17" s="181">
        <v>2479641450</v>
      </c>
      <c r="AJ17" s="181">
        <v>219975210</v>
      </c>
      <c r="AK17" s="181">
        <v>2479641450</v>
      </c>
      <c r="AL17" s="181">
        <v>0</v>
      </c>
      <c r="AM17" s="181">
        <v>219975210</v>
      </c>
      <c r="AN17" s="181" t="s">
        <v>56</v>
      </c>
    </row>
    <row r="18" spans="1:45" ht="45" hidden="1" x14ac:dyDescent="0.25">
      <c r="A18" s="181">
        <v>307</v>
      </c>
      <c r="B18" s="181">
        <v>20</v>
      </c>
      <c r="C18" s="181" t="s">
        <v>1204</v>
      </c>
      <c r="D18" s="1179" t="s">
        <v>1205</v>
      </c>
      <c r="E18" s="181">
        <v>10263032042.85</v>
      </c>
      <c r="F18" s="181">
        <v>10263032042.85</v>
      </c>
      <c r="G18" s="181">
        <v>0</v>
      </c>
      <c r="H18" s="181">
        <v>0</v>
      </c>
      <c r="I18" s="181">
        <v>0</v>
      </c>
      <c r="J18" s="181">
        <v>0</v>
      </c>
      <c r="K18" s="181">
        <v>0</v>
      </c>
      <c r="L18" s="181">
        <v>10263032042.85</v>
      </c>
      <c r="M18" s="181">
        <v>0</v>
      </c>
      <c r="N18" s="181">
        <v>0</v>
      </c>
      <c r="O18" s="181">
        <v>0</v>
      </c>
      <c r="P18" s="181">
        <v>0</v>
      </c>
      <c r="Q18" s="181">
        <v>0</v>
      </c>
      <c r="R18" s="181">
        <v>0</v>
      </c>
      <c r="S18" s="181">
        <v>14890280993</v>
      </c>
      <c r="T18" s="181">
        <v>1389613790.4000001</v>
      </c>
      <c r="U18" s="181">
        <v>13500667202.6</v>
      </c>
      <c r="V18" s="181">
        <v>0</v>
      </c>
      <c r="W18" s="181">
        <v>0</v>
      </c>
      <c r="X18" s="181">
        <v>0</v>
      </c>
      <c r="Y18" s="181">
        <v>0</v>
      </c>
      <c r="Z18" s="181">
        <v>0</v>
      </c>
      <c r="AA18" s="181">
        <v>0</v>
      </c>
      <c r="AB18" s="181">
        <v>14890280993</v>
      </c>
      <c r="AC18" s="181">
        <v>1389613790.4000001</v>
      </c>
      <c r="AD18" s="1180">
        <v>13500667202.6</v>
      </c>
      <c r="AE18" s="1183">
        <v>13500667202.6</v>
      </c>
      <c r="AF18" s="181">
        <v>0</v>
      </c>
      <c r="AG18" s="181">
        <v>0</v>
      </c>
      <c r="AH18" s="181">
        <v>13557997440</v>
      </c>
      <c r="AI18" s="181">
        <v>14877848700</v>
      </c>
      <c r="AJ18" s="181">
        <v>1319851260</v>
      </c>
      <c r="AK18" s="181">
        <v>14877848700</v>
      </c>
      <c r="AL18" s="181">
        <v>0</v>
      </c>
      <c r="AM18" s="181">
        <v>1319851260</v>
      </c>
      <c r="AN18" s="181" t="s">
        <v>140</v>
      </c>
    </row>
    <row r="19" spans="1:45" ht="45" hidden="1" x14ac:dyDescent="0.25">
      <c r="A19" s="181">
        <v>307</v>
      </c>
      <c r="B19" s="181">
        <v>52</v>
      </c>
      <c r="C19" s="181" t="s">
        <v>1206</v>
      </c>
      <c r="D19" s="1179" t="s">
        <v>1207</v>
      </c>
      <c r="E19" s="181">
        <v>684202136.19000006</v>
      </c>
      <c r="F19" s="181">
        <v>684202136.19000006</v>
      </c>
      <c r="G19" s="181">
        <v>0</v>
      </c>
      <c r="H19" s="181">
        <v>0</v>
      </c>
      <c r="I19" s="181">
        <v>0</v>
      </c>
      <c r="J19" s="181">
        <v>0</v>
      </c>
      <c r="K19" s="181">
        <v>0</v>
      </c>
      <c r="L19" s="181">
        <v>684202136.19000006</v>
      </c>
      <c r="M19" s="181">
        <v>0</v>
      </c>
      <c r="N19" s="181">
        <v>0</v>
      </c>
      <c r="O19" s="181">
        <v>0</v>
      </c>
      <c r="P19" s="181">
        <v>0</v>
      </c>
      <c r="Q19" s="181">
        <v>0</v>
      </c>
      <c r="R19" s="181">
        <v>0</v>
      </c>
      <c r="S19" s="181">
        <v>992610192</v>
      </c>
      <c r="T19" s="181">
        <v>92565711.359999999</v>
      </c>
      <c r="U19" s="181">
        <v>900044480.63999999</v>
      </c>
      <c r="V19" s="181">
        <v>0</v>
      </c>
      <c r="W19" s="181">
        <v>0</v>
      </c>
      <c r="X19" s="181">
        <v>0</v>
      </c>
      <c r="Y19" s="181">
        <v>0</v>
      </c>
      <c r="Z19" s="181">
        <v>0</v>
      </c>
      <c r="AA19" s="181">
        <v>0</v>
      </c>
      <c r="AB19" s="181">
        <v>992610192</v>
      </c>
      <c r="AC19" s="181">
        <v>92565711.359999999</v>
      </c>
      <c r="AD19" s="1180">
        <v>900044480.63999999</v>
      </c>
      <c r="AE19" s="1183">
        <v>900044480.63999999</v>
      </c>
      <c r="AF19" s="181">
        <v>0</v>
      </c>
      <c r="AG19" s="181">
        <v>0</v>
      </c>
      <c r="AH19" s="181">
        <v>903866496</v>
      </c>
      <c r="AI19" s="181">
        <v>991856580</v>
      </c>
      <c r="AJ19" s="181">
        <v>87990084</v>
      </c>
      <c r="AK19" s="181">
        <v>991856580</v>
      </c>
      <c r="AL19" s="181">
        <v>0</v>
      </c>
      <c r="AM19" s="181">
        <v>87990084</v>
      </c>
      <c r="AN19" s="181" t="s">
        <v>169</v>
      </c>
    </row>
    <row r="20" spans="1:45" ht="45" hidden="1" x14ac:dyDescent="0.25">
      <c r="A20" s="181">
        <v>307</v>
      </c>
      <c r="B20" s="181">
        <v>53</v>
      </c>
      <c r="C20" s="181" t="s">
        <v>1208</v>
      </c>
      <c r="D20" s="1179" t="s">
        <v>1209</v>
      </c>
      <c r="E20" s="181">
        <v>1026303204.77</v>
      </c>
      <c r="F20" s="181">
        <v>1026303204.77</v>
      </c>
      <c r="G20" s="181">
        <v>0</v>
      </c>
      <c r="H20" s="181">
        <v>0</v>
      </c>
      <c r="I20" s="181">
        <v>0</v>
      </c>
      <c r="J20" s="181">
        <v>0</v>
      </c>
      <c r="K20" s="181">
        <v>0</v>
      </c>
      <c r="L20" s="181">
        <v>1026303204.77</v>
      </c>
      <c r="M20" s="181">
        <v>0</v>
      </c>
      <c r="N20" s="181">
        <v>0</v>
      </c>
      <c r="O20" s="181">
        <v>0</v>
      </c>
      <c r="P20" s="181">
        <v>0</v>
      </c>
      <c r="Q20" s="181">
        <v>0</v>
      </c>
      <c r="R20" s="181">
        <v>0</v>
      </c>
      <c r="S20" s="181">
        <v>1488915294</v>
      </c>
      <c r="T20" s="181">
        <v>138848575.03999999</v>
      </c>
      <c r="U20" s="181">
        <v>1350066718.96</v>
      </c>
      <c r="V20" s="181">
        <v>0</v>
      </c>
      <c r="W20" s="181">
        <v>0</v>
      </c>
      <c r="X20" s="181">
        <v>0</v>
      </c>
      <c r="Y20" s="181">
        <v>0</v>
      </c>
      <c r="Z20" s="181">
        <v>0</v>
      </c>
      <c r="AA20" s="181">
        <v>0</v>
      </c>
      <c r="AB20" s="181">
        <v>1488915294</v>
      </c>
      <c r="AC20" s="181">
        <v>138848575.03999999</v>
      </c>
      <c r="AD20" s="1180">
        <v>1350066718.96</v>
      </c>
      <c r="AE20" s="1183">
        <v>1350066718.96</v>
      </c>
      <c r="AF20" s="181">
        <v>0</v>
      </c>
      <c r="AG20" s="181">
        <v>0</v>
      </c>
      <c r="AH20" s="181">
        <v>1355799744</v>
      </c>
      <c r="AI20" s="181">
        <v>1487784870</v>
      </c>
      <c r="AJ20" s="181">
        <v>131985126</v>
      </c>
      <c r="AK20" s="181">
        <v>1487784870</v>
      </c>
      <c r="AL20" s="181">
        <v>0</v>
      </c>
      <c r="AM20" s="181">
        <v>131985126</v>
      </c>
      <c r="AN20" s="181" t="s">
        <v>171</v>
      </c>
    </row>
    <row r="21" spans="1:45" ht="30" hidden="1" x14ac:dyDescent="0.25">
      <c r="A21" s="181">
        <v>307</v>
      </c>
      <c r="B21" s="181">
        <v>20</v>
      </c>
      <c r="C21" s="181" t="s">
        <v>256</v>
      </c>
      <c r="D21" s="1179" t="s">
        <v>257</v>
      </c>
      <c r="E21" s="181">
        <v>693652915</v>
      </c>
      <c r="F21" s="181">
        <v>693652915</v>
      </c>
      <c r="G21" s="181">
        <v>0</v>
      </c>
      <c r="H21" s="181">
        <v>0</v>
      </c>
      <c r="I21" s="181">
        <v>0</v>
      </c>
      <c r="J21" s="181">
        <v>0</v>
      </c>
      <c r="K21" s="181">
        <v>0</v>
      </c>
      <c r="L21" s="181">
        <v>693652915</v>
      </c>
      <c r="M21" s="181">
        <v>0</v>
      </c>
      <c r="N21" s="181">
        <v>0</v>
      </c>
      <c r="O21" s="181">
        <v>0</v>
      </c>
      <c r="P21" s="181">
        <v>0</v>
      </c>
      <c r="Q21" s="181">
        <v>0</v>
      </c>
      <c r="R21" s="181">
        <v>0</v>
      </c>
      <c r="S21" s="181">
        <v>633596100</v>
      </c>
      <c r="T21" s="181">
        <v>0</v>
      </c>
      <c r="U21" s="181">
        <v>633596100</v>
      </c>
      <c r="V21" s="181">
        <v>0</v>
      </c>
      <c r="W21" s="181">
        <v>0</v>
      </c>
      <c r="X21" s="181">
        <v>0</v>
      </c>
      <c r="Y21" s="181">
        <v>0</v>
      </c>
      <c r="Z21" s="181">
        <v>0</v>
      </c>
      <c r="AA21" s="181">
        <v>0</v>
      </c>
      <c r="AB21" s="181">
        <v>633596100</v>
      </c>
      <c r="AC21" s="181">
        <v>0</v>
      </c>
      <c r="AD21" s="1180">
        <v>633596100</v>
      </c>
      <c r="AE21" s="1183">
        <v>633596100</v>
      </c>
      <c r="AF21" s="181">
        <v>0</v>
      </c>
      <c r="AG21" s="181">
        <v>0</v>
      </c>
      <c r="AH21" s="181">
        <v>633596100</v>
      </c>
      <c r="AI21" s="181">
        <v>633596100</v>
      </c>
      <c r="AJ21" s="181">
        <v>0</v>
      </c>
      <c r="AK21" s="181">
        <v>633596100</v>
      </c>
      <c r="AL21" s="181">
        <v>0</v>
      </c>
      <c r="AM21" s="181">
        <v>0</v>
      </c>
      <c r="AN21" s="181" t="s">
        <v>140</v>
      </c>
    </row>
    <row r="22" spans="1:45" ht="45" hidden="1" x14ac:dyDescent="0.25">
      <c r="A22" s="181">
        <v>307</v>
      </c>
      <c r="B22" s="181" t="s">
        <v>226</v>
      </c>
      <c r="C22" s="181" t="s">
        <v>263</v>
      </c>
      <c r="D22" s="1179" t="s">
        <v>264</v>
      </c>
      <c r="E22" s="181">
        <v>5585764723</v>
      </c>
      <c r="F22" s="181">
        <v>5585764723</v>
      </c>
      <c r="G22" s="181">
        <v>0</v>
      </c>
      <c r="H22" s="181">
        <v>0</v>
      </c>
      <c r="I22" s="181">
        <v>0</v>
      </c>
      <c r="J22" s="181">
        <v>0</v>
      </c>
      <c r="K22" s="181">
        <v>0</v>
      </c>
      <c r="L22" s="181">
        <v>5585764723</v>
      </c>
      <c r="M22" s="181">
        <v>0</v>
      </c>
      <c r="N22" s="181">
        <v>0</v>
      </c>
      <c r="O22" s="181">
        <v>0</v>
      </c>
      <c r="P22" s="181">
        <v>0</v>
      </c>
      <c r="Q22" s="181">
        <v>0</v>
      </c>
      <c r="R22" s="181">
        <v>0</v>
      </c>
      <c r="S22" s="181">
        <v>4254644777.1300001</v>
      </c>
      <c r="T22" s="181">
        <v>87204538</v>
      </c>
      <c r="U22" s="181">
        <v>4167440239.1300001</v>
      </c>
      <c r="V22" s="181">
        <v>0</v>
      </c>
      <c r="W22" s="181">
        <v>0</v>
      </c>
      <c r="X22" s="181">
        <v>0</v>
      </c>
      <c r="Y22" s="181">
        <v>0</v>
      </c>
      <c r="Z22" s="181">
        <v>0</v>
      </c>
      <c r="AA22" s="181">
        <v>0</v>
      </c>
      <c r="AB22" s="181">
        <v>4254644777.1300001</v>
      </c>
      <c r="AC22" s="181">
        <v>87204538</v>
      </c>
      <c r="AD22" s="1180">
        <v>4167440239.1300001</v>
      </c>
      <c r="AE22" s="1180">
        <v>4167440239.1300001</v>
      </c>
      <c r="AF22" s="181">
        <v>0</v>
      </c>
      <c r="AG22" s="181">
        <v>0</v>
      </c>
      <c r="AH22" s="181">
        <v>4167440239.1300001</v>
      </c>
      <c r="AI22" s="181">
        <v>4254644777.1300001</v>
      </c>
      <c r="AJ22" s="181">
        <v>87204538</v>
      </c>
      <c r="AK22" s="181">
        <v>4254644777.1300001</v>
      </c>
      <c r="AL22" s="181">
        <v>0</v>
      </c>
      <c r="AM22" s="181">
        <v>87204538</v>
      </c>
      <c r="AN22" s="181" t="s">
        <v>1709</v>
      </c>
      <c r="AS22" s="181"/>
    </row>
    <row r="23" spans="1:45" ht="30" hidden="1" x14ac:dyDescent="0.25">
      <c r="A23" s="181">
        <v>307</v>
      </c>
      <c r="B23" s="181" t="s">
        <v>226</v>
      </c>
      <c r="C23" s="181" t="s">
        <v>271</v>
      </c>
      <c r="D23" s="1179" t="s">
        <v>272</v>
      </c>
      <c r="E23" s="181">
        <v>5585764723</v>
      </c>
      <c r="F23" s="181">
        <v>5585764723</v>
      </c>
      <c r="G23" s="181">
        <v>0</v>
      </c>
      <c r="H23" s="181">
        <v>0</v>
      </c>
      <c r="I23" s="181">
        <v>0</v>
      </c>
      <c r="J23" s="181">
        <v>0</v>
      </c>
      <c r="K23" s="181">
        <v>0</v>
      </c>
      <c r="L23" s="181">
        <v>5585764723</v>
      </c>
      <c r="M23" s="181">
        <v>0</v>
      </c>
      <c r="N23" s="181">
        <v>0</v>
      </c>
      <c r="O23" s="181">
        <v>0</v>
      </c>
      <c r="P23" s="181">
        <v>0</v>
      </c>
      <c r="Q23" s="181">
        <v>0</v>
      </c>
      <c r="R23" s="181">
        <v>0</v>
      </c>
      <c r="S23" s="181">
        <v>4254644777.1300001</v>
      </c>
      <c r="T23" s="181">
        <v>87204538</v>
      </c>
      <c r="U23" s="181">
        <v>4167440239.1300001</v>
      </c>
      <c r="V23" s="181">
        <v>0</v>
      </c>
      <c r="W23" s="181">
        <v>0</v>
      </c>
      <c r="X23" s="181">
        <v>0</v>
      </c>
      <c r="Y23" s="181">
        <v>0</v>
      </c>
      <c r="Z23" s="181">
        <v>0</v>
      </c>
      <c r="AA23" s="181">
        <v>0</v>
      </c>
      <c r="AB23" s="181">
        <v>4254644777.1300001</v>
      </c>
      <c r="AC23" s="181">
        <v>87204538</v>
      </c>
      <c r="AD23" s="1180">
        <v>4167440239.1300001</v>
      </c>
      <c r="AE23" s="1180">
        <v>4167440239.1300001</v>
      </c>
      <c r="AF23" s="181">
        <v>0</v>
      </c>
      <c r="AG23" s="181">
        <v>0</v>
      </c>
      <c r="AH23" s="181">
        <v>4167440239.1300001</v>
      </c>
      <c r="AI23" s="181">
        <v>4254644777.1300001</v>
      </c>
      <c r="AJ23" s="181">
        <v>87204538</v>
      </c>
      <c r="AK23" s="181">
        <v>4254644777.1300001</v>
      </c>
      <c r="AL23" s="181">
        <v>0</v>
      </c>
      <c r="AM23" s="181">
        <v>87204538</v>
      </c>
      <c r="AN23" s="181" t="s">
        <v>1709</v>
      </c>
      <c r="AS23" s="181"/>
    </row>
    <row r="24" spans="1:45" ht="45" hidden="1" x14ac:dyDescent="0.25">
      <c r="A24" s="181">
        <v>307</v>
      </c>
      <c r="B24" s="181">
        <v>145</v>
      </c>
      <c r="C24" s="181" t="s">
        <v>1210</v>
      </c>
      <c r="D24" s="1179" t="s">
        <v>274</v>
      </c>
      <c r="E24" s="181">
        <v>135654286</v>
      </c>
      <c r="F24" s="181">
        <v>135654286</v>
      </c>
      <c r="G24" s="181">
        <v>0</v>
      </c>
      <c r="H24" s="181">
        <v>0</v>
      </c>
      <c r="I24" s="181">
        <v>0</v>
      </c>
      <c r="J24" s="181">
        <v>0</v>
      </c>
      <c r="K24" s="181">
        <v>0</v>
      </c>
      <c r="L24" s="181">
        <v>135654286</v>
      </c>
      <c r="M24" s="181">
        <v>0</v>
      </c>
      <c r="N24" s="181">
        <v>0</v>
      </c>
      <c r="O24" s="181">
        <v>0</v>
      </c>
      <c r="P24" s="181">
        <v>0</v>
      </c>
      <c r="Q24" s="181">
        <v>0</v>
      </c>
      <c r="R24" s="181">
        <v>0</v>
      </c>
      <c r="S24" s="181">
        <v>54056896.530000001</v>
      </c>
      <c r="T24" s="181">
        <v>4027668</v>
      </c>
      <c r="U24" s="181">
        <v>50029228.530000001</v>
      </c>
      <c r="V24" s="181">
        <v>0</v>
      </c>
      <c r="W24" s="181">
        <v>0</v>
      </c>
      <c r="X24" s="181">
        <v>0</v>
      </c>
      <c r="Y24" s="181">
        <v>0</v>
      </c>
      <c r="Z24" s="181">
        <v>0</v>
      </c>
      <c r="AA24" s="181">
        <v>0</v>
      </c>
      <c r="AB24" s="181">
        <v>54056896.530000001</v>
      </c>
      <c r="AC24" s="181">
        <v>4027668</v>
      </c>
      <c r="AD24" s="1180">
        <v>50029228.530000001</v>
      </c>
      <c r="AE24" s="1183">
        <v>50029228.530000001</v>
      </c>
      <c r="AF24" s="181">
        <v>0</v>
      </c>
      <c r="AG24" s="181">
        <v>0</v>
      </c>
      <c r="AH24" s="181">
        <v>50029228.530000001</v>
      </c>
      <c r="AI24" s="181">
        <v>54056896.530000001</v>
      </c>
      <c r="AJ24" s="181">
        <v>4027668</v>
      </c>
      <c r="AK24" s="181">
        <v>54056896.530000001</v>
      </c>
      <c r="AL24" s="181">
        <v>0</v>
      </c>
      <c r="AM24" s="181">
        <v>4027668</v>
      </c>
      <c r="AN24" s="181" t="s">
        <v>66</v>
      </c>
    </row>
    <row r="25" spans="1:45" ht="45" hidden="1" x14ac:dyDescent="0.25">
      <c r="A25" s="181">
        <v>307</v>
      </c>
      <c r="B25" s="181">
        <v>20</v>
      </c>
      <c r="C25" s="181" t="s">
        <v>273</v>
      </c>
      <c r="D25" s="1179" t="s">
        <v>274</v>
      </c>
      <c r="E25" s="181">
        <v>2713085722</v>
      </c>
      <c r="F25" s="181">
        <v>2713085722</v>
      </c>
      <c r="G25" s="181">
        <v>0</v>
      </c>
      <c r="H25" s="181">
        <v>0</v>
      </c>
      <c r="I25" s="181">
        <v>0</v>
      </c>
      <c r="J25" s="181">
        <v>0</v>
      </c>
      <c r="K25" s="181">
        <v>0</v>
      </c>
      <c r="L25" s="181">
        <v>2713085722</v>
      </c>
      <c r="M25" s="181">
        <v>0</v>
      </c>
      <c r="N25" s="181">
        <v>0</v>
      </c>
      <c r="O25" s="181">
        <v>0</v>
      </c>
      <c r="P25" s="181">
        <v>0</v>
      </c>
      <c r="Q25" s="181">
        <v>0</v>
      </c>
      <c r="R25" s="181">
        <v>0</v>
      </c>
      <c r="S25" s="181">
        <v>1088274356.4000001</v>
      </c>
      <c r="T25" s="181">
        <v>76420785.799999997</v>
      </c>
      <c r="U25" s="181">
        <v>1011853570.6</v>
      </c>
      <c r="V25" s="181">
        <v>0</v>
      </c>
      <c r="W25" s="181">
        <v>0</v>
      </c>
      <c r="X25" s="181">
        <v>0</v>
      </c>
      <c r="Y25" s="181">
        <v>0</v>
      </c>
      <c r="Z25" s="181">
        <v>0</v>
      </c>
      <c r="AA25" s="181">
        <v>0</v>
      </c>
      <c r="AB25" s="181">
        <v>1088274356.4000001</v>
      </c>
      <c r="AC25" s="181">
        <v>76420785.799999997</v>
      </c>
      <c r="AD25" s="1180">
        <v>1011853570.6</v>
      </c>
      <c r="AE25" s="1183">
        <v>1011853570.6</v>
      </c>
      <c r="AF25" s="181">
        <v>0</v>
      </c>
      <c r="AG25" s="181">
        <v>0</v>
      </c>
      <c r="AH25" s="181">
        <v>1011853570.6</v>
      </c>
      <c r="AI25" s="181">
        <v>1088274356.4000001</v>
      </c>
      <c r="AJ25" s="181">
        <v>76420785.799999997</v>
      </c>
      <c r="AK25" s="181">
        <v>1088274356.4000001</v>
      </c>
      <c r="AL25" s="181">
        <v>0</v>
      </c>
      <c r="AM25" s="181">
        <v>76420785.799999997</v>
      </c>
      <c r="AN25" s="181" t="s">
        <v>140</v>
      </c>
    </row>
    <row r="26" spans="1:45" ht="45" hidden="1" x14ac:dyDescent="0.25">
      <c r="A26" s="181">
        <v>307</v>
      </c>
      <c r="B26" s="181">
        <v>145</v>
      </c>
      <c r="C26" s="181" t="s">
        <v>1211</v>
      </c>
      <c r="D26" s="1179" t="s">
        <v>276</v>
      </c>
      <c r="E26" s="181">
        <v>130334511</v>
      </c>
      <c r="F26" s="181">
        <v>130334511</v>
      </c>
      <c r="G26" s="181">
        <v>0</v>
      </c>
      <c r="H26" s="181">
        <v>0</v>
      </c>
      <c r="I26" s="181">
        <v>0</v>
      </c>
      <c r="J26" s="181">
        <v>0</v>
      </c>
      <c r="K26" s="181">
        <v>0</v>
      </c>
      <c r="L26" s="181">
        <v>130334511</v>
      </c>
      <c r="M26" s="181">
        <v>0</v>
      </c>
      <c r="N26" s="181">
        <v>0</v>
      </c>
      <c r="O26" s="181">
        <v>0</v>
      </c>
      <c r="P26" s="181">
        <v>0</v>
      </c>
      <c r="Q26" s="181">
        <v>0</v>
      </c>
      <c r="R26" s="181">
        <v>0</v>
      </c>
      <c r="S26" s="181">
        <v>158999024.19999999</v>
      </c>
      <c r="T26" s="181">
        <v>6756084.2000000002</v>
      </c>
      <c r="U26" s="181">
        <v>152242940</v>
      </c>
      <c r="V26" s="181">
        <v>0</v>
      </c>
      <c r="W26" s="181">
        <v>0</v>
      </c>
      <c r="X26" s="181">
        <v>0</v>
      </c>
      <c r="Y26" s="181">
        <v>0</v>
      </c>
      <c r="Z26" s="181">
        <v>0</v>
      </c>
      <c r="AA26" s="181">
        <v>0</v>
      </c>
      <c r="AB26" s="181">
        <v>158999024.19999999</v>
      </c>
      <c r="AC26" s="181">
        <v>6756084.2000000002</v>
      </c>
      <c r="AD26" s="1180">
        <v>152242940</v>
      </c>
      <c r="AE26" s="1183">
        <v>152242940</v>
      </c>
      <c r="AF26" s="181">
        <v>0</v>
      </c>
      <c r="AG26" s="181">
        <v>0</v>
      </c>
      <c r="AH26" s="181">
        <v>152242940</v>
      </c>
      <c r="AI26" s="181">
        <v>158999024.19999999</v>
      </c>
      <c r="AJ26" s="181">
        <v>6756084.2000000002</v>
      </c>
      <c r="AK26" s="181">
        <v>158999024.19999999</v>
      </c>
      <c r="AL26" s="181">
        <v>0</v>
      </c>
      <c r="AM26" s="181">
        <v>6756084.2000000002</v>
      </c>
      <c r="AN26" s="181" t="s">
        <v>66</v>
      </c>
    </row>
    <row r="27" spans="1:45" ht="45" hidden="1" x14ac:dyDescent="0.25">
      <c r="A27" s="181">
        <v>307</v>
      </c>
      <c r="B27" s="181">
        <v>20</v>
      </c>
      <c r="C27" s="181" t="s">
        <v>275</v>
      </c>
      <c r="D27" s="1179" t="s">
        <v>276</v>
      </c>
      <c r="E27" s="181">
        <v>2606690204</v>
      </c>
      <c r="F27" s="181">
        <v>2606690204</v>
      </c>
      <c r="G27" s="181">
        <v>0</v>
      </c>
      <c r="H27" s="181">
        <v>0</v>
      </c>
      <c r="I27" s="181">
        <v>0</v>
      </c>
      <c r="J27" s="181">
        <v>0</v>
      </c>
      <c r="K27" s="181">
        <v>0</v>
      </c>
      <c r="L27" s="181">
        <v>2606690204</v>
      </c>
      <c r="M27" s="181">
        <v>0</v>
      </c>
      <c r="N27" s="181">
        <v>0</v>
      </c>
      <c r="O27" s="181">
        <v>0</v>
      </c>
      <c r="P27" s="181">
        <v>0</v>
      </c>
      <c r="Q27" s="181">
        <v>0</v>
      </c>
      <c r="R27" s="181">
        <v>0</v>
      </c>
      <c r="S27" s="181">
        <v>2953314500</v>
      </c>
      <c r="T27" s="181">
        <v>0</v>
      </c>
      <c r="U27" s="181">
        <v>2953314500</v>
      </c>
      <c r="V27" s="181">
        <v>0</v>
      </c>
      <c r="W27" s="181">
        <v>0</v>
      </c>
      <c r="X27" s="181">
        <v>0</v>
      </c>
      <c r="Y27" s="181">
        <v>0</v>
      </c>
      <c r="Z27" s="181">
        <v>0</v>
      </c>
      <c r="AA27" s="181">
        <v>0</v>
      </c>
      <c r="AB27" s="181">
        <v>2953314500</v>
      </c>
      <c r="AC27" s="181">
        <v>0</v>
      </c>
      <c r="AD27" s="1180">
        <v>2953314500</v>
      </c>
      <c r="AE27" s="1183">
        <v>2953314500</v>
      </c>
      <c r="AF27" s="181">
        <v>0</v>
      </c>
      <c r="AG27" s="181">
        <v>0</v>
      </c>
      <c r="AH27" s="181">
        <v>2953314500</v>
      </c>
      <c r="AI27" s="181">
        <v>2953314500</v>
      </c>
      <c r="AJ27" s="181">
        <v>0</v>
      </c>
      <c r="AK27" s="181">
        <v>2953314500</v>
      </c>
      <c r="AL27" s="181">
        <v>0</v>
      </c>
      <c r="AM27" s="181">
        <v>0</v>
      </c>
      <c r="AN27" s="181" t="s">
        <v>140</v>
      </c>
    </row>
    <row r="28" spans="1:45" ht="45" hidden="1" x14ac:dyDescent="0.25">
      <c r="A28" s="181">
        <v>307</v>
      </c>
      <c r="B28" s="181" t="s">
        <v>226</v>
      </c>
      <c r="C28" s="181" t="s">
        <v>277</v>
      </c>
      <c r="D28" s="1179" t="s">
        <v>278</v>
      </c>
      <c r="E28" s="181">
        <v>17647340374</v>
      </c>
      <c r="F28" s="181">
        <v>17647340374</v>
      </c>
      <c r="G28" s="181">
        <v>0</v>
      </c>
      <c r="H28" s="181">
        <v>0</v>
      </c>
      <c r="I28" s="181">
        <v>0</v>
      </c>
      <c r="J28" s="181">
        <v>0</v>
      </c>
      <c r="K28" s="181">
        <v>0</v>
      </c>
      <c r="L28" s="181">
        <v>17647340374</v>
      </c>
      <c r="M28" s="181">
        <v>0</v>
      </c>
      <c r="N28" s="181">
        <v>0</v>
      </c>
      <c r="O28" s="181">
        <v>0</v>
      </c>
      <c r="P28" s="181">
        <v>0</v>
      </c>
      <c r="Q28" s="181">
        <v>0</v>
      </c>
      <c r="R28" s="181">
        <v>0</v>
      </c>
      <c r="S28" s="181">
        <v>19670392424</v>
      </c>
      <c r="T28" s="181">
        <v>1802923400</v>
      </c>
      <c r="U28" s="181">
        <v>17867469024</v>
      </c>
      <c r="V28" s="181">
        <v>0</v>
      </c>
      <c r="W28" s="181">
        <v>0</v>
      </c>
      <c r="X28" s="181">
        <v>0</v>
      </c>
      <c r="Y28" s="181">
        <v>0</v>
      </c>
      <c r="Z28" s="181">
        <v>0</v>
      </c>
      <c r="AA28" s="181">
        <v>0</v>
      </c>
      <c r="AB28" s="181">
        <v>19670392424</v>
      </c>
      <c r="AC28" s="181">
        <v>1802923400</v>
      </c>
      <c r="AD28" s="1180">
        <v>17867469024</v>
      </c>
      <c r="AE28" s="1180">
        <v>17867469024</v>
      </c>
      <c r="AF28" s="181">
        <v>0</v>
      </c>
      <c r="AG28" s="181">
        <v>0</v>
      </c>
      <c r="AH28" s="181">
        <v>17867469024</v>
      </c>
      <c r="AI28" s="181">
        <v>19670392424</v>
      </c>
      <c r="AJ28" s="181">
        <v>1802923400</v>
      </c>
      <c r="AK28" s="181">
        <v>19670392424</v>
      </c>
      <c r="AL28" s="181">
        <v>0</v>
      </c>
      <c r="AM28" s="181">
        <v>1802923400</v>
      </c>
      <c r="AN28" s="181" t="s">
        <v>1709</v>
      </c>
      <c r="AS28" s="181"/>
    </row>
    <row r="29" spans="1:45" ht="45" hidden="1" x14ac:dyDescent="0.25">
      <c r="A29" s="181">
        <v>307</v>
      </c>
      <c r="B29" s="181">
        <v>20</v>
      </c>
      <c r="C29" s="181" t="s">
        <v>279</v>
      </c>
      <c r="D29" s="1179" t="s">
        <v>280</v>
      </c>
      <c r="E29" s="181">
        <v>17382630268.389999</v>
      </c>
      <c r="F29" s="181">
        <v>17382630268.389999</v>
      </c>
      <c r="G29" s="181">
        <v>0</v>
      </c>
      <c r="H29" s="181">
        <v>0</v>
      </c>
      <c r="I29" s="181">
        <v>0</v>
      </c>
      <c r="J29" s="181">
        <v>0</v>
      </c>
      <c r="K29" s="181">
        <v>0</v>
      </c>
      <c r="L29" s="181">
        <v>17382630268.389999</v>
      </c>
      <c r="M29" s="181">
        <v>0</v>
      </c>
      <c r="N29" s="181">
        <v>0</v>
      </c>
      <c r="O29" s="181">
        <v>0</v>
      </c>
      <c r="P29" s="181">
        <v>0</v>
      </c>
      <c r="Q29" s="181">
        <v>0</v>
      </c>
      <c r="R29" s="181">
        <v>0</v>
      </c>
      <c r="S29" s="181">
        <v>19026249424</v>
      </c>
      <c r="T29" s="181">
        <v>1802769400</v>
      </c>
      <c r="U29" s="181">
        <v>17223480024</v>
      </c>
      <c r="V29" s="181">
        <v>0</v>
      </c>
      <c r="W29" s="181">
        <v>0</v>
      </c>
      <c r="X29" s="181">
        <v>0</v>
      </c>
      <c r="Y29" s="181">
        <v>0</v>
      </c>
      <c r="Z29" s="181">
        <v>0</v>
      </c>
      <c r="AA29" s="181">
        <v>0</v>
      </c>
      <c r="AB29" s="181">
        <v>19026249424</v>
      </c>
      <c r="AC29" s="181">
        <v>1802769400</v>
      </c>
      <c r="AD29" s="1180">
        <v>17223480024</v>
      </c>
      <c r="AE29" s="1183">
        <v>17223480024</v>
      </c>
      <c r="AF29" s="181">
        <v>0</v>
      </c>
      <c r="AG29" s="181">
        <v>0</v>
      </c>
      <c r="AH29" s="181">
        <v>17223480024</v>
      </c>
      <c r="AI29" s="181">
        <v>19026249424</v>
      </c>
      <c r="AJ29" s="181">
        <v>1802769400</v>
      </c>
      <c r="AK29" s="181">
        <v>19026249424</v>
      </c>
      <c r="AL29" s="181">
        <v>0</v>
      </c>
      <c r="AM29" s="181">
        <v>1802769400</v>
      </c>
      <c r="AN29" s="181" t="s">
        <v>140</v>
      </c>
    </row>
    <row r="30" spans="1:45" ht="45" hidden="1" x14ac:dyDescent="0.25">
      <c r="A30" s="181">
        <v>307</v>
      </c>
      <c r="B30" s="181">
        <v>20</v>
      </c>
      <c r="C30" s="181" t="s">
        <v>281</v>
      </c>
      <c r="D30" s="1179" t="s">
        <v>282</v>
      </c>
      <c r="E30" s="181">
        <v>264710105.61000001</v>
      </c>
      <c r="F30" s="181">
        <v>264710105.61000001</v>
      </c>
      <c r="G30" s="181">
        <v>0</v>
      </c>
      <c r="H30" s="181">
        <v>0</v>
      </c>
      <c r="I30" s="181">
        <v>0</v>
      </c>
      <c r="J30" s="181">
        <v>0</v>
      </c>
      <c r="K30" s="181">
        <v>0</v>
      </c>
      <c r="L30" s="181">
        <v>264710105.61000001</v>
      </c>
      <c r="M30" s="181">
        <v>0</v>
      </c>
      <c r="N30" s="181">
        <v>0</v>
      </c>
      <c r="O30" s="181">
        <v>0</v>
      </c>
      <c r="P30" s="181">
        <v>0</v>
      </c>
      <c r="Q30" s="181">
        <v>0</v>
      </c>
      <c r="R30" s="181">
        <v>0</v>
      </c>
      <c r="S30" s="181">
        <v>644143000</v>
      </c>
      <c r="T30" s="181">
        <v>154000</v>
      </c>
      <c r="U30" s="181">
        <v>643989000</v>
      </c>
      <c r="V30" s="181">
        <v>0</v>
      </c>
      <c r="W30" s="181">
        <v>0</v>
      </c>
      <c r="X30" s="181">
        <v>0</v>
      </c>
      <c r="Y30" s="181">
        <v>0</v>
      </c>
      <c r="Z30" s="181">
        <v>0</v>
      </c>
      <c r="AA30" s="181">
        <v>0</v>
      </c>
      <c r="AB30" s="181">
        <v>644143000</v>
      </c>
      <c r="AC30" s="181">
        <v>154000</v>
      </c>
      <c r="AD30" s="1180">
        <v>643989000</v>
      </c>
      <c r="AE30" s="1183">
        <v>643989000</v>
      </c>
      <c r="AF30" s="181">
        <v>0</v>
      </c>
      <c r="AG30" s="181">
        <v>0</v>
      </c>
      <c r="AH30" s="181">
        <v>643989000</v>
      </c>
      <c r="AI30" s="181">
        <v>644143000</v>
      </c>
      <c r="AJ30" s="181">
        <v>154000</v>
      </c>
      <c r="AK30" s="181">
        <v>644143000</v>
      </c>
      <c r="AL30" s="181">
        <v>0</v>
      </c>
      <c r="AM30" s="181">
        <v>154000</v>
      </c>
      <c r="AN30" s="181" t="s">
        <v>140</v>
      </c>
    </row>
    <row r="31" spans="1:45" ht="30" hidden="1" x14ac:dyDescent="0.25">
      <c r="A31" s="181">
        <v>307</v>
      </c>
      <c r="B31" s="181" t="s">
        <v>226</v>
      </c>
      <c r="C31" s="181" t="s">
        <v>283</v>
      </c>
      <c r="D31" s="1179" t="s">
        <v>284</v>
      </c>
      <c r="E31" s="181">
        <v>10859778214</v>
      </c>
      <c r="F31" s="181">
        <v>10859778214</v>
      </c>
      <c r="G31" s="181">
        <v>0</v>
      </c>
      <c r="H31" s="181">
        <v>0</v>
      </c>
      <c r="I31" s="181">
        <v>0</v>
      </c>
      <c r="J31" s="181">
        <v>0</v>
      </c>
      <c r="K31" s="181">
        <v>0</v>
      </c>
      <c r="L31" s="181">
        <v>10859778214</v>
      </c>
      <c r="M31" s="181">
        <v>0</v>
      </c>
      <c r="N31" s="181">
        <v>0</v>
      </c>
      <c r="O31" s="181">
        <v>0</v>
      </c>
      <c r="P31" s="181">
        <v>0</v>
      </c>
      <c r="Q31" s="181">
        <v>0</v>
      </c>
      <c r="R31" s="181">
        <v>0</v>
      </c>
      <c r="S31" s="181">
        <v>11703083543</v>
      </c>
      <c r="T31" s="181">
        <v>565532835</v>
      </c>
      <c r="U31" s="181">
        <v>11137550708</v>
      </c>
      <c r="V31" s="181">
        <v>0</v>
      </c>
      <c r="W31" s="181">
        <v>0</v>
      </c>
      <c r="X31" s="181">
        <v>0</v>
      </c>
      <c r="Y31" s="181">
        <v>0</v>
      </c>
      <c r="Z31" s="181">
        <v>0</v>
      </c>
      <c r="AA31" s="181">
        <v>0</v>
      </c>
      <c r="AB31" s="181">
        <v>11703083543</v>
      </c>
      <c r="AC31" s="181">
        <v>565532835</v>
      </c>
      <c r="AD31" s="1180">
        <v>11137550708</v>
      </c>
      <c r="AE31" s="1180">
        <v>11137550708</v>
      </c>
      <c r="AF31" s="181">
        <v>0</v>
      </c>
      <c r="AG31" s="181">
        <v>0</v>
      </c>
      <c r="AH31" s="181">
        <v>11137550708</v>
      </c>
      <c r="AI31" s="181">
        <v>11703083543</v>
      </c>
      <c r="AJ31" s="181">
        <v>565532835</v>
      </c>
      <c r="AK31" s="181">
        <v>11703083543</v>
      </c>
      <c r="AL31" s="181">
        <v>0</v>
      </c>
      <c r="AM31" s="181">
        <v>565532835</v>
      </c>
      <c r="AN31" s="181" t="s">
        <v>1709</v>
      </c>
      <c r="AS31" s="181"/>
    </row>
    <row r="32" spans="1:45" ht="45" hidden="1" x14ac:dyDescent="0.25">
      <c r="A32" s="181">
        <v>307</v>
      </c>
      <c r="B32" s="181" t="s">
        <v>226</v>
      </c>
      <c r="C32" s="181" t="s">
        <v>285</v>
      </c>
      <c r="D32" s="1179" t="s">
        <v>286</v>
      </c>
      <c r="E32" s="181">
        <v>10859778214</v>
      </c>
      <c r="F32" s="181">
        <v>10859778214</v>
      </c>
      <c r="G32" s="181">
        <v>0</v>
      </c>
      <c r="H32" s="181">
        <v>0</v>
      </c>
      <c r="I32" s="181">
        <v>0</v>
      </c>
      <c r="J32" s="181">
        <v>0</v>
      </c>
      <c r="K32" s="181">
        <v>0</v>
      </c>
      <c r="L32" s="181">
        <v>10859778214</v>
      </c>
      <c r="M32" s="181">
        <v>0</v>
      </c>
      <c r="N32" s="181">
        <v>0</v>
      </c>
      <c r="O32" s="181">
        <v>0</v>
      </c>
      <c r="P32" s="181">
        <v>0</v>
      </c>
      <c r="Q32" s="181">
        <v>0</v>
      </c>
      <c r="R32" s="181">
        <v>0</v>
      </c>
      <c r="S32" s="181">
        <v>11703083543</v>
      </c>
      <c r="T32" s="181">
        <v>565532835</v>
      </c>
      <c r="U32" s="181">
        <v>11137550708</v>
      </c>
      <c r="V32" s="181">
        <v>0</v>
      </c>
      <c r="W32" s="181">
        <v>0</v>
      </c>
      <c r="X32" s="181">
        <v>0</v>
      </c>
      <c r="Y32" s="181">
        <v>0</v>
      </c>
      <c r="Z32" s="181">
        <v>0</v>
      </c>
      <c r="AA32" s="181">
        <v>0</v>
      </c>
      <c r="AB32" s="181">
        <v>11703083543</v>
      </c>
      <c r="AC32" s="181">
        <v>565532835</v>
      </c>
      <c r="AD32" s="1180">
        <v>11137550708</v>
      </c>
      <c r="AE32" s="1180">
        <v>11137550708</v>
      </c>
      <c r="AF32" s="181">
        <v>0</v>
      </c>
      <c r="AG32" s="181">
        <v>0</v>
      </c>
      <c r="AH32" s="181">
        <v>11137550708</v>
      </c>
      <c r="AI32" s="181">
        <v>11703083543</v>
      </c>
      <c r="AJ32" s="181">
        <v>565532835</v>
      </c>
      <c r="AK32" s="181">
        <v>11703083543</v>
      </c>
      <c r="AL32" s="181">
        <v>0</v>
      </c>
      <c r="AM32" s="181">
        <v>565532835</v>
      </c>
      <c r="AN32" s="181" t="s">
        <v>1709</v>
      </c>
      <c r="AS32" s="181"/>
    </row>
    <row r="33" spans="1:45" ht="60" hidden="1" x14ac:dyDescent="0.25">
      <c r="A33" s="181">
        <v>307</v>
      </c>
      <c r="B33" s="181">
        <v>20</v>
      </c>
      <c r="C33" s="181" t="s">
        <v>287</v>
      </c>
      <c r="D33" s="1179" t="s">
        <v>288</v>
      </c>
      <c r="E33" s="181">
        <v>10859778214</v>
      </c>
      <c r="F33" s="181">
        <v>10859778214</v>
      </c>
      <c r="G33" s="181">
        <v>0</v>
      </c>
      <c r="H33" s="181">
        <v>0</v>
      </c>
      <c r="I33" s="181">
        <v>0</v>
      </c>
      <c r="J33" s="181">
        <v>0</v>
      </c>
      <c r="K33" s="181">
        <v>0</v>
      </c>
      <c r="L33" s="181">
        <v>10859778214</v>
      </c>
      <c r="M33" s="181">
        <v>0</v>
      </c>
      <c r="N33" s="181">
        <v>0</v>
      </c>
      <c r="O33" s="181">
        <v>0</v>
      </c>
      <c r="P33" s="181">
        <v>0</v>
      </c>
      <c r="Q33" s="181">
        <v>0</v>
      </c>
      <c r="R33" s="181">
        <v>0</v>
      </c>
      <c r="S33" s="181">
        <v>11703083543</v>
      </c>
      <c r="T33" s="181">
        <v>565532835</v>
      </c>
      <c r="U33" s="181">
        <v>11137550708</v>
      </c>
      <c r="V33" s="181">
        <v>0</v>
      </c>
      <c r="W33" s="181">
        <v>0</v>
      </c>
      <c r="X33" s="181">
        <v>0</v>
      </c>
      <c r="Y33" s="181">
        <v>0</v>
      </c>
      <c r="Z33" s="181">
        <v>0</v>
      </c>
      <c r="AA33" s="181">
        <v>0</v>
      </c>
      <c r="AB33" s="181">
        <v>11703083543</v>
      </c>
      <c r="AC33" s="181">
        <v>565532835</v>
      </c>
      <c r="AD33" s="1180">
        <v>11137550708</v>
      </c>
      <c r="AE33" s="1183">
        <v>11137550708</v>
      </c>
      <c r="AF33" s="181">
        <v>0</v>
      </c>
      <c r="AG33" s="181">
        <v>0</v>
      </c>
      <c r="AH33" s="181">
        <v>11137550708</v>
      </c>
      <c r="AI33" s="181">
        <v>11703083543</v>
      </c>
      <c r="AJ33" s="181">
        <v>565532835</v>
      </c>
      <c r="AK33" s="181">
        <v>11703083543</v>
      </c>
      <c r="AL33" s="181">
        <v>0</v>
      </c>
      <c r="AM33" s="181">
        <v>565532835</v>
      </c>
      <c r="AN33" s="181" t="s">
        <v>140</v>
      </c>
    </row>
    <row r="34" spans="1:45" hidden="1" x14ac:dyDescent="0.25">
      <c r="A34" s="181">
        <v>307</v>
      </c>
      <c r="B34" s="181">
        <v>20</v>
      </c>
      <c r="C34" s="181" t="s">
        <v>289</v>
      </c>
      <c r="D34" s="1179" t="s">
        <v>290</v>
      </c>
      <c r="E34" s="181">
        <v>7947476705</v>
      </c>
      <c r="F34" s="181">
        <v>7947476705</v>
      </c>
      <c r="G34" s="181">
        <v>0</v>
      </c>
      <c r="H34" s="181">
        <v>0</v>
      </c>
      <c r="I34" s="181">
        <v>0</v>
      </c>
      <c r="J34" s="181">
        <v>0</v>
      </c>
      <c r="K34" s="181">
        <v>0</v>
      </c>
      <c r="L34" s="181">
        <v>7947476705</v>
      </c>
      <c r="M34" s="181">
        <v>0</v>
      </c>
      <c r="N34" s="181">
        <v>0</v>
      </c>
      <c r="O34" s="181">
        <v>0</v>
      </c>
      <c r="P34" s="181">
        <v>0</v>
      </c>
      <c r="Q34" s="181">
        <v>0</v>
      </c>
      <c r="R34" s="181">
        <v>0</v>
      </c>
      <c r="S34" s="181">
        <v>9664260500</v>
      </c>
      <c r="T34" s="181">
        <v>237344000</v>
      </c>
      <c r="U34" s="181">
        <v>9426916500</v>
      </c>
      <c r="V34" s="181">
        <v>0</v>
      </c>
      <c r="W34" s="181">
        <v>0</v>
      </c>
      <c r="X34" s="181">
        <v>0</v>
      </c>
      <c r="Y34" s="181">
        <v>0</v>
      </c>
      <c r="Z34" s="181">
        <v>0</v>
      </c>
      <c r="AA34" s="181">
        <v>0</v>
      </c>
      <c r="AB34" s="181">
        <v>9664260500</v>
      </c>
      <c r="AC34" s="181">
        <v>237344000</v>
      </c>
      <c r="AD34" s="1180">
        <v>9426916500</v>
      </c>
      <c r="AE34" s="1183">
        <v>9426916500</v>
      </c>
      <c r="AF34" s="181">
        <v>0</v>
      </c>
      <c r="AG34" s="181">
        <v>0</v>
      </c>
      <c r="AH34" s="181">
        <v>9426916500</v>
      </c>
      <c r="AI34" s="181">
        <v>9664260500</v>
      </c>
      <c r="AJ34" s="181">
        <v>237344000</v>
      </c>
      <c r="AK34" s="181">
        <v>9664260500</v>
      </c>
      <c r="AL34" s="181">
        <v>0</v>
      </c>
      <c r="AM34" s="181">
        <v>237344000</v>
      </c>
      <c r="AN34" s="181" t="s">
        <v>140</v>
      </c>
    </row>
    <row r="35" spans="1:45" hidden="1" x14ac:dyDescent="0.25">
      <c r="A35" s="181">
        <v>307</v>
      </c>
      <c r="B35" s="181">
        <v>42</v>
      </c>
      <c r="C35" s="181" t="s">
        <v>291</v>
      </c>
      <c r="D35" s="1179" t="s">
        <v>292</v>
      </c>
      <c r="E35" s="181">
        <v>1611202918</v>
      </c>
      <c r="F35" s="181">
        <v>1611202918</v>
      </c>
      <c r="G35" s="181">
        <v>0</v>
      </c>
      <c r="H35" s="181">
        <v>0</v>
      </c>
      <c r="I35" s="181">
        <v>0</v>
      </c>
      <c r="J35" s="181">
        <v>0</v>
      </c>
      <c r="K35" s="181">
        <v>0</v>
      </c>
      <c r="L35" s="181">
        <v>1611202918</v>
      </c>
      <c r="M35" s="181">
        <v>0</v>
      </c>
      <c r="N35" s="181">
        <v>0</v>
      </c>
      <c r="O35" s="181">
        <v>0</v>
      </c>
      <c r="P35" s="181">
        <v>0</v>
      </c>
      <c r="Q35" s="181">
        <v>0</v>
      </c>
      <c r="R35" s="181">
        <v>0</v>
      </c>
      <c r="S35" s="181">
        <v>3710887236.5700002</v>
      </c>
      <c r="T35" s="181">
        <v>0</v>
      </c>
      <c r="U35" s="181">
        <v>3710887236.5700002</v>
      </c>
      <c r="V35" s="181">
        <v>0</v>
      </c>
      <c r="W35" s="181">
        <v>0</v>
      </c>
      <c r="X35" s="181">
        <v>0</v>
      </c>
      <c r="Y35" s="181">
        <v>0</v>
      </c>
      <c r="Z35" s="181">
        <v>0</v>
      </c>
      <c r="AA35" s="181">
        <v>0</v>
      </c>
      <c r="AB35" s="181">
        <v>3710887236.5700002</v>
      </c>
      <c r="AC35" s="181">
        <v>0</v>
      </c>
      <c r="AD35" s="1180">
        <v>3710887236.5700002</v>
      </c>
      <c r="AE35" s="1183">
        <v>3710887236.5700002</v>
      </c>
      <c r="AF35" s="181">
        <v>0</v>
      </c>
      <c r="AG35" s="181">
        <v>0</v>
      </c>
      <c r="AH35" s="181">
        <v>3710887236.5700002</v>
      </c>
      <c r="AI35" s="181">
        <v>3710887236.5700002</v>
      </c>
      <c r="AJ35" s="181">
        <v>0</v>
      </c>
      <c r="AK35" s="181">
        <v>3710887236.5700002</v>
      </c>
      <c r="AL35" s="181">
        <v>0</v>
      </c>
      <c r="AM35" s="181">
        <v>0</v>
      </c>
      <c r="AN35" s="181" t="s">
        <v>163</v>
      </c>
    </row>
    <row r="36" spans="1:45" hidden="1" x14ac:dyDescent="0.25">
      <c r="A36" s="181">
        <v>307</v>
      </c>
      <c r="B36" s="181" t="s">
        <v>226</v>
      </c>
      <c r="C36" s="181" t="s">
        <v>293</v>
      </c>
      <c r="D36" s="1179" t="s">
        <v>294</v>
      </c>
      <c r="E36" s="181">
        <v>13041274800</v>
      </c>
      <c r="F36" s="181">
        <v>13041274800</v>
      </c>
      <c r="G36" s="181">
        <v>4976863046.4399996</v>
      </c>
      <c r="H36" s="181">
        <v>0</v>
      </c>
      <c r="I36" s="181">
        <v>4976863046.4399996</v>
      </c>
      <c r="J36" s="181">
        <v>4976863046.4399996</v>
      </c>
      <c r="K36" s="181">
        <v>0</v>
      </c>
      <c r="L36" s="181">
        <v>18018137846.439999</v>
      </c>
      <c r="M36" s="181">
        <v>0</v>
      </c>
      <c r="N36" s="181">
        <v>0</v>
      </c>
      <c r="O36" s="181">
        <v>0</v>
      </c>
      <c r="P36" s="181">
        <v>0</v>
      </c>
      <c r="Q36" s="181">
        <v>0</v>
      </c>
      <c r="R36" s="181">
        <v>0</v>
      </c>
      <c r="S36" s="181">
        <v>20788377800</v>
      </c>
      <c r="T36" s="181">
        <v>1016920800</v>
      </c>
      <c r="U36" s="181">
        <v>19771457000</v>
      </c>
      <c r="V36" s="181">
        <v>0</v>
      </c>
      <c r="W36" s="181">
        <v>0</v>
      </c>
      <c r="X36" s="181">
        <v>0</v>
      </c>
      <c r="Y36" s="181">
        <v>0</v>
      </c>
      <c r="Z36" s="181">
        <v>0</v>
      </c>
      <c r="AA36" s="181">
        <v>0</v>
      </c>
      <c r="AB36" s="181">
        <v>20788377800</v>
      </c>
      <c r="AC36" s="181">
        <v>1016920800</v>
      </c>
      <c r="AD36" s="1180">
        <v>19771457000</v>
      </c>
      <c r="AE36" s="1180">
        <v>19771457000</v>
      </c>
      <c r="AF36" s="181">
        <v>0</v>
      </c>
      <c r="AG36" s="181">
        <v>0</v>
      </c>
      <c r="AH36" s="181">
        <v>19771457000</v>
      </c>
      <c r="AI36" s="181">
        <v>20788377800</v>
      </c>
      <c r="AJ36" s="181">
        <v>1016920800</v>
      </c>
      <c r="AK36" s="181">
        <v>20788377800</v>
      </c>
      <c r="AL36" s="181">
        <v>0</v>
      </c>
      <c r="AM36" s="181">
        <v>1016920800</v>
      </c>
      <c r="AN36" s="181" t="s">
        <v>1709</v>
      </c>
      <c r="AS36" s="181"/>
    </row>
    <row r="37" spans="1:45" ht="30" hidden="1" x14ac:dyDescent="0.25">
      <c r="A37" s="181">
        <v>307</v>
      </c>
      <c r="B37" s="181" t="s">
        <v>226</v>
      </c>
      <c r="C37" s="181" t="s">
        <v>1492</v>
      </c>
      <c r="D37" s="1179" t="s">
        <v>296</v>
      </c>
      <c r="E37" s="181">
        <v>4241398703</v>
      </c>
      <c r="F37" s="181">
        <v>4241398703</v>
      </c>
      <c r="G37" s="181">
        <v>1310848562.23</v>
      </c>
      <c r="H37" s="181">
        <v>0</v>
      </c>
      <c r="I37" s="181">
        <v>1310848562.23</v>
      </c>
      <c r="J37" s="181">
        <v>1310848562.23</v>
      </c>
      <c r="K37" s="181">
        <v>0</v>
      </c>
      <c r="L37" s="181">
        <v>5552247265.2299995</v>
      </c>
      <c r="M37" s="181">
        <v>0</v>
      </c>
      <c r="N37" s="181">
        <v>0</v>
      </c>
      <c r="O37" s="181">
        <v>0</v>
      </c>
      <c r="P37" s="181">
        <v>0</v>
      </c>
      <c r="Q37" s="181">
        <v>0</v>
      </c>
      <c r="R37" s="181">
        <v>0</v>
      </c>
      <c r="S37" s="181">
        <v>5775238400</v>
      </c>
      <c r="T37" s="181">
        <v>8602500</v>
      </c>
      <c r="U37" s="181">
        <v>5766635900</v>
      </c>
      <c r="V37" s="181">
        <v>0</v>
      </c>
      <c r="W37" s="181">
        <v>0</v>
      </c>
      <c r="X37" s="181">
        <v>0</v>
      </c>
      <c r="Y37" s="181">
        <v>0</v>
      </c>
      <c r="Z37" s="181">
        <v>0</v>
      </c>
      <c r="AA37" s="181">
        <v>0</v>
      </c>
      <c r="AB37" s="181">
        <v>5775238400</v>
      </c>
      <c r="AC37" s="181">
        <v>8602500</v>
      </c>
      <c r="AD37" s="1180">
        <v>5766635900</v>
      </c>
      <c r="AE37" s="1180">
        <v>5766635900</v>
      </c>
      <c r="AF37" s="181">
        <v>0</v>
      </c>
      <c r="AG37" s="181">
        <v>0</v>
      </c>
      <c r="AH37" s="181">
        <v>5766635900</v>
      </c>
      <c r="AI37" s="181">
        <v>5775238400</v>
      </c>
      <c r="AJ37" s="181">
        <v>8602500</v>
      </c>
      <c r="AK37" s="181">
        <v>5775238400</v>
      </c>
      <c r="AL37" s="181">
        <v>0</v>
      </c>
      <c r="AM37" s="181">
        <v>8602500</v>
      </c>
      <c r="AN37" s="181" t="s">
        <v>1709</v>
      </c>
      <c r="AS37" s="181"/>
    </row>
    <row r="38" spans="1:45" ht="45" hidden="1" x14ac:dyDescent="0.25">
      <c r="A38" s="181">
        <v>307</v>
      </c>
      <c r="B38" s="181">
        <v>6</v>
      </c>
      <c r="C38" s="181" t="s">
        <v>1212</v>
      </c>
      <c r="D38" s="1179" t="s">
        <v>1213</v>
      </c>
      <c r="E38" s="181">
        <v>3393118962</v>
      </c>
      <c r="F38" s="181">
        <v>3393118962</v>
      </c>
      <c r="G38" s="181">
        <v>1168149583.9100001</v>
      </c>
      <c r="H38" s="181">
        <v>0</v>
      </c>
      <c r="I38" s="181">
        <v>1168149583.9100001</v>
      </c>
      <c r="J38" s="181">
        <v>1168149583.9100001</v>
      </c>
      <c r="K38" s="181">
        <v>0</v>
      </c>
      <c r="L38" s="181">
        <v>4561268545.9099998</v>
      </c>
      <c r="M38" s="181">
        <v>0</v>
      </c>
      <c r="N38" s="181">
        <v>0</v>
      </c>
      <c r="O38" s="181">
        <v>0</v>
      </c>
      <c r="P38" s="181">
        <v>0</v>
      </c>
      <c r="Q38" s="181">
        <v>0</v>
      </c>
      <c r="R38" s="181">
        <v>0</v>
      </c>
      <c r="S38" s="181">
        <v>4620803360.6999998</v>
      </c>
      <c r="T38" s="181">
        <v>6882000</v>
      </c>
      <c r="U38" s="181">
        <v>4613921360.6999998</v>
      </c>
      <c r="V38" s="181">
        <v>0</v>
      </c>
      <c r="W38" s="181">
        <v>0</v>
      </c>
      <c r="X38" s="181">
        <v>0</v>
      </c>
      <c r="Y38" s="181">
        <v>0</v>
      </c>
      <c r="Z38" s="181">
        <v>0</v>
      </c>
      <c r="AA38" s="181">
        <v>0</v>
      </c>
      <c r="AB38" s="181">
        <v>4620803360.6999998</v>
      </c>
      <c r="AC38" s="181">
        <v>6882000</v>
      </c>
      <c r="AD38" s="1180">
        <v>4613921360.6999998</v>
      </c>
      <c r="AE38" s="1183">
        <v>4613921360.6999998</v>
      </c>
      <c r="AF38" s="181">
        <v>0</v>
      </c>
      <c r="AG38" s="181">
        <v>0</v>
      </c>
      <c r="AH38" s="181">
        <v>4613921360.6999998</v>
      </c>
      <c r="AI38" s="181">
        <v>4620803360.6999998</v>
      </c>
      <c r="AJ38" s="181">
        <v>6882000</v>
      </c>
      <c r="AK38" s="181">
        <v>4620803360.6999998</v>
      </c>
      <c r="AL38" s="181">
        <v>0</v>
      </c>
      <c r="AM38" s="181">
        <v>6882000</v>
      </c>
      <c r="AN38" s="181" t="s">
        <v>36</v>
      </c>
    </row>
    <row r="39" spans="1:45" ht="45" hidden="1" x14ac:dyDescent="0.25">
      <c r="A39" s="181">
        <v>307</v>
      </c>
      <c r="B39" s="181">
        <v>178</v>
      </c>
      <c r="C39" s="181" t="s">
        <v>1214</v>
      </c>
      <c r="D39" s="1179" t="s">
        <v>1215</v>
      </c>
      <c r="E39" s="181">
        <v>848279741</v>
      </c>
      <c r="F39" s="181">
        <v>848279741</v>
      </c>
      <c r="G39" s="181">
        <v>142698978.31999999</v>
      </c>
      <c r="H39" s="181">
        <v>0</v>
      </c>
      <c r="I39" s="181">
        <v>142698978.31999999</v>
      </c>
      <c r="J39" s="181">
        <v>142698978.31999999</v>
      </c>
      <c r="K39" s="181">
        <v>0</v>
      </c>
      <c r="L39" s="181">
        <v>990978719.32000005</v>
      </c>
      <c r="M39" s="181">
        <v>0</v>
      </c>
      <c r="N39" s="181">
        <v>0</v>
      </c>
      <c r="O39" s="181">
        <v>0</v>
      </c>
      <c r="P39" s="181">
        <v>0</v>
      </c>
      <c r="Q39" s="181">
        <v>0</v>
      </c>
      <c r="R39" s="181">
        <v>0</v>
      </c>
      <c r="S39" s="181">
        <v>1154435039.3</v>
      </c>
      <c r="T39" s="181">
        <v>1720500</v>
      </c>
      <c r="U39" s="181">
        <v>1152714539.3</v>
      </c>
      <c r="V39" s="181">
        <v>0</v>
      </c>
      <c r="W39" s="181">
        <v>0</v>
      </c>
      <c r="X39" s="181">
        <v>0</v>
      </c>
      <c r="Y39" s="181">
        <v>0</v>
      </c>
      <c r="Z39" s="181">
        <v>0</v>
      </c>
      <c r="AA39" s="181">
        <v>0</v>
      </c>
      <c r="AB39" s="181">
        <v>1154435039.3</v>
      </c>
      <c r="AC39" s="181">
        <v>1720500</v>
      </c>
      <c r="AD39" s="1180">
        <v>1152714539.3</v>
      </c>
      <c r="AE39" s="1183">
        <v>1152714539.3</v>
      </c>
      <c r="AF39" s="181">
        <v>0</v>
      </c>
      <c r="AG39" s="181">
        <v>0</v>
      </c>
      <c r="AH39" s="181">
        <v>1152714539.3</v>
      </c>
      <c r="AI39" s="181">
        <v>1154435039.3</v>
      </c>
      <c r="AJ39" s="181">
        <v>1720500</v>
      </c>
      <c r="AK39" s="181">
        <v>1154435039.3</v>
      </c>
      <c r="AL39" s="181">
        <v>0</v>
      </c>
      <c r="AM39" s="181">
        <v>1720500</v>
      </c>
      <c r="AN39" s="181" t="s">
        <v>96</v>
      </c>
    </row>
    <row r="40" spans="1:45" ht="30" hidden="1" x14ac:dyDescent="0.25">
      <c r="A40" s="181">
        <v>307</v>
      </c>
      <c r="B40" s="181" t="s">
        <v>226</v>
      </c>
      <c r="C40" s="181" t="s">
        <v>1493</v>
      </c>
      <c r="D40" s="1179" t="s">
        <v>299</v>
      </c>
      <c r="E40" s="181">
        <v>7056699904</v>
      </c>
      <c r="F40" s="181">
        <v>7056699904</v>
      </c>
      <c r="G40" s="181">
        <v>3287303243.8699999</v>
      </c>
      <c r="H40" s="181">
        <v>0</v>
      </c>
      <c r="I40" s="181">
        <v>3287303243.8699999</v>
      </c>
      <c r="J40" s="181">
        <v>3287303243.8699999</v>
      </c>
      <c r="K40" s="181">
        <v>0</v>
      </c>
      <c r="L40" s="181">
        <v>10344003147.870001</v>
      </c>
      <c r="M40" s="181">
        <v>0</v>
      </c>
      <c r="N40" s="181">
        <v>0</v>
      </c>
      <c r="O40" s="181">
        <v>0</v>
      </c>
      <c r="P40" s="181">
        <v>0</v>
      </c>
      <c r="Q40" s="181">
        <v>0</v>
      </c>
      <c r="R40" s="181">
        <v>0</v>
      </c>
      <c r="S40" s="181">
        <v>12495506200</v>
      </c>
      <c r="T40" s="181">
        <v>926701600</v>
      </c>
      <c r="U40" s="181">
        <v>11568804600</v>
      </c>
      <c r="V40" s="181">
        <v>0</v>
      </c>
      <c r="W40" s="181">
        <v>0</v>
      </c>
      <c r="X40" s="181">
        <v>0</v>
      </c>
      <c r="Y40" s="181">
        <v>0</v>
      </c>
      <c r="Z40" s="181">
        <v>0</v>
      </c>
      <c r="AA40" s="181">
        <v>0</v>
      </c>
      <c r="AB40" s="181">
        <v>12495506200</v>
      </c>
      <c r="AC40" s="181">
        <v>926701600</v>
      </c>
      <c r="AD40" s="1180">
        <v>11568804600</v>
      </c>
      <c r="AE40" s="1180">
        <v>11568804600</v>
      </c>
      <c r="AF40" s="181">
        <v>0</v>
      </c>
      <c r="AG40" s="181">
        <v>0</v>
      </c>
      <c r="AH40" s="181">
        <v>11568804600</v>
      </c>
      <c r="AI40" s="181">
        <v>12495506200</v>
      </c>
      <c r="AJ40" s="181">
        <v>926701600</v>
      </c>
      <c r="AK40" s="181">
        <v>12495506200</v>
      </c>
      <c r="AL40" s="181">
        <v>0</v>
      </c>
      <c r="AM40" s="181">
        <v>926701600</v>
      </c>
      <c r="AN40" s="181" t="s">
        <v>1709</v>
      </c>
      <c r="AS40" s="181"/>
    </row>
    <row r="41" spans="1:45" ht="30" hidden="1" x14ac:dyDescent="0.25">
      <c r="A41" s="181">
        <v>307</v>
      </c>
      <c r="B41" s="181">
        <v>4</v>
      </c>
      <c r="C41" s="181" t="s">
        <v>1216</v>
      </c>
      <c r="D41" s="1179" t="s">
        <v>1217</v>
      </c>
      <c r="E41" s="181">
        <v>3528349952</v>
      </c>
      <c r="F41" s="181">
        <v>3528349952</v>
      </c>
      <c r="G41" s="181">
        <v>1941559801.96</v>
      </c>
      <c r="H41" s="181">
        <v>0</v>
      </c>
      <c r="I41" s="181">
        <v>1941559801.96</v>
      </c>
      <c r="J41" s="181">
        <v>1941559801.96</v>
      </c>
      <c r="K41" s="181">
        <v>0</v>
      </c>
      <c r="L41" s="181">
        <v>5469909753.96</v>
      </c>
      <c r="M41" s="181">
        <v>0</v>
      </c>
      <c r="N41" s="181">
        <v>0</v>
      </c>
      <c r="O41" s="181">
        <v>0</v>
      </c>
      <c r="P41" s="181">
        <v>0</v>
      </c>
      <c r="Q41" s="181">
        <v>0</v>
      </c>
      <c r="R41" s="181">
        <v>0</v>
      </c>
      <c r="S41" s="181">
        <v>6247753099.9899998</v>
      </c>
      <c r="T41" s="181">
        <v>463350800</v>
      </c>
      <c r="U41" s="181">
        <v>5784402299.9899998</v>
      </c>
      <c r="V41" s="181">
        <v>0</v>
      </c>
      <c r="W41" s="181">
        <v>0</v>
      </c>
      <c r="X41" s="181">
        <v>0</v>
      </c>
      <c r="Y41" s="181">
        <v>0</v>
      </c>
      <c r="Z41" s="181">
        <v>0</v>
      </c>
      <c r="AA41" s="181">
        <v>0</v>
      </c>
      <c r="AB41" s="181">
        <v>6247753099.9899998</v>
      </c>
      <c r="AC41" s="181">
        <v>463350800</v>
      </c>
      <c r="AD41" s="1180">
        <v>5784402299.9899998</v>
      </c>
      <c r="AE41" s="1183">
        <v>5784402299.9899998</v>
      </c>
      <c r="AF41" s="181">
        <v>0</v>
      </c>
      <c r="AG41" s="181">
        <v>0</v>
      </c>
      <c r="AH41" s="181">
        <v>5784402299.9899998</v>
      </c>
      <c r="AI41" s="181">
        <v>6247753099.9899998</v>
      </c>
      <c r="AJ41" s="181">
        <v>463350800</v>
      </c>
      <c r="AK41" s="181">
        <v>6247753099.9899998</v>
      </c>
      <c r="AL41" s="181">
        <v>0</v>
      </c>
      <c r="AM41" s="181">
        <v>463350800</v>
      </c>
      <c r="AN41" s="181" t="s">
        <v>32</v>
      </c>
    </row>
    <row r="42" spans="1:45" ht="30" hidden="1" x14ac:dyDescent="0.25">
      <c r="A42" s="181">
        <v>307</v>
      </c>
      <c r="B42" s="181">
        <v>176</v>
      </c>
      <c r="C42" s="181" t="s">
        <v>1218</v>
      </c>
      <c r="D42" s="1179" t="s">
        <v>1219</v>
      </c>
      <c r="E42" s="181">
        <v>1411339981</v>
      </c>
      <c r="F42" s="181">
        <v>1411339981</v>
      </c>
      <c r="G42" s="181">
        <v>657500691.79999995</v>
      </c>
      <c r="H42" s="181">
        <v>0</v>
      </c>
      <c r="I42" s="181">
        <v>657500691.79999995</v>
      </c>
      <c r="J42" s="181">
        <v>657500691.79999995</v>
      </c>
      <c r="K42" s="181">
        <v>0</v>
      </c>
      <c r="L42" s="181">
        <v>2068840672.8</v>
      </c>
      <c r="M42" s="181">
        <v>0</v>
      </c>
      <c r="N42" s="181">
        <v>0</v>
      </c>
      <c r="O42" s="181">
        <v>0</v>
      </c>
      <c r="P42" s="181">
        <v>0</v>
      </c>
      <c r="Q42" s="181">
        <v>0</v>
      </c>
      <c r="R42" s="181">
        <v>0</v>
      </c>
      <c r="S42" s="181">
        <v>2512059505</v>
      </c>
      <c r="T42" s="181">
        <v>196587535</v>
      </c>
      <c r="U42" s="181">
        <v>2315471970</v>
      </c>
      <c r="V42" s="181">
        <v>0</v>
      </c>
      <c r="W42" s="181">
        <v>0</v>
      </c>
      <c r="X42" s="181">
        <v>0</v>
      </c>
      <c r="Y42" s="181">
        <v>0</v>
      </c>
      <c r="Z42" s="181">
        <v>0</v>
      </c>
      <c r="AA42" s="181">
        <v>0</v>
      </c>
      <c r="AB42" s="181">
        <v>2512059505</v>
      </c>
      <c r="AC42" s="181">
        <v>196587535</v>
      </c>
      <c r="AD42" s="1180">
        <v>2315471970</v>
      </c>
      <c r="AE42" s="1183">
        <v>2315471970</v>
      </c>
      <c r="AF42" s="181">
        <v>0</v>
      </c>
      <c r="AG42" s="181">
        <v>0</v>
      </c>
      <c r="AH42" s="181">
        <v>2315471970</v>
      </c>
      <c r="AI42" s="181">
        <v>2512059505</v>
      </c>
      <c r="AJ42" s="181">
        <v>196587535</v>
      </c>
      <c r="AK42" s="181">
        <v>2512059505</v>
      </c>
      <c r="AL42" s="181">
        <v>0</v>
      </c>
      <c r="AM42" s="181">
        <v>196587535</v>
      </c>
      <c r="AN42" s="181" t="s">
        <v>92</v>
      </c>
    </row>
    <row r="43" spans="1:45" ht="30" hidden="1" x14ac:dyDescent="0.25">
      <c r="A43" s="181">
        <v>307</v>
      </c>
      <c r="B43" s="181">
        <v>177</v>
      </c>
      <c r="C43" s="181" t="s">
        <v>1220</v>
      </c>
      <c r="D43" s="1179" t="s">
        <v>1221</v>
      </c>
      <c r="E43" s="181">
        <v>2117009971</v>
      </c>
      <c r="F43" s="181">
        <v>2117009971</v>
      </c>
      <c r="G43" s="181">
        <v>688242750.11000001</v>
      </c>
      <c r="H43" s="181">
        <v>0</v>
      </c>
      <c r="I43" s="181">
        <v>688242750.11000001</v>
      </c>
      <c r="J43" s="181">
        <v>688242750.11000001</v>
      </c>
      <c r="K43" s="181">
        <v>0</v>
      </c>
      <c r="L43" s="181">
        <v>2805252721.1100001</v>
      </c>
      <c r="M43" s="181">
        <v>0</v>
      </c>
      <c r="N43" s="181">
        <v>0</v>
      </c>
      <c r="O43" s="181">
        <v>0</v>
      </c>
      <c r="P43" s="181">
        <v>0</v>
      </c>
      <c r="Q43" s="181">
        <v>0</v>
      </c>
      <c r="R43" s="181">
        <v>0</v>
      </c>
      <c r="S43" s="181">
        <v>3735693595.0100002</v>
      </c>
      <c r="T43" s="181">
        <v>266763265</v>
      </c>
      <c r="U43" s="181">
        <v>3468930330.0100002</v>
      </c>
      <c r="V43" s="181">
        <v>0</v>
      </c>
      <c r="W43" s="181">
        <v>0</v>
      </c>
      <c r="X43" s="181">
        <v>0</v>
      </c>
      <c r="Y43" s="181">
        <v>0</v>
      </c>
      <c r="Z43" s="181">
        <v>0</v>
      </c>
      <c r="AA43" s="181">
        <v>0</v>
      </c>
      <c r="AB43" s="181">
        <v>3735693595.0100002</v>
      </c>
      <c r="AC43" s="181">
        <v>266763265</v>
      </c>
      <c r="AD43" s="1180">
        <v>3468930330.0100002</v>
      </c>
      <c r="AE43" s="1183">
        <v>3468930330.0100002</v>
      </c>
      <c r="AF43" s="181">
        <v>0</v>
      </c>
      <c r="AG43" s="181">
        <v>0</v>
      </c>
      <c r="AH43" s="181">
        <v>3468930330.0100002</v>
      </c>
      <c r="AI43" s="181">
        <v>3735693595.0100002</v>
      </c>
      <c r="AJ43" s="181">
        <v>266763265</v>
      </c>
      <c r="AK43" s="181">
        <v>3735693595.0100002</v>
      </c>
      <c r="AL43" s="181">
        <v>0</v>
      </c>
      <c r="AM43" s="181">
        <v>266763265</v>
      </c>
      <c r="AN43" s="181" t="s">
        <v>94</v>
      </c>
    </row>
    <row r="44" spans="1:45" hidden="1" x14ac:dyDescent="0.25">
      <c r="A44" s="181">
        <v>307</v>
      </c>
      <c r="B44" s="181" t="s">
        <v>226</v>
      </c>
      <c r="C44" s="181" t="s">
        <v>1498</v>
      </c>
      <c r="D44" s="1179" t="s">
        <v>305</v>
      </c>
      <c r="E44" s="181">
        <v>1743176193</v>
      </c>
      <c r="F44" s="181">
        <v>1743176193</v>
      </c>
      <c r="G44" s="181">
        <v>378711240.33999997</v>
      </c>
      <c r="H44" s="181">
        <v>0</v>
      </c>
      <c r="I44" s="181">
        <v>378711240.33999997</v>
      </c>
      <c r="J44" s="181">
        <v>378711240.33999997</v>
      </c>
      <c r="K44" s="181">
        <v>0</v>
      </c>
      <c r="L44" s="181">
        <v>2121887433.3399999</v>
      </c>
      <c r="M44" s="181">
        <v>0</v>
      </c>
      <c r="N44" s="181">
        <v>0</v>
      </c>
      <c r="O44" s="181">
        <v>0</v>
      </c>
      <c r="P44" s="181">
        <v>0</v>
      </c>
      <c r="Q44" s="181">
        <v>0</v>
      </c>
      <c r="R44" s="181">
        <v>0</v>
      </c>
      <c r="S44" s="181">
        <v>2517633200</v>
      </c>
      <c r="T44" s="181">
        <v>81616700</v>
      </c>
      <c r="U44" s="181">
        <v>2436016500</v>
      </c>
      <c r="V44" s="181">
        <v>0</v>
      </c>
      <c r="W44" s="181">
        <v>0</v>
      </c>
      <c r="X44" s="181">
        <v>0</v>
      </c>
      <c r="Y44" s="181">
        <v>0</v>
      </c>
      <c r="Z44" s="181">
        <v>0</v>
      </c>
      <c r="AA44" s="181">
        <v>0</v>
      </c>
      <c r="AB44" s="181">
        <v>2517633200</v>
      </c>
      <c r="AC44" s="181">
        <v>81616700</v>
      </c>
      <c r="AD44" s="1180">
        <v>2436016500</v>
      </c>
      <c r="AE44" s="1182">
        <v>2436016500</v>
      </c>
      <c r="AF44" s="181">
        <v>0</v>
      </c>
      <c r="AG44" s="181">
        <v>0</v>
      </c>
      <c r="AH44" s="181">
        <v>2436016500</v>
      </c>
      <c r="AI44" s="181">
        <v>2517633200</v>
      </c>
      <c r="AJ44" s="181">
        <v>81616700</v>
      </c>
      <c r="AK44" s="181">
        <v>2517633200</v>
      </c>
      <c r="AL44" s="181">
        <v>0</v>
      </c>
      <c r="AM44" s="181">
        <v>81616700</v>
      </c>
      <c r="AN44" s="181" t="s">
        <v>1709</v>
      </c>
      <c r="AS44" s="181"/>
    </row>
    <row r="45" spans="1:45" ht="30" hidden="1" x14ac:dyDescent="0.25">
      <c r="A45" s="181">
        <v>307</v>
      </c>
      <c r="B45" s="181">
        <v>5</v>
      </c>
      <c r="C45" s="181" t="s">
        <v>1222</v>
      </c>
      <c r="D45" s="1179" t="s">
        <v>1223</v>
      </c>
      <c r="E45" s="181">
        <v>348635239</v>
      </c>
      <c r="F45" s="181">
        <v>348635239</v>
      </c>
      <c r="G45" s="181">
        <v>75742247.75</v>
      </c>
      <c r="H45" s="181">
        <v>0</v>
      </c>
      <c r="I45" s="181">
        <v>75742247.75</v>
      </c>
      <c r="J45" s="181">
        <v>75742247.75</v>
      </c>
      <c r="K45" s="181">
        <v>0</v>
      </c>
      <c r="L45" s="181">
        <v>424377486.75</v>
      </c>
      <c r="M45" s="181">
        <v>0</v>
      </c>
      <c r="N45" s="181">
        <v>0</v>
      </c>
      <c r="O45" s="181">
        <v>0</v>
      </c>
      <c r="P45" s="181">
        <v>0</v>
      </c>
      <c r="Q45" s="181">
        <v>0</v>
      </c>
      <c r="R45" s="181">
        <v>0</v>
      </c>
      <c r="S45" s="181">
        <v>503526640</v>
      </c>
      <c r="T45" s="181">
        <v>16323340</v>
      </c>
      <c r="U45" s="181">
        <v>487203300</v>
      </c>
      <c r="V45" s="181">
        <v>0</v>
      </c>
      <c r="W45" s="181">
        <v>0</v>
      </c>
      <c r="X45" s="181">
        <v>0</v>
      </c>
      <c r="Y45" s="181">
        <v>0</v>
      </c>
      <c r="Z45" s="181">
        <v>0</v>
      </c>
      <c r="AA45" s="181">
        <v>0</v>
      </c>
      <c r="AB45" s="181">
        <v>503526640</v>
      </c>
      <c r="AC45" s="181">
        <v>16323340</v>
      </c>
      <c r="AD45" s="1180">
        <v>487203300</v>
      </c>
      <c r="AE45" s="1183">
        <v>487203300</v>
      </c>
      <c r="AF45" s="181">
        <v>0</v>
      </c>
      <c r="AG45" s="181">
        <v>0</v>
      </c>
      <c r="AH45" s="181">
        <v>487203300</v>
      </c>
      <c r="AI45" s="181">
        <v>503526640</v>
      </c>
      <c r="AJ45" s="181">
        <v>16323340</v>
      </c>
      <c r="AK45" s="181">
        <v>503526640</v>
      </c>
      <c r="AL45" s="181">
        <v>0</v>
      </c>
      <c r="AM45" s="181">
        <v>16323340</v>
      </c>
      <c r="AN45" s="181" t="s">
        <v>34</v>
      </c>
    </row>
    <row r="46" spans="1:45" ht="30" hidden="1" x14ac:dyDescent="0.25">
      <c r="A46" s="181">
        <v>307</v>
      </c>
      <c r="B46" s="181">
        <v>33</v>
      </c>
      <c r="C46" s="181" t="s">
        <v>1224</v>
      </c>
      <c r="D46" s="1179" t="s">
        <v>1225</v>
      </c>
      <c r="E46" s="181">
        <v>174317619</v>
      </c>
      <c r="F46" s="181">
        <v>174317619</v>
      </c>
      <c r="G46" s="181">
        <v>37871124.189999998</v>
      </c>
      <c r="H46" s="181">
        <v>0</v>
      </c>
      <c r="I46" s="181">
        <v>37871124.189999998</v>
      </c>
      <c r="J46" s="181">
        <v>37871124.189999998</v>
      </c>
      <c r="K46" s="181">
        <v>0</v>
      </c>
      <c r="L46" s="181">
        <v>212188743.19</v>
      </c>
      <c r="M46" s="181">
        <v>0</v>
      </c>
      <c r="N46" s="181">
        <v>0</v>
      </c>
      <c r="O46" s="181">
        <v>0</v>
      </c>
      <c r="P46" s="181">
        <v>0</v>
      </c>
      <c r="Q46" s="181">
        <v>0</v>
      </c>
      <c r="R46" s="181">
        <v>0</v>
      </c>
      <c r="S46" s="181">
        <v>251763320</v>
      </c>
      <c r="T46" s="181">
        <v>8161670</v>
      </c>
      <c r="U46" s="181">
        <v>243601650</v>
      </c>
      <c r="V46" s="181">
        <v>0</v>
      </c>
      <c r="W46" s="181">
        <v>0</v>
      </c>
      <c r="X46" s="181">
        <v>0</v>
      </c>
      <c r="Y46" s="181">
        <v>0</v>
      </c>
      <c r="Z46" s="181">
        <v>0</v>
      </c>
      <c r="AA46" s="181">
        <v>0</v>
      </c>
      <c r="AB46" s="181">
        <v>251763320</v>
      </c>
      <c r="AC46" s="181">
        <v>8161670</v>
      </c>
      <c r="AD46" s="1180">
        <v>243601650</v>
      </c>
      <c r="AE46" s="1183">
        <v>243601650</v>
      </c>
      <c r="AF46" s="181">
        <v>0</v>
      </c>
      <c r="AG46" s="181">
        <v>0</v>
      </c>
      <c r="AH46" s="181">
        <v>243601650</v>
      </c>
      <c r="AI46" s="181">
        <v>251763320</v>
      </c>
      <c r="AJ46" s="181">
        <v>8161670</v>
      </c>
      <c r="AK46" s="181">
        <v>251763320</v>
      </c>
      <c r="AL46" s="181">
        <v>0</v>
      </c>
      <c r="AM46" s="181">
        <v>8161670</v>
      </c>
      <c r="AN46" s="181" t="s">
        <v>153</v>
      </c>
    </row>
    <row r="47" spans="1:45" ht="30" hidden="1" x14ac:dyDescent="0.25">
      <c r="A47" s="181">
        <v>307</v>
      </c>
      <c r="B47" s="181">
        <v>34</v>
      </c>
      <c r="C47" s="181" t="s">
        <v>1226</v>
      </c>
      <c r="D47" s="1179" t="s">
        <v>1227</v>
      </c>
      <c r="E47" s="181">
        <v>174317619</v>
      </c>
      <c r="F47" s="181">
        <v>174317619</v>
      </c>
      <c r="G47" s="181">
        <v>37974244.189999998</v>
      </c>
      <c r="H47" s="181">
        <v>0</v>
      </c>
      <c r="I47" s="181">
        <v>37974244.189999998</v>
      </c>
      <c r="J47" s="181">
        <v>37974244.189999998</v>
      </c>
      <c r="K47" s="181">
        <v>0</v>
      </c>
      <c r="L47" s="181">
        <v>212291863.19</v>
      </c>
      <c r="M47" s="181">
        <v>0</v>
      </c>
      <c r="N47" s="181">
        <v>0</v>
      </c>
      <c r="O47" s="181">
        <v>0</v>
      </c>
      <c r="P47" s="181">
        <v>0</v>
      </c>
      <c r="Q47" s="181">
        <v>0</v>
      </c>
      <c r="R47" s="181">
        <v>0</v>
      </c>
      <c r="S47" s="181">
        <v>251866440</v>
      </c>
      <c r="T47" s="181">
        <v>8161670</v>
      </c>
      <c r="U47" s="181">
        <v>243704770</v>
      </c>
      <c r="V47" s="181">
        <v>0</v>
      </c>
      <c r="W47" s="181">
        <v>0</v>
      </c>
      <c r="X47" s="181">
        <v>0</v>
      </c>
      <c r="Y47" s="181">
        <v>0</v>
      </c>
      <c r="Z47" s="181">
        <v>0</v>
      </c>
      <c r="AA47" s="181">
        <v>0</v>
      </c>
      <c r="AB47" s="181">
        <v>251866440</v>
      </c>
      <c r="AC47" s="181">
        <v>8161670</v>
      </c>
      <c r="AD47" s="1180">
        <v>243704770</v>
      </c>
      <c r="AE47" s="1183">
        <v>243704770</v>
      </c>
      <c r="AF47" s="181">
        <v>0</v>
      </c>
      <c r="AG47" s="181">
        <v>0</v>
      </c>
      <c r="AH47" s="181">
        <v>243704770</v>
      </c>
      <c r="AI47" s="181">
        <v>251866440</v>
      </c>
      <c r="AJ47" s="181">
        <v>8161670</v>
      </c>
      <c r="AK47" s="181">
        <v>251866440</v>
      </c>
      <c r="AL47" s="181">
        <v>0</v>
      </c>
      <c r="AM47" s="181">
        <v>8161670</v>
      </c>
      <c r="AN47" s="181" t="s">
        <v>155</v>
      </c>
    </row>
    <row r="48" spans="1:45" ht="30" hidden="1" x14ac:dyDescent="0.25">
      <c r="A48" s="181">
        <v>307</v>
      </c>
      <c r="B48" s="181">
        <v>39</v>
      </c>
      <c r="C48" s="181" t="s">
        <v>1228</v>
      </c>
      <c r="D48" s="1179" t="s">
        <v>1229</v>
      </c>
      <c r="E48" s="181">
        <v>871588097</v>
      </c>
      <c r="F48" s="181">
        <v>871588097</v>
      </c>
      <c r="G48" s="181">
        <v>189252500.00999999</v>
      </c>
      <c r="H48" s="181">
        <v>0</v>
      </c>
      <c r="I48" s="181">
        <v>189252500.00999999</v>
      </c>
      <c r="J48" s="181">
        <v>189252500.00999999</v>
      </c>
      <c r="K48" s="181">
        <v>0</v>
      </c>
      <c r="L48" s="181">
        <v>1060840597.01</v>
      </c>
      <c r="M48" s="181">
        <v>0</v>
      </c>
      <c r="N48" s="181">
        <v>0</v>
      </c>
      <c r="O48" s="181">
        <v>0</v>
      </c>
      <c r="P48" s="181">
        <v>0</v>
      </c>
      <c r="Q48" s="181">
        <v>0</v>
      </c>
      <c r="R48" s="181">
        <v>0</v>
      </c>
      <c r="S48" s="181">
        <v>1258713480</v>
      </c>
      <c r="T48" s="181">
        <v>40808350</v>
      </c>
      <c r="U48" s="181">
        <v>1217905130</v>
      </c>
      <c r="V48" s="181">
        <v>0</v>
      </c>
      <c r="W48" s="181">
        <v>0</v>
      </c>
      <c r="X48" s="181">
        <v>0</v>
      </c>
      <c r="Y48" s="181">
        <v>0</v>
      </c>
      <c r="Z48" s="181">
        <v>0</v>
      </c>
      <c r="AA48" s="181">
        <v>0</v>
      </c>
      <c r="AB48" s="181">
        <v>1258713480</v>
      </c>
      <c r="AC48" s="181">
        <v>40808350</v>
      </c>
      <c r="AD48" s="1180">
        <v>1217905130</v>
      </c>
      <c r="AE48" s="1183">
        <v>1217905130</v>
      </c>
      <c r="AF48" s="181">
        <v>0</v>
      </c>
      <c r="AG48" s="181">
        <v>0</v>
      </c>
      <c r="AH48" s="181">
        <v>1217905130</v>
      </c>
      <c r="AI48" s="181">
        <v>1258713480</v>
      </c>
      <c r="AJ48" s="181">
        <v>40808350</v>
      </c>
      <c r="AK48" s="181">
        <v>1258713480</v>
      </c>
      <c r="AL48" s="181">
        <v>0</v>
      </c>
      <c r="AM48" s="181">
        <v>40808350</v>
      </c>
      <c r="AN48" s="181" t="s">
        <v>159</v>
      </c>
    </row>
    <row r="49" spans="1:45" ht="30" hidden="1" x14ac:dyDescent="0.25">
      <c r="A49" s="181">
        <v>307</v>
      </c>
      <c r="B49" s="181">
        <v>41</v>
      </c>
      <c r="C49" s="181" t="s">
        <v>1230</v>
      </c>
      <c r="D49" s="1179" t="s">
        <v>1231</v>
      </c>
      <c r="E49" s="181">
        <v>174317619</v>
      </c>
      <c r="F49" s="181">
        <v>174317619</v>
      </c>
      <c r="G49" s="181">
        <v>37871124.200000003</v>
      </c>
      <c r="H49" s="181">
        <v>0</v>
      </c>
      <c r="I49" s="181">
        <v>37871124.200000003</v>
      </c>
      <c r="J49" s="181">
        <v>37871124.200000003</v>
      </c>
      <c r="K49" s="181">
        <v>0</v>
      </c>
      <c r="L49" s="181">
        <v>212188743.19999999</v>
      </c>
      <c r="M49" s="181">
        <v>0</v>
      </c>
      <c r="N49" s="181">
        <v>0</v>
      </c>
      <c r="O49" s="181">
        <v>0</v>
      </c>
      <c r="P49" s="181">
        <v>0</v>
      </c>
      <c r="Q49" s="181">
        <v>0</v>
      </c>
      <c r="R49" s="181">
        <v>0</v>
      </c>
      <c r="S49" s="181">
        <v>251763320</v>
      </c>
      <c r="T49" s="181">
        <v>8161670</v>
      </c>
      <c r="U49" s="181">
        <v>243601650</v>
      </c>
      <c r="V49" s="181">
        <v>0</v>
      </c>
      <c r="W49" s="181">
        <v>0</v>
      </c>
      <c r="X49" s="181">
        <v>0</v>
      </c>
      <c r="Y49" s="181">
        <v>0</v>
      </c>
      <c r="Z49" s="181">
        <v>0</v>
      </c>
      <c r="AA49" s="181">
        <v>0</v>
      </c>
      <c r="AB49" s="181">
        <v>251763320</v>
      </c>
      <c r="AC49" s="181">
        <v>8161670</v>
      </c>
      <c r="AD49" s="1180">
        <v>243601650</v>
      </c>
      <c r="AE49" s="1183">
        <v>243601650</v>
      </c>
      <c r="AF49" s="181">
        <v>0</v>
      </c>
      <c r="AG49" s="181">
        <v>0</v>
      </c>
      <c r="AH49" s="181">
        <v>243601650</v>
      </c>
      <c r="AI49" s="181">
        <v>251763320</v>
      </c>
      <c r="AJ49" s="181">
        <v>8161670</v>
      </c>
      <c r="AK49" s="181">
        <v>251763320</v>
      </c>
      <c r="AL49" s="181">
        <v>0</v>
      </c>
      <c r="AM49" s="181">
        <v>8161670</v>
      </c>
      <c r="AN49" s="181" t="s">
        <v>161</v>
      </c>
    </row>
    <row r="50" spans="1:45" hidden="1" x14ac:dyDescent="0.25">
      <c r="A50" s="181">
        <v>307</v>
      </c>
      <c r="B50" s="181" t="s">
        <v>226</v>
      </c>
      <c r="C50" s="181" t="s">
        <v>310</v>
      </c>
      <c r="D50" s="1179" t="s">
        <v>311</v>
      </c>
      <c r="E50" s="181">
        <v>25542934508</v>
      </c>
      <c r="F50" s="181">
        <v>25542934508</v>
      </c>
      <c r="G50" s="181">
        <v>49427626573</v>
      </c>
      <c r="H50" s="181">
        <v>187491584</v>
      </c>
      <c r="I50" s="181">
        <v>49240134989</v>
      </c>
      <c r="J50" s="181">
        <v>49427626573</v>
      </c>
      <c r="K50" s="181">
        <v>187491584</v>
      </c>
      <c r="L50" s="181">
        <v>74783069497</v>
      </c>
      <c r="M50" s="181">
        <v>14868295228.309999</v>
      </c>
      <c r="N50" s="181">
        <v>38244729.350000001</v>
      </c>
      <c r="O50" s="181">
        <v>14830050498.959999</v>
      </c>
      <c r="P50" s="181">
        <v>0</v>
      </c>
      <c r="Q50" s="181">
        <v>0</v>
      </c>
      <c r="R50" s="181">
        <v>0</v>
      </c>
      <c r="S50" s="181">
        <v>86860395813.690002</v>
      </c>
      <c r="T50" s="181">
        <v>4549937269.9399996</v>
      </c>
      <c r="U50" s="181">
        <v>82310458543.75</v>
      </c>
      <c r="V50" s="181">
        <v>14868295228.309999</v>
      </c>
      <c r="W50" s="181">
        <v>38244729.350000001</v>
      </c>
      <c r="X50" s="181">
        <v>14830050498.959999</v>
      </c>
      <c r="Y50" s="181">
        <v>0</v>
      </c>
      <c r="Z50" s="181">
        <v>0</v>
      </c>
      <c r="AA50" s="181">
        <v>0</v>
      </c>
      <c r="AB50" s="181">
        <v>86860395813.690002</v>
      </c>
      <c r="AC50" s="181">
        <v>4549937269.9399996</v>
      </c>
      <c r="AD50" s="1180">
        <v>82310458543.75</v>
      </c>
      <c r="AE50" s="1180">
        <v>82310458543.75</v>
      </c>
      <c r="AF50" s="181">
        <v>38112099.020000003</v>
      </c>
      <c r="AG50" s="181">
        <v>38112099.020000003</v>
      </c>
      <c r="AH50" s="181">
        <v>82286912588.460007</v>
      </c>
      <c r="AI50" s="181">
        <v>86732252258.649994</v>
      </c>
      <c r="AJ50" s="181">
        <v>4445339670.1899996</v>
      </c>
      <c r="AK50" s="181">
        <v>86732252258.649994</v>
      </c>
      <c r="AL50" s="181">
        <v>0</v>
      </c>
      <c r="AM50" s="181">
        <v>4445339670.1899996</v>
      </c>
      <c r="AN50" s="181" t="s">
        <v>1709</v>
      </c>
      <c r="AS50" s="181"/>
    </row>
    <row r="51" spans="1:45" hidden="1" x14ac:dyDescent="0.25">
      <c r="A51" s="181">
        <v>307</v>
      </c>
      <c r="B51" s="181" t="s">
        <v>226</v>
      </c>
      <c r="C51" s="181" t="s">
        <v>312</v>
      </c>
      <c r="D51" s="1179" t="s">
        <v>313</v>
      </c>
      <c r="E51" s="181">
        <v>580088442</v>
      </c>
      <c r="F51" s="181">
        <v>580088442</v>
      </c>
      <c r="G51" s="181">
        <v>0</v>
      </c>
      <c r="H51" s="181">
        <v>0</v>
      </c>
      <c r="I51" s="181">
        <v>0</v>
      </c>
      <c r="J51" s="181">
        <v>0</v>
      </c>
      <c r="K51" s="181">
        <v>0</v>
      </c>
      <c r="L51" s="181">
        <v>580088442</v>
      </c>
      <c r="M51" s="181">
        <v>0</v>
      </c>
      <c r="N51" s="181">
        <v>0</v>
      </c>
      <c r="O51" s="181">
        <v>0</v>
      </c>
      <c r="P51" s="181">
        <v>0</v>
      </c>
      <c r="Q51" s="181">
        <v>0</v>
      </c>
      <c r="R51" s="181">
        <v>0</v>
      </c>
      <c r="S51" s="181">
        <v>613318043.67999995</v>
      </c>
      <c r="T51" s="181">
        <v>33229623.68</v>
      </c>
      <c r="U51" s="181">
        <v>580088420</v>
      </c>
      <c r="V51" s="181">
        <v>0</v>
      </c>
      <c r="W51" s="181">
        <v>0</v>
      </c>
      <c r="X51" s="181">
        <v>0</v>
      </c>
      <c r="Y51" s="181">
        <v>0</v>
      </c>
      <c r="Z51" s="181">
        <v>0</v>
      </c>
      <c r="AA51" s="181">
        <v>0</v>
      </c>
      <c r="AB51" s="181">
        <v>613318043.67999995</v>
      </c>
      <c r="AC51" s="181">
        <v>33229623.68</v>
      </c>
      <c r="AD51" s="1180">
        <v>580088420</v>
      </c>
      <c r="AE51" s="1180">
        <v>580088420</v>
      </c>
      <c r="AF51" s="181">
        <v>-5034564.32</v>
      </c>
      <c r="AG51" s="181">
        <v>-5034564.32</v>
      </c>
      <c r="AH51" s="181">
        <v>585122984.32000005</v>
      </c>
      <c r="AI51" s="181">
        <v>613318043.67999995</v>
      </c>
      <c r="AJ51" s="181">
        <v>28195059.359999999</v>
      </c>
      <c r="AK51" s="181">
        <v>613318043.67999995</v>
      </c>
      <c r="AL51" s="181">
        <v>0</v>
      </c>
      <c r="AM51" s="181">
        <v>28195059.359999999</v>
      </c>
      <c r="AN51" s="181" t="s">
        <v>1709</v>
      </c>
      <c r="AS51" s="181"/>
    </row>
    <row r="52" spans="1:45" hidden="1" x14ac:dyDescent="0.25">
      <c r="A52" s="181">
        <v>307</v>
      </c>
      <c r="B52" s="181" t="s">
        <v>226</v>
      </c>
      <c r="C52" s="181" t="s">
        <v>314</v>
      </c>
      <c r="D52" s="1179" t="s">
        <v>315</v>
      </c>
      <c r="E52" s="181">
        <v>580088442</v>
      </c>
      <c r="F52" s="181">
        <v>580088442</v>
      </c>
      <c r="G52" s="181">
        <v>0</v>
      </c>
      <c r="H52" s="181">
        <v>0</v>
      </c>
      <c r="I52" s="181">
        <v>0</v>
      </c>
      <c r="J52" s="181">
        <v>0</v>
      </c>
      <c r="K52" s="181">
        <v>0</v>
      </c>
      <c r="L52" s="181">
        <v>580088442</v>
      </c>
      <c r="M52" s="181">
        <v>0</v>
      </c>
      <c r="N52" s="181">
        <v>0</v>
      </c>
      <c r="O52" s="181">
        <v>0</v>
      </c>
      <c r="P52" s="181">
        <v>0</v>
      </c>
      <c r="Q52" s="181">
        <v>0</v>
      </c>
      <c r="R52" s="181">
        <v>0</v>
      </c>
      <c r="S52" s="181">
        <v>613318043.67999995</v>
      </c>
      <c r="T52" s="181">
        <v>33229623.68</v>
      </c>
      <c r="U52" s="181">
        <v>580088420</v>
      </c>
      <c r="V52" s="181">
        <v>0</v>
      </c>
      <c r="W52" s="181">
        <v>0</v>
      </c>
      <c r="X52" s="181">
        <v>0</v>
      </c>
      <c r="Y52" s="181">
        <v>0</v>
      </c>
      <c r="Z52" s="181">
        <v>0</v>
      </c>
      <c r="AA52" s="181">
        <v>0</v>
      </c>
      <c r="AB52" s="181">
        <v>613318043.67999995</v>
      </c>
      <c r="AC52" s="181">
        <v>33229623.68</v>
      </c>
      <c r="AD52" s="1180">
        <v>580088420</v>
      </c>
      <c r="AE52" s="1180">
        <v>580088420</v>
      </c>
      <c r="AF52" s="181">
        <v>-5034564.32</v>
      </c>
      <c r="AG52" s="181">
        <v>-5034564.32</v>
      </c>
      <c r="AH52" s="181">
        <v>585122984.32000005</v>
      </c>
      <c r="AI52" s="181">
        <v>613318043.67999995</v>
      </c>
      <c r="AJ52" s="181">
        <v>28195059.359999999</v>
      </c>
      <c r="AK52" s="181">
        <v>613318043.67999995</v>
      </c>
      <c r="AL52" s="181">
        <v>0</v>
      </c>
      <c r="AM52" s="181">
        <v>28195059.359999999</v>
      </c>
      <c r="AN52" s="181" t="s">
        <v>1709</v>
      </c>
      <c r="AS52" s="181"/>
    </row>
    <row r="53" spans="1:45" ht="30" hidden="1" x14ac:dyDescent="0.25">
      <c r="A53" s="181">
        <v>307</v>
      </c>
      <c r="B53" s="181" t="s">
        <v>226</v>
      </c>
      <c r="C53" s="181" t="s">
        <v>316</v>
      </c>
      <c r="D53" s="1179" t="s">
        <v>317</v>
      </c>
      <c r="E53" s="181">
        <v>580088442</v>
      </c>
      <c r="F53" s="181">
        <v>580088442</v>
      </c>
      <c r="G53" s="181">
        <v>0</v>
      </c>
      <c r="H53" s="181">
        <v>0</v>
      </c>
      <c r="I53" s="181">
        <v>0</v>
      </c>
      <c r="J53" s="181">
        <v>0</v>
      </c>
      <c r="K53" s="181">
        <v>0</v>
      </c>
      <c r="L53" s="181">
        <v>580088442</v>
      </c>
      <c r="M53" s="181">
        <v>0</v>
      </c>
      <c r="N53" s="181">
        <v>0</v>
      </c>
      <c r="O53" s="181">
        <v>0</v>
      </c>
      <c r="P53" s="181">
        <v>0</v>
      </c>
      <c r="Q53" s="181">
        <v>0</v>
      </c>
      <c r="R53" s="181">
        <v>0</v>
      </c>
      <c r="S53" s="181">
        <v>613318043.67999995</v>
      </c>
      <c r="T53" s="181">
        <v>33229623.68</v>
      </c>
      <c r="U53" s="181">
        <v>580088420</v>
      </c>
      <c r="V53" s="181">
        <v>0</v>
      </c>
      <c r="W53" s="181">
        <v>0</v>
      </c>
      <c r="X53" s="181">
        <v>0</v>
      </c>
      <c r="Y53" s="181">
        <v>0</v>
      </c>
      <c r="Z53" s="181">
        <v>0</v>
      </c>
      <c r="AA53" s="181">
        <v>0</v>
      </c>
      <c r="AB53" s="181">
        <v>613318043.67999995</v>
      </c>
      <c r="AC53" s="181">
        <v>33229623.68</v>
      </c>
      <c r="AD53" s="1180">
        <v>580088420</v>
      </c>
      <c r="AE53" s="1180">
        <v>580088420</v>
      </c>
      <c r="AF53" s="181">
        <v>-5034564.32</v>
      </c>
      <c r="AG53" s="181">
        <v>-5034564.32</v>
      </c>
      <c r="AH53" s="181">
        <v>585122984.32000005</v>
      </c>
      <c r="AI53" s="181">
        <v>613318043.67999995</v>
      </c>
      <c r="AJ53" s="181">
        <v>28195059.359999999</v>
      </c>
      <c r="AK53" s="181">
        <v>613318043.67999995</v>
      </c>
      <c r="AL53" s="181">
        <v>0</v>
      </c>
      <c r="AM53" s="181">
        <v>28195059.359999999</v>
      </c>
      <c r="AN53" s="181" t="s">
        <v>1709</v>
      </c>
      <c r="AS53" s="181"/>
    </row>
    <row r="54" spans="1:45" ht="30" hidden="1" x14ac:dyDescent="0.25">
      <c r="A54" s="181">
        <v>307</v>
      </c>
      <c r="B54" s="181" t="s">
        <v>226</v>
      </c>
      <c r="C54" s="181" t="s">
        <v>318</v>
      </c>
      <c r="D54" s="1179" t="s">
        <v>317</v>
      </c>
      <c r="E54" s="181">
        <v>580088442</v>
      </c>
      <c r="F54" s="181">
        <v>580088442</v>
      </c>
      <c r="G54" s="181">
        <v>0</v>
      </c>
      <c r="H54" s="181">
        <v>0</v>
      </c>
      <c r="I54" s="181">
        <v>0</v>
      </c>
      <c r="J54" s="181">
        <v>0</v>
      </c>
      <c r="K54" s="181">
        <v>0</v>
      </c>
      <c r="L54" s="181">
        <v>580088442</v>
      </c>
      <c r="M54" s="181">
        <v>0</v>
      </c>
      <c r="N54" s="181">
        <v>0</v>
      </c>
      <c r="O54" s="181">
        <v>0</v>
      </c>
      <c r="P54" s="181">
        <v>0</v>
      </c>
      <c r="Q54" s="181">
        <v>0</v>
      </c>
      <c r="R54" s="181">
        <v>0</v>
      </c>
      <c r="S54" s="181">
        <v>613318043.67999995</v>
      </c>
      <c r="T54" s="181">
        <v>33229623.68</v>
      </c>
      <c r="U54" s="181">
        <v>580088420</v>
      </c>
      <c r="V54" s="181">
        <v>0</v>
      </c>
      <c r="W54" s="181">
        <v>0</v>
      </c>
      <c r="X54" s="181">
        <v>0</v>
      </c>
      <c r="Y54" s="181">
        <v>0</v>
      </c>
      <c r="Z54" s="181">
        <v>0</v>
      </c>
      <c r="AA54" s="181">
        <v>0</v>
      </c>
      <c r="AB54" s="181">
        <v>613318043.67999995</v>
      </c>
      <c r="AC54" s="181">
        <v>33229623.68</v>
      </c>
      <c r="AD54" s="1180">
        <v>580088420</v>
      </c>
      <c r="AE54" s="1180">
        <v>580088420</v>
      </c>
      <c r="AF54" s="181">
        <v>-5034564.32</v>
      </c>
      <c r="AG54" s="181">
        <v>-5034564.32</v>
      </c>
      <c r="AH54" s="181">
        <v>585122984.32000005</v>
      </c>
      <c r="AI54" s="181">
        <v>613318043.67999995</v>
      </c>
      <c r="AJ54" s="181">
        <v>28195059.359999999</v>
      </c>
      <c r="AK54" s="181">
        <v>613318043.67999995</v>
      </c>
      <c r="AL54" s="181">
        <v>0</v>
      </c>
      <c r="AM54" s="181">
        <v>28195059.359999999</v>
      </c>
      <c r="AN54" s="181" t="s">
        <v>1709</v>
      </c>
      <c r="AS54" s="181"/>
    </row>
    <row r="55" spans="1:45" ht="30" hidden="1" x14ac:dyDescent="0.25">
      <c r="A55" s="181">
        <v>307</v>
      </c>
      <c r="B55" s="181" t="s">
        <v>226</v>
      </c>
      <c r="C55" s="181" t="s">
        <v>319</v>
      </c>
      <c r="D55" s="1179" t="s">
        <v>317</v>
      </c>
      <c r="E55" s="181">
        <v>580088442</v>
      </c>
      <c r="F55" s="181">
        <v>580088442</v>
      </c>
      <c r="G55" s="181">
        <v>0</v>
      </c>
      <c r="H55" s="181">
        <v>0</v>
      </c>
      <c r="I55" s="181">
        <v>0</v>
      </c>
      <c r="J55" s="181">
        <v>0</v>
      </c>
      <c r="K55" s="181">
        <v>0</v>
      </c>
      <c r="L55" s="181">
        <v>580088442</v>
      </c>
      <c r="M55" s="181">
        <v>0</v>
      </c>
      <c r="N55" s="181">
        <v>0</v>
      </c>
      <c r="O55" s="181">
        <v>0</v>
      </c>
      <c r="P55" s="181">
        <v>0</v>
      </c>
      <c r="Q55" s="181">
        <v>0</v>
      </c>
      <c r="R55" s="181">
        <v>0</v>
      </c>
      <c r="S55" s="181">
        <v>613318043.67999995</v>
      </c>
      <c r="T55" s="181">
        <v>33229623.68</v>
      </c>
      <c r="U55" s="181">
        <v>580088420</v>
      </c>
      <c r="V55" s="181">
        <v>0</v>
      </c>
      <c r="W55" s="181">
        <v>0</v>
      </c>
      <c r="X55" s="181">
        <v>0</v>
      </c>
      <c r="Y55" s="181">
        <v>0</v>
      </c>
      <c r="Z55" s="181">
        <v>0</v>
      </c>
      <c r="AA55" s="181">
        <v>0</v>
      </c>
      <c r="AB55" s="181">
        <v>613318043.67999995</v>
      </c>
      <c r="AC55" s="181">
        <v>33229623.68</v>
      </c>
      <c r="AD55" s="1180">
        <v>580088420</v>
      </c>
      <c r="AE55" s="1180">
        <v>580088420</v>
      </c>
      <c r="AF55" s="181">
        <v>-5034564.32</v>
      </c>
      <c r="AG55" s="181">
        <v>-5034564.32</v>
      </c>
      <c r="AH55" s="181">
        <v>585122984.32000005</v>
      </c>
      <c r="AI55" s="181">
        <v>613318043.67999995</v>
      </c>
      <c r="AJ55" s="181">
        <v>28195059.359999999</v>
      </c>
      <c r="AK55" s="181">
        <v>613318043.67999995</v>
      </c>
      <c r="AL55" s="181">
        <v>0</v>
      </c>
      <c r="AM55" s="181">
        <v>28195059.359999999</v>
      </c>
      <c r="AN55" s="181" t="s">
        <v>1709</v>
      </c>
      <c r="AS55" s="181"/>
    </row>
    <row r="56" spans="1:45" ht="30" hidden="1" x14ac:dyDescent="0.25">
      <c r="A56" s="181">
        <v>307</v>
      </c>
      <c r="B56" s="181" t="s">
        <v>226</v>
      </c>
      <c r="C56" s="181" t="s">
        <v>1499</v>
      </c>
      <c r="D56" s="1179" t="s">
        <v>317</v>
      </c>
      <c r="E56" s="181">
        <v>580088442</v>
      </c>
      <c r="F56" s="181">
        <v>580088442</v>
      </c>
      <c r="G56" s="181">
        <v>0</v>
      </c>
      <c r="H56" s="181">
        <v>0</v>
      </c>
      <c r="I56" s="181">
        <v>0</v>
      </c>
      <c r="J56" s="181">
        <v>0</v>
      </c>
      <c r="K56" s="181">
        <v>0</v>
      </c>
      <c r="L56" s="181">
        <v>580088442</v>
      </c>
      <c r="M56" s="181">
        <v>0</v>
      </c>
      <c r="N56" s="181">
        <v>0</v>
      </c>
      <c r="O56" s="181">
        <v>0</v>
      </c>
      <c r="P56" s="181">
        <v>0</v>
      </c>
      <c r="Q56" s="181">
        <v>0</v>
      </c>
      <c r="R56" s="181">
        <v>0</v>
      </c>
      <c r="S56" s="181">
        <v>613318043.67999995</v>
      </c>
      <c r="T56" s="181">
        <v>33229623.68</v>
      </c>
      <c r="U56" s="181">
        <v>580088420</v>
      </c>
      <c r="V56" s="181">
        <v>0</v>
      </c>
      <c r="W56" s="181">
        <v>0</v>
      </c>
      <c r="X56" s="181">
        <v>0</v>
      </c>
      <c r="Y56" s="181">
        <v>0</v>
      </c>
      <c r="Z56" s="181">
        <v>0</v>
      </c>
      <c r="AA56" s="181">
        <v>0</v>
      </c>
      <c r="AB56" s="181">
        <v>613318043.67999995</v>
      </c>
      <c r="AC56" s="181">
        <v>33229623.68</v>
      </c>
      <c r="AD56" s="1180">
        <v>580088420</v>
      </c>
      <c r="AE56" s="1180">
        <v>580088420</v>
      </c>
      <c r="AF56" s="181">
        <v>-5034564.32</v>
      </c>
      <c r="AG56" s="181">
        <v>-5034564.32</v>
      </c>
      <c r="AH56" s="181">
        <v>585122984.32000005</v>
      </c>
      <c r="AI56" s="181">
        <v>613318043.67999995</v>
      </c>
      <c r="AJ56" s="181">
        <v>28195059.359999999</v>
      </c>
      <c r="AK56" s="181">
        <v>613318043.67999995</v>
      </c>
      <c r="AL56" s="181">
        <v>0</v>
      </c>
      <c r="AM56" s="181">
        <v>28195059.359999999</v>
      </c>
      <c r="AN56" s="181" t="s">
        <v>1709</v>
      </c>
      <c r="AS56" s="181"/>
    </row>
    <row r="57" spans="1:45" ht="30" hidden="1" x14ac:dyDescent="0.25">
      <c r="A57" s="181">
        <v>307</v>
      </c>
      <c r="B57" s="181" t="s">
        <v>226</v>
      </c>
      <c r="C57" s="181" t="s">
        <v>1500</v>
      </c>
      <c r="D57" s="1179" t="s">
        <v>317</v>
      </c>
      <c r="E57" s="181">
        <v>580088442</v>
      </c>
      <c r="F57" s="181">
        <v>580088442</v>
      </c>
      <c r="G57" s="181">
        <v>0</v>
      </c>
      <c r="H57" s="181">
        <v>0</v>
      </c>
      <c r="I57" s="181">
        <v>0</v>
      </c>
      <c r="J57" s="181">
        <v>0</v>
      </c>
      <c r="K57" s="181">
        <v>0</v>
      </c>
      <c r="L57" s="181">
        <v>580088442</v>
      </c>
      <c r="M57" s="181">
        <v>0</v>
      </c>
      <c r="N57" s="181">
        <v>0</v>
      </c>
      <c r="O57" s="181">
        <v>0</v>
      </c>
      <c r="P57" s="181">
        <v>0</v>
      </c>
      <c r="Q57" s="181">
        <v>0</v>
      </c>
      <c r="R57" s="181">
        <v>0</v>
      </c>
      <c r="S57" s="181">
        <v>613318043.67999995</v>
      </c>
      <c r="T57" s="181">
        <v>33229623.68</v>
      </c>
      <c r="U57" s="181">
        <v>580088420</v>
      </c>
      <c r="V57" s="181">
        <v>0</v>
      </c>
      <c r="W57" s="181">
        <v>0</v>
      </c>
      <c r="X57" s="181">
        <v>0</v>
      </c>
      <c r="Y57" s="181">
        <v>0</v>
      </c>
      <c r="Z57" s="181">
        <v>0</v>
      </c>
      <c r="AA57" s="181">
        <v>0</v>
      </c>
      <c r="AB57" s="181">
        <v>613318043.67999995</v>
      </c>
      <c r="AC57" s="181">
        <v>33229623.68</v>
      </c>
      <c r="AD57" s="1180">
        <v>580088420</v>
      </c>
      <c r="AE57" s="1180">
        <v>580088420</v>
      </c>
      <c r="AF57" s="181">
        <v>-5034564.32</v>
      </c>
      <c r="AG57" s="181">
        <v>-5034564.32</v>
      </c>
      <c r="AH57" s="181">
        <v>585122984.32000005</v>
      </c>
      <c r="AI57" s="181">
        <v>613318043.67999995</v>
      </c>
      <c r="AJ57" s="181">
        <v>28195059.359999999</v>
      </c>
      <c r="AK57" s="181">
        <v>613318043.67999995</v>
      </c>
      <c r="AL57" s="181">
        <v>0</v>
      </c>
      <c r="AM57" s="181">
        <v>28195059.359999999</v>
      </c>
      <c r="AN57" s="181" t="s">
        <v>1709</v>
      </c>
      <c r="AS57" s="181"/>
    </row>
    <row r="58" spans="1:45" ht="30" hidden="1" x14ac:dyDescent="0.25">
      <c r="A58" s="181">
        <v>307</v>
      </c>
      <c r="B58" s="181">
        <v>18</v>
      </c>
      <c r="C58" s="181" t="s">
        <v>322</v>
      </c>
      <c r="D58" s="1179" t="s">
        <v>323</v>
      </c>
      <c r="E58" s="181">
        <v>38261187</v>
      </c>
      <c r="F58" s="181">
        <v>38261187</v>
      </c>
      <c r="G58" s="181">
        <v>0</v>
      </c>
      <c r="H58" s="181">
        <v>0</v>
      </c>
      <c r="I58" s="181">
        <v>0</v>
      </c>
      <c r="J58" s="181">
        <v>0</v>
      </c>
      <c r="K58" s="181">
        <v>0</v>
      </c>
      <c r="L58" s="181">
        <v>38261187</v>
      </c>
      <c r="M58" s="181">
        <v>0</v>
      </c>
      <c r="N58" s="181">
        <v>0</v>
      </c>
      <c r="O58" s="181">
        <v>0</v>
      </c>
      <c r="P58" s="181">
        <v>0</v>
      </c>
      <c r="Q58" s="181">
        <v>0</v>
      </c>
      <c r="R58" s="181">
        <v>0</v>
      </c>
      <c r="S58" s="181">
        <v>38261185</v>
      </c>
      <c r="T58" s="181">
        <v>0</v>
      </c>
      <c r="U58" s="181">
        <v>38261185</v>
      </c>
      <c r="V58" s="181">
        <v>0</v>
      </c>
      <c r="W58" s="181">
        <v>0</v>
      </c>
      <c r="X58" s="181">
        <v>0</v>
      </c>
      <c r="Y58" s="181">
        <v>0</v>
      </c>
      <c r="Z58" s="181">
        <v>0</v>
      </c>
      <c r="AA58" s="181">
        <v>0</v>
      </c>
      <c r="AB58" s="181">
        <v>38261185</v>
      </c>
      <c r="AC58" s="181">
        <v>0</v>
      </c>
      <c r="AD58" s="1180">
        <v>38261185</v>
      </c>
      <c r="AE58" s="1183">
        <v>38261185</v>
      </c>
      <c r="AF58" s="181">
        <v>0</v>
      </c>
      <c r="AG58" s="181">
        <v>0</v>
      </c>
      <c r="AH58" s="181">
        <v>38261185</v>
      </c>
      <c r="AI58" s="181">
        <v>38261185</v>
      </c>
      <c r="AJ58" s="181">
        <v>0</v>
      </c>
      <c r="AK58" s="181">
        <v>38261185</v>
      </c>
      <c r="AL58" s="181">
        <v>0</v>
      </c>
      <c r="AM58" s="181">
        <v>0</v>
      </c>
      <c r="AN58" s="181" t="s">
        <v>100</v>
      </c>
    </row>
    <row r="59" spans="1:45" hidden="1" x14ac:dyDescent="0.25">
      <c r="A59" s="181">
        <v>307</v>
      </c>
      <c r="B59" s="181">
        <v>18</v>
      </c>
      <c r="C59" s="181" t="s">
        <v>324</v>
      </c>
      <c r="D59" s="1179" t="s">
        <v>325</v>
      </c>
      <c r="E59" s="181">
        <v>27519548</v>
      </c>
      <c r="F59" s="181">
        <v>27519548</v>
      </c>
      <c r="G59" s="181">
        <v>0</v>
      </c>
      <c r="H59" s="181">
        <v>0</v>
      </c>
      <c r="I59" s="181">
        <v>0</v>
      </c>
      <c r="J59" s="181">
        <v>0</v>
      </c>
      <c r="K59" s="181">
        <v>0</v>
      </c>
      <c r="L59" s="181">
        <v>27519548</v>
      </c>
      <c r="M59" s="181">
        <v>0</v>
      </c>
      <c r="N59" s="181">
        <v>0</v>
      </c>
      <c r="O59" s="181">
        <v>0</v>
      </c>
      <c r="P59" s="181">
        <v>0</v>
      </c>
      <c r="Q59" s="181">
        <v>0</v>
      </c>
      <c r="R59" s="181">
        <v>0</v>
      </c>
      <c r="S59" s="181">
        <v>27519547</v>
      </c>
      <c r="T59" s="181">
        <v>0</v>
      </c>
      <c r="U59" s="181">
        <v>27519547</v>
      </c>
      <c r="V59" s="181">
        <v>0</v>
      </c>
      <c r="W59" s="181">
        <v>0</v>
      </c>
      <c r="X59" s="181">
        <v>0</v>
      </c>
      <c r="Y59" s="181">
        <v>0</v>
      </c>
      <c r="Z59" s="181">
        <v>0</v>
      </c>
      <c r="AA59" s="181">
        <v>0</v>
      </c>
      <c r="AB59" s="181">
        <v>27519547</v>
      </c>
      <c r="AC59" s="181">
        <v>0</v>
      </c>
      <c r="AD59" s="1180">
        <v>27519547</v>
      </c>
      <c r="AE59" s="1183">
        <v>27519547</v>
      </c>
      <c r="AF59" s="181">
        <v>0</v>
      </c>
      <c r="AG59" s="181">
        <v>0</v>
      </c>
      <c r="AH59" s="181">
        <v>27519547</v>
      </c>
      <c r="AI59" s="181">
        <v>27519547</v>
      </c>
      <c r="AJ59" s="181">
        <v>0</v>
      </c>
      <c r="AK59" s="181">
        <v>27519547</v>
      </c>
      <c r="AL59" s="181">
        <v>0</v>
      </c>
      <c r="AM59" s="181">
        <v>0</v>
      </c>
      <c r="AN59" s="181" t="s">
        <v>100</v>
      </c>
    </row>
    <row r="60" spans="1:45" ht="30" hidden="1" x14ac:dyDescent="0.25">
      <c r="A60" s="181">
        <v>307</v>
      </c>
      <c r="B60" s="181">
        <v>18</v>
      </c>
      <c r="C60" s="181" t="s">
        <v>326</v>
      </c>
      <c r="D60" s="1179" t="s">
        <v>327</v>
      </c>
      <c r="E60" s="181">
        <v>175503039</v>
      </c>
      <c r="F60" s="181">
        <v>175503039</v>
      </c>
      <c r="G60" s="181">
        <v>0</v>
      </c>
      <c r="H60" s="181">
        <v>0</v>
      </c>
      <c r="I60" s="181">
        <v>0</v>
      </c>
      <c r="J60" s="181">
        <v>0</v>
      </c>
      <c r="K60" s="181">
        <v>0</v>
      </c>
      <c r="L60" s="181">
        <v>175503039</v>
      </c>
      <c r="M60" s="181">
        <v>0</v>
      </c>
      <c r="N60" s="181">
        <v>0</v>
      </c>
      <c r="O60" s="181">
        <v>0</v>
      </c>
      <c r="P60" s="181">
        <v>0</v>
      </c>
      <c r="Q60" s="181">
        <v>0</v>
      </c>
      <c r="R60" s="181">
        <v>0</v>
      </c>
      <c r="S60" s="181">
        <v>175503039</v>
      </c>
      <c r="T60" s="181">
        <v>0</v>
      </c>
      <c r="U60" s="181">
        <v>175503039</v>
      </c>
      <c r="V60" s="181">
        <v>0</v>
      </c>
      <c r="W60" s="181">
        <v>0</v>
      </c>
      <c r="X60" s="181">
        <v>0</v>
      </c>
      <c r="Y60" s="181">
        <v>0</v>
      </c>
      <c r="Z60" s="181">
        <v>0</v>
      </c>
      <c r="AA60" s="181">
        <v>0</v>
      </c>
      <c r="AB60" s="181">
        <v>175503039</v>
      </c>
      <c r="AC60" s="181">
        <v>0</v>
      </c>
      <c r="AD60" s="1180">
        <v>175503039</v>
      </c>
      <c r="AE60" s="1183">
        <v>175503039</v>
      </c>
      <c r="AF60" s="181">
        <v>0</v>
      </c>
      <c r="AG60" s="181">
        <v>0</v>
      </c>
      <c r="AH60" s="181">
        <v>175503039</v>
      </c>
      <c r="AI60" s="181">
        <v>175503039</v>
      </c>
      <c r="AJ60" s="181">
        <v>0</v>
      </c>
      <c r="AK60" s="181">
        <v>175503039</v>
      </c>
      <c r="AL60" s="181">
        <v>0</v>
      </c>
      <c r="AM60" s="181">
        <v>0</v>
      </c>
      <c r="AN60" s="181" t="s">
        <v>100</v>
      </c>
    </row>
    <row r="61" spans="1:45" ht="30" hidden="1" x14ac:dyDescent="0.25">
      <c r="A61" s="181">
        <v>307</v>
      </c>
      <c r="B61" s="181">
        <v>18</v>
      </c>
      <c r="C61" s="181" t="s">
        <v>328</v>
      </c>
      <c r="D61" s="1179" t="s">
        <v>329</v>
      </c>
      <c r="E61" s="181">
        <v>23353968</v>
      </c>
      <c r="F61" s="181">
        <v>23353968</v>
      </c>
      <c r="G61" s="181">
        <v>0</v>
      </c>
      <c r="H61" s="181">
        <v>0</v>
      </c>
      <c r="I61" s="181">
        <v>0</v>
      </c>
      <c r="J61" s="181">
        <v>0</v>
      </c>
      <c r="K61" s="181">
        <v>0</v>
      </c>
      <c r="L61" s="181">
        <v>23353968</v>
      </c>
      <c r="M61" s="181">
        <v>0</v>
      </c>
      <c r="N61" s="181">
        <v>0</v>
      </c>
      <c r="O61" s="181">
        <v>0</v>
      </c>
      <c r="P61" s="181">
        <v>0</v>
      </c>
      <c r="Q61" s="181">
        <v>0</v>
      </c>
      <c r="R61" s="181">
        <v>0</v>
      </c>
      <c r="S61" s="181">
        <v>23353968</v>
      </c>
      <c r="T61" s="181">
        <v>0</v>
      </c>
      <c r="U61" s="181">
        <v>23353968</v>
      </c>
      <c r="V61" s="181">
        <v>0</v>
      </c>
      <c r="W61" s="181">
        <v>0</v>
      </c>
      <c r="X61" s="181">
        <v>0</v>
      </c>
      <c r="Y61" s="181">
        <v>0</v>
      </c>
      <c r="Z61" s="181">
        <v>0</v>
      </c>
      <c r="AA61" s="181">
        <v>0</v>
      </c>
      <c r="AB61" s="181">
        <v>23353968</v>
      </c>
      <c r="AC61" s="181">
        <v>0</v>
      </c>
      <c r="AD61" s="1180">
        <v>23353968</v>
      </c>
      <c r="AE61" s="1183">
        <v>23353968</v>
      </c>
      <c r="AF61" s="181">
        <v>0</v>
      </c>
      <c r="AG61" s="181">
        <v>0</v>
      </c>
      <c r="AH61" s="181">
        <v>23353968</v>
      </c>
      <c r="AI61" s="181">
        <v>23353968</v>
      </c>
      <c r="AJ61" s="181">
        <v>0</v>
      </c>
      <c r="AK61" s="181">
        <v>23353968</v>
      </c>
      <c r="AL61" s="181">
        <v>0</v>
      </c>
      <c r="AM61" s="181">
        <v>0</v>
      </c>
      <c r="AN61" s="181" t="s">
        <v>100</v>
      </c>
    </row>
    <row r="62" spans="1:45" ht="30" hidden="1" x14ac:dyDescent="0.25">
      <c r="A62" s="181">
        <v>307</v>
      </c>
      <c r="B62" s="181">
        <v>18</v>
      </c>
      <c r="C62" s="181" t="s">
        <v>330</v>
      </c>
      <c r="D62" s="1179" t="s">
        <v>331</v>
      </c>
      <c r="E62" s="181">
        <v>15875711</v>
      </c>
      <c r="F62" s="181">
        <v>15875711</v>
      </c>
      <c r="G62" s="181">
        <v>0</v>
      </c>
      <c r="H62" s="181">
        <v>0</v>
      </c>
      <c r="I62" s="181">
        <v>0</v>
      </c>
      <c r="J62" s="181">
        <v>0</v>
      </c>
      <c r="K62" s="181">
        <v>0</v>
      </c>
      <c r="L62" s="181">
        <v>15875711</v>
      </c>
      <c r="M62" s="181">
        <v>0</v>
      </c>
      <c r="N62" s="181">
        <v>0</v>
      </c>
      <c r="O62" s="181">
        <v>0</v>
      </c>
      <c r="P62" s="181">
        <v>0</v>
      </c>
      <c r="Q62" s="181">
        <v>0</v>
      </c>
      <c r="R62" s="181">
        <v>0</v>
      </c>
      <c r="S62" s="181">
        <v>15875711</v>
      </c>
      <c r="T62" s="181">
        <v>0</v>
      </c>
      <c r="U62" s="181">
        <v>15875711</v>
      </c>
      <c r="V62" s="181">
        <v>0</v>
      </c>
      <c r="W62" s="181">
        <v>0</v>
      </c>
      <c r="X62" s="181">
        <v>0</v>
      </c>
      <c r="Y62" s="181">
        <v>0</v>
      </c>
      <c r="Z62" s="181">
        <v>0</v>
      </c>
      <c r="AA62" s="181">
        <v>0</v>
      </c>
      <c r="AB62" s="181">
        <v>15875711</v>
      </c>
      <c r="AC62" s="181">
        <v>0</v>
      </c>
      <c r="AD62" s="1180">
        <v>15875711</v>
      </c>
      <c r="AE62" s="1183">
        <v>15875711</v>
      </c>
      <c r="AF62" s="181">
        <v>0</v>
      </c>
      <c r="AG62" s="181">
        <v>0</v>
      </c>
      <c r="AH62" s="181">
        <v>15875711</v>
      </c>
      <c r="AI62" s="181">
        <v>15875711</v>
      </c>
      <c r="AJ62" s="181">
        <v>0</v>
      </c>
      <c r="AK62" s="181">
        <v>15875711</v>
      </c>
      <c r="AL62" s="181">
        <v>0</v>
      </c>
      <c r="AM62" s="181">
        <v>0</v>
      </c>
      <c r="AN62" s="181" t="s">
        <v>100</v>
      </c>
    </row>
    <row r="63" spans="1:45" ht="45" hidden="1" x14ac:dyDescent="0.25">
      <c r="A63" s="181">
        <v>307</v>
      </c>
      <c r="B63" s="181">
        <v>18</v>
      </c>
      <c r="C63" s="181" t="s">
        <v>332</v>
      </c>
      <c r="D63" s="1179" t="s">
        <v>333</v>
      </c>
      <c r="E63" s="181">
        <v>5506219</v>
      </c>
      <c r="F63" s="181">
        <v>5506219</v>
      </c>
      <c r="G63" s="181">
        <v>0</v>
      </c>
      <c r="H63" s="181">
        <v>0</v>
      </c>
      <c r="I63" s="181">
        <v>0</v>
      </c>
      <c r="J63" s="181">
        <v>0</v>
      </c>
      <c r="K63" s="181">
        <v>0</v>
      </c>
      <c r="L63" s="181">
        <v>5506219</v>
      </c>
      <c r="M63" s="181">
        <v>0</v>
      </c>
      <c r="N63" s="181">
        <v>0</v>
      </c>
      <c r="O63" s="181">
        <v>0</v>
      </c>
      <c r="P63" s="181">
        <v>0</v>
      </c>
      <c r="Q63" s="181">
        <v>0</v>
      </c>
      <c r="R63" s="181">
        <v>0</v>
      </c>
      <c r="S63" s="181">
        <v>5506207</v>
      </c>
      <c r="T63" s="181">
        <v>0</v>
      </c>
      <c r="U63" s="181">
        <v>5506207</v>
      </c>
      <c r="V63" s="181">
        <v>0</v>
      </c>
      <c r="W63" s="181">
        <v>0</v>
      </c>
      <c r="X63" s="181">
        <v>0</v>
      </c>
      <c r="Y63" s="181">
        <v>0</v>
      </c>
      <c r="Z63" s="181">
        <v>0</v>
      </c>
      <c r="AA63" s="181">
        <v>0</v>
      </c>
      <c r="AB63" s="181">
        <v>5506207</v>
      </c>
      <c r="AC63" s="181">
        <v>0</v>
      </c>
      <c r="AD63" s="1180">
        <v>5506207</v>
      </c>
      <c r="AE63" s="1183">
        <v>5506207</v>
      </c>
      <c r="AF63" s="181">
        <v>0</v>
      </c>
      <c r="AG63" s="181">
        <v>0</v>
      </c>
      <c r="AH63" s="181">
        <v>5506207</v>
      </c>
      <c r="AI63" s="181">
        <v>5506207</v>
      </c>
      <c r="AJ63" s="181">
        <v>0</v>
      </c>
      <c r="AK63" s="181">
        <v>5506207</v>
      </c>
      <c r="AL63" s="181">
        <v>0</v>
      </c>
      <c r="AM63" s="181">
        <v>0</v>
      </c>
      <c r="AN63" s="181" t="s">
        <v>100</v>
      </c>
    </row>
    <row r="64" spans="1:45" ht="30" hidden="1" x14ac:dyDescent="0.25">
      <c r="A64" s="181">
        <v>307</v>
      </c>
      <c r="B64" s="181">
        <v>18</v>
      </c>
      <c r="C64" s="181" t="s">
        <v>334</v>
      </c>
      <c r="D64" s="1179" t="s">
        <v>335</v>
      </c>
      <c r="E64" s="181">
        <v>5017381</v>
      </c>
      <c r="F64" s="181">
        <v>5017381</v>
      </c>
      <c r="G64" s="181">
        <v>0</v>
      </c>
      <c r="H64" s="181">
        <v>0</v>
      </c>
      <c r="I64" s="181">
        <v>0</v>
      </c>
      <c r="J64" s="181">
        <v>0</v>
      </c>
      <c r="K64" s="181">
        <v>0</v>
      </c>
      <c r="L64" s="181">
        <v>5017381</v>
      </c>
      <c r="M64" s="181">
        <v>0</v>
      </c>
      <c r="N64" s="181">
        <v>0</v>
      </c>
      <c r="O64" s="181">
        <v>0</v>
      </c>
      <c r="P64" s="181">
        <v>0</v>
      </c>
      <c r="Q64" s="181">
        <v>0</v>
      </c>
      <c r="R64" s="181">
        <v>0</v>
      </c>
      <c r="S64" s="181">
        <v>5017380</v>
      </c>
      <c r="T64" s="181">
        <v>0</v>
      </c>
      <c r="U64" s="181">
        <v>5017380</v>
      </c>
      <c r="V64" s="181">
        <v>0</v>
      </c>
      <c r="W64" s="181">
        <v>0</v>
      </c>
      <c r="X64" s="181">
        <v>0</v>
      </c>
      <c r="Y64" s="181">
        <v>0</v>
      </c>
      <c r="Z64" s="181">
        <v>0</v>
      </c>
      <c r="AA64" s="181">
        <v>0</v>
      </c>
      <c r="AB64" s="181">
        <v>5017380</v>
      </c>
      <c r="AC64" s="181">
        <v>0</v>
      </c>
      <c r="AD64" s="1180">
        <v>5017380</v>
      </c>
      <c r="AE64" s="1183">
        <v>5017380</v>
      </c>
      <c r="AF64" s="181">
        <v>0</v>
      </c>
      <c r="AG64" s="181">
        <v>0</v>
      </c>
      <c r="AH64" s="181">
        <v>5017380</v>
      </c>
      <c r="AI64" s="181">
        <v>5017380</v>
      </c>
      <c r="AJ64" s="181">
        <v>0</v>
      </c>
      <c r="AK64" s="181">
        <v>5017380</v>
      </c>
      <c r="AL64" s="181">
        <v>0</v>
      </c>
      <c r="AM64" s="181">
        <v>0</v>
      </c>
      <c r="AN64" s="181" t="s">
        <v>100</v>
      </c>
    </row>
    <row r="65" spans="1:45" ht="30" hidden="1" x14ac:dyDescent="0.25">
      <c r="A65" s="181">
        <v>307</v>
      </c>
      <c r="B65" s="181">
        <v>18</v>
      </c>
      <c r="C65" s="181" t="s">
        <v>336</v>
      </c>
      <c r="D65" s="1179" t="s">
        <v>337</v>
      </c>
      <c r="E65" s="181">
        <v>10547135</v>
      </c>
      <c r="F65" s="181">
        <v>10547135</v>
      </c>
      <c r="G65" s="181">
        <v>0</v>
      </c>
      <c r="H65" s="181">
        <v>0</v>
      </c>
      <c r="I65" s="181">
        <v>0</v>
      </c>
      <c r="J65" s="181">
        <v>0</v>
      </c>
      <c r="K65" s="181">
        <v>0</v>
      </c>
      <c r="L65" s="181">
        <v>10547135</v>
      </c>
      <c r="M65" s="181">
        <v>0</v>
      </c>
      <c r="N65" s="181">
        <v>0</v>
      </c>
      <c r="O65" s="181">
        <v>0</v>
      </c>
      <c r="P65" s="181">
        <v>0</v>
      </c>
      <c r="Q65" s="181">
        <v>0</v>
      </c>
      <c r="R65" s="181">
        <v>0</v>
      </c>
      <c r="S65" s="181">
        <v>18458190.68</v>
      </c>
      <c r="T65" s="181">
        <v>7911055.6799999997</v>
      </c>
      <c r="U65" s="181">
        <v>10547135</v>
      </c>
      <c r="V65" s="181">
        <v>0</v>
      </c>
      <c r="W65" s="181">
        <v>0</v>
      </c>
      <c r="X65" s="181">
        <v>0</v>
      </c>
      <c r="Y65" s="181">
        <v>0</v>
      </c>
      <c r="Z65" s="181">
        <v>0</v>
      </c>
      <c r="AA65" s="181">
        <v>0</v>
      </c>
      <c r="AB65" s="181">
        <v>18458190.68</v>
      </c>
      <c r="AC65" s="181">
        <v>7911055.6799999997</v>
      </c>
      <c r="AD65" s="1180">
        <v>10547135</v>
      </c>
      <c r="AE65" s="1183">
        <v>10547135</v>
      </c>
      <c r="AF65" s="181">
        <v>-5034564.32</v>
      </c>
      <c r="AG65" s="181">
        <v>-5034564.32</v>
      </c>
      <c r="AH65" s="181">
        <v>15581699.32</v>
      </c>
      <c r="AI65" s="181">
        <v>18458190.68</v>
      </c>
      <c r="AJ65" s="181">
        <v>2876491.36</v>
      </c>
      <c r="AK65" s="181">
        <v>18458190.68</v>
      </c>
      <c r="AL65" s="181">
        <v>0</v>
      </c>
      <c r="AM65" s="181">
        <v>2876491.36</v>
      </c>
      <c r="AN65" s="181" t="s">
        <v>100</v>
      </c>
    </row>
    <row r="66" spans="1:45" hidden="1" x14ac:dyDescent="0.25">
      <c r="A66" s="181">
        <v>307</v>
      </c>
      <c r="B66" s="181">
        <v>18</v>
      </c>
      <c r="C66" s="181" t="s">
        <v>338</v>
      </c>
      <c r="D66" s="1179" t="s">
        <v>339</v>
      </c>
      <c r="E66" s="181">
        <v>278504254</v>
      </c>
      <c r="F66" s="181">
        <v>278504254</v>
      </c>
      <c r="G66" s="181">
        <v>0</v>
      </c>
      <c r="H66" s="181">
        <v>0</v>
      </c>
      <c r="I66" s="181">
        <v>0</v>
      </c>
      <c r="J66" s="181">
        <v>0</v>
      </c>
      <c r="K66" s="181">
        <v>0</v>
      </c>
      <c r="L66" s="181">
        <v>278504254</v>
      </c>
      <c r="M66" s="181">
        <v>0</v>
      </c>
      <c r="N66" s="181">
        <v>0</v>
      </c>
      <c r="O66" s="181">
        <v>0</v>
      </c>
      <c r="P66" s="181">
        <v>0</v>
      </c>
      <c r="Q66" s="181">
        <v>0</v>
      </c>
      <c r="R66" s="181">
        <v>0</v>
      </c>
      <c r="S66" s="181">
        <v>303822816</v>
      </c>
      <c r="T66" s="181">
        <v>25318568</v>
      </c>
      <c r="U66" s="181">
        <v>278504248</v>
      </c>
      <c r="V66" s="181">
        <v>0</v>
      </c>
      <c r="W66" s="181">
        <v>0</v>
      </c>
      <c r="X66" s="181">
        <v>0</v>
      </c>
      <c r="Y66" s="181">
        <v>0</v>
      </c>
      <c r="Z66" s="181">
        <v>0</v>
      </c>
      <c r="AA66" s="181">
        <v>0</v>
      </c>
      <c r="AB66" s="181">
        <v>303822816</v>
      </c>
      <c r="AC66" s="181">
        <v>25318568</v>
      </c>
      <c r="AD66" s="1180">
        <v>278504248</v>
      </c>
      <c r="AE66" s="1183">
        <v>278504248</v>
      </c>
      <c r="AF66" s="181">
        <v>0</v>
      </c>
      <c r="AG66" s="181">
        <v>0</v>
      </c>
      <c r="AH66" s="181">
        <v>278504248</v>
      </c>
      <c r="AI66" s="181">
        <v>303822816</v>
      </c>
      <c r="AJ66" s="181">
        <v>25318568</v>
      </c>
      <c r="AK66" s="181">
        <v>303822816</v>
      </c>
      <c r="AL66" s="181">
        <v>0</v>
      </c>
      <c r="AM66" s="181">
        <v>25318568</v>
      </c>
      <c r="AN66" s="181" t="s">
        <v>100</v>
      </c>
    </row>
    <row r="67" spans="1:45" ht="30" hidden="1" x14ac:dyDescent="0.25">
      <c r="A67" s="181">
        <v>307</v>
      </c>
      <c r="B67" s="181" t="s">
        <v>226</v>
      </c>
      <c r="C67" s="181" t="s">
        <v>347</v>
      </c>
      <c r="D67" s="1179" t="s">
        <v>348</v>
      </c>
      <c r="E67" s="181">
        <v>3914573650</v>
      </c>
      <c r="F67" s="181">
        <v>3914573650</v>
      </c>
      <c r="G67" s="181">
        <v>0</v>
      </c>
      <c r="H67" s="181">
        <v>0</v>
      </c>
      <c r="I67" s="181">
        <v>0</v>
      </c>
      <c r="J67" s="181">
        <v>0</v>
      </c>
      <c r="K67" s="181">
        <v>0</v>
      </c>
      <c r="L67" s="181">
        <v>3914573650</v>
      </c>
      <c r="M67" s="181">
        <v>14552393087.82</v>
      </c>
      <c r="N67" s="181">
        <v>31359885.539999999</v>
      </c>
      <c r="O67" s="181">
        <v>14521033202.280001</v>
      </c>
      <c r="P67" s="181">
        <v>0</v>
      </c>
      <c r="Q67" s="181">
        <v>0</v>
      </c>
      <c r="R67" s="181">
        <v>0</v>
      </c>
      <c r="S67" s="181">
        <v>4513414599.4799995</v>
      </c>
      <c r="T67" s="181">
        <v>92326887.730000004</v>
      </c>
      <c r="U67" s="181">
        <v>4421087711.75</v>
      </c>
      <c r="V67" s="181">
        <v>14552393087.82</v>
      </c>
      <c r="W67" s="181">
        <v>31359885.539999999</v>
      </c>
      <c r="X67" s="181">
        <v>14521033202.280001</v>
      </c>
      <c r="Y67" s="181">
        <v>0</v>
      </c>
      <c r="Z67" s="181">
        <v>0</v>
      </c>
      <c r="AA67" s="181">
        <v>0</v>
      </c>
      <c r="AB67" s="181">
        <v>4513414599.4799995</v>
      </c>
      <c r="AC67" s="181">
        <v>92326887.730000004</v>
      </c>
      <c r="AD67" s="1180">
        <v>4421087711.75</v>
      </c>
      <c r="AE67" s="1180">
        <v>4421087711.75</v>
      </c>
      <c r="AF67" s="181">
        <v>0</v>
      </c>
      <c r="AG67" s="181">
        <v>0</v>
      </c>
      <c r="AH67" s="181">
        <v>4433235855.4799995</v>
      </c>
      <c r="AI67" s="181">
        <v>4513414599.4799995</v>
      </c>
      <c r="AJ67" s="181">
        <v>80178744</v>
      </c>
      <c r="AK67" s="181">
        <v>4513414599.4799995</v>
      </c>
      <c r="AL67" s="181">
        <v>0</v>
      </c>
      <c r="AM67" s="181">
        <v>80178744</v>
      </c>
      <c r="AN67" s="181" t="s">
        <v>1709</v>
      </c>
      <c r="AS67" s="181"/>
    </row>
    <row r="68" spans="1:45" hidden="1" x14ac:dyDescent="0.25">
      <c r="A68" s="181">
        <v>307</v>
      </c>
      <c r="B68" s="181" t="s">
        <v>226</v>
      </c>
      <c r="C68" s="181" t="s">
        <v>349</v>
      </c>
      <c r="D68" s="1179" t="s">
        <v>350</v>
      </c>
      <c r="E68" s="181">
        <v>2546349720</v>
      </c>
      <c r="F68" s="181">
        <v>2546349720</v>
      </c>
      <c r="G68" s="181">
        <v>0</v>
      </c>
      <c r="H68" s="181">
        <v>0</v>
      </c>
      <c r="I68" s="181">
        <v>0</v>
      </c>
      <c r="J68" s="181">
        <v>0</v>
      </c>
      <c r="K68" s="181">
        <v>0</v>
      </c>
      <c r="L68" s="181">
        <v>2546349720</v>
      </c>
      <c r="M68" s="181">
        <v>9564681129.7700005</v>
      </c>
      <c r="N68" s="181">
        <v>29643666.34</v>
      </c>
      <c r="O68" s="181">
        <v>9535037463.4300003</v>
      </c>
      <c r="P68" s="181">
        <v>0</v>
      </c>
      <c r="Q68" s="181">
        <v>0</v>
      </c>
      <c r="R68" s="181">
        <v>0</v>
      </c>
      <c r="S68" s="181">
        <v>3714136026.1900001</v>
      </c>
      <c r="T68" s="181">
        <v>54158922.969999999</v>
      </c>
      <c r="U68" s="181">
        <v>3659977103.2199998</v>
      </c>
      <c r="V68" s="181">
        <v>9564681129.7700005</v>
      </c>
      <c r="W68" s="181">
        <v>29643666.34</v>
      </c>
      <c r="X68" s="181">
        <v>9535037463.4300003</v>
      </c>
      <c r="Y68" s="181">
        <v>0</v>
      </c>
      <c r="Z68" s="181">
        <v>0</v>
      </c>
      <c r="AA68" s="181">
        <v>0</v>
      </c>
      <c r="AB68" s="181">
        <v>3714136026.1900001</v>
      </c>
      <c r="AC68" s="181">
        <v>54158922.969999999</v>
      </c>
      <c r="AD68" s="1180">
        <v>3659977103.2199998</v>
      </c>
      <c r="AE68" s="1180">
        <v>3659977103.2199998</v>
      </c>
      <c r="AF68" s="181">
        <v>0</v>
      </c>
      <c r="AG68" s="181">
        <v>0</v>
      </c>
      <c r="AH68" s="181">
        <v>3667712195.1900001</v>
      </c>
      <c r="AI68" s="181">
        <v>3714136026.1900001</v>
      </c>
      <c r="AJ68" s="181">
        <v>46423831</v>
      </c>
      <c r="AK68" s="181">
        <v>3714136026.1900001</v>
      </c>
      <c r="AL68" s="181">
        <v>0</v>
      </c>
      <c r="AM68" s="181">
        <v>46423831</v>
      </c>
      <c r="AN68" s="181" t="s">
        <v>1709</v>
      </c>
      <c r="AS68" s="181"/>
    </row>
    <row r="69" spans="1:45" hidden="1" x14ac:dyDescent="0.25">
      <c r="A69" s="181">
        <v>307</v>
      </c>
      <c r="B69" s="181">
        <v>20</v>
      </c>
      <c r="C69" s="181" t="s">
        <v>351</v>
      </c>
      <c r="D69" s="1179" t="s">
        <v>352</v>
      </c>
      <c r="E69" s="181">
        <v>20000000</v>
      </c>
      <c r="F69" s="181">
        <v>20000000</v>
      </c>
      <c r="G69" s="181">
        <v>0</v>
      </c>
      <c r="H69" s="181">
        <v>0</v>
      </c>
      <c r="I69" s="181">
        <v>0</v>
      </c>
      <c r="J69" s="181">
        <v>0</v>
      </c>
      <c r="K69" s="181">
        <v>0</v>
      </c>
      <c r="L69" s="181">
        <v>20000000</v>
      </c>
      <c r="M69" s="181">
        <v>0</v>
      </c>
      <c r="N69" s="181">
        <v>0</v>
      </c>
      <c r="O69" s="181">
        <v>0</v>
      </c>
      <c r="P69" s="181">
        <v>0</v>
      </c>
      <c r="Q69" s="181">
        <v>0</v>
      </c>
      <c r="R69" s="181">
        <v>0</v>
      </c>
      <c r="S69" s="181">
        <v>62198257.200000003</v>
      </c>
      <c r="T69" s="181">
        <v>503000</v>
      </c>
      <c r="U69" s="181">
        <v>61695257.200000003</v>
      </c>
      <c r="V69" s="181">
        <v>0</v>
      </c>
      <c r="W69" s="181">
        <v>0</v>
      </c>
      <c r="X69" s="181">
        <v>0</v>
      </c>
      <c r="Y69" s="181">
        <v>0</v>
      </c>
      <c r="Z69" s="181">
        <v>0</v>
      </c>
      <c r="AA69" s="181">
        <v>0</v>
      </c>
      <c r="AB69" s="181">
        <v>62198257.200000003</v>
      </c>
      <c r="AC69" s="181">
        <v>503000</v>
      </c>
      <c r="AD69" s="1180">
        <v>61695257.200000003</v>
      </c>
      <c r="AE69" s="1183">
        <v>61695257.200000003</v>
      </c>
      <c r="AF69" s="181">
        <v>0</v>
      </c>
      <c r="AG69" s="181">
        <v>0</v>
      </c>
      <c r="AH69" s="181">
        <v>61695257.200000003</v>
      </c>
      <c r="AI69" s="181">
        <v>62198257.200000003</v>
      </c>
      <c r="AJ69" s="181">
        <v>503000</v>
      </c>
      <c r="AK69" s="181">
        <v>62198257.200000003</v>
      </c>
      <c r="AL69" s="181">
        <v>0</v>
      </c>
      <c r="AM69" s="181">
        <v>503000</v>
      </c>
      <c r="AN69" s="181" t="s">
        <v>140</v>
      </c>
    </row>
    <row r="70" spans="1:45" hidden="1" x14ac:dyDescent="0.25">
      <c r="A70" s="181">
        <v>307</v>
      </c>
      <c r="B70" s="181">
        <v>20</v>
      </c>
      <c r="C70" s="181" t="s">
        <v>353</v>
      </c>
      <c r="D70" s="1179" t="s">
        <v>354</v>
      </c>
      <c r="E70" s="181">
        <v>10000000</v>
      </c>
      <c r="F70" s="181">
        <v>10000000</v>
      </c>
      <c r="G70" s="181">
        <v>0</v>
      </c>
      <c r="H70" s="181">
        <v>0</v>
      </c>
      <c r="I70" s="181">
        <v>0</v>
      </c>
      <c r="J70" s="181">
        <v>0</v>
      </c>
      <c r="K70" s="181">
        <v>0</v>
      </c>
      <c r="L70" s="181">
        <v>10000000</v>
      </c>
      <c r="M70" s="181">
        <v>0</v>
      </c>
      <c r="N70" s="181">
        <v>0</v>
      </c>
      <c r="O70" s="181">
        <v>0</v>
      </c>
      <c r="P70" s="181">
        <v>0</v>
      </c>
      <c r="Q70" s="181">
        <v>0</v>
      </c>
      <c r="R70" s="181">
        <v>0</v>
      </c>
      <c r="S70" s="181">
        <v>0</v>
      </c>
      <c r="T70" s="181">
        <v>0</v>
      </c>
      <c r="U70" s="181">
        <v>0</v>
      </c>
      <c r="V70" s="181">
        <v>0</v>
      </c>
      <c r="W70" s="181">
        <v>0</v>
      </c>
      <c r="X70" s="181">
        <v>0</v>
      </c>
      <c r="Y70" s="181">
        <v>0</v>
      </c>
      <c r="Z70" s="181">
        <v>0</v>
      </c>
      <c r="AA70" s="181">
        <v>0</v>
      </c>
      <c r="AB70" s="181">
        <v>0</v>
      </c>
      <c r="AC70" s="181">
        <v>0</v>
      </c>
      <c r="AD70" s="1180">
        <v>0</v>
      </c>
      <c r="AE70" s="1183">
        <v>0</v>
      </c>
      <c r="AF70" s="181">
        <v>0</v>
      </c>
      <c r="AG70" s="181">
        <v>0</v>
      </c>
      <c r="AH70" s="181">
        <v>0</v>
      </c>
      <c r="AI70" s="181">
        <v>0</v>
      </c>
      <c r="AJ70" s="181">
        <v>0</v>
      </c>
      <c r="AK70" s="181">
        <v>0</v>
      </c>
      <c r="AL70" s="181">
        <v>0</v>
      </c>
      <c r="AM70" s="181">
        <v>0</v>
      </c>
      <c r="AN70" s="181" t="s">
        <v>140</v>
      </c>
    </row>
    <row r="71" spans="1:45" hidden="1" x14ac:dyDescent="0.25">
      <c r="A71" s="181">
        <v>307</v>
      </c>
      <c r="B71" s="181">
        <v>20</v>
      </c>
      <c r="C71" s="181" t="s">
        <v>355</v>
      </c>
      <c r="D71" s="1179" t="s">
        <v>356</v>
      </c>
      <c r="E71" s="181">
        <v>120000000</v>
      </c>
      <c r="F71" s="181">
        <v>120000000</v>
      </c>
      <c r="G71" s="181">
        <v>0</v>
      </c>
      <c r="H71" s="181">
        <v>0</v>
      </c>
      <c r="I71" s="181">
        <v>0</v>
      </c>
      <c r="J71" s="181">
        <v>0</v>
      </c>
      <c r="K71" s="181">
        <v>0</v>
      </c>
      <c r="L71" s="181">
        <v>120000000</v>
      </c>
      <c r="M71" s="181">
        <v>0</v>
      </c>
      <c r="N71" s="181">
        <v>0</v>
      </c>
      <c r="O71" s="181">
        <v>0</v>
      </c>
      <c r="P71" s="181">
        <v>0</v>
      </c>
      <c r="Q71" s="181">
        <v>0</v>
      </c>
      <c r="R71" s="181">
        <v>0</v>
      </c>
      <c r="S71" s="181">
        <v>160326717.12</v>
      </c>
      <c r="T71" s="181">
        <v>79001</v>
      </c>
      <c r="U71" s="181">
        <v>160247716.12</v>
      </c>
      <c r="V71" s="181">
        <v>0</v>
      </c>
      <c r="W71" s="181">
        <v>0</v>
      </c>
      <c r="X71" s="181">
        <v>0</v>
      </c>
      <c r="Y71" s="181">
        <v>0</v>
      </c>
      <c r="Z71" s="181">
        <v>0</v>
      </c>
      <c r="AA71" s="181">
        <v>0</v>
      </c>
      <c r="AB71" s="181">
        <v>160326717.12</v>
      </c>
      <c r="AC71" s="181">
        <v>79001</v>
      </c>
      <c r="AD71" s="1180">
        <v>160247716.12</v>
      </c>
      <c r="AE71" s="1183">
        <v>160247716.12</v>
      </c>
      <c r="AF71" s="181">
        <v>0</v>
      </c>
      <c r="AG71" s="181">
        <v>0</v>
      </c>
      <c r="AH71" s="181">
        <v>160247716.12</v>
      </c>
      <c r="AI71" s="181">
        <v>160326717.12</v>
      </c>
      <c r="AJ71" s="181">
        <v>79001</v>
      </c>
      <c r="AK71" s="181">
        <v>160326717.12</v>
      </c>
      <c r="AL71" s="181">
        <v>0</v>
      </c>
      <c r="AM71" s="181">
        <v>79001</v>
      </c>
      <c r="AN71" s="181" t="s">
        <v>140</v>
      </c>
    </row>
    <row r="72" spans="1:45" hidden="1" x14ac:dyDescent="0.25">
      <c r="A72" s="181">
        <v>307</v>
      </c>
      <c r="B72" s="181">
        <v>20</v>
      </c>
      <c r="C72" s="181" t="s">
        <v>357</v>
      </c>
      <c r="D72" s="1179" t="s">
        <v>358</v>
      </c>
      <c r="E72" s="181">
        <v>10000000</v>
      </c>
      <c r="F72" s="181">
        <v>10000000</v>
      </c>
      <c r="G72" s="181">
        <v>0</v>
      </c>
      <c r="H72" s="181">
        <v>0</v>
      </c>
      <c r="I72" s="181">
        <v>0</v>
      </c>
      <c r="J72" s="181">
        <v>0</v>
      </c>
      <c r="K72" s="181">
        <v>0</v>
      </c>
      <c r="L72" s="181">
        <v>10000000</v>
      </c>
      <c r="M72" s="181">
        <v>0</v>
      </c>
      <c r="N72" s="181">
        <v>0</v>
      </c>
      <c r="O72" s="181">
        <v>0</v>
      </c>
      <c r="P72" s="181">
        <v>0</v>
      </c>
      <c r="Q72" s="181">
        <v>0</v>
      </c>
      <c r="R72" s="181">
        <v>0</v>
      </c>
      <c r="S72" s="181">
        <v>1183176</v>
      </c>
      <c r="T72" s="181">
        <v>0</v>
      </c>
      <c r="U72" s="181">
        <v>1183176</v>
      </c>
      <c r="V72" s="181">
        <v>0</v>
      </c>
      <c r="W72" s="181">
        <v>0</v>
      </c>
      <c r="X72" s="181">
        <v>0</v>
      </c>
      <c r="Y72" s="181">
        <v>0</v>
      </c>
      <c r="Z72" s="181">
        <v>0</v>
      </c>
      <c r="AA72" s="181">
        <v>0</v>
      </c>
      <c r="AB72" s="181">
        <v>1183176</v>
      </c>
      <c r="AC72" s="181">
        <v>0</v>
      </c>
      <c r="AD72" s="1180">
        <v>1183176</v>
      </c>
      <c r="AE72" s="1183">
        <v>1183176</v>
      </c>
      <c r="AF72" s="181">
        <v>0</v>
      </c>
      <c r="AG72" s="181">
        <v>0</v>
      </c>
      <c r="AH72" s="181">
        <v>1183176</v>
      </c>
      <c r="AI72" s="181">
        <v>1183176</v>
      </c>
      <c r="AJ72" s="181">
        <v>0</v>
      </c>
      <c r="AK72" s="181">
        <v>1183176</v>
      </c>
      <c r="AL72" s="181">
        <v>0</v>
      </c>
      <c r="AM72" s="181">
        <v>0</v>
      </c>
      <c r="AN72" s="181" t="s">
        <v>140</v>
      </c>
    </row>
    <row r="73" spans="1:45" hidden="1" x14ac:dyDescent="0.25">
      <c r="A73" s="181">
        <v>307</v>
      </c>
      <c r="B73" s="181" t="s">
        <v>226</v>
      </c>
      <c r="C73" s="181" t="s">
        <v>361</v>
      </c>
      <c r="D73" s="1179" t="s">
        <v>362</v>
      </c>
      <c r="E73" s="181">
        <v>2382349720</v>
      </c>
      <c r="F73" s="181">
        <v>2382349720</v>
      </c>
      <c r="G73" s="181">
        <v>0</v>
      </c>
      <c r="H73" s="181">
        <v>0</v>
      </c>
      <c r="I73" s="181">
        <v>0</v>
      </c>
      <c r="J73" s="181">
        <v>0</v>
      </c>
      <c r="K73" s="181">
        <v>0</v>
      </c>
      <c r="L73" s="181">
        <v>2382349720</v>
      </c>
      <c r="M73" s="181">
        <v>9564681129.7700005</v>
      </c>
      <c r="N73" s="181">
        <v>29643666.34</v>
      </c>
      <c r="O73" s="181">
        <v>9535037463.4300003</v>
      </c>
      <c r="P73" s="181">
        <v>0</v>
      </c>
      <c r="Q73" s="181">
        <v>0</v>
      </c>
      <c r="R73" s="181">
        <v>0</v>
      </c>
      <c r="S73" s="181">
        <v>3480566536.8699999</v>
      </c>
      <c r="T73" s="181">
        <v>53576921.969999999</v>
      </c>
      <c r="U73" s="181">
        <v>3426989614.9000001</v>
      </c>
      <c r="V73" s="181">
        <v>9564681129.7700005</v>
      </c>
      <c r="W73" s="181">
        <v>29643666.34</v>
      </c>
      <c r="X73" s="181">
        <v>9535037463.4300003</v>
      </c>
      <c r="Y73" s="181">
        <v>0</v>
      </c>
      <c r="Z73" s="181">
        <v>0</v>
      </c>
      <c r="AA73" s="181">
        <v>0</v>
      </c>
      <c r="AB73" s="181">
        <v>3480566536.8699999</v>
      </c>
      <c r="AC73" s="181">
        <v>53576921.969999999</v>
      </c>
      <c r="AD73" s="1180">
        <v>3426989614.9000001</v>
      </c>
      <c r="AE73" s="1180">
        <v>3426989614.9000001</v>
      </c>
      <c r="AF73" s="181">
        <v>0</v>
      </c>
      <c r="AG73" s="181">
        <v>0</v>
      </c>
      <c r="AH73" s="181">
        <v>3434724706.8699999</v>
      </c>
      <c r="AI73" s="181">
        <v>3480566536.8699999</v>
      </c>
      <c r="AJ73" s="181">
        <v>45841830</v>
      </c>
      <c r="AK73" s="181">
        <v>3480566536.8699999</v>
      </c>
      <c r="AL73" s="181">
        <v>0</v>
      </c>
      <c r="AM73" s="181">
        <v>45841830</v>
      </c>
      <c r="AN73" s="181" t="s">
        <v>1709</v>
      </c>
      <c r="AS73" s="181"/>
    </row>
    <row r="74" spans="1:45" ht="30" hidden="1" x14ac:dyDescent="0.25">
      <c r="A74" s="181">
        <v>307</v>
      </c>
      <c r="B74" s="181">
        <v>20</v>
      </c>
      <c r="C74" s="181" t="s">
        <v>1232</v>
      </c>
      <c r="D74" s="1179" t="s">
        <v>369</v>
      </c>
      <c r="E74" s="181">
        <v>2382349720</v>
      </c>
      <c r="F74" s="181">
        <v>2382349720</v>
      </c>
      <c r="G74" s="181">
        <v>0</v>
      </c>
      <c r="H74" s="181">
        <v>0</v>
      </c>
      <c r="I74" s="181">
        <v>0</v>
      </c>
      <c r="J74" s="181">
        <v>0</v>
      </c>
      <c r="K74" s="181">
        <v>0</v>
      </c>
      <c r="L74" s="181">
        <v>2382349720</v>
      </c>
      <c r="M74" s="181">
        <v>9564681129.7700005</v>
      </c>
      <c r="N74" s="181">
        <v>29643666.34</v>
      </c>
      <c r="O74" s="181">
        <v>9535037463.4300003</v>
      </c>
      <c r="P74" s="181">
        <v>0</v>
      </c>
      <c r="Q74" s="181">
        <v>0</v>
      </c>
      <c r="R74" s="181">
        <v>0</v>
      </c>
      <c r="S74" s="181">
        <v>3480566536.8699999</v>
      </c>
      <c r="T74" s="181">
        <v>53576921.969999999</v>
      </c>
      <c r="U74" s="181">
        <v>3426989614.9000001</v>
      </c>
      <c r="V74" s="181">
        <v>9564681129.7700005</v>
      </c>
      <c r="W74" s="181">
        <v>29643666.34</v>
      </c>
      <c r="X74" s="181">
        <v>9535037463.4300003</v>
      </c>
      <c r="Y74" s="181">
        <v>0</v>
      </c>
      <c r="Z74" s="181">
        <v>0</v>
      </c>
      <c r="AA74" s="181">
        <v>0</v>
      </c>
      <c r="AB74" s="181">
        <v>3480566536.8699999</v>
      </c>
      <c r="AC74" s="181">
        <v>53576921.969999999</v>
      </c>
      <c r="AD74" s="1180">
        <v>3426989614.9000001</v>
      </c>
      <c r="AE74" s="1183">
        <v>3426989614.9000001</v>
      </c>
      <c r="AF74" s="181">
        <v>0</v>
      </c>
      <c r="AG74" s="181">
        <v>0</v>
      </c>
      <c r="AH74" s="181">
        <v>3434724706.8699999</v>
      </c>
      <c r="AI74" s="181">
        <v>3480566536.8699999</v>
      </c>
      <c r="AJ74" s="181">
        <v>45841830</v>
      </c>
      <c r="AK74" s="181">
        <v>3480566536.8699999</v>
      </c>
      <c r="AL74" s="181">
        <v>0</v>
      </c>
      <c r="AM74" s="181">
        <v>45841830</v>
      </c>
      <c r="AN74" s="181" t="s">
        <v>140</v>
      </c>
    </row>
    <row r="75" spans="1:45" hidden="1" x14ac:dyDescent="0.25">
      <c r="A75" s="181">
        <v>307</v>
      </c>
      <c r="B75" s="181">
        <v>20</v>
      </c>
      <c r="C75" s="181" t="s">
        <v>370</v>
      </c>
      <c r="D75" s="1179" t="s">
        <v>371</v>
      </c>
      <c r="E75" s="181">
        <v>3000000</v>
      </c>
      <c r="F75" s="181">
        <v>3000000</v>
      </c>
      <c r="G75" s="181">
        <v>0</v>
      </c>
      <c r="H75" s="181">
        <v>0</v>
      </c>
      <c r="I75" s="181">
        <v>0</v>
      </c>
      <c r="J75" s="181">
        <v>0</v>
      </c>
      <c r="K75" s="181">
        <v>0</v>
      </c>
      <c r="L75" s="181">
        <v>3000000</v>
      </c>
      <c r="M75" s="181">
        <v>0</v>
      </c>
      <c r="N75" s="181">
        <v>0</v>
      </c>
      <c r="O75" s="181">
        <v>0</v>
      </c>
      <c r="P75" s="181">
        <v>0</v>
      </c>
      <c r="Q75" s="181">
        <v>0</v>
      </c>
      <c r="R75" s="181">
        <v>0</v>
      </c>
      <c r="S75" s="181">
        <v>7352396</v>
      </c>
      <c r="T75" s="181">
        <v>0</v>
      </c>
      <c r="U75" s="181">
        <v>7352396</v>
      </c>
      <c r="V75" s="181">
        <v>0</v>
      </c>
      <c r="W75" s="181">
        <v>0</v>
      </c>
      <c r="X75" s="181">
        <v>0</v>
      </c>
      <c r="Y75" s="181">
        <v>0</v>
      </c>
      <c r="Z75" s="181">
        <v>0</v>
      </c>
      <c r="AA75" s="181">
        <v>0</v>
      </c>
      <c r="AB75" s="181">
        <v>7352396</v>
      </c>
      <c r="AC75" s="181">
        <v>0</v>
      </c>
      <c r="AD75" s="1180">
        <v>7352396</v>
      </c>
      <c r="AE75" s="1183">
        <v>7352396</v>
      </c>
      <c r="AF75" s="181">
        <v>0</v>
      </c>
      <c r="AG75" s="181">
        <v>0</v>
      </c>
      <c r="AH75" s="181">
        <v>7352396</v>
      </c>
      <c r="AI75" s="181">
        <v>7352396</v>
      </c>
      <c r="AJ75" s="181">
        <v>0</v>
      </c>
      <c r="AK75" s="181">
        <v>7352396</v>
      </c>
      <c r="AL75" s="181">
        <v>0</v>
      </c>
      <c r="AM75" s="181">
        <v>0</v>
      </c>
      <c r="AN75" s="181" t="s">
        <v>140</v>
      </c>
    </row>
    <row r="76" spans="1:45" ht="45" hidden="1" x14ac:dyDescent="0.25">
      <c r="A76" s="181">
        <v>307</v>
      </c>
      <c r="B76" s="181">
        <v>20</v>
      </c>
      <c r="C76" s="181" t="s">
        <v>374</v>
      </c>
      <c r="D76" s="1179" t="s">
        <v>375</v>
      </c>
      <c r="E76" s="181">
        <v>1000000</v>
      </c>
      <c r="F76" s="181">
        <v>1000000</v>
      </c>
      <c r="G76" s="181">
        <v>0</v>
      </c>
      <c r="H76" s="181">
        <v>0</v>
      </c>
      <c r="I76" s="181">
        <v>0</v>
      </c>
      <c r="J76" s="181">
        <v>0</v>
      </c>
      <c r="K76" s="181">
        <v>0</v>
      </c>
      <c r="L76" s="181">
        <v>1000000</v>
      </c>
      <c r="M76" s="181">
        <v>0</v>
      </c>
      <c r="N76" s="181">
        <v>0</v>
      </c>
      <c r="O76" s="181">
        <v>0</v>
      </c>
      <c r="P76" s="181">
        <v>0</v>
      </c>
      <c r="Q76" s="181">
        <v>0</v>
      </c>
      <c r="R76" s="181">
        <v>0</v>
      </c>
      <c r="S76" s="181">
        <v>2508943</v>
      </c>
      <c r="T76" s="181">
        <v>0</v>
      </c>
      <c r="U76" s="181">
        <v>2508943</v>
      </c>
      <c r="V76" s="181">
        <v>0</v>
      </c>
      <c r="W76" s="181">
        <v>0</v>
      </c>
      <c r="X76" s="181">
        <v>0</v>
      </c>
      <c r="Y76" s="181">
        <v>0</v>
      </c>
      <c r="Z76" s="181">
        <v>0</v>
      </c>
      <c r="AA76" s="181">
        <v>0</v>
      </c>
      <c r="AB76" s="181">
        <v>2508943</v>
      </c>
      <c r="AC76" s="181">
        <v>0</v>
      </c>
      <c r="AD76" s="1180">
        <v>2508943</v>
      </c>
      <c r="AE76" s="1183">
        <v>2508943</v>
      </c>
      <c r="AF76" s="181">
        <v>0</v>
      </c>
      <c r="AG76" s="181">
        <v>0</v>
      </c>
      <c r="AH76" s="181">
        <v>2508943</v>
      </c>
      <c r="AI76" s="181">
        <v>2508943</v>
      </c>
      <c r="AJ76" s="181">
        <v>0</v>
      </c>
      <c r="AK76" s="181">
        <v>2508943</v>
      </c>
      <c r="AL76" s="181">
        <v>0</v>
      </c>
      <c r="AM76" s="181">
        <v>0</v>
      </c>
      <c r="AN76" s="181" t="s">
        <v>140</v>
      </c>
    </row>
    <row r="77" spans="1:45" hidden="1" x14ac:dyDescent="0.25">
      <c r="A77" s="181">
        <v>307</v>
      </c>
      <c r="B77" s="181" t="s">
        <v>226</v>
      </c>
      <c r="C77" s="181" t="s">
        <v>376</v>
      </c>
      <c r="D77" s="1179" t="s">
        <v>377</v>
      </c>
      <c r="E77" s="181">
        <v>1368223930</v>
      </c>
      <c r="F77" s="181">
        <v>1368223930</v>
      </c>
      <c r="G77" s="181">
        <v>0</v>
      </c>
      <c r="H77" s="181">
        <v>0</v>
      </c>
      <c r="I77" s="181">
        <v>0</v>
      </c>
      <c r="J77" s="181">
        <v>0</v>
      </c>
      <c r="K77" s="181">
        <v>0</v>
      </c>
      <c r="L77" s="181">
        <v>1368223930</v>
      </c>
      <c r="M77" s="181">
        <v>4987711958.0500002</v>
      </c>
      <c r="N77" s="181">
        <v>1716219.2</v>
      </c>
      <c r="O77" s="181">
        <v>4985995738.8500004</v>
      </c>
      <c r="P77" s="181">
        <v>0</v>
      </c>
      <c r="Q77" s="181">
        <v>0</v>
      </c>
      <c r="R77" s="181">
        <v>0</v>
      </c>
      <c r="S77" s="181">
        <v>799278573.28999996</v>
      </c>
      <c r="T77" s="181">
        <v>38167964.759999998</v>
      </c>
      <c r="U77" s="181">
        <v>761110608.52999997</v>
      </c>
      <c r="V77" s="181">
        <v>4987711958.0500002</v>
      </c>
      <c r="W77" s="181">
        <v>1716219.2</v>
      </c>
      <c r="X77" s="181">
        <v>4985995738.8500004</v>
      </c>
      <c r="Y77" s="181">
        <v>0</v>
      </c>
      <c r="Z77" s="181">
        <v>0</v>
      </c>
      <c r="AA77" s="181">
        <v>0</v>
      </c>
      <c r="AB77" s="181">
        <v>799278573.28999996</v>
      </c>
      <c r="AC77" s="181">
        <v>38167964.759999998</v>
      </c>
      <c r="AD77" s="1180">
        <v>761110608.52999997</v>
      </c>
      <c r="AE77" s="1180">
        <v>761110608.52999997</v>
      </c>
      <c r="AF77" s="181">
        <v>0</v>
      </c>
      <c r="AG77" s="181">
        <v>0</v>
      </c>
      <c r="AH77" s="181">
        <v>765523660.28999996</v>
      </c>
      <c r="AI77" s="181">
        <v>799278573.28999996</v>
      </c>
      <c r="AJ77" s="181">
        <v>33754913</v>
      </c>
      <c r="AK77" s="181">
        <v>799278573.28999996</v>
      </c>
      <c r="AL77" s="181">
        <v>0</v>
      </c>
      <c r="AM77" s="181">
        <v>33754913</v>
      </c>
      <c r="AN77" s="181" t="s">
        <v>1709</v>
      </c>
      <c r="AS77" s="181"/>
    </row>
    <row r="78" spans="1:45" hidden="1" x14ac:dyDescent="0.25">
      <c r="A78" s="181">
        <v>307</v>
      </c>
      <c r="B78" s="181" t="s">
        <v>226</v>
      </c>
      <c r="C78" s="181" t="s">
        <v>378</v>
      </c>
      <c r="D78" s="1179" t="s">
        <v>228</v>
      </c>
      <c r="E78" s="181">
        <v>1368223930</v>
      </c>
      <c r="F78" s="181">
        <v>1368223930</v>
      </c>
      <c r="G78" s="181">
        <v>0</v>
      </c>
      <c r="H78" s="181">
        <v>0</v>
      </c>
      <c r="I78" s="181">
        <v>0</v>
      </c>
      <c r="J78" s="181">
        <v>0</v>
      </c>
      <c r="K78" s="181">
        <v>0</v>
      </c>
      <c r="L78" s="181">
        <v>1368223930</v>
      </c>
      <c r="M78" s="181">
        <v>4987711958.0500002</v>
      </c>
      <c r="N78" s="181">
        <v>1716219.2</v>
      </c>
      <c r="O78" s="181">
        <v>4985995738.8500004</v>
      </c>
      <c r="P78" s="181">
        <v>0</v>
      </c>
      <c r="Q78" s="181">
        <v>0</v>
      </c>
      <c r="R78" s="181">
        <v>0</v>
      </c>
      <c r="S78" s="181">
        <v>799278573.28999996</v>
      </c>
      <c r="T78" s="181">
        <v>38167964.759999998</v>
      </c>
      <c r="U78" s="181">
        <v>761110608.52999997</v>
      </c>
      <c r="V78" s="181">
        <v>4987711958.0500002</v>
      </c>
      <c r="W78" s="181">
        <v>1716219.2</v>
      </c>
      <c r="X78" s="181">
        <v>4985995738.8500004</v>
      </c>
      <c r="Y78" s="181">
        <v>0</v>
      </c>
      <c r="Z78" s="181">
        <v>0</v>
      </c>
      <c r="AA78" s="181">
        <v>0</v>
      </c>
      <c r="AB78" s="181">
        <v>799278573.28999996</v>
      </c>
      <c r="AC78" s="181">
        <v>38167964.759999998</v>
      </c>
      <c r="AD78" s="1180">
        <v>761110608.52999997</v>
      </c>
      <c r="AE78" s="1180">
        <v>761110608.52999997</v>
      </c>
      <c r="AF78" s="181">
        <v>0</v>
      </c>
      <c r="AG78" s="181">
        <v>0</v>
      </c>
      <c r="AH78" s="181">
        <v>765523660.28999996</v>
      </c>
      <c r="AI78" s="181">
        <v>799278573.28999996</v>
      </c>
      <c r="AJ78" s="181">
        <v>33754913</v>
      </c>
      <c r="AK78" s="181">
        <v>799278573.28999996</v>
      </c>
      <c r="AL78" s="181">
        <v>0</v>
      </c>
      <c r="AM78" s="181">
        <v>33754913</v>
      </c>
      <c r="AN78" s="181" t="s">
        <v>1709</v>
      </c>
      <c r="AS78" s="181"/>
    </row>
    <row r="79" spans="1:45" hidden="1" x14ac:dyDescent="0.25">
      <c r="A79" s="181">
        <v>307</v>
      </c>
      <c r="B79" s="181" t="s">
        <v>226</v>
      </c>
      <c r="C79" s="181" t="s">
        <v>379</v>
      </c>
      <c r="D79" s="1179" t="s">
        <v>230</v>
      </c>
      <c r="E79" s="181">
        <v>1368223930</v>
      </c>
      <c r="F79" s="181">
        <v>1368223930</v>
      </c>
      <c r="G79" s="181">
        <v>0</v>
      </c>
      <c r="H79" s="181">
        <v>0</v>
      </c>
      <c r="I79" s="181">
        <v>0</v>
      </c>
      <c r="J79" s="181">
        <v>0</v>
      </c>
      <c r="K79" s="181">
        <v>0</v>
      </c>
      <c r="L79" s="181">
        <v>1368223930</v>
      </c>
      <c r="M79" s="181">
        <v>4987711958.0500002</v>
      </c>
      <c r="N79" s="181">
        <v>1716219.2</v>
      </c>
      <c r="O79" s="181">
        <v>4985995738.8500004</v>
      </c>
      <c r="P79" s="181">
        <v>0</v>
      </c>
      <c r="Q79" s="181">
        <v>0</v>
      </c>
      <c r="R79" s="181">
        <v>0</v>
      </c>
      <c r="S79" s="181">
        <v>799278573.28999996</v>
      </c>
      <c r="T79" s="181">
        <v>38167964.759999998</v>
      </c>
      <c r="U79" s="181">
        <v>761110608.52999997</v>
      </c>
      <c r="V79" s="181">
        <v>4987711958.0500002</v>
      </c>
      <c r="W79" s="181">
        <v>1716219.2</v>
      </c>
      <c r="X79" s="181">
        <v>4985995738.8500004</v>
      </c>
      <c r="Y79" s="181">
        <v>0</v>
      </c>
      <c r="Z79" s="181">
        <v>0</v>
      </c>
      <c r="AA79" s="181">
        <v>0</v>
      </c>
      <c r="AB79" s="181">
        <v>799278573.28999996</v>
      </c>
      <c r="AC79" s="181">
        <v>38167964.759999998</v>
      </c>
      <c r="AD79" s="1180">
        <v>761110608.52999997</v>
      </c>
      <c r="AE79" s="1180">
        <v>761110608.52999997</v>
      </c>
      <c r="AF79" s="181">
        <v>0</v>
      </c>
      <c r="AG79" s="181">
        <v>0</v>
      </c>
      <c r="AH79" s="181">
        <v>765523660.28999996</v>
      </c>
      <c r="AI79" s="181">
        <v>799278573.28999996</v>
      </c>
      <c r="AJ79" s="181">
        <v>33754913</v>
      </c>
      <c r="AK79" s="181">
        <v>799278573.28999996</v>
      </c>
      <c r="AL79" s="181">
        <v>0</v>
      </c>
      <c r="AM79" s="181">
        <v>33754913</v>
      </c>
      <c r="AN79" s="181" t="s">
        <v>1709</v>
      </c>
      <c r="AS79" s="181"/>
    </row>
    <row r="80" spans="1:45" hidden="1" x14ac:dyDescent="0.25">
      <c r="A80" s="181">
        <v>307</v>
      </c>
      <c r="B80" s="181" t="s">
        <v>226</v>
      </c>
      <c r="C80" s="181" t="s">
        <v>380</v>
      </c>
      <c r="D80" s="1179" t="s">
        <v>366</v>
      </c>
      <c r="E80" s="181">
        <v>1368223930</v>
      </c>
      <c r="F80" s="181">
        <v>1368223930</v>
      </c>
      <c r="G80" s="181">
        <v>0</v>
      </c>
      <c r="H80" s="181">
        <v>0</v>
      </c>
      <c r="I80" s="181">
        <v>0</v>
      </c>
      <c r="J80" s="181">
        <v>0</v>
      </c>
      <c r="K80" s="181">
        <v>0</v>
      </c>
      <c r="L80" s="181">
        <v>1368223930</v>
      </c>
      <c r="M80" s="181">
        <v>4987711958.0500002</v>
      </c>
      <c r="N80" s="181">
        <v>1716219.2</v>
      </c>
      <c r="O80" s="181">
        <v>4985995738.8500004</v>
      </c>
      <c r="P80" s="181">
        <v>0</v>
      </c>
      <c r="Q80" s="181">
        <v>0</v>
      </c>
      <c r="R80" s="181">
        <v>0</v>
      </c>
      <c r="S80" s="181">
        <v>799278573.28999996</v>
      </c>
      <c r="T80" s="181">
        <v>38167964.759999998</v>
      </c>
      <c r="U80" s="181">
        <v>761110608.52999997</v>
      </c>
      <c r="V80" s="181">
        <v>4987711958.0500002</v>
      </c>
      <c r="W80" s="181">
        <v>1716219.2</v>
      </c>
      <c r="X80" s="181">
        <v>4985995738.8500004</v>
      </c>
      <c r="Y80" s="181">
        <v>0</v>
      </c>
      <c r="Z80" s="181">
        <v>0</v>
      </c>
      <c r="AA80" s="181">
        <v>0</v>
      </c>
      <c r="AB80" s="181">
        <v>799278573.28999996</v>
      </c>
      <c r="AC80" s="181">
        <v>38167964.759999998</v>
      </c>
      <c r="AD80" s="1180">
        <v>761110608.52999997</v>
      </c>
      <c r="AE80" s="1180">
        <v>761110608.52999997</v>
      </c>
      <c r="AF80" s="181">
        <v>0</v>
      </c>
      <c r="AG80" s="181">
        <v>0</v>
      </c>
      <c r="AH80" s="181">
        <v>765523660.28999996</v>
      </c>
      <c r="AI80" s="181">
        <v>799278573.28999996</v>
      </c>
      <c r="AJ80" s="181">
        <v>33754913</v>
      </c>
      <c r="AK80" s="181">
        <v>799278573.28999996</v>
      </c>
      <c r="AL80" s="181">
        <v>0</v>
      </c>
      <c r="AM80" s="181">
        <v>33754913</v>
      </c>
      <c r="AN80" s="181" t="s">
        <v>1709</v>
      </c>
      <c r="AS80" s="181"/>
    </row>
    <row r="81" spans="1:45" hidden="1" x14ac:dyDescent="0.25">
      <c r="A81" s="181">
        <v>307</v>
      </c>
      <c r="B81" s="181" t="s">
        <v>226</v>
      </c>
      <c r="C81" s="181" t="s">
        <v>1505</v>
      </c>
      <c r="D81" s="1179" t="s">
        <v>382</v>
      </c>
      <c r="E81" s="181">
        <v>1368223930</v>
      </c>
      <c r="F81" s="181">
        <v>1368223930</v>
      </c>
      <c r="G81" s="181">
        <v>0</v>
      </c>
      <c r="H81" s="181">
        <v>0</v>
      </c>
      <c r="I81" s="181">
        <v>0</v>
      </c>
      <c r="J81" s="181">
        <v>0</v>
      </c>
      <c r="K81" s="181">
        <v>0</v>
      </c>
      <c r="L81" s="181">
        <v>1368223930</v>
      </c>
      <c r="M81" s="181">
        <v>4987711958.0500002</v>
      </c>
      <c r="N81" s="181">
        <v>1716219.2</v>
      </c>
      <c r="O81" s="181">
        <v>4985995738.8500004</v>
      </c>
      <c r="P81" s="181">
        <v>0</v>
      </c>
      <c r="Q81" s="181">
        <v>0</v>
      </c>
      <c r="R81" s="181">
        <v>0</v>
      </c>
      <c r="S81" s="181">
        <v>799278573.28999996</v>
      </c>
      <c r="T81" s="181">
        <v>38167964.759999998</v>
      </c>
      <c r="U81" s="181">
        <v>761110608.52999997</v>
      </c>
      <c r="V81" s="181">
        <v>4987711958.0500002</v>
      </c>
      <c r="W81" s="181">
        <v>1716219.2</v>
      </c>
      <c r="X81" s="181">
        <v>4985995738.8500004</v>
      </c>
      <c r="Y81" s="181">
        <v>0</v>
      </c>
      <c r="Z81" s="181">
        <v>0</v>
      </c>
      <c r="AA81" s="181">
        <v>0</v>
      </c>
      <c r="AB81" s="181">
        <v>799278573.28999996</v>
      </c>
      <c r="AC81" s="181">
        <v>38167964.759999998</v>
      </c>
      <c r="AD81" s="1180">
        <v>761110608.52999997</v>
      </c>
      <c r="AE81" s="1180">
        <v>761110608.52999997</v>
      </c>
      <c r="AF81" s="181">
        <v>0</v>
      </c>
      <c r="AG81" s="181">
        <v>0</v>
      </c>
      <c r="AH81" s="181">
        <v>765523660.28999996</v>
      </c>
      <c r="AI81" s="181">
        <v>799278573.28999996</v>
      </c>
      <c r="AJ81" s="181">
        <v>33754913</v>
      </c>
      <c r="AK81" s="181">
        <v>799278573.28999996</v>
      </c>
      <c r="AL81" s="181">
        <v>0</v>
      </c>
      <c r="AM81" s="181">
        <v>33754913</v>
      </c>
      <c r="AN81" s="181" t="s">
        <v>1709</v>
      </c>
      <c r="AS81" s="181"/>
    </row>
    <row r="82" spans="1:45" ht="45" hidden="1" x14ac:dyDescent="0.25">
      <c r="A82" s="181">
        <v>307</v>
      </c>
      <c r="B82" s="181">
        <v>20</v>
      </c>
      <c r="C82" s="181" t="s">
        <v>383</v>
      </c>
      <c r="D82" s="1179" t="s">
        <v>384</v>
      </c>
      <c r="E82" s="181">
        <v>1368223930</v>
      </c>
      <c r="F82" s="181">
        <v>1368223930</v>
      </c>
      <c r="G82" s="181">
        <v>0</v>
      </c>
      <c r="H82" s="181">
        <v>0</v>
      </c>
      <c r="I82" s="181">
        <v>0</v>
      </c>
      <c r="J82" s="181">
        <v>0</v>
      </c>
      <c r="K82" s="181">
        <v>0</v>
      </c>
      <c r="L82" s="181">
        <v>1368223930</v>
      </c>
      <c r="M82" s="181">
        <v>4987711958.0500002</v>
      </c>
      <c r="N82" s="181">
        <v>1716219.2</v>
      </c>
      <c r="O82" s="181">
        <v>4985995738.8500004</v>
      </c>
      <c r="P82" s="181">
        <v>0</v>
      </c>
      <c r="Q82" s="181">
        <v>0</v>
      </c>
      <c r="R82" s="181">
        <v>0</v>
      </c>
      <c r="S82" s="181">
        <v>799278573.28999996</v>
      </c>
      <c r="T82" s="181">
        <v>38167964.759999998</v>
      </c>
      <c r="U82" s="181">
        <v>761110608.52999997</v>
      </c>
      <c r="V82" s="181">
        <v>4987711958.0500002</v>
      </c>
      <c r="W82" s="181">
        <v>1716219.2</v>
      </c>
      <c r="X82" s="181">
        <v>4985995738.8500004</v>
      </c>
      <c r="Y82" s="181">
        <v>0</v>
      </c>
      <c r="Z82" s="181">
        <v>0</v>
      </c>
      <c r="AA82" s="181">
        <v>0</v>
      </c>
      <c r="AB82" s="181">
        <v>799278573.28999996</v>
      </c>
      <c r="AC82" s="181">
        <v>38167964.759999998</v>
      </c>
      <c r="AD82" s="1180">
        <v>761110608.52999997</v>
      </c>
      <c r="AE82" s="1183">
        <v>761110608.52999997</v>
      </c>
      <c r="AF82" s="181">
        <v>0</v>
      </c>
      <c r="AG82" s="181">
        <v>0</v>
      </c>
      <c r="AH82" s="181">
        <v>765523660.28999996</v>
      </c>
      <c r="AI82" s="181">
        <v>799278573.28999996</v>
      </c>
      <c r="AJ82" s="181">
        <v>33754913</v>
      </c>
      <c r="AK82" s="181">
        <v>799278573.28999996</v>
      </c>
      <c r="AL82" s="181">
        <v>0</v>
      </c>
      <c r="AM82" s="181">
        <v>33754913</v>
      </c>
      <c r="AN82" s="181" t="s">
        <v>140</v>
      </c>
    </row>
    <row r="83" spans="1:45" hidden="1" x14ac:dyDescent="0.25">
      <c r="A83" s="181">
        <v>307</v>
      </c>
      <c r="B83" s="181" t="s">
        <v>226</v>
      </c>
      <c r="C83" s="181" t="s">
        <v>385</v>
      </c>
      <c r="D83" s="1179" t="s">
        <v>386</v>
      </c>
      <c r="E83" s="181">
        <v>435287619</v>
      </c>
      <c r="F83" s="181">
        <v>435287619</v>
      </c>
      <c r="G83" s="181">
        <v>0</v>
      </c>
      <c r="H83" s="181">
        <v>0</v>
      </c>
      <c r="I83" s="181">
        <v>0</v>
      </c>
      <c r="J83" s="181">
        <v>0</v>
      </c>
      <c r="K83" s="181">
        <v>0</v>
      </c>
      <c r="L83" s="181">
        <v>435287619</v>
      </c>
      <c r="M83" s="181">
        <v>315902140.49000001</v>
      </c>
      <c r="N83" s="181">
        <v>6884843.8099999996</v>
      </c>
      <c r="O83" s="181">
        <v>309017296.68000001</v>
      </c>
      <c r="P83" s="181">
        <v>0</v>
      </c>
      <c r="Q83" s="181">
        <v>0</v>
      </c>
      <c r="R83" s="181">
        <v>0</v>
      </c>
      <c r="S83" s="181">
        <v>323092255.88</v>
      </c>
      <c r="T83" s="181">
        <v>4433586.75</v>
      </c>
      <c r="U83" s="181">
        <v>318658669.13</v>
      </c>
      <c r="V83" s="181">
        <v>315902140.49000001</v>
      </c>
      <c r="W83" s="181">
        <v>6884843.8099999996</v>
      </c>
      <c r="X83" s="181">
        <v>309017296.68000001</v>
      </c>
      <c r="Y83" s="181">
        <v>0</v>
      </c>
      <c r="Z83" s="181">
        <v>0</v>
      </c>
      <c r="AA83" s="181">
        <v>0</v>
      </c>
      <c r="AB83" s="181">
        <v>323092255.88</v>
      </c>
      <c r="AC83" s="181">
        <v>4433586.75</v>
      </c>
      <c r="AD83" s="1180">
        <v>318658669.13</v>
      </c>
      <c r="AE83" s="1180">
        <v>318658669.13</v>
      </c>
      <c r="AF83" s="181">
        <v>0</v>
      </c>
      <c r="AG83" s="181">
        <v>0</v>
      </c>
      <c r="AH83" s="181">
        <v>318658669.13</v>
      </c>
      <c r="AI83" s="181">
        <v>322825555.88</v>
      </c>
      <c r="AJ83" s="181">
        <v>4166886.75</v>
      </c>
      <c r="AK83" s="181">
        <v>322825555.88</v>
      </c>
      <c r="AL83" s="181">
        <v>0</v>
      </c>
      <c r="AM83" s="181">
        <v>4166886.75</v>
      </c>
      <c r="AN83" s="181" t="s">
        <v>1709</v>
      </c>
      <c r="AS83" s="181"/>
    </row>
    <row r="84" spans="1:45" ht="30" hidden="1" x14ac:dyDescent="0.25">
      <c r="A84" s="181">
        <v>307</v>
      </c>
      <c r="B84" s="181" t="s">
        <v>226</v>
      </c>
      <c r="C84" s="181" t="s">
        <v>387</v>
      </c>
      <c r="D84" s="1179" t="s">
        <v>388</v>
      </c>
      <c r="E84" s="181">
        <v>72000000</v>
      </c>
      <c r="F84" s="181">
        <v>72000000</v>
      </c>
      <c r="G84" s="181">
        <v>0</v>
      </c>
      <c r="H84" s="181">
        <v>0</v>
      </c>
      <c r="I84" s="181">
        <v>0</v>
      </c>
      <c r="J84" s="181">
        <v>0</v>
      </c>
      <c r="K84" s="181">
        <v>0</v>
      </c>
      <c r="L84" s="181">
        <v>72000000</v>
      </c>
      <c r="M84" s="181">
        <v>135574188.72</v>
      </c>
      <c r="N84" s="181">
        <v>3918567</v>
      </c>
      <c r="O84" s="181">
        <v>131655621.72</v>
      </c>
      <c r="P84" s="181">
        <v>0</v>
      </c>
      <c r="Q84" s="181">
        <v>0</v>
      </c>
      <c r="R84" s="181">
        <v>0</v>
      </c>
      <c r="S84" s="181">
        <v>137748086.53</v>
      </c>
      <c r="T84" s="181">
        <v>1152993.75</v>
      </c>
      <c r="U84" s="181">
        <v>136595092.78</v>
      </c>
      <c r="V84" s="181">
        <v>135574188.72</v>
      </c>
      <c r="W84" s="181">
        <v>3918567</v>
      </c>
      <c r="X84" s="181">
        <v>131655621.72</v>
      </c>
      <c r="Y84" s="181">
        <v>0</v>
      </c>
      <c r="Z84" s="181">
        <v>0</v>
      </c>
      <c r="AA84" s="181">
        <v>0</v>
      </c>
      <c r="AB84" s="181">
        <v>137748086.53</v>
      </c>
      <c r="AC84" s="181">
        <v>1152993.75</v>
      </c>
      <c r="AD84" s="1180">
        <v>136595092.78</v>
      </c>
      <c r="AE84" s="1180">
        <v>136595092.78</v>
      </c>
      <c r="AF84" s="181">
        <v>0</v>
      </c>
      <c r="AG84" s="181">
        <v>0</v>
      </c>
      <c r="AH84" s="181">
        <v>136595092.78</v>
      </c>
      <c r="AI84" s="181">
        <v>137481386.53</v>
      </c>
      <c r="AJ84" s="181">
        <v>886293.75</v>
      </c>
      <c r="AK84" s="181">
        <v>137481386.53</v>
      </c>
      <c r="AL84" s="181">
        <v>0</v>
      </c>
      <c r="AM84" s="181">
        <v>886293.75</v>
      </c>
      <c r="AN84" s="181" t="s">
        <v>1709</v>
      </c>
      <c r="AS84" s="181"/>
    </row>
    <row r="85" spans="1:45" ht="30" hidden="1" x14ac:dyDescent="0.25">
      <c r="A85" s="181">
        <v>307</v>
      </c>
      <c r="B85" s="181">
        <v>20</v>
      </c>
      <c r="C85" s="181" t="s">
        <v>389</v>
      </c>
      <c r="D85" s="1179" t="s">
        <v>390</v>
      </c>
      <c r="E85" s="181">
        <v>72000000</v>
      </c>
      <c r="F85" s="181">
        <v>72000000</v>
      </c>
      <c r="G85" s="181">
        <v>0</v>
      </c>
      <c r="H85" s="181">
        <v>0</v>
      </c>
      <c r="I85" s="181">
        <v>0</v>
      </c>
      <c r="J85" s="181">
        <v>0</v>
      </c>
      <c r="K85" s="181">
        <v>0</v>
      </c>
      <c r="L85" s="181">
        <v>72000000</v>
      </c>
      <c r="M85" s="181">
        <v>135574188.72</v>
      </c>
      <c r="N85" s="181">
        <v>3918567</v>
      </c>
      <c r="O85" s="181">
        <v>131655621.72</v>
      </c>
      <c r="P85" s="181">
        <v>0</v>
      </c>
      <c r="Q85" s="181">
        <v>0</v>
      </c>
      <c r="R85" s="181">
        <v>0</v>
      </c>
      <c r="S85" s="181">
        <v>137748086.53</v>
      </c>
      <c r="T85" s="181">
        <v>1152993.75</v>
      </c>
      <c r="U85" s="181">
        <v>136595092.78</v>
      </c>
      <c r="V85" s="181">
        <v>135574188.72</v>
      </c>
      <c r="W85" s="181">
        <v>3918567</v>
      </c>
      <c r="X85" s="181">
        <v>131655621.72</v>
      </c>
      <c r="Y85" s="181">
        <v>0</v>
      </c>
      <c r="Z85" s="181">
        <v>0</v>
      </c>
      <c r="AA85" s="181">
        <v>0</v>
      </c>
      <c r="AB85" s="181">
        <v>137748086.53</v>
      </c>
      <c r="AC85" s="181">
        <v>1152993.75</v>
      </c>
      <c r="AD85" s="1180">
        <v>136595092.78</v>
      </c>
      <c r="AE85" s="1183">
        <v>136595092.78</v>
      </c>
      <c r="AF85" s="181">
        <v>0</v>
      </c>
      <c r="AG85" s="181">
        <v>0</v>
      </c>
      <c r="AH85" s="181">
        <v>136595092.78</v>
      </c>
      <c r="AI85" s="181">
        <v>137481386.53</v>
      </c>
      <c r="AJ85" s="181">
        <v>886293.75</v>
      </c>
      <c r="AK85" s="181">
        <v>137481386.53</v>
      </c>
      <c r="AL85" s="181">
        <v>0</v>
      </c>
      <c r="AM85" s="181">
        <v>886293.75</v>
      </c>
      <c r="AN85" s="181" t="s">
        <v>140</v>
      </c>
    </row>
    <row r="86" spans="1:45" ht="45" hidden="1" x14ac:dyDescent="0.25">
      <c r="A86" s="181">
        <v>307</v>
      </c>
      <c r="B86" s="181" t="s">
        <v>226</v>
      </c>
      <c r="C86" s="181" t="s">
        <v>391</v>
      </c>
      <c r="D86" s="1179" t="s">
        <v>392</v>
      </c>
      <c r="E86" s="181">
        <v>363287619</v>
      </c>
      <c r="F86" s="181">
        <v>363287619</v>
      </c>
      <c r="G86" s="181">
        <v>0</v>
      </c>
      <c r="H86" s="181">
        <v>0</v>
      </c>
      <c r="I86" s="181">
        <v>0</v>
      </c>
      <c r="J86" s="181">
        <v>0</v>
      </c>
      <c r="K86" s="181">
        <v>0</v>
      </c>
      <c r="L86" s="181">
        <v>363287619</v>
      </c>
      <c r="M86" s="181">
        <v>180327951.77000001</v>
      </c>
      <c r="N86" s="181">
        <v>2966276.81</v>
      </c>
      <c r="O86" s="181">
        <v>177361674.96000001</v>
      </c>
      <c r="P86" s="181">
        <v>0</v>
      </c>
      <c r="Q86" s="181">
        <v>0</v>
      </c>
      <c r="R86" s="181">
        <v>0</v>
      </c>
      <c r="S86" s="181">
        <v>185344169.34999999</v>
      </c>
      <c r="T86" s="181">
        <v>3280593</v>
      </c>
      <c r="U86" s="181">
        <v>182063576.34999999</v>
      </c>
      <c r="V86" s="181">
        <v>180327951.77000001</v>
      </c>
      <c r="W86" s="181">
        <v>2966276.81</v>
      </c>
      <c r="X86" s="181">
        <v>177361674.96000001</v>
      </c>
      <c r="Y86" s="181">
        <v>0</v>
      </c>
      <c r="Z86" s="181">
        <v>0</v>
      </c>
      <c r="AA86" s="181">
        <v>0</v>
      </c>
      <c r="AB86" s="181">
        <v>185344169.34999999</v>
      </c>
      <c r="AC86" s="181">
        <v>3280593</v>
      </c>
      <c r="AD86" s="1180">
        <v>182063576.34999999</v>
      </c>
      <c r="AE86" s="1180">
        <v>182063576.34999999</v>
      </c>
      <c r="AF86" s="181">
        <v>0</v>
      </c>
      <c r="AG86" s="181">
        <v>0</v>
      </c>
      <c r="AH86" s="181">
        <v>182063576.34999999</v>
      </c>
      <c r="AI86" s="181">
        <v>185344169.34999999</v>
      </c>
      <c r="AJ86" s="181">
        <v>3280593</v>
      </c>
      <c r="AK86" s="181">
        <v>185344169.34999999</v>
      </c>
      <c r="AL86" s="181">
        <v>0</v>
      </c>
      <c r="AM86" s="181">
        <v>3280593</v>
      </c>
      <c r="AN86" s="181" t="s">
        <v>1709</v>
      </c>
      <c r="AS86" s="181"/>
    </row>
    <row r="87" spans="1:45" ht="60" hidden="1" x14ac:dyDescent="0.25">
      <c r="A87" s="181">
        <v>307</v>
      </c>
      <c r="B87" s="181" t="s">
        <v>226</v>
      </c>
      <c r="C87" s="181" t="s">
        <v>393</v>
      </c>
      <c r="D87" s="1179" t="s">
        <v>394</v>
      </c>
      <c r="E87" s="181">
        <v>363287619</v>
      </c>
      <c r="F87" s="181">
        <v>363287619</v>
      </c>
      <c r="G87" s="181">
        <v>0</v>
      </c>
      <c r="H87" s="181">
        <v>0</v>
      </c>
      <c r="I87" s="181">
        <v>0</v>
      </c>
      <c r="J87" s="181">
        <v>0</v>
      </c>
      <c r="K87" s="181">
        <v>0</v>
      </c>
      <c r="L87" s="181">
        <v>363287619</v>
      </c>
      <c r="M87" s="181">
        <v>180327951.77000001</v>
      </c>
      <c r="N87" s="181">
        <v>2966276.81</v>
      </c>
      <c r="O87" s="181">
        <v>177361674.96000001</v>
      </c>
      <c r="P87" s="181">
        <v>0</v>
      </c>
      <c r="Q87" s="181">
        <v>0</v>
      </c>
      <c r="R87" s="181">
        <v>0</v>
      </c>
      <c r="S87" s="181">
        <v>185344169.34999999</v>
      </c>
      <c r="T87" s="181">
        <v>3280593</v>
      </c>
      <c r="U87" s="181">
        <v>182063576.34999999</v>
      </c>
      <c r="V87" s="181">
        <v>180327951.77000001</v>
      </c>
      <c r="W87" s="181">
        <v>2966276.81</v>
      </c>
      <c r="X87" s="181">
        <v>177361674.96000001</v>
      </c>
      <c r="Y87" s="181">
        <v>0</v>
      </c>
      <c r="Z87" s="181">
        <v>0</v>
      </c>
      <c r="AA87" s="181">
        <v>0</v>
      </c>
      <c r="AB87" s="181">
        <v>185344169.34999999</v>
      </c>
      <c r="AC87" s="181">
        <v>3280593</v>
      </c>
      <c r="AD87" s="1180">
        <v>182063576.34999999</v>
      </c>
      <c r="AE87" s="1180">
        <v>182063576.34999999</v>
      </c>
      <c r="AF87" s="181">
        <v>0</v>
      </c>
      <c r="AG87" s="181">
        <v>0</v>
      </c>
      <c r="AH87" s="181">
        <v>182063576.34999999</v>
      </c>
      <c r="AI87" s="181">
        <v>185344169.34999999</v>
      </c>
      <c r="AJ87" s="181">
        <v>3280593</v>
      </c>
      <c r="AK87" s="181">
        <v>185344169.34999999</v>
      </c>
      <c r="AL87" s="181">
        <v>0</v>
      </c>
      <c r="AM87" s="181">
        <v>3280593</v>
      </c>
      <c r="AN87" s="181" t="s">
        <v>1709</v>
      </c>
      <c r="AS87" s="181"/>
    </row>
    <row r="88" spans="1:45" hidden="1" x14ac:dyDescent="0.25">
      <c r="A88" s="181">
        <v>307</v>
      </c>
      <c r="B88" s="181" t="s">
        <v>226</v>
      </c>
      <c r="C88" s="181" t="s">
        <v>395</v>
      </c>
      <c r="D88" s="1179" t="s">
        <v>396</v>
      </c>
      <c r="E88" s="181">
        <v>363287619</v>
      </c>
      <c r="F88" s="181">
        <v>363287619</v>
      </c>
      <c r="G88" s="181">
        <v>0</v>
      </c>
      <c r="H88" s="181">
        <v>0</v>
      </c>
      <c r="I88" s="181">
        <v>0</v>
      </c>
      <c r="J88" s="181">
        <v>0</v>
      </c>
      <c r="K88" s="181">
        <v>0</v>
      </c>
      <c r="L88" s="181">
        <v>363287619</v>
      </c>
      <c r="M88" s="181">
        <v>180327951.77000001</v>
      </c>
      <c r="N88" s="181">
        <v>2966276.81</v>
      </c>
      <c r="O88" s="181">
        <v>177361674.96000001</v>
      </c>
      <c r="P88" s="181">
        <v>0</v>
      </c>
      <c r="Q88" s="181">
        <v>0</v>
      </c>
      <c r="R88" s="181">
        <v>0</v>
      </c>
      <c r="S88" s="181">
        <v>185344169.34999999</v>
      </c>
      <c r="T88" s="181">
        <v>3280593</v>
      </c>
      <c r="U88" s="181">
        <v>182063576.34999999</v>
      </c>
      <c r="V88" s="181">
        <v>180327951.77000001</v>
      </c>
      <c r="W88" s="181">
        <v>2966276.81</v>
      </c>
      <c r="X88" s="181">
        <v>177361674.96000001</v>
      </c>
      <c r="Y88" s="181">
        <v>0</v>
      </c>
      <c r="Z88" s="181">
        <v>0</v>
      </c>
      <c r="AA88" s="181">
        <v>0</v>
      </c>
      <c r="AB88" s="181">
        <v>185344169.34999999</v>
      </c>
      <c r="AC88" s="181">
        <v>3280593</v>
      </c>
      <c r="AD88" s="1180">
        <v>182063576.34999999</v>
      </c>
      <c r="AE88" s="1180">
        <v>182063576.34999999</v>
      </c>
      <c r="AF88" s="181">
        <v>0</v>
      </c>
      <c r="AG88" s="181">
        <v>0</v>
      </c>
      <c r="AH88" s="181">
        <v>182063576.34999999</v>
      </c>
      <c r="AI88" s="181">
        <v>185344169.34999999</v>
      </c>
      <c r="AJ88" s="181">
        <v>3280593</v>
      </c>
      <c r="AK88" s="181">
        <v>185344169.34999999</v>
      </c>
      <c r="AL88" s="181">
        <v>0</v>
      </c>
      <c r="AM88" s="181">
        <v>3280593</v>
      </c>
      <c r="AN88" s="181" t="s">
        <v>1709</v>
      </c>
      <c r="AS88" s="181"/>
    </row>
    <row r="89" spans="1:45" ht="45" hidden="1" x14ac:dyDescent="0.25">
      <c r="A89" s="181">
        <v>307</v>
      </c>
      <c r="B89" s="181">
        <v>20</v>
      </c>
      <c r="C89" s="181" t="s">
        <v>397</v>
      </c>
      <c r="D89" s="1179" t="s">
        <v>398</v>
      </c>
      <c r="E89" s="181">
        <v>363287619</v>
      </c>
      <c r="F89" s="181">
        <v>363287619</v>
      </c>
      <c r="G89" s="181">
        <v>0</v>
      </c>
      <c r="H89" s="181">
        <v>0</v>
      </c>
      <c r="I89" s="181">
        <v>0</v>
      </c>
      <c r="J89" s="181">
        <v>0</v>
      </c>
      <c r="K89" s="181">
        <v>0</v>
      </c>
      <c r="L89" s="181">
        <v>363287619</v>
      </c>
      <c r="M89" s="181">
        <v>180327951.77000001</v>
      </c>
      <c r="N89" s="181">
        <v>2966276.81</v>
      </c>
      <c r="O89" s="181">
        <v>177361674.96000001</v>
      </c>
      <c r="P89" s="181">
        <v>0</v>
      </c>
      <c r="Q89" s="181">
        <v>0</v>
      </c>
      <c r="R89" s="181">
        <v>0</v>
      </c>
      <c r="S89" s="181">
        <v>185344169.34999999</v>
      </c>
      <c r="T89" s="181">
        <v>3280593</v>
      </c>
      <c r="U89" s="181">
        <v>182063576.34999999</v>
      </c>
      <c r="V89" s="181">
        <v>180327951.77000001</v>
      </c>
      <c r="W89" s="181">
        <v>2966276.81</v>
      </c>
      <c r="X89" s="181">
        <v>177361674.96000001</v>
      </c>
      <c r="Y89" s="181">
        <v>0</v>
      </c>
      <c r="Z89" s="181">
        <v>0</v>
      </c>
      <c r="AA89" s="181">
        <v>0</v>
      </c>
      <c r="AB89" s="181">
        <v>185344169.34999999</v>
      </c>
      <c r="AC89" s="181">
        <v>3280593</v>
      </c>
      <c r="AD89" s="1180">
        <v>182063576.34999999</v>
      </c>
      <c r="AE89" s="1183">
        <v>182063576.34999999</v>
      </c>
      <c r="AF89" s="181">
        <v>0</v>
      </c>
      <c r="AG89" s="181">
        <v>0</v>
      </c>
      <c r="AH89" s="181">
        <v>182063576.34999999</v>
      </c>
      <c r="AI89" s="181">
        <v>185344169.34999999</v>
      </c>
      <c r="AJ89" s="181">
        <v>3280593</v>
      </c>
      <c r="AK89" s="181">
        <v>185344169.34999999</v>
      </c>
      <c r="AL89" s="181">
        <v>0</v>
      </c>
      <c r="AM89" s="181">
        <v>3280593</v>
      </c>
      <c r="AN89" s="181" t="s">
        <v>140</v>
      </c>
    </row>
    <row r="90" spans="1:45" ht="45" hidden="1" x14ac:dyDescent="0.25">
      <c r="A90" s="181">
        <v>307</v>
      </c>
      <c r="B90" s="181" t="s">
        <v>226</v>
      </c>
      <c r="C90" s="181" t="s">
        <v>399</v>
      </c>
      <c r="D90" s="1179" t="s">
        <v>400</v>
      </c>
      <c r="E90" s="181">
        <v>0</v>
      </c>
      <c r="F90" s="181">
        <v>0</v>
      </c>
      <c r="G90" s="181">
        <v>0</v>
      </c>
      <c r="H90" s="181">
        <v>0</v>
      </c>
      <c r="I90" s="181">
        <v>0</v>
      </c>
      <c r="J90" s="181">
        <v>0</v>
      </c>
      <c r="K90" s="181">
        <v>0</v>
      </c>
      <c r="L90" s="181">
        <v>0</v>
      </c>
      <c r="M90" s="181">
        <v>0</v>
      </c>
      <c r="N90" s="181">
        <v>0</v>
      </c>
      <c r="O90" s="181">
        <v>0</v>
      </c>
      <c r="P90" s="181">
        <v>0</v>
      </c>
      <c r="Q90" s="181">
        <v>0</v>
      </c>
      <c r="R90" s="181">
        <v>0</v>
      </c>
      <c r="S90" s="181">
        <v>0</v>
      </c>
      <c r="T90" s="181">
        <v>0</v>
      </c>
      <c r="U90" s="181">
        <v>0</v>
      </c>
      <c r="V90" s="181">
        <v>0</v>
      </c>
      <c r="W90" s="181">
        <v>0</v>
      </c>
      <c r="X90" s="181">
        <v>0</v>
      </c>
      <c r="Y90" s="181">
        <v>0</v>
      </c>
      <c r="Z90" s="181">
        <v>0</v>
      </c>
      <c r="AA90" s="181">
        <v>0</v>
      </c>
      <c r="AB90" s="181">
        <v>0</v>
      </c>
      <c r="AC90" s="181">
        <v>0</v>
      </c>
      <c r="AD90" s="1180">
        <v>0</v>
      </c>
      <c r="AE90" s="1180">
        <v>0</v>
      </c>
      <c r="AF90" s="181">
        <v>0</v>
      </c>
      <c r="AG90" s="181">
        <v>0</v>
      </c>
      <c r="AH90" s="181">
        <v>0</v>
      </c>
      <c r="AI90" s="181">
        <v>0</v>
      </c>
      <c r="AJ90" s="181">
        <v>0</v>
      </c>
      <c r="AK90" s="181">
        <v>0</v>
      </c>
      <c r="AL90" s="181">
        <v>0</v>
      </c>
      <c r="AM90" s="181">
        <v>0</v>
      </c>
      <c r="AN90" s="181" t="s">
        <v>1709</v>
      </c>
      <c r="AS90" s="181"/>
    </row>
    <row r="91" spans="1:45" hidden="1" x14ac:dyDescent="0.25">
      <c r="A91" s="181">
        <v>307</v>
      </c>
      <c r="B91" s="181" t="s">
        <v>226</v>
      </c>
      <c r="C91" s="181" t="s">
        <v>401</v>
      </c>
      <c r="D91" s="1179" t="s">
        <v>402</v>
      </c>
      <c r="E91" s="181">
        <v>0</v>
      </c>
      <c r="F91" s="181">
        <v>0</v>
      </c>
      <c r="G91" s="181">
        <v>0</v>
      </c>
      <c r="H91" s="181">
        <v>0</v>
      </c>
      <c r="I91" s="181">
        <v>0</v>
      </c>
      <c r="J91" s="181">
        <v>0</v>
      </c>
      <c r="K91" s="181">
        <v>0</v>
      </c>
      <c r="L91" s="181">
        <v>0</v>
      </c>
      <c r="M91" s="181">
        <v>0</v>
      </c>
      <c r="N91" s="181">
        <v>0</v>
      </c>
      <c r="O91" s="181">
        <v>0</v>
      </c>
      <c r="P91" s="181">
        <v>0</v>
      </c>
      <c r="Q91" s="181">
        <v>0</v>
      </c>
      <c r="R91" s="181">
        <v>0</v>
      </c>
      <c r="S91" s="181">
        <v>0</v>
      </c>
      <c r="T91" s="181">
        <v>0</v>
      </c>
      <c r="U91" s="181">
        <v>0</v>
      </c>
      <c r="V91" s="181">
        <v>0</v>
      </c>
      <c r="W91" s="181">
        <v>0</v>
      </c>
      <c r="X91" s="181">
        <v>0</v>
      </c>
      <c r="Y91" s="181">
        <v>0</v>
      </c>
      <c r="Z91" s="181">
        <v>0</v>
      </c>
      <c r="AA91" s="181">
        <v>0</v>
      </c>
      <c r="AB91" s="181">
        <v>0</v>
      </c>
      <c r="AC91" s="181">
        <v>0</v>
      </c>
      <c r="AD91" s="1180">
        <v>0</v>
      </c>
      <c r="AE91" s="1180">
        <v>0</v>
      </c>
      <c r="AF91" s="181">
        <v>0</v>
      </c>
      <c r="AG91" s="181">
        <v>0</v>
      </c>
      <c r="AH91" s="181">
        <v>0</v>
      </c>
      <c r="AI91" s="181">
        <v>0</v>
      </c>
      <c r="AJ91" s="181">
        <v>0</v>
      </c>
      <c r="AK91" s="181">
        <v>0</v>
      </c>
      <c r="AL91" s="181">
        <v>0</v>
      </c>
      <c r="AM91" s="181">
        <v>0</v>
      </c>
      <c r="AN91" s="181" t="s">
        <v>1709</v>
      </c>
      <c r="AS91" s="181"/>
    </row>
    <row r="92" spans="1:45" ht="45" hidden="1" x14ac:dyDescent="0.25">
      <c r="A92" s="181">
        <v>307</v>
      </c>
      <c r="B92" s="181">
        <v>20</v>
      </c>
      <c r="C92" s="181" t="s">
        <v>403</v>
      </c>
      <c r="D92" s="1179" t="s">
        <v>404</v>
      </c>
      <c r="E92" s="181">
        <v>0</v>
      </c>
      <c r="F92" s="181">
        <v>0</v>
      </c>
      <c r="G92" s="181">
        <v>0</v>
      </c>
      <c r="H92" s="181">
        <v>0</v>
      </c>
      <c r="I92" s="181">
        <v>0</v>
      </c>
      <c r="J92" s="181">
        <v>0</v>
      </c>
      <c r="K92" s="181">
        <v>0</v>
      </c>
      <c r="L92" s="181">
        <v>0</v>
      </c>
      <c r="M92" s="181">
        <v>0</v>
      </c>
      <c r="N92" s="181">
        <v>0</v>
      </c>
      <c r="O92" s="181">
        <v>0</v>
      </c>
      <c r="P92" s="181">
        <v>0</v>
      </c>
      <c r="Q92" s="181">
        <v>0</v>
      </c>
      <c r="R92" s="181">
        <v>0</v>
      </c>
      <c r="S92" s="181">
        <v>0</v>
      </c>
      <c r="T92" s="181">
        <v>0</v>
      </c>
      <c r="U92" s="181">
        <v>0</v>
      </c>
      <c r="V92" s="181">
        <v>0</v>
      </c>
      <c r="W92" s="181">
        <v>0</v>
      </c>
      <c r="X92" s="181">
        <v>0</v>
      </c>
      <c r="Y92" s="181">
        <v>0</v>
      </c>
      <c r="Z92" s="181">
        <v>0</v>
      </c>
      <c r="AA92" s="181">
        <v>0</v>
      </c>
      <c r="AB92" s="181">
        <v>0</v>
      </c>
      <c r="AC92" s="181">
        <v>0</v>
      </c>
      <c r="AD92" s="1180">
        <v>0</v>
      </c>
      <c r="AE92" s="1180">
        <v>0</v>
      </c>
      <c r="AF92" s="181">
        <v>0</v>
      </c>
      <c r="AG92" s="181">
        <v>0</v>
      </c>
      <c r="AH92" s="181">
        <v>0</v>
      </c>
      <c r="AI92" s="181">
        <v>0</v>
      </c>
      <c r="AJ92" s="181">
        <v>0</v>
      </c>
      <c r="AK92" s="181">
        <v>0</v>
      </c>
      <c r="AL92" s="181">
        <v>0</v>
      </c>
      <c r="AM92" s="181">
        <v>0</v>
      </c>
      <c r="AN92" s="181" t="s">
        <v>140</v>
      </c>
      <c r="AS92" s="181"/>
    </row>
    <row r="93" spans="1:45" hidden="1" x14ac:dyDescent="0.25">
      <c r="A93" s="181">
        <v>307</v>
      </c>
      <c r="B93" s="181" t="s">
        <v>226</v>
      </c>
      <c r="C93" s="181" t="s">
        <v>405</v>
      </c>
      <c r="D93" s="1179" t="s">
        <v>406</v>
      </c>
      <c r="E93" s="181">
        <v>7232590572</v>
      </c>
      <c r="F93" s="181">
        <v>7232590572</v>
      </c>
      <c r="G93" s="181">
        <v>49427626573</v>
      </c>
      <c r="H93" s="181">
        <v>187491584</v>
      </c>
      <c r="I93" s="181">
        <v>49240134989</v>
      </c>
      <c r="J93" s="181">
        <v>49427626573</v>
      </c>
      <c r="K93" s="181">
        <v>187491584</v>
      </c>
      <c r="L93" s="181">
        <v>56472725561</v>
      </c>
      <c r="M93" s="181">
        <v>0</v>
      </c>
      <c r="N93" s="181">
        <v>0</v>
      </c>
      <c r="O93" s="181">
        <v>0</v>
      </c>
      <c r="P93" s="181">
        <v>0</v>
      </c>
      <c r="Q93" s="181">
        <v>0</v>
      </c>
      <c r="R93" s="181">
        <v>0</v>
      </c>
      <c r="S93" s="181">
        <v>60761398792.25</v>
      </c>
      <c r="T93" s="181">
        <v>4290961447.8800001</v>
      </c>
      <c r="U93" s="181">
        <v>56470437344.370003</v>
      </c>
      <c r="V93" s="181">
        <v>0</v>
      </c>
      <c r="W93" s="181">
        <v>0</v>
      </c>
      <c r="X93" s="181">
        <v>0</v>
      </c>
      <c r="Y93" s="181">
        <v>0</v>
      </c>
      <c r="Z93" s="181">
        <v>0</v>
      </c>
      <c r="AA93" s="181">
        <v>0</v>
      </c>
      <c r="AB93" s="181">
        <v>60761398792.25</v>
      </c>
      <c r="AC93" s="181">
        <v>4290961447.8800001</v>
      </c>
      <c r="AD93" s="1180">
        <v>56470437344.370003</v>
      </c>
      <c r="AE93" s="1180">
        <v>56470437344.370003</v>
      </c>
      <c r="AF93" s="181">
        <v>0</v>
      </c>
      <c r="AG93" s="181">
        <v>0</v>
      </c>
      <c r="AH93" s="181">
        <v>56472855344.370003</v>
      </c>
      <c r="AI93" s="181">
        <v>60761398792.25</v>
      </c>
      <c r="AJ93" s="181">
        <v>4288543447.8800001</v>
      </c>
      <c r="AK93" s="181">
        <v>60761398792.25</v>
      </c>
      <c r="AL93" s="181">
        <v>0</v>
      </c>
      <c r="AM93" s="181">
        <v>4288543447.8800001</v>
      </c>
      <c r="AN93" s="181" t="s">
        <v>1709</v>
      </c>
      <c r="AS93" s="181"/>
    </row>
    <row r="94" spans="1:45" ht="30" hidden="1" x14ac:dyDescent="0.25">
      <c r="A94" s="181">
        <v>307</v>
      </c>
      <c r="B94" s="181" t="s">
        <v>226</v>
      </c>
      <c r="C94" s="181" t="s">
        <v>407</v>
      </c>
      <c r="D94" s="1179" t="s">
        <v>408</v>
      </c>
      <c r="E94" s="181">
        <v>2991799289</v>
      </c>
      <c r="F94" s="181">
        <v>2991799289</v>
      </c>
      <c r="G94" s="181">
        <v>0</v>
      </c>
      <c r="H94" s="181">
        <v>125187203</v>
      </c>
      <c r="I94" s="181">
        <v>-125187203</v>
      </c>
      <c r="J94" s="181">
        <v>0</v>
      </c>
      <c r="K94" s="181">
        <v>125187203</v>
      </c>
      <c r="L94" s="181">
        <v>2866612086</v>
      </c>
      <c r="M94" s="181">
        <v>0</v>
      </c>
      <c r="N94" s="181">
        <v>0</v>
      </c>
      <c r="O94" s="181">
        <v>0</v>
      </c>
      <c r="P94" s="181">
        <v>0</v>
      </c>
      <c r="Q94" s="181">
        <v>0</v>
      </c>
      <c r="R94" s="181">
        <v>0</v>
      </c>
      <c r="S94" s="181">
        <v>2866923608</v>
      </c>
      <c r="T94" s="181">
        <v>0</v>
      </c>
      <c r="U94" s="181">
        <v>2866923608</v>
      </c>
      <c r="V94" s="181">
        <v>0</v>
      </c>
      <c r="W94" s="181">
        <v>0</v>
      </c>
      <c r="X94" s="181">
        <v>0</v>
      </c>
      <c r="Y94" s="181">
        <v>0</v>
      </c>
      <c r="Z94" s="181">
        <v>0</v>
      </c>
      <c r="AA94" s="181">
        <v>0</v>
      </c>
      <c r="AB94" s="181">
        <v>2866923608</v>
      </c>
      <c r="AC94" s="181">
        <v>0</v>
      </c>
      <c r="AD94" s="1180">
        <v>2866923608</v>
      </c>
      <c r="AE94" s="1180">
        <v>2866923608</v>
      </c>
      <c r="AF94" s="181">
        <v>0</v>
      </c>
      <c r="AG94" s="181">
        <v>0</v>
      </c>
      <c r="AH94" s="181">
        <v>2866923608</v>
      </c>
      <c r="AI94" s="181">
        <v>2866923608</v>
      </c>
      <c r="AJ94" s="181">
        <v>0</v>
      </c>
      <c r="AK94" s="181">
        <v>2866923608</v>
      </c>
      <c r="AL94" s="181">
        <v>0</v>
      </c>
      <c r="AM94" s="181">
        <v>0</v>
      </c>
      <c r="AN94" s="181" t="s">
        <v>1709</v>
      </c>
      <c r="AS94" s="181"/>
    </row>
    <row r="95" spans="1:45" ht="30" hidden="1" x14ac:dyDescent="0.25">
      <c r="A95" s="181">
        <v>307</v>
      </c>
      <c r="B95" s="181">
        <v>27</v>
      </c>
      <c r="C95" s="181" t="s">
        <v>409</v>
      </c>
      <c r="D95" s="1179" t="s">
        <v>410</v>
      </c>
      <c r="E95" s="181">
        <v>2991799289</v>
      </c>
      <c r="F95" s="181">
        <v>2991799289</v>
      </c>
      <c r="G95" s="181">
        <v>0</v>
      </c>
      <c r="H95" s="181">
        <v>125187203</v>
      </c>
      <c r="I95" s="181">
        <v>-125187203</v>
      </c>
      <c r="J95" s="181">
        <v>0</v>
      </c>
      <c r="K95" s="181">
        <v>125187203</v>
      </c>
      <c r="L95" s="181">
        <v>2866612086</v>
      </c>
      <c r="M95" s="181">
        <v>0</v>
      </c>
      <c r="N95" s="181">
        <v>0</v>
      </c>
      <c r="O95" s="181">
        <v>0</v>
      </c>
      <c r="P95" s="181">
        <v>0</v>
      </c>
      <c r="Q95" s="181">
        <v>0</v>
      </c>
      <c r="R95" s="181">
        <v>0</v>
      </c>
      <c r="S95" s="181">
        <v>2866923608</v>
      </c>
      <c r="T95" s="181">
        <v>0</v>
      </c>
      <c r="U95" s="181">
        <v>2866923608</v>
      </c>
      <c r="V95" s="181">
        <v>0</v>
      </c>
      <c r="W95" s="181">
        <v>0</v>
      </c>
      <c r="X95" s="181">
        <v>0</v>
      </c>
      <c r="Y95" s="181">
        <v>0</v>
      </c>
      <c r="Z95" s="181">
        <v>0</v>
      </c>
      <c r="AA95" s="181">
        <v>0</v>
      </c>
      <c r="AB95" s="181">
        <v>2866923608</v>
      </c>
      <c r="AC95" s="181">
        <v>0</v>
      </c>
      <c r="AD95" s="1180">
        <v>2866923608</v>
      </c>
      <c r="AE95" s="1183">
        <v>2866923608</v>
      </c>
      <c r="AF95" s="181">
        <v>0</v>
      </c>
      <c r="AG95" s="181">
        <v>0</v>
      </c>
      <c r="AH95" s="181">
        <v>2866923608</v>
      </c>
      <c r="AI95" s="181">
        <v>2866923608</v>
      </c>
      <c r="AJ95" s="181">
        <v>0</v>
      </c>
      <c r="AK95" s="181">
        <v>2866923608</v>
      </c>
      <c r="AL95" s="181">
        <v>0</v>
      </c>
      <c r="AM95" s="181">
        <v>0</v>
      </c>
      <c r="AN95" s="181" t="s">
        <v>1710</v>
      </c>
    </row>
    <row r="96" spans="1:45" ht="30" hidden="1" x14ac:dyDescent="0.25">
      <c r="A96" s="181">
        <v>307</v>
      </c>
      <c r="B96" s="181" t="s">
        <v>226</v>
      </c>
      <c r="C96" s="181" t="s">
        <v>411</v>
      </c>
      <c r="D96" s="1179" t="s">
        <v>412</v>
      </c>
      <c r="E96" s="181">
        <v>3136594076</v>
      </c>
      <c r="F96" s="181">
        <v>3136594076</v>
      </c>
      <c r="G96" s="181">
        <v>0</v>
      </c>
      <c r="H96" s="181">
        <v>37304381</v>
      </c>
      <c r="I96" s="181">
        <v>-37304381</v>
      </c>
      <c r="J96" s="181">
        <v>0</v>
      </c>
      <c r="K96" s="181">
        <v>37304381</v>
      </c>
      <c r="L96" s="181">
        <v>3099289695</v>
      </c>
      <c r="M96" s="181">
        <v>0</v>
      </c>
      <c r="N96" s="181">
        <v>0</v>
      </c>
      <c r="O96" s="181">
        <v>0</v>
      </c>
      <c r="P96" s="181">
        <v>0</v>
      </c>
      <c r="Q96" s="181">
        <v>0</v>
      </c>
      <c r="R96" s="181">
        <v>0</v>
      </c>
      <c r="S96" s="181">
        <v>3782876078</v>
      </c>
      <c r="T96" s="181">
        <v>477141889</v>
      </c>
      <c r="U96" s="181">
        <v>3305734189</v>
      </c>
      <c r="V96" s="181">
        <v>0</v>
      </c>
      <c r="W96" s="181">
        <v>0</v>
      </c>
      <c r="X96" s="181">
        <v>0</v>
      </c>
      <c r="Y96" s="181">
        <v>0</v>
      </c>
      <c r="Z96" s="181">
        <v>0</v>
      </c>
      <c r="AA96" s="181">
        <v>0</v>
      </c>
      <c r="AB96" s="181">
        <v>3782876078</v>
      </c>
      <c r="AC96" s="181">
        <v>477141889</v>
      </c>
      <c r="AD96" s="1180">
        <v>3305734189</v>
      </c>
      <c r="AE96" s="1180">
        <v>3305734189</v>
      </c>
      <c r="AF96" s="181">
        <v>0</v>
      </c>
      <c r="AG96" s="181">
        <v>0</v>
      </c>
      <c r="AH96" s="181">
        <v>3305734189</v>
      </c>
      <c r="AI96" s="181">
        <v>3782876078</v>
      </c>
      <c r="AJ96" s="181">
        <v>477141889</v>
      </c>
      <c r="AK96" s="181">
        <v>3782876078</v>
      </c>
      <c r="AL96" s="181">
        <v>0</v>
      </c>
      <c r="AM96" s="181">
        <v>477141889</v>
      </c>
      <c r="AN96" s="181" t="s">
        <v>1709</v>
      </c>
      <c r="AS96" s="181"/>
    </row>
    <row r="97" spans="1:45" hidden="1" x14ac:dyDescent="0.25">
      <c r="A97" s="181">
        <v>307</v>
      </c>
      <c r="B97" s="181" t="s">
        <v>226</v>
      </c>
      <c r="C97" s="181" t="s">
        <v>413</v>
      </c>
      <c r="D97" s="1179" t="s">
        <v>414</v>
      </c>
      <c r="E97" s="181">
        <v>3136594076</v>
      </c>
      <c r="F97" s="181">
        <v>3136594076</v>
      </c>
      <c r="G97" s="181">
        <v>0</v>
      </c>
      <c r="H97" s="181">
        <v>37304381</v>
      </c>
      <c r="I97" s="181">
        <v>-37304381</v>
      </c>
      <c r="J97" s="181">
        <v>0</v>
      </c>
      <c r="K97" s="181">
        <v>37304381</v>
      </c>
      <c r="L97" s="181">
        <v>3099289695</v>
      </c>
      <c r="M97" s="181">
        <v>0</v>
      </c>
      <c r="N97" s="181">
        <v>0</v>
      </c>
      <c r="O97" s="181">
        <v>0</v>
      </c>
      <c r="P97" s="181">
        <v>0</v>
      </c>
      <c r="Q97" s="181">
        <v>0</v>
      </c>
      <c r="R97" s="181">
        <v>0</v>
      </c>
      <c r="S97" s="181">
        <v>3782876078</v>
      </c>
      <c r="T97" s="181">
        <v>477141889</v>
      </c>
      <c r="U97" s="181">
        <v>3305734189</v>
      </c>
      <c r="V97" s="181">
        <v>0</v>
      </c>
      <c r="W97" s="181">
        <v>0</v>
      </c>
      <c r="X97" s="181">
        <v>0</v>
      </c>
      <c r="Y97" s="181">
        <v>0</v>
      </c>
      <c r="Z97" s="181">
        <v>0</v>
      </c>
      <c r="AA97" s="181">
        <v>0</v>
      </c>
      <c r="AB97" s="181">
        <v>3782876078</v>
      </c>
      <c r="AC97" s="181">
        <v>477141889</v>
      </c>
      <c r="AD97" s="1180">
        <v>3305734189</v>
      </c>
      <c r="AE97" s="1180">
        <v>3305734189</v>
      </c>
      <c r="AF97" s="181">
        <v>0</v>
      </c>
      <c r="AG97" s="181">
        <v>0</v>
      </c>
      <c r="AH97" s="181">
        <v>3305734189</v>
      </c>
      <c r="AI97" s="181">
        <v>3782876078</v>
      </c>
      <c r="AJ97" s="181">
        <v>477141889</v>
      </c>
      <c r="AK97" s="181">
        <v>3782876078</v>
      </c>
      <c r="AL97" s="181">
        <v>0</v>
      </c>
      <c r="AM97" s="181">
        <v>477141889</v>
      </c>
      <c r="AN97" s="181" t="s">
        <v>1709</v>
      </c>
      <c r="AS97" s="181"/>
    </row>
    <row r="98" spans="1:45" ht="30" hidden="1" x14ac:dyDescent="0.25">
      <c r="A98" s="181">
        <v>307</v>
      </c>
      <c r="B98" s="181">
        <v>23</v>
      </c>
      <c r="C98" s="181" t="s">
        <v>1233</v>
      </c>
      <c r="D98" s="1179" t="s">
        <v>416</v>
      </c>
      <c r="E98" s="181">
        <v>2995430273</v>
      </c>
      <c r="F98" s="181">
        <v>2995430273</v>
      </c>
      <c r="G98" s="181">
        <v>0</v>
      </c>
      <c r="H98" s="181">
        <v>0</v>
      </c>
      <c r="I98" s="181">
        <v>0</v>
      </c>
      <c r="J98" s="181">
        <v>0</v>
      </c>
      <c r="K98" s="181">
        <v>0</v>
      </c>
      <c r="L98" s="181">
        <v>2995430273</v>
      </c>
      <c r="M98" s="181">
        <v>0</v>
      </c>
      <c r="N98" s="181">
        <v>0</v>
      </c>
      <c r="O98" s="181">
        <v>0</v>
      </c>
      <c r="P98" s="181">
        <v>0</v>
      </c>
      <c r="Q98" s="181">
        <v>0</v>
      </c>
      <c r="R98" s="181">
        <v>0</v>
      </c>
      <c r="S98" s="181">
        <v>3663807234</v>
      </c>
      <c r="T98" s="181">
        <v>477141889</v>
      </c>
      <c r="U98" s="181">
        <v>3186665345</v>
      </c>
      <c r="V98" s="181">
        <v>0</v>
      </c>
      <c r="W98" s="181">
        <v>0</v>
      </c>
      <c r="X98" s="181">
        <v>0</v>
      </c>
      <c r="Y98" s="181">
        <v>0</v>
      </c>
      <c r="Z98" s="181">
        <v>0</v>
      </c>
      <c r="AA98" s="181">
        <v>0</v>
      </c>
      <c r="AB98" s="181">
        <v>3663807234</v>
      </c>
      <c r="AC98" s="181">
        <v>477141889</v>
      </c>
      <c r="AD98" s="1180">
        <v>3186665345</v>
      </c>
      <c r="AE98" s="1183">
        <v>3186665345</v>
      </c>
      <c r="AF98" s="181">
        <v>0</v>
      </c>
      <c r="AG98" s="181">
        <v>0</v>
      </c>
      <c r="AH98" s="181">
        <v>3186665345</v>
      </c>
      <c r="AI98" s="181">
        <v>3663807234</v>
      </c>
      <c r="AJ98" s="181">
        <v>477141889</v>
      </c>
      <c r="AK98" s="181">
        <v>3663807234</v>
      </c>
      <c r="AL98" s="181">
        <v>0</v>
      </c>
      <c r="AM98" s="181">
        <v>477141889</v>
      </c>
      <c r="AN98" s="181" t="s">
        <v>145</v>
      </c>
    </row>
    <row r="99" spans="1:45" ht="45" hidden="1" x14ac:dyDescent="0.25">
      <c r="A99" s="181">
        <v>307</v>
      </c>
      <c r="B99" s="181">
        <v>47</v>
      </c>
      <c r="C99" s="181" t="s">
        <v>417</v>
      </c>
      <c r="D99" s="1179" t="s">
        <v>418</v>
      </c>
      <c r="E99" s="181">
        <v>141163803</v>
      </c>
      <c r="F99" s="181">
        <v>141163803</v>
      </c>
      <c r="G99" s="181">
        <v>0</v>
      </c>
      <c r="H99" s="181">
        <v>37304381</v>
      </c>
      <c r="I99" s="181">
        <v>-37304381</v>
      </c>
      <c r="J99" s="181">
        <v>0</v>
      </c>
      <c r="K99" s="181">
        <v>37304381</v>
      </c>
      <c r="L99" s="181">
        <v>103859422</v>
      </c>
      <c r="M99" s="181">
        <v>0</v>
      </c>
      <c r="N99" s="181">
        <v>0</v>
      </c>
      <c r="O99" s="181">
        <v>0</v>
      </c>
      <c r="P99" s="181">
        <v>0</v>
      </c>
      <c r="Q99" s="181">
        <v>0</v>
      </c>
      <c r="R99" s="181">
        <v>0</v>
      </c>
      <c r="S99" s="181">
        <v>119068844</v>
      </c>
      <c r="T99" s="181">
        <v>0</v>
      </c>
      <c r="U99" s="181">
        <v>119068844</v>
      </c>
      <c r="V99" s="181">
        <v>0</v>
      </c>
      <c r="W99" s="181">
        <v>0</v>
      </c>
      <c r="X99" s="181">
        <v>0</v>
      </c>
      <c r="Y99" s="181">
        <v>0</v>
      </c>
      <c r="Z99" s="181">
        <v>0</v>
      </c>
      <c r="AA99" s="181">
        <v>0</v>
      </c>
      <c r="AB99" s="181">
        <v>119068844</v>
      </c>
      <c r="AC99" s="181">
        <v>0</v>
      </c>
      <c r="AD99" s="1180">
        <v>119068844</v>
      </c>
      <c r="AE99" s="1183">
        <v>119068844</v>
      </c>
      <c r="AF99" s="181">
        <v>0</v>
      </c>
      <c r="AG99" s="181">
        <v>0</v>
      </c>
      <c r="AH99" s="181">
        <v>119068844</v>
      </c>
      <c r="AI99" s="181">
        <v>119068844</v>
      </c>
      <c r="AJ99" s="181">
        <v>0</v>
      </c>
      <c r="AK99" s="181">
        <v>119068844</v>
      </c>
      <c r="AL99" s="181">
        <v>0</v>
      </c>
      <c r="AM99" s="181">
        <v>0</v>
      </c>
      <c r="AN99" s="181" t="s">
        <v>167</v>
      </c>
    </row>
    <row r="100" spans="1:45" ht="45" hidden="1" x14ac:dyDescent="0.25">
      <c r="A100" s="181">
        <v>307</v>
      </c>
      <c r="B100" s="181" t="s">
        <v>226</v>
      </c>
      <c r="C100" s="181" t="s">
        <v>427</v>
      </c>
      <c r="D100" s="1179" t="s">
        <v>428</v>
      </c>
      <c r="E100" s="181">
        <v>250000000</v>
      </c>
      <c r="F100" s="181">
        <v>250000000</v>
      </c>
      <c r="G100" s="181">
        <v>49427626573</v>
      </c>
      <c r="H100" s="181">
        <v>25000000</v>
      </c>
      <c r="I100" s="181">
        <v>49402626573</v>
      </c>
      <c r="J100" s="181">
        <v>49427626573</v>
      </c>
      <c r="K100" s="181">
        <v>25000000</v>
      </c>
      <c r="L100" s="181">
        <v>49652626573</v>
      </c>
      <c r="M100" s="181">
        <v>0</v>
      </c>
      <c r="N100" s="181">
        <v>0</v>
      </c>
      <c r="O100" s="181">
        <v>0</v>
      </c>
      <c r="P100" s="181">
        <v>0</v>
      </c>
      <c r="Q100" s="181">
        <v>0</v>
      </c>
      <c r="R100" s="181">
        <v>0</v>
      </c>
      <c r="S100" s="181">
        <v>53453368090</v>
      </c>
      <c r="T100" s="181">
        <v>3800741517</v>
      </c>
      <c r="U100" s="181">
        <v>49652626573</v>
      </c>
      <c r="V100" s="181">
        <v>0</v>
      </c>
      <c r="W100" s="181">
        <v>0</v>
      </c>
      <c r="X100" s="181">
        <v>0</v>
      </c>
      <c r="Y100" s="181">
        <v>0</v>
      </c>
      <c r="Z100" s="181">
        <v>0</v>
      </c>
      <c r="AA100" s="181">
        <v>0</v>
      </c>
      <c r="AB100" s="181">
        <v>53453368090</v>
      </c>
      <c r="AC100" s="181">
        <v>3800741517</v>
      </c>
      <c r="AD100" s="1180">
        <v>49652626573</v>
      </c>
      <c r="AE100" s="1180">
        <v>49652626573</v>
      </c>
      <c r="AF100" s="181">
        <v>0</v>
      </c>
      <c r="AG100" s="181">
        <v>0</v>
      </c>
      <c r="AH100" s="181">
        <v>49655044573</v>
      </c>
      <c r="AI100" s="181">
        <v>53453368090</v>
      </c>
      <c r="AJ100" s="181">
        <v>3798323517</v>
      </c>
      <c r="AK100" s="181">
        <v>53453368090</v>
      </c>
      <c r="AL100" s="181">
        <v>0</v>
      </c>
      <c r="AM100" s="181">
        <v>3798323517</v>
      </c>
      <c r="AN100" s="181" t="s">
        <v>1709</v>
      </c>
      <c r="AS100" s="181"/>
    </row>
    <row r="101" spans="1:45" hidden="1" x14ac:dyDescent="0.25">
      <c r="A101" s="181">
        <v>307</v>
      </c>
      <c r="B101" s="181" t="s">
        <v>226</v>
      </c>
      <c r="C101" s="181" t="s">
        <v>429</v>
      </c>
      <c r="D101" s="1179" t="s">
        <v>430</v>
      </c>
      <c r="E101" s="181">
        <v>250000000</v>
      </c>
      <c r="F101" s="181">
        <v>250000000</v>
      </c>
      <c r="G101" s="181">
        <v>49427626573</v>
      </c>
      <c r="H101" s="181">
        <v>25000000</v>
      </c>
      <c r="I101" s="181">
        <v>49402626573</v>
      </c>
      <c r="J101" s="181">
        <v>49427626573</v>
      </c>
      <c r="K101" s="181">
        <v>25000000</v>
      </c>
      <c r="L101" s="181">
        <v>49652626573</v>
      </c>
      <c r="M101" s="181">
        <v>0</v>
      </c>
      <c r="N101" s="181">
        <v>0</v>
      </c>
      <c r="O101" s="181">
        <v>0</v>
      </c>
      <c r="P101" s="181">
        <v>0</v>
      </c>
      <c r="Q101" s="181">
        <v>0</v>
      </c>
      <c r="R101" s="181">
        <v>0</v>
      </c>
      <c r="S101" s="181">
        <v>53453368090</v>
      </c>
      <c r="T101" s="181">
        <v>3800741517</v>
      </c>
      <c r="U101" s="181">
        <v>49652626573</v>
      </c>
      <c r="V101" s="181">
        <v>0</v>
      </c>
      <c r="W101" s="181">
        <v>0</v>
      </c>
      <c r="X101" s="181">
        <v>0</v>
      </c>
      <c r="Y101" s="181">
        <v>0</v>
      </c>
      <c r="Z101" s="181">
        <v>0</v>
      </c>
      <c r="AA101" s="181">
        <v>0</v>
      </c>
      <c r="AB101" s="181">
        <v>53453368090</v>
      </c>
      <c r="AC101" s="181">
        <v>3800741517</v>
      </c>
      <c r="AD101" s="1180">
        <v>49652626573</v>
      </c>
      <c r="AE101" s="1180">
        <v>49652626573</v>
      </c>
      <c r="AF101" s="181">
        <v>0</v>
      </c>
      <c r="AG101" s="181">
        <v>0</v>
      </c>
      <c r="AH101" s="181">
        <v>49655044573</v>
      </c>
      <c r="AI101" s="181">
        <v>53453368090</v>
      </c>
      <c r="AJ101" s="181">
        <v>3798323517</v>
      </c>
      <c r="AK101" s="181">
        <v>53453368090</v>
      </c>
      <c r="AL101" s="181">
        <v>0</v>
      </c>
      <c r="AM101" s="181">
        <v>3798323517</v>
      </c>
      <c r="AN101" s="181" t="s">
        <v>1709</v>
      </c>
      <c r="AS101" s="181"/>
    </row>
    <row r="102" spans="1:45" hidden="1" x14ac:dyDescent="0.25">
      <c r="A102" s="181">
        <v>307</v>
      </c>
      <c r="B102" s="181" t="s">
        <v>226</v>
      </c>
      <c r="C102" s="181" t="s">
        <v>431</v>
      </c>
      <c r="D102" s="1179" t="s">
        <v>430</v>
      </c>
      <c r="E102" s="181">
        <v>250000000</v>
      </c>
      <c r="F102" s="181">
        <v>250000000</v>
      </c>
      <c r="G102" s="181">
        <v>49427626573</v>
      </c>
      <c r="H102" s="181">
        <v>25000000</v>
      </c>
      <c r="I102" s="181">
        <v>49402626573</v>
      </c>
      <c r="J102" s="181">
        <v>49427626573</v>
      </c>
      <c r="K102" s="181">
        <v>25000000</v>
      </c>
      <c r="L102" s="181">
        <v>49652626573</v>
      </c>
      <c r="M102" s="181">
        <v>0</v>
      </c>
      <c r="N102" s="181">
        <v>0</v>
      </c>
      <c r="O102" s="181">
        <v>0</v>
      </c>
      <c r="P102" s="181">
        <v>0</v>
      </c>
      <c r="Q102" s="181">
        <v>0</v>
      </c>
      <c r="R102" s="181">
        <v>0</v>
      </c>
      <c r="S102" s="181">
        <v>53453368090</v>
      </c>
      <c r="T102" s="181">
        <v>3800741517</v>
      </c>
      <c r="U102" s="181">
        <v>49652626573</v>
      </c>
      <c r="V102" s="181">
        <v>0</v>
      </c>
      <c r="W102" s="181">
        <v>0</v>
      </c>
      <c r="X102" s="181">
        <v>0</v>
      </c>
      <c r="Y102" s="181">
        <v>0</v>
      </c>
      <c r="Z102" s="181">
        <v>0</v>
      </c>
      <c r="AA102" s="181">
        <v>0</v>
      </c>
      <c r="AB102" s="181">
        <v>53453368090</v>
      </c>
      <c r="AC102" s="181">
        <v>3800741517</v>
      </c>
      <c r="AD102" s="1180">
        <v>49652626573</v>
      </c>
      <c r="AE102" s="1180">
        <v>49652626573</v>
      </c>
      <c r="AF102" s="181">
        <v>0</v>
      </c>
      <c r="AG102" s="181">
        <v>0</v>
      </c>
      <c r="AH102" s="181">
        <v>49655044573</v>
      </c>
      <c r="AI102" s="181">
        <v>53453368090</v>
      </c>
      <c r="AJ102" s="181">
        <v>3798323517</v>
      </c>
      <c r="AK102" s="181">
        <v>53453368090</v>
      </c>
      <c r="AL102" s="181">
        <v>0</v>
      </c>
      <c r="AM102" s="181">
        <v>3798323517</v>
      </c>
      <c r="AN102" s="181" t="s">
        <v>1709</v>
      </c>
      <c r="AS102" s="181"/>
    </row>
    <row r="103" spans="1:45" hidden="1" x14ac:dyDescent="0.25">
      <c r="A103" s="181">
        <v>307</v>
      </c>
      <c r="B103" s="181" t="s">
        <v>226</v>
      </c>
      <c r="C103" s="181" t="s">
        <v>432</v>
      </c>
      <c r="D103" s="1179" t="s">
        <v>430</v>
      </c>
      <c r="E103" s="181">
        <v>250000000</v>
      </c>
      <c r="F103" s="181">
        <v>250000000</v>
      </c>
      <c r="G103" s="181">
        <v>49427626573</v>
      </c>
      <c r="H103" s="181">
        <v>25000000</v>
      </c>
      <c r="I103" s="181">
        <v>49402626573</v>
      </c>
      <c r="J103" s="181">
        <v>49427626573</v>
      </c>
      <c r="K103" s="181">
        <v>25000000</v>
      </c>
      <c r="L103" s="181">
        <v>49652626573</v>
      </c>
      <c r="M103" s="181">
        <v>0</v>
      </c>
      <c r="N103" s="181">
        <v>0</v>
      </c>
      <c r="O103" s="181">
        <v>0</v>
      </c>
      <c r="P103" s="181">
        <v>0</v>
      </c>
      <c r="Q103" s="181">
        <v>0</v>
      </c>
      <c r="R103" s="181">
        <v>0</v>
      </c>
      <c r="S103" s="181">
        <v>53453368090</v>
      </c>
      <c r="T103" s="181">
        <v>3800741517</v>
      </c>
      <c r="U103" s="181">
        <v>49652626573</v>
      </c>
      <c r="V103" s="181">
        <v>0</v>
      </c>
      <c r="W103" s="181">
        <v>0</v>
      </c>
      <c r="X103" s="181">
        <v>0</v>
      </c>
      <c r="Y103" s="181">
        <v>0</v>
      </c>
      <c r="Z103" s="181">
        <v>0</v>
      </c>
      <c r="AA103" s="181">
        <v>0</v>
      </c>
      <c r="AB103" s="181">
        <v>53453368090</v>
      </c>
      <c r="AC103" s="181">
        <v>3800741517</v>
      </c>
      <c r="AD103" s="1180">
        <v>49652626573</v>
      </c>
      <c r="AE103" s="1180">
        <v>49652626573</v>
      </c>
      <c r="AF103" s="181">
        <v>0</v>
      </c>
      <c r="AG103" s="181">
        <v>0</v>
      </c>
      <c r="AH103" s="181">
        <v>49655044573</v>
      </c>
      <c r="AI103" s="181">
        <v>53453368090</v>
      </c>
      <c r="AJ103" s="181">
        <v>3798323517</v>
      </c>
      <c r="AK103" s="181">
        <v>53453368090</v>
      </c>
      <c r="AL103" s="181">
        <v>0</v>
      </c>
      <c r="AM103" s="181">
        <v>3798323517</v>
      </c>
      <c r="AN103" s="181" t="s">
        <v>1709</v>
      </c>
      <c r="AS103" s="181"/>
    </row>
    <row r="104" spans="1:45" hidden="1" x14ac:dyDescent="0.25">
      <c r="A104" s="181">
        <v>307</v>
      </c>
      <c r="B104" s="181" t="s">
        <v>226</v>
      </c>
      <c r="C104" s="181" t="s">
        <v>1506</v>
      </c>
      <c r="D104" s="1179" t="s">
        <v>430</v>
      </c>
      <c r="E104" s="181">
        <v>250000000</v>
      </c>
      <c r="F104" s="181">
        <v>250000000</v>
      </c>
      <c r="G104" s="181">
        <v>49427626573</v>
      </c>
      <c r="H104" s="181">
        <v>25000000</v>
      </c>
      <c r="I104" s="181">
        <v>49402626573</v>
      </c>
      <c r="J104" s="181">
        <v>49427626573</v>
      </c>
      <c r="K104" s="181">
        <v>25000000</v>
      </c>
      <c r="L104" s="181">
        <v>49652626573</v>
      </c>
      <c r="M104" s="181">
        <v>0</v>
      </c>
      <c r="N104" s="181">
        <v>0</v>
      </c>
      <c r="O104" s="181">
        <v>0</v>
      </c>
      <c r="P104" s="181">
        <v>0</v>
      </c>
      <c r="Q104" s="181">
        <v>0</v>
      </c>
      <c r="R104" s="181">
        <v>0</v>
      </c>
      <c r="S104" s="181">
        <v>53453368090</v>
      </c>
      <c r="T104" s="181">
        <v>3800741517</v>
      </c>
      <c r="U104" s="181">
        <v>49652626573</v>
      </c>
      <c r="V104" s="181">
        <v>0</v>
      </c>
      <c r="W104" s="181">
        <v>0</v>
      </c>
      <c r="X104" s="181">
        <v>0</v>
      </c>
      <c r="Y104" s="181">
        <v>0</v>
      </c>
      <c r="Z104" s="181">
        <v>0</v>
      </c>
      <c r="AA104" s="181">
        <v>0</v>
      </c>
      <c r="AB104" s="181">
        <v>53453368090</v>
      </c>
      <c r="AC104" s="181">
        <v>3800741517</v>
      </c>
      <c r="AD104" s="1180">
        <v>49652626573</v>
      </c>
      <c r="AE104" s="1180">
        <v>49652626573</v>
      </c>
      <c r="AF104" s="181">
        <v>0</v>
      </c>
      <c r="AG104" s="181">
        <v>0</v>
      </c>
      <c r="AH104" s="181">
        <v>49655044573</v>
      </c>
      <c r="AI104" s="181">
        <v>53453368090</v>
      </c>
      <c r="AJ104" s="181">
        <v>3798323517</v>
      </c>
      <c r="AK104" s="181">
        <v>53453368090</v>
      </c>
      <c r="AL104" s="181">
        <v>0</v>
      </c>
      <c r="AM104" s="181">
        <v>3798323517</v>
      </c>
      <c r="AN104" s="181" t="s">
        <v>1709</v>
      </c>
      <c r="AS104" s="181"/>
    </row>
    <row r="105" spans="1:45" hidden="1" x14ac:dyDescent="0.25">
      <c r="A105" s="181">
        <v>307</v>
      </c>
      <c r="B105" s="181" t="s">
        <v>226</v>
      </c>
      <c r="C105" s="181" t="s">
        <v>1507</v>
      </c>
      <c r="D105" s="1179" t="s">
        <v>430</v>
      </c>
      <c r="E105" s="181">
        <v>250000000</v>
      </c>
      <c r="F105" s="181">
        <v>250000000</v>
      </c>
      <c r="G105" s="181">
        <v>49427626573</v>
      </c>
      <c r="H105" s="181">
        <v>25000000</v>
      </c>
      <c r="I105" s="181">
        <v>49402626573</v>
      </c>
      <c r="J105" s="181">
        <v>49427626573</v>
      </c>
      <c r="K105" s="181">
        <v>25000000</v>
      </c>
      <c r="L105" s="181">
        <v>49652626573</v>
      </c>
      <c r="M105" s="181">
        <v>0</v>
      </c>
      <c r="N105" s="181">
        <v>0</v>
      </c>
      <c r="O105" s="181">
        <v>0</v>
      </c>
      <c r="P105" s="181">
        <v>0</v>
      </c>
      <c r="Q105" s="181">
        <v>0</v>
      </c>
      <c r="R105" s="181">
        <v>0</v>
      </c>
      <c r="S105" s="181">
        <v>53453368090</v>
      </c>
      <c r="T105" s="181">
        <v>3800741517</v>
      </c>
      <c r="U105" s="181">
        <v>49652626573</v>
      </c>
      <c r="V105" s="181">
        <v>0</v>
      </c>
      <c r="W105" s="181">
        <v>0</v>
      </c>
      <c r="X105" s="181">
        <v>0</v>
      </c>
      <c r="Y105" s="181">
        <v>0</v>
      </c>
      <c r="Z105" s="181">
        <v>0</v>
      </c>
      <c r="AA105" s="181">
        <v>0</v>
      </c>
      <c r="AB105" s="181">
        <v>53453368090</v>
      </c>
      <c r="AC105" s="181">
        <v>3800741517</v>
      </c>
      <c r="AD105" s="1180">
        <v>49652626573</v>
      </c>
      <c r="AE105" s="1180">
        <v>49652626573</v>
      </c>
      <c r="AF105" s="181">
        <v>0</v>
      </c>
      <c r="AG105" s="181">
        <v>0</v>
      </c>
      <c r="AH105" s="181">
        <v>49655044573</v>
      </c>
      <c r="AI105" s="181">
        <v>53453368090</v>
      </c>
      <c r="AJ105" s="181">
        <v>3798323517</v>
      </c>
      <c r="AK105" s="181">
        <v>53453368090</v>
      </c>
      <c r="AL105" s="181">
        <v>0</v>
      </c>
      <c r="AM105" s="181">
        <v>3798323517</v>
      </c>
      <c r="AN105" s="181" t="s">
        <v>1709</v>
      </c>
      <c r="AS105" s="181"/>
    </row>
    <row r="106" spans="1:45" ht="30" hidden="1" x14ac:dyDescent="0.25">
      <c r="A106" s="181">
        <v>307</v>
      </c>
      <c r="B106" s="181">
        <v>225</v>
      </c>
      <c r="C106" s="181" t="s">
        <v>1234</v>
      </c>
      <c r="D106" s="1179" t="s">
        <v>1235</v>
      </c>
      <c r="E106" s="181">
        <v>0</v>
      </c>
      <c r="F106" s="181">
        <v>0</v>
      </c>
      <c r="G106" s="181">
        <v>15612200000</v>
      </c>
      <c r="H106" s="181">
        <v>0</v>
      </c>
      <c r="I106" s="181">
        <v>15612200000</v>
      </c>
      <c r="J106" s="181">
        <v>15612200000</v>
      </c>
      <c r="K106" s="181">
        <v>0</v>
      </c>
      <c r="L106" s="181">
        <v>15612200000</v>
      </c>
      <c r="M106" s="181">
        <v>0</v>
      </c>
      <c r="N106" s="181">
        <v>0</v>
      </c>
      <c r="O106" s="181">
        <v>0</v>
      </c>
      <c r="P106" s="181">
        <v>0</v>
      </c>
      <c r="Q106" s="181">
        <v>0</v>
      </c>
      <c r="R106" s="181">
        <v>0</v>
      </c>
      <c r="S106" s="181">
        <v>15612200000</v>
      </c>
      <c r="T106" s="181">
        <v>0</v>
      </c>
      <c r="U106" s="181">
        <v>15612200000</v>
      </c>
      <c r="V106" s="181">
        <v>0</v>
      </c>
      <c r="W106" s="181">
        <v>0</v>
      </c>
      <c r="X106" s="181">
        <v>0</v>
      </c>
      <c r="Y106" s="181">
        <v>0</v>
      </c>
      <c r="Z106" s="181">
        <v>0</v>
      </c>
      <c r="AA106" s="181">
        <v>0</v>
      </c>
      <c r="AB106" s="181">
        <v>15612200000</v>
      </c>
      <c r="AC106" s="181">
        <v>0</v>
      </c>
      <c r="AD106" s="1180">
        <v>15612200000</v>
      </c>
      <c r="AE106" s="1180">
        <v>15612200000</v>
      </c>
      <c r="AF106" s="181">
        <v>0</v>
      </c>
      <c r="AG106" s="181">
        <v>0</v>
      </c>
      <c r="AH106" s="181">
        <v>15612200000</v>
      </c>
      <c r="AI106" s="181">
        <v>15612200000</v>
      </c>
      <c r="AJ106" s="181">
        <v>0</v>
      </c>
      <c r="AK106" s="181">
        <v>15612200000</v>
      </c>
      <c r="AL106" s="181">
        <v>0</v>
      </c>
      <c r="AM106" s="181">
        <v>0</v>
      </c>
      <c r="AN106" s="181" t="s">
        <v>1711</v>
      </c>
      <c r="AS106" s="181"/>
    </row>
    <row r="107" spans="1:45" hidden="1" x14ac:dyDescent="0.25">
      <c r="A107" s="181">
        <v>307</v>
      </c>
      <c r="B107" s="181">
        <v>218</v>
      </c>
      <c r="C107" s="181" t="s">
        <v>1236</v>
      </c>
      <c r="D107" s="1179" t="s">
        <v>438</v>
      </c>
      <c r="E107" s="181">
        <v>0</v>
      </c>
      <c r="F107" s="181">
        <v>0</v>
      </c>
      <c r="G107" s="181">
        <v>10000000000</v>
      </c>
      <c r="H107" s="181">
        <v>0</v>
      </c>
      <c r="I107" s="181">
        <v>10000000000</v>
      </c>
      <c r="J107" s="181">
        <v>10000000000</v>
      </c>
      <c r="K107" s="181">
        <v>0</v>
      </c>
      <c r="L107" s="181">
        <v>10000000000</v>
      </c>
      <c r="M107" s="181">
        <v>0</v>
      </c>
      <c r="N107" s="181">
        <v>0</v>
      </c>
      <c r="O107" s="181">
        <v>0</v>
      </c>
      <c r="P107" s="181">
        <v>0</v>
      </c>
      <c r="Q107" s="181">
        <v>0</v>
      </c>
      <c r="R107" s="181">
        <v>0</v>
      </c>
      <c r="S107" s="181">
        <v>10000000000</v>
      </c>
      <c r="T107" s="181">
        <v>0</v>
      </c>
      <c r="U107" s="181">
        <v>10000000000</v>
      </c>
      <c r="V107" s="181">
        <v>0</v>
      </c>
      <c r="W107" s="181">
        <v>0</v>
      </c>
      <c r="X107" s="181">
        <v>0</v>
      </c>
      <c r="Y107" s="181">
        <v>0</v>
      </c>
      <c r="Z107" s="181">
        <v>0</v>
      </c>
      <c r="AA107" s="181">
        <v>0</v>
      </c>
      <c r="AB107" s="181">
        <v>10000000000</v>
      </c>
      <c r="AC107" s="181">
        <v>0</v>
      </c>
      <c r="AD107" s="1180">
        <v>10000000000</v>
      </c>
      <c r="AE107" s="1180">
        <v>10000000000</v>
      </c>
      <c r="AF107" s="181">
        <v>0</v>
      </c>
      <c r="AG107" s="181">
        <v>0</v>
      </c>
      <c r="AH107" s="181">
        <v>10000000000</v>
      </c>
      <c r="AI107" s="181">
        <v>10000000000</v>
      </c>
      <c r="AJ107" s="181">
        <v>0</v>
      </c>
      <c r="AK107" s="181">
        <v>10000000000</v>
      </c>
      <c r="AL107" s="181">
        <v>0</v>
      </c>
      <c r="AM107" s="181">
        <v>0</v>
      </c>
      <c r="AN107" s="181" t="s">
        <v>1712</v>
      </c>
      <c r="AS107" s="181"/>
    </row>
    <row r="108" spans="1:45" hidden="1" x14ac:dyDescent="0.25">
      <c r="A108" s="181">
        <v>307</v>
      </c>
      <c r="B108" s="181">
        <v>219</v>
      </c>
      <c r="C108" s="181" t="s">
        <v>1237</v>
      </c>
      <c r="D108" s="1179" t="s">
        <v>438</v>
      </c>
      <c r="E108" s="181">
        <v>0</v>
      </c>
      <c r="F108" s="181">
        <v>0</v>
      </c>
      <c r="G108" s="181">
        <v>3798323517</v>
      </c>
      <c r="H108" s="181">
        <v>0</v>
      </c>
      <c r="I108" s="181">
        <v>3798323517</v>
      </c>
      <c r="J108" s="181">
        <v>3798323517</v>
      </c>
      <c r="K108" s="181">
        <v>0</v>
      </c>
      <c r="L108" s="181">
        <v>3798323517</v>
      </c>
      <c r="M108" s="181">
        <v>0</v>
      </c>
      <c r="N108" s="181">
        <v>0</v>
      </c>
      <c r="O108" s="181">
        <v>0</v>
      </c>
      <c r="P108" s="181">
        <v>0</v>
      </c>
      <c r="Q108" s="181">
        <v>0</v>
      </c>
      <c r="R108" s="181">
        <v>0</v>
      </c>
      <c r="S108" s="181">
        <v>7596647034</v>
      </c>
      <c r="T108" s="181">
        <v>3798323517</v>
      </c>
      <c r="U108" s="181">
        <v>3798323517</v>
      </c>
      <c r="V108" s="181">
        <v>0</v>
      </c>
      <c r="W108" s="181">
        <v>0</v>
      </c>
      <c r="X108" s="181">
        <v>0</v>
      </c>
      <c r="Y108" s="181">
        <v>0</v>
      </c>
      <c r="Z108" s="181">
        <v>0</v>
      </c>
      <c r="AA108" s="181">
        <v>0</v>
      </c>
      <c r="AB108" s="181">
        <v>7596647034</v>
      </c>
      <c r="AC108" s="181">
        <v>3798323517</v>
      </c>
      <c r="AD108" s="1180">
        <v>3798323517</v>
      </c>
      <c r="AE108" s="1180">
        <v>3798323517</v>
      </c>
      <c r="AF108" s="181">
        <v>0</v>
      </c>
      <c r="AG108" s="181">
        <v>0</v>
      </c>
      <c r="AH108" s="181">
        <v>3798323517</v>
      </c>
      <c r="AI108" s="181">
        <v>7596647034</v>
      </c>
      <c r="AJ108" s="181">
        <v>3798323517</v>
      </c>
      <c r="AK108" s="181">
        <v>7596647034</v>
      </c>
      <c r="AL108" s="181">
        <v>0</v>
      </c>
      <c r="AM108" s="181">
        <v>3798323517</v>
      </c>
      <c r="AN108" s="181" t="s">
        <v>1713</v>
      </c>
      <c r="AS108" s="181"/>
    </row>
    <row r="109" spans="1:45" hidden="1" x14ac:dyDescent="0.25">
      <c r="A109" s="181">
        <v>307</v>
      </c>
      <c r="B109" s="181">
        <v>226</v>
      </c>
      <c r="C109" s="181" t="s">
        <v>1238</v>
      </c>
      <c r="D109" s="1179" t="s">
        <v>438</v>
      </c>
      <c r="E109" s="181">
        <v>0</v>
      </c>
      <c r="F109" s="181">
        <v>0</v>
      </c>
      <c r="G109" s="181">
        <v>19788720416</v>
      </c>
      <c r="H109" s="181">
        <v>0</v>
      </c>
      <c r="I109" s="181">
        <v>19788720416</v>
      </c>
      <c r="J109" s="181">
        <v>19788720416</v>
      </c>
      <c r="K109" s="181">
        <v>0</v>
      </c>
      <c r="L109" s="181">
        <v>19788720416</v>
      </c>
      <c r="M109" s="181">
        <v>0</v>
      </c>
      <c r="N109" s="181">
        <v>0</v>
      </c>
      <c r="O109" s="181">
        <v>0</v>
      </c>
      <c r="P109" s="181">
        <v>0</v>
      </c>
      <c r="Q109" s="181">
        <v>0</v>
      </c>
      <c r="R109" s="181">
        <v>0</v>
      </c>
      <c r="S109" s="181">
        <v>19788720416</v>
      </c>
      <c r="T109" s="181">
        <v>0</v>
      </c>
      <c r="U109" s="181">
        <v>19788720416</v>
      </c>
      <c r="V109" s="181">
        <v>0</v>
      </c>
      <c r="W109" s="181">
        <v>0</v>
      </c>
      <c r="X109" s="181">
        <v>0</v>
      </c>
      <c r="Y109" s="181">
        <v>0</v>
      </c>
      <c r="Z109" s="181">
        <v>0</v>
      </c>
      <c r="AA109" s="181">
        <v>0</v>
      </c>
      <c r="AB109" s="181">
        <v>19788720416</v>
      </c>
      <c r="AC109" s="181">
        <v>0</v>
      </c>
      <c r="AD109" s="1180">
        <v>19788720416</v>
      </c>
      <c r="AE109" s="1180">
        <v>19788720416</v>
      </c>
      <c r="AF109" s="181">
        <v>0</v>
      </c>
      <c r="AG109" s="181">
        <v>0</v>
      </c>
      <c r="AH109" s="181">
        <v>19788720416</v>
      </c>
      <c r="AI109" s="181">
        <v>19788720416</v>
      </c>
      <c r="AJ109" s="181">
        <v>0</v>
      </c>
      <c r="AK109" s="181">
        <v>19788720416</v>
      </c>
      <c r="AL109" s="181">
        <v>0</v>
      </c>
      <c r="AM109" s="181">
        <v>0</v>
      </c>
      <c r="AN109" s="181" t="s">
        <v>1714</v>
      </c>
      <c r="AS109" s="181"/>
    </row>
    <row r="110" spans="1:45" ht="45" hidden="1" x14ac:dyDescent="0.25">
      <c r="A110" s="181">
        <v>307</v>
      </c>
      <c r="B110" s="181">
        <v>201</v>
      </c>
      <c r="C110" s="181" t="s">
        <v>439</v>
      </c>
      <c r="D110" s="1179" t="s">
        <v>440</v>
      </c>
      <c r="E110" s="181">
        <v>0</v>
      </c>
      <c r="F110" s="181">
        <v>0</v>
      </c>
      <c r="G110" s="181">
        <v>0</v>
      </c>
      <c r="H110" s="181">
        <v>0</v>
      </c>
      <c r="I110" s="181">
        <v>0</v>
      </c>
      <c r="J110" s="181">
        <v>0</v>
      </c>
      <c r="K110" s="181">
        <v>0</v>
      </c>
      <c r="L110" s="181">
        <v>0</v>
      </c>
      <c r="M110" s="181">
        <v>0</v>
      </c>
      <c r="N110" s="181">
        <v>0</v>
      </c>
      <c r="O110" s="181">
        <v>0</v>
      </c>
      <c r="P110" s="181">
        <v>0</v>
      </c>
      <c r="Q110" s="181">
        <v>0</v>
      </c>
      <c r="R110" s="181">
        <v>0</v>
      </c>
      <c r="S110" s="181">
        <v>2418000</v>
      </c>
      <c r="T110" s="181">
        <v>2418000</v>
      </c>
      <c r="U110" s="181">
        <v>0</v>
      </c>
      <c r="V110" s="181">
        <v>0</v>
      </c>
      <c r="W110" s="181">
        <v>0</v>
      </c>
      <c r="X110" s="181">
        <v>0</v>
      </c>
      <c r="Y110" s="181">
        <v>0</v>
      </c>
      <c r="Z110" s="181">
        <v>0</v>
      </c>
      <c r="AA110" s="181">
        <v>0</v>
      </c>
      <c r="AB110" s="181">
        <v>2418000</v>
      </c>
      <c r="AC110" s="181">
        <v>2418000</v>
      </c>
      <c r="AD110" s="1180">
        <v>0</v>
      </c>
      <c r="AE110" s="1180">
        <v>0</v>
      </c>
      <c r="AF110" s="181">
        <v>0</v>
      </c>
      <c r="AG110" s="181">
        <v>0</v>
      </c>
      <c r="AH110" s="181">
        <v>2418000</v>
      </c>
      <c r="AI110" s="181">
        <v>2418000</v>
      </c>
      <c r="AJ110" s="181">
        <v>0</v>
      </c>
      <c r="AK110" s="181">
        <v>2418000</v>
      </c>
      <c r="AL110" s="181">
        <v>0</v>
      </c>
      <c r="AM110" s="181">
        <v>0</v>
      </c>
      <c r="AN110" s="181" t="s">
        <v>1715</v>
      </c>
      <c r="AS110" s="181"/>
    </row>
    <row r="111" spans="1:45" ht="30" hidden="1" x14ac:dyDescent="0.25">
      <c r="A111" s="181">
        <v>307</v>
      </c>
      <c r="B111" s="181">
        <v>56</v>
      </c>
      <c r="C111" s="181" t="s">
        <v>441</v>
      </c>
      <c r="D111" s="1179" t="s">
        <v>442</v>
      </c>
      <c r="E111" s="181">
        <v>250000000</v>
      </c>
      <c r="F111" s="181">
        <v>250000000</v>
      </c>
      <c r="G111" s="181">
        <v>228382640</v>
      </c>
      <c r="H111" s="181">
        <v>25000000</v>
      </c>
      <c r="I111" s="181">
        <v>203382640</v>
      </c>
      <c r="J111" s="181">
        <v>228382640</v>
      </c>
      <c r="K111" s="181">
        <v>25000000</v>
      </c>
      <c r="L111" s="181">
        <v>453382640</v>
      </c>
      <c r="M111" s="181">
        <v>0</v>
      </c>
      <c r="N111" s="181">
        <v>0</v>
      </c>
      <c r="O111" s="181">
        <v>0</v>
      </c>
      <c r="P111" s="181">
        <v>0</v>
      </c>
      <c r="Q111" s="181">
        <v>0</v>
      </c>
      <c r="R111" s="181">
        <v>0</v>
      </c>
      <c r="S111" s="181">
        <v>453382640</v>
      </c>
      <c r="T111" s="181">
        <v>0</v>
      </c>
      <c r="U111" s="181">
        <v>453382640</v>
      </c>
      <c r="V111" s="181">
        <v>0</v>
      </c>
      <c r="W111" s="181">
        <v>0</v>
      </c>
      <c r="X111" s="181">
        <v>0</v>
      </c>
      <c r="Y111" s="181">
        <v>0</v>
      </c>
      <c r="Z111" s="181">
        <v>0</v>
      </c>
      <c r="AA111" s="181">
        <v>0</v>
      </c>
      <c r="AB111" s="181">
        <v>453382640</v>
      </c>
      <c r="AC111" s="181">
        <v>0</v>
      </c>
      <c r="AD111" s="1180">
        <v>453382640</v>
      </c>
      <c r="AE111" s="1183">
        <v>453382640</v>
      </c>
      <c r="AF111" s="181">
        <v>0</v>
      </c>
      <c r="AG111" s="181">
        <v>0</v>
      </c>
      <c r="AH111" s="181">
        <v>453382640</v>
      </c>
      <c r="AI111" s="181">
        <v>453382640</v>
      </c>
      <c r="AJ111" s="181">
        <v>0</v>
      </c>
      <c r="AK111" s="181">
        <v>453382640</v>
      </c>
      <c r="AL111" s="181">
        <v>0</v>
      </c>
      <c r="AM111" s="181">
        <v>0</v>
      </c>
      <c r="AN111" s="181" t="s">
        <v>1716</v>
      </c>
    </row>
    <row r="112" spans="1:45" hidden="1" x14ac:dyDescent="0.25">
      <c r="A112" s="181">
        <v>307</v>
      </c>
      <c r="B112" s="181" t="s">
        <v>226</v>
      </c>
      <c r="C112" s="181" t="s">
        <v>443</v>
      </c>
      <c r="D112" s="1179" t="s">
        <v>444</v>
      </c>
      <c r="E112" s="181">
        <v>854197207</v>
      </c>
      <c r="F112" s="181">
        <v>854197207</v>
      </c>
      <c r="G112" s="181">
        <v>0</v>
      </c>
      <c r="H112" s="181">
        <v>0</v>
      </c>
      <c r="I112" s="181">
        <v>0</v>
      </c>
      <c r="J112" s="181">
        <v>0</v>
      </c>
      <c r="K112" s="181">
        <v>0</v>
      </c>
      <c r="L112" s="181">
        <v>854197207</v>
      </c>
      <c r="M112" s="181">
        <v>0</v>
      </c>
      <c r="N112" s="181">
        <v>0</v>
      </c>
      <c r="O112" s="181">
        <v>0</v>
      </c>
      <c r="P112" s="181">
        <v>0</v>
      </c>
      <c r="Q112" s="181">
        <v>0</v>
      </c>
      <c r="R112" s="181">
        <v>0</v>
      </c>
      <c r="S112" s="181">
        <v>658231016.25</v>
      </c>
      <c r="T112" s="181">
        <v>13078041.880000001</v>
      </c>
      <c r="U112" s="181">
        <v>645152974.37</v>
      </c>
      <c r="V112" s="181">
        <v>0</v>
      </c>
      <c r="W112" s="181">
        <v>0</v>
      </c>
      <c r="X112" s="181">
        <v>0</v>
      </c>
      <c r="Y112" s="181">
        <v>0</v>
      </c>
      <c r="Z112" s="181">
        <v>0</v>
      </c>
      <c r="AA112" s="181">
        <v>0</v>
      </c>
      <c r="AB112" s="181">
        <v>658231016.25</v>
      </c>
      <c r="AC112" s="181">
        <v>13078041.880000001</v>
      </c>
      <c r="AD112" s="1180">
        <v>645152974.37</v>
      </c>
      <c r="AE112" s="1180">
        <v>645152974.37</v>
      </c>
      <c r="AF112" s="181">
        <v>0</v>
      </c>
      <c r="AG112" s="181">
        <v>0</v>
      </c>
      <c r="AH112" s="181">
        <v>645152974.37</v>
      </c>
      <c r="AI112" s="181">
        <v>658231016.25</v>
      </c>
      <c r="AJ112" s="181">
        <v>13078041.880000001</v>
      </c>
      <c r="AK112" s="181">
        <v>658231016.25</v>
      </c>
      <c r="AL112" s="181">
        <v>0</v>
      </c>
      <c r="AM112" s="181">
        <v>13078041.880000001</v>
      </c>
      <c r="AN112" s="181" t="s">
        <v>1709</v>
      </c>
      <c r="AS112" s="181"/>
    </row>
    <row r="113" spans="1:45" hidden="1" x14ac:dyDescent="0.25">
      <c r="A113" s="181">
        <v>307</v>
      </c>
      <c r="B113" s="181" t="s">
        <v>226</v>
      </c>
      <c r="C113" s="181" t="s">
        <v>445</v>
      </c>
      <c r="D113" s="1179" t="s">
        <v>446</v>
      </c>
      <c r="E113" s="181">
        <v>854197207</v>
      </c>
      <c r="F113" s="181">
        <v>854197207</v>
      </c>
      <c r="G113" s="181">
        <v>0</v>
      </c>
      <c r="H113" s="181">
        <v>0</v>
      </c>
      <c r="I113" s="181">
        <v>0</v>
      </c>
      <c r="J113" s="181">
        <v>0</v>
      </c>
      <c r="K113" s="181">
        <v>0</v>
      </c>
      <c r="L113" s="181">
        <v>854197207</v>
      </c>
      <c r="M113" s="181">
        <v>0</v>
      </c>
      <c r="N113" s="181">
        <v>0</v>
      </c>
      <c r="O113" s="181">
        <v>0</v>
      </c>
      <c r="P113" s="181">
        <v>0</v>
      </c>
      <c r="Q113" s="181">
        <v>0</v>
      </c>
      <c r="R113" s="181">
        <v>0</v>
      </c>
      <c r="S113" s="181">
        <v>658231016.25</v>
      </c>
      <c r="T113" s="181">
        <v>13078041.880000001</v>
      </c>
      <c r="U113" s="181">
        <v>645152974.37</v>
      </c>
      <c r="V113" s="181">
        <v>0</v>
      </c>
      <c r="W113" s="181">
        <v>0</v>
      </c>
      <c r="X113" s="181">
        <v>0</v>
      </c>
      <c r="Y113" s="181">
        <v>0</v>
      </c>
      <c r="Z113" s="181">
        <v>0</v>
      </c>
      <c r="AA113" s="181">
        <v>0</v>
      </c>
      <c r="AB113" s="181">
        <v>658231016.25</v>
      </c>
      <c r="AC113" s="181">
        <v>13078041.880000001</v>
      </c>
      <c r="AD113" s="1180">
        <v>645152974.37</v>
      </c>
      <c r="AE113" s="1180">
        <v>645152974.37</v>
      </c>
      <c r="AF113" s="181">
        <v>0</v>
      </c>
      <c r="AG113" s="181">
        <v>0</v>
      </c>
      <c r="AH113" s="181">
        <v>645152974.37</v>
      </c>
      <c r="AI113" s="181">
        <v>658231016.25</v>
      </c>
      <c r="AJ113" s="181">
        <v>13078041.880000001</v>
      </c>
      <c r="AK113" s="181">
        <v>658231016.25</v>
      </c>
      <c r="AL113" s="181">
        <v>0</v>
      </c>
      <c r="AM113" s="181">
        <v>13078041.880000001</v>
      </c>
      <c r="AN113" s="181" t="s">
        <v>1709</v>
      </c>
      <c r="AS113" s="181"/>
    </row>
    <row r="114" spans="1:45" hidden="1" x14ac:dyDescent="0.25">
      <c r="A114" s="181">
        <v>307</v>
      </c>
      <c r="B114" s="181" t="s">
        <v>226</v>
      </c>
      <c r="C114" s="181" t="s">
        <v>447</v>
      </c>
      <c r="D114" s="1179" t="s">
        <v>446</v>
      </c>
      <c r="E114" s="181">
        <v>854197207</v>
      </c>
      <c r="F114" s="181">
        <v>854197207</v>
      </c>
      <c r="G114" s="181">
        <v>0</v>
      </c>
      <c r="H114" s="181">
        <v>0</v>
      </c>
      <c r="I114" s="181">
        <v>0</v>
      </c>
      <c r="J114" s="181">
        <v>0</v>
      </c>
      <c r="K114" s="181">
        <v>0</v>
      </c>
      <c r="L114" s="181">
        <v>854197207</v>
      </c>
      <c r="M114" s="181">
        <v>0</v>
      </c>
      <c r="N114" s="181">
        <v>0</v>
      </c>
      <c r="O114" s="181">
        <v>0</v>
      </c>
      <c r="P114" s="181">
        <v>0</v>
      </c>
      <c r="Q114" s="181">
        <v>0</v>
      </c>
      <c r="R114" s="181">
        <v>0</v>
      </c>
      <c r="S114" s="181">
        <v>658231016.25</v>
      </c>
      <c r="T114" s="181">
        <v>13078041.880000001</v>
      </c>
      <c r="U114" s="181">
        <v>645152974.37</v>
      </c>
      <c r="V114" s="181">
        <v>0</v>
      </c>
      <c r="W114" s="181">
        <v>0</v>
      </c>
      <c r="X114" s="181">
        <v>0</v>
      </c>
      <c r="Y114" s="181">
        <v>0</v>
      </c>
      <c r="Z114" s="181">
        <v>0</v>
      </c>
      <c r="AA114" s="181">
        <v>0</v>
      </c>
      <c r="AB114" s="181">
        <v>658231016.25</v>
      </c>
      <c r="AC114" s="181">
        <v>13078041.880000001</v>
      </c>
      <c r="AD114" s="1180">
        <v>645152974.37</v>
      </c>
      <c r="AE114" s="1180">
        <v>645152974.37</v>
      </c>
      <c r="AF114" s="181">
        <v>0</v>
      </c>
      <c r="AG114" s="181">
        <v>0</v>
      </c>
      <c r="AH114" s="181">
        <v>645152974.37</v>
      </c>
      <c r="AI114" s="181">
        <v>658231016.25</v>
      </c>
      <c r="AJ114" s="181">
        <v>13078041.880000001</v>
      </c>
      <c r="AK114" s="181">
        <v>658231016.25</v>
      </c>
      <c r="AL114" s="181">
        <v>0</v>
      </c>
      <c r="AM114" s="181">
        <v>13078041.880000001</v>
      </c>
      <c r="AN114" s="181" t="s">
        <v>1709</v>
      </c>
      <c r="AS114" s="181"/>
    </row>
    <row r="115" spans="1:45" hidden="1" x14ac:dyDescent="0.25">
      <c r="A115" s="181">
        <v>307</v>
      </c>
      <c r="B115" s="181" t="s">
        <v>226</v>
      </c>
      <c r="C115" s="181" t="s">
        <v>1508</v>
      </c>
      <c r="D115" s="1179" t="s">
        <v>446</v>
      </c>
      <c r="E115" s="181">
        <v>854197207</v>
      </c>
      <c r="F115" s="181">
        <v>854197207</v>
      </c>
      <c r="G115" s="181">
        <v>0</v>
      </c>
      <c r="H115" s="181">
        <v>0</v>
      </c>
      <c r="I115" s="181">
        <v>0</v>
      </c>
      <c r="J115" s="181">
        <v>0</v>
      </c>
      <c r="K115" s="181">
        <v>0</v>
      </c>
      <c r="L115" s="181">
        <v>854197207</v>
      </c>
      <c r="M115" s="181">
        <v>0</v>
      </c>
      <c r="N115" s="181">
        <v>0</v>
      </c>
      <c r="O115" s="181">
        <v>0</v>
      </c>
      <c r="P115" s="181">
        <v>0</v>
      </c>
      <c r="Q115" s="181">
        <v>0</v>
      </c>
      <c r="R115" s="181">
        <v>0</v>
      </c>
      <c r="S115" s="181">
        <v>658231016.25</v>
      </c>
      <c r="T115" s="181">
        <v>13078041.880000001</v>
      </c>
      <c r="U115" s="181">
        <v>645152974.37</v>
      </c>
      <c r="V115" s="181">
        <v>0</v>
      </c>
      <c r="W115" s="181">
        <v>0</v>
      </c>
      <c r="X115" s="181">
        <v>0</v>
      </c>
      <c r="Y115" s="181">
        <v>0</v>
      </c>
      <c r="Z115" s="181">
        <v>0</v>
      </c>
      <c r="AA115" s="181">
        <v>0</v>
      </c>
      <c r="AB115" s="181">
        <v>658231016.25</v>
      </c>
      <c r="AC115" s="181">
        <v>13078041.880000001</v>
      </c>
      <c r="AD115" s="1180">
        <v>645152974.37</v>
      </c>
      <c r="AE115" s="1180">
        <v>645152974.37</v>
      </c>
      <c r="AF115" s="181">
        <v>0</v>
      </c>
      <c r="AG115" s="181">
        <v>0</v>
      </c>
      <c r="AH115" s="181">
        <v>645152974.37</v>
      </c>
      <c r="AI115" s="181">
        <v>658231016.25</v>
      </c>
      <c r="AJ115" s="181">
        <v>13078041.880000001</v>
      </c>
      <c r="AK115" s="181">
        <v>658231016.25</v>
      </c>
      <c r="AL115" s="181">
        <v>0</v>
      </c>
      <c r="AM115" s="181">
        <v>13078041.880000001</v>
      </c>
      <c r="AN115" s="181" t="s">
        <v>1709</v>
      </c>
      <c r="AS115" s="181"/>
    </row>
    <row r="116" spans="1:45" hidden="1" x14ac:dyDescent="0.25">
      <c r="A116" s="181">
        <v>307</v>
      </c>
      <c r="B116" s="181" t="s">
        <v>226</v>
      </c>
      <c r="C116" s="181" t="s">
        <v>1509</v>
      </c>
      <c r="D116" s="1179" t="s">
        <v>446</v>
      </c>
      <c r="E116" s="181">
        <v>854197207</v>
      </c>
      <c r="F116" s="181">
        <v>854197207</v>
      </c>
      <c r="G116" s="181">
        <v>0</v>
      </c>
      <c r="H116" s="181">
        <v>0</v>
      </c>
      <c r="I116" s="181">
        <v>0</v>
      </c>
      <c r="J116" s="181">
        <v>0</v>
      </c>
      <c r="K116" s="181">
        <v>0</v>
      </c>
      <c r="L116" s="181">
        <v>854197207</v>
      </c>
      <c r="M116" s="181">
        <v>0</v>
      </c>
      <c r="N116" s="181">
        <v>0</v>
      </c>
      <c r="O116" s="181">
        <v>0</v>
      </c>
      <c r="P116" s="181">
        <v>0</v>
      </c>
      <c r="Q116" s="181">
        <v>0</v>
      </c>
      <c r="R116" s="181">
        <v>0</v>
      </c>
      <c r="S116" s="181">
        <v>658231016.25</v>
      </c>
      <c r="T116" s="181">
        <v>13078041.880000001</v>
      </c>
      <c r="U116" s="181">
        <v>645152974.37</v>
      </c>
      <c r="V116" s="181">
        <v>0</v>
      </c>
      <c r="W116" s="181">
        <v>0</v>
      </c>
      <c r="X116" s="181">
        <v>0</v>
      </c>
      <c r="Y116" s="181">
        <v>0</v>
      </c>
      <c r="Z116" s="181">
        <v>0</v>
      </c>
      <c r="AA116" s="181">
        <v>0</v>
      </c>
      <c r="AB116" s="181">
        <v>658231016.25</v>
      </c>
      <c r="AC116" s="181">
        <v>13078041.880000001</v>
      </c>
      <c r="AD116" s="1180">
        <v>645152974.37</v>
      </c>
      <c r="AE116" s="1180">
        <v>645152974.37</v>
      </c>
      <c r="AF116" s="181">
        <v>0</v>
      </c>
      <c r="AG116" s="181">
        <v>0</v>
      </c>
      <c r="AH116" s="181">
        <v>645152974.37</v>
      </c>
      <c r="AI116" s="181">
        <v>658231016.25</v>
      </c>
      <c r="AJ116" s="181">
        <v>13078041.880000001</v>
      </c>
      <c r="AK116" s="181">
        <v>658231016.25</v>
      </c>
      <c r="AL116" s="181">
        <v>0</v>
      </c>
      <c r="AM116" s="181">
        <v>13078041.880000001</v>
      </c>
      <c r="AN116" s="181" t="s">
        <v>1709</v>
      </c>
      <c r="AS116" s="181"/>
    </row>
    <row r="117" spans="1:45" hidden="1" x14ac:dyDescent="0.25">
      <c r="A117" s="181">
        <v>307</v>
      </c>
      <c r="B117" s="181">
        <v>20</v>
      </c>
      <c r="C117" s="181" t="s">
        <v>1239</v>
      </c>
      <c r="D117" s="1179" t="s">
        <v>325</v>
      </c>
      <c r="E117" s="181">
        <v>0</v>
      </c>
      <c r="F117" s="181">
        <v>0</v>
      </c>
      <c r="G117" s="181">
        <v>0</v>
      </c>
      <c r="H117" s="181">
        <v>0</v>
      </c>
      <c r="I117" s="181">
        <v>0</v>
      </c>
      <c r="J117" s="181">
        <v>0</v>
      </c>
      <c r="K117" s="181">
        <v>0</v>
      </c>
      <c r="L117" s="181">
        <v>0</v>
      </c>
      <c r="M117" s="181">
        <v>0</v>
      </c>
      <c r="N117" s="181">
        <v>0</v>
      </c>
      <c r="O117" s="181">
        <v>0</v>
      </c>
      <c r="P117" s="181">
        <v>0</v>
      </c>
      <c r="Q117" s="181">
        <v>0</v>
      </c>
      <c r="R117" s="181">
        <v>0</v>
      </c>
      <c r="S117" s="181">
        <v>7353545</v>
      </c>
      <c r="T117" s="181">
        <v>565565</v>
      </c>
      <c r="U117" s="181">
        <v>6787980</v>
      </c>
      <c r="V117" s="181">
        <v>0</v>
      </c>
      <c r="W117" s="181">
        <v>0</v>
      </c>
      <c r="X117" s="181">
        <v>0</v>
      </c>
      <c r="Y117" s="181">
        <v>0</v>
      </c>
      <c r="Z117" s="181">
        <v>0</v>
      </c>
      <c r="AA117" s="181">
        <v>0</v>
      </c>
      <c r="AB117" s="181">
        <v>7353545</v>
      </c>
      <c r="AC117" s="181">
        <v>565565</v>
      </c>
      <c r="AD117" s="1180">
        <v>6787980</v>
      </c>
      <c r="AE117" s="1183">
        <v>6787980</v>
      </c>
      <c r="AF117" s="181">
        <v>0</v>
      </c>
      <c r="AG117" s="181">
        <v>0</v>
      </c>
      <c r="AH117" s="181">
        <v>6787980</v>
      </c>
      <c r="AI117" s="181">
        <v>7353545</v>
      </c>
      <c r="AJ117" s="181">
        <v>565565</v>
      </c>
      <c r="AK117" s="181">
        <v>7353545</v>
      </c>
      <c r="AL117" s="181">
        <v>0</v>
      </c>
      <c r="AM117" s="181">
        <v>565565</v>
      </c>
      <c r="AN117" s="181" t="s">
        <v>140</v>
      </c>
      <c r="AS117" s="181"/>
    </row>
    <row r="118" spans="1:45" ht="30" hidden="1" x14ac:dyDescent="0.25">
      <c r="A118" s="181">
        <v>307</v>
      </c>
      <c r="B118" s="181">
        <v>20</v>
      </c>
      <c r="C118" s="181" t="s">
        <v>452</v>
      </c>
      <c r="D118" s="1179" t="s">
        <v>453</v>
      </c>
      <c r="E118" s="181">
        <v>6464018.1500000004</v>
      </c>
      <c r="F118" s="181">
        <v>6464018.1500000004</v>
      </c>
      <c r="G118" s="181">
        <v>0</v>
      </c>
      <c r="H118" s="181">
        <v>0</v>
      </c>
      <c r="I118" s="181">
        <v>0</v>
      </c>
      <c r="J118" s="181">
        <v>0</v>
      </c>
      <c r="K118" s="181">
        <v>0</v>
      </c>
      <c r="L118" s="181">
        <v>6464018.1500000004</v>
      </c>
      <c r="M118" s="181">
        <v>0</v>
      </c>
      <c r="N118" s="181">
        <v>0</v>
      </c>
      <c r="O118" s="181">
        <v>0</v>
      </c>
      <c r="P118" s="181">
        <v>0</v>
      </c>
      <c r="Q118" s="181">
        <v>0</v>
      </c>
      <c r="R118" s="181">
        <v>0</v>
      </c>
      <c r="S118" s="181">
        <v>767101</v>
      </c>
      <c r="T118" s="181">
        <v>0</v>
      </c>
      <c r="U118" s="181">
        <v>767101</v>
      </c>
      <c r="V118" s="181">
        <v>0</v>
      </c>
      <c r="W118" s="181">
        <v>0</v>
      </c>
      <c r="X118" s="181">
        <v>0</v>
      </c>
      <c r="Y118" s="181">
        <v>0</v>
      </c>
      <c r="Z118" s="181">
        <v>0</v>
      </c>
      <c r="AA118" s="181">
        <v>0</v>
      </c>
      <c r="AB118" s="181">
        <v>767101</v>
      </c>
      <c r="AC118" s="181">
        <v>0</v>
      </c>
      <c r="AD118" s="1180">
        <v>767101</v>
      </c>
      <c r="AE118" s="1183">
        <v>767101</v>
      </c>
      <c r="AF118" s="181">
        <v>0</v>
      </c>
      <c r="AG118" s="181">
        <v>0</v>
      </c>
      <c r="AH118" s="181">
        <v>767101</v>
      </c>
      <c r="AI118" s="181">
        <v>767101</v>
      </c>
      <c r="AJ118" s="181">
        <v>0</v>
      </c>
      <c r="AK118" s="181">
        <v>767101</v>
      </c>
      <c r="AL118" s="181">
        <v>0</v>
      </c>
      <c r="AM118" s="181">
        <v>0</v>
      </c>
      <c r="AN118" s="181" t="s">
        <v>140</v>
      </c>
    </row>
    <row r="119" spans="1:45" ht="30" hidden="1" x14ac:dyDescent="0.25">
      <c r="A119" s="181">
        <v>307</v>
      </c>
      <c r="B119" s="181">
        <v>20</v>
      </c>
      <c r="C119" s="181" t="s">
        <v>454</v>
      </c>
      <c r="D119" s="1179" t="s">
        <v>455</v>
      </c>
      <c r="E119" s="181">
        <v>29212466.32</v>
      </c>
      <c r="F119" s="181">
        <v>29212466.32</v>
      </c>
      <c r="G119" s="181">
        <v>0</v>
      </c>
      <c r="H119" s="181">
        <v>0</v>
      </c>
      <c r="I119" s="181">
        <v>0</v>
      </c>
      <c r="J119" s="181">
        <v>0</v>
      </c>
      <c r="K119" s="181">
        <v>0</v>
      </c>
      <c r="L119" s="181">
        <v>29212466.32</v>
      </c>
      <c r="M119" s="181">
        <v>0</v>
      </c>
      <c r="N119" s="181">
        <v>0</v>
      </c>
      <c r="O119" s="181">
        <v>0</v>
      </c>
      <c r="P119" s="181">
        <v>0</v>
      </c>
      <c r="Q119" s="181">
        <v>0</v>
      </c>
      <c r="R119" s="181">
        <v>0</v>
      </c>
      <c r="S119" s="181">
        <v>13937621</v>
      </c>
      <c r="T119" s="181">
        <v>0</v>
      </c>
      <c r="U119" s="181">
        <v>13937621</v>
      </c>
      <c r="V119" s="181">
        <v>0</v>
      </c>
      <c r="W119" s="181">
        <v>0</v>
      </c>
      <c r="X119" s="181">
        <v>0</v>
      </c>
      <c r="Y119" s="181">
        <v>0</v>
      </c>
      <c r="Z119" s="181">
        <v>0</v>
      </c>
      <c r="AA119" s="181">
        <v>0</v>
      </c>
      <c r="AB119" s="181">
        <v>13937621</v>
      </c>
      <c r="AC119" s="181">
        <v>0</v>
      </c>
      <c r="AD119" s="1180">
        <v>13937621</v>
      </c>
      <c r="AE119" s="1183">
        <v>13937621</v>
      </c>
      <c r="AF119" s="181">
        <v>0</v>
      </c>
      <c r="AG119" s="181">
        <v>0</v>
      </c>
      <c r="AH119" s="181">
        <v>13937621</v>
      </c>
      <c r="AI119" s="181">
        <v>13937621</v>
      </c>
      <c r="AJ119" s="181">
        <v>0</v>
      </c>
      <c r="AK119" s="181">
        <v>13937621</v>
      </c>
      <c r="AL119" s="181">
        <v>0</v>
      </c>
      <c r="AM119" s="181">
        <v>0</v>
      </c>
      <c r="AN119" s="181" t="s">
        <v>140</v>
      </c>
    </row>
    <row r="120" spans="1:45" ht="30" hidden="1" x14ac:dyDescent="0.25">
      <c r="A120" s="181">
        <v>307</v>
      </c>
      <c r="B120" s="181">
        <v>20</v>
      </c>
      <c r="C120" s="181" t="s">
        <v>456</v>
      </c>
      <c r="D120" s="1179" t="s">
        <v>457</v>
      </c>
      <c r="E120" s="181">
        <v>82495027.030000001</v>
      </c>
      <c r="F120" s="181">
        <v>82495027.030000001</v>
      </c>
      <c r="G120" s="181">
        <v>0</v>
      </c>
      <c r="H120" s="181">
        <v>0</v>
      </c>
      <c r="I120" s="181">
        <v>0</v>
      </c>
      <c r="J120" s="181">
        <v>0</v>
      </c>
      <c r="K120" s="181">
        <v>0</v>
      </c>
      <c r="L120" s="181">
        <v>82495027.030000001</v>
      </c>
      <c r="M120" s="181">
        <v>0</v>
      </c>
      <c r="N120" s="181">
        <v>0</v>
      </c>
      <c r="O120" s="181">
        <v>0</v>
      </c>
      <c r="P120" s="181">
        <v>0</v>
      </c>
      <c r="Q120" s="181">
        <v>0</v>
      </c>
      <c r="R120" s="181">
        <v>0</v>
      </c>
      <c r="S120" s="181">
        <v>99552135.25</v>
      </c>
      <c r="T120" s="181">
        <v>12074700.880000001</v>
      </c>
      <c r="U120" s="181">
        <v>87477434.370000005</v>
      </c>
      <c r="V120" s="181">
        <v>0</v>
      </c>
      <c r="W120" s="181">
        <v>0</v>
      </c>
      <c r="X120" s="181">
        <v>0</v>
      </c>
      <c r="Y120" s="181">
        <v>0</v>
      </c>
      <c r="Z120" s="181">
        <v>0</v>
      </c>
      <c r="AA120" s="181">
        <v>0</v>
      </c>
      <c r="AB120" s="181">
        <v>99552135.25</v>
      </c>
      <c r="AC120" s="181">
        <v>12074700.880000001</v>
      </c>
      <c r="AD120" s="1180">
        <v>87477434.370000005</v>
      </c>
      <c r="AE120" s="1183">
        <v>87477434.370000005</v>
      </c>
      <c r="AF120" s="181">
        <v>0</v>
      </c>
      <c r="AG120" s="181">
        <v>0</v>
      </c>
      <c r="AH120" s="181">
        <v>87477434.370000005</v>
      </c>
      <c r="AI120" s="181">
        <v>99552135.25</v>
      </c>
      <c r="AJ120" s="181">
        <v>12074700.880000001</v>
      </c>
      <c r="AK120" s="181">
        <v>99552135.25</v>
      </c>
      <c r="AL120" s="181">
        <v>0</v>
      </c>
      <c r="AM120" s="181">
        <v>12074700.880000001</v>
      </c>
      <c r="AN120" s="181" t="s">
        <v>140</v>
      </c>
    </row>
    <row r="121" spans="1:45" ht="30" hidden="1" x14ac:dyDescent="0.25">
      <c r="A121" s="181">
        <v>307</v>
      </c>
      <c r="B121" s="181">
        <v>20</v>
      </c>
      <c r="C121" s="181" t="s">
        <v>460</v>
      </c>
      <c r="D121" s="1179" t="s">
        <v>461</v>
      </c>
      <c r="E121" s="181">
        <v>3653621.85</v>
      </c>
      <c r="F121" s="181">
        <v>3653621.85</v>
      </c>
      <c r="G121" s="181">
        <v>0</v>
      </c>
      <c r="H121" s="181">
        <v>0</v>
      </c>
      <c r="I121" s="181">
        <v>0</v>
      </c>
      <c r="J121" s="181">
        <v>0</v>
      </c>
      <c r="K121" s="181">
        <v>0</v>
      </c>
      <c r="L121" s="181">
        <v>3653621.85</v>
      </c>
      <c r="M121" s="181">
        <v>0</v>
      </c>
      <c r="N121" s="181">
        <v>0</v>
      </c>
      <c r="O121" s="181">
        <v>0</v>
      </c>
      <c r="P121" s="181">
        <v>0</v>
      </c>
      <c r="Q121" s="181">
        <v>0</v>
      </c>
      <c r="R121" s="181">
        <v>0</v>
      </c>
      <c r="S121" s="181">
        <v>2358572</v>
      </c>
      <c r="T121" s="181">
        <v>437776</v>
      </c>
      <c r="U121" s="181">
        <v>1920796</v>
      </c>
      <c r="V121" s="181">
        <v>0</v>
      </c>
      <c r="W121" s="181">
        <v>0</v>
      </c>
      <c r="X121" s="181">
        <v>0</v>
      </c>
      <c r="Y121" s="181">
        <v>0</v>
      </c>
      <c r="Z121" s="181">
        <v>0</v>
      </c>
      <c r="AA121" s="181">
        <v>0</v>
      </c>
      <c r="AB121" s="181">
        <v>2358572</v>
      </c>
      <c r="AC121" s="181">
        <v>437776</v>
      </c>
      <c r="AD121" s="1180">
        <v>1920796</v>
      </c>
      <c r="AE121" s="1183">
        <v>1920796</v>
      </c>
      <c r="AF121" s="181">
        <v>0</v>
      </c>
      <c r="AG121" s="181">
        <v>0</v>
      </c>
      <c r="AH121" s="181">
        <v>1920796</v>
      </c>
      <c r="AI121" s="181">
        <v>2358572</v>
      </c>
      <c r="AJ121" s="181">
        <v>437776</v>
      </c>
      <c r="AK121" s="181">
        <v>2358572</v>
      </c>
      <c r="AL121" s="181">
        <v>0</v>
      </c>
      <c r="AM121" s="181">
        <v>437776</v>
      </c>
      <c r="AN121" s="181" t="s">
        <v>140</v>
      </c>
    </row>
    <row r="122" spans="1:45" hidden="1" x14ac:dyDescent="0.25">
      <c r="A122" s="181">
        <v>307</v>
      </c>
      <c r="B122" s="181">
        <v>20</v>
      </c>
      <c r="C122" s="181" t="s">
        <v>462</v>
      </c>
      <c r="D122" s="1179" t="s">
        <v>463</v>
      </c>
      <c r="E122" s="181">
        <v>248622471.38</v>
      </c>
      <c r="F122" s="181">
        <v>248622471.38</v>
      </c>
      <c r="G122" s="181">
        <v>0</v>
      </c>
      <c r="H122" s="181">
        <v>0</v>
      </c>
      <c r="I122" s="181">
        <v>0</v>
      </c>
      <c r="J122" s="181">
        <v>0</v>
      </c>
      <c r="K122" s="181">
        <v>0</v>
      </c>
      <c r="L122" s="181">
        <v>248622471.38</v>
      </c>
      <c r="M122" s="181">
        <v>0</v>
      </c>
      <c r="N122" s="181">
        <v>0</v>
      </c>
      <c r="O122" s="181">
        <v>0</v>
      </c>
      <c r="P122" s="181">
        <v>0</v>
      </c>
      <c r="Q122" s="181">
        <v>0</v>
      </c>
      <c r="R122" s="181">
        <v>0</v>
      </c>
      <c r="S122" s="181">
        <v>461412680</v>
      </c>
      <c r="T122" s="181">
        <v>0</v>
      </c>
      <c r="U122" s="181">
        <v>461412680</v>
      </c>
      <c r="V122" s="181">
        <v>0</v>
      </c>
      <c r="W122" s="181">
        <v>0</v>
      </c>
      <c r="X122" s="181">
        <v>0</v>
      </c>
      <c r="Y122" s="181">
        <v>0</v>
      </c>
      <c r="Z122" s="181">
        <v>0</v>
      </c>
      <c r="AA122" s="181">
        <v>0</v>
      </c>
      <c r="AB122" s="181">
        <v>461412680</v>
      </c>
      <c r="AC122" s="181">
        <v>0</v>
      </c>
      <c r="AD122" s="1180">
        <v>461412680</v>
      </c>
      <c r="AE122" s="1183">
        <v>461412680</v>
      </c>
      <c r="AF122" s="181">
        <v>0</v>
      </c>
      <c r="AG122" s="181">
        <v>0</v>
      </c>
      <c r="AH122" s="181">
        <v>461412680</v>
      </c>
      <c r="AI122" s="181">
        <v>461412680</v>
      </c>
      <c r="AJ122" s="181">
        <v>0</v>
      </c>
      <c r="AK122" s="181">
        <v>461412680</v>
      </c>
      <c r="AL122" s="181">
        <v>0</v>
      </c>
      <c r="AM122" s="181">
        <v>0</v>
      </c>
      <c r="AN122" s="181" t="s">
        <v>140</v>
      </c>
    </row>
    <row r="123" spans="1:45" hidden="1" x14ac:dyDescent="0.25">
      <c r="A123" s="181">
        <v>307</v>
      </c>
      <c r="B123" s="181">
        <v>20</v>
      </c>
      <c r="C123" s="181" t="s">
        <v>464</v>
      </c>
      <c r="D123" s="1179" t="s">
        <v>465</v>
      </c>
      <c r="E123" s="181">
        <v>7408382.3700000001</v>
      </c>
      <c r="F123" s="181">
        <v>7408382.3700000001</v>
      </c>
      <c r="G123" s="181">
        <v>0</v>
      </c>
      <c r="H123" s="181">
        <v>0</v>
      </c>
      <c r="I123" s="181">
        <v>0</v>
      </c>
      <c r="J123" s="181">
        <v>0</v>
      </c>
      <c r="K123" s="181">
        <v>0</v>
      </c>
      <c r="L123" s="181">
        <v>7408382.3700000001</v>
      </c>
      <c r="M123" s="181">
        <v>0</v>
      </c>
      <c r="N123" s="181">
        <v>0</v>
      </c>
      <c r="O123" s="181">
        <v>0</v>
      </c>
      <c r="P123" s="181">
        <v>0</v>
      </c>
      <c r="Q123" s="181">
        <v>0</v>
      </c>
      <c r="R123" s="181">
        <v>0</v>
      </c>
      <c r="S123" s="181">
        <v>2596258</v>
      </c>
      <c r="T123" s="181">
        <v>0</v>
      </c>
      <c r="U123" s="181">
        <v>2596258</v>
      </c>
      <c r="V123" s="181">
        <v>0</v>
      </c>
      <c r="W123" s="181">
        <v>0</v>
      </c>
      <c r="X123" s="181">
        <v>0</v>
      </c>
      <c r="Y123" s="181">
        <v>0</v>
      </c>
      <c r="Z123" s="181">
        <v>0</v>
      </c>
      <c r="AA123" s="181">
        <v>0</v>
      </c>
      <c r="AB123" s="181">
        <v>2596258</v>
      </c>
      <c r="AC123" s="181">
        <v>0</v>
      </c>
      <c r="AD123" s="1180">
        <v>2596258</v>
      </c>
      <c r="AE123" s="1183">
        <v>2596258</v>
      </c>
      <c r="AF123" s="181">
        <v>0</v>
      </c>
      <c r="AG123" s="181">
        <v>0</v>
      </c>
      <c r="AH123" s="181">
        <v>2596258</v>
      </c>
      <c r="AI123" s="181">
        <v>2596258</v>
      </c>
      <c r="AJ123" s="181">
        <v>0</v>
      </c>
      <c r="AK123" s="181">
        <v>2596258</v>
      </c>
      <c r="AL123" s="181">
        <v>0</v>
      </c>
      <c r="AM123" s="181">
        <v>0</v>
      </c>
      <c r="AN123" s="181" t="s">
        <v>140</v>
      </c>
    </row>
    <row r="124" spans="1:45" hidden="1" x14ac:dyDescent="0.25">
      <c r="A124" s="181">
        <v>307</v>
      </c>
      <c r="B124" s="181">
        <v>20</v>
      </c>
      <c r="C124" s="181" t="s">
        <v>467</v>
      </c>
      <c r="D124" s="1179" t="s">
        <v>339</v>
      </c>
      <c r="E124" s="181">
        <v>0</v>
      </c>
      <c r="F124" s="181">
        <v>0</v>
      </c>
      <c r="G124" s="181">
        <v>0</v>
      </c>
      <c r="H124" s="181">
        <v>0</v>
      </c>
      <c r="I124" s="181">
        <v>0</v>
      </c>
      <c r="J124" s="181">
        <v>0</v>
      </c>
      <c r="K124" s="181">
        <v>0</v>
      </c>
      <c r="L124" s="181">
        <v>0</v>
      </c>
      <c r="M124" s="181">
        <v>0</v>
      </c>
      <c r="N124" s="181">
        <v>0</v>
      </c>
      <c r="O124" s="181">
        <v>0</v>
      </c>
      <c r="P124" s="181">
        <v>0</v>
      </c>
      <c r="Q124" s="181">
        <v>0</v>
      </c>
      <c r="R124" s="181">
        <v>0</v>
      </c>
      <c r="S124" s="181">
        <v>4536421</v>
      </c>
      <c r="T124" s="181">
        <v>0</v>
      </c>
      <c r="U124" s="181">
        <v>4536421</v>
      </c>
      <c r="V124" s="181">
        <v>0</v>
      </c>
      <c r="W124" s="181">
        <v>0</v>
      </c>
      <c r="X124" s="181">
        <v>0</v>
      </c>
      <c r="Y124" s="181">
        <v>0</v>
      </c>
      <c r="Z124" s="181">
        <v>0</v>
      </c>
      <c r="AA124" s="181">
        <v>0</v>
      </c>
      <c r="AB124" s="181">
        <v>4536421</v>
      </c>
      <c r="AC124" s="181">
        <v>0</v>
      </c>
      <c r="AD124" s="1180">
        <v>4536421</v>
      </c>
      <c r="AE124" s="1183">
        <v>4536421</v>
      </c>
      <c r="AF124" s="181">
        <v>0</v>
      </c>
      <c r="AG124" s="181">
        <v>0</v>
      </c>
      <c r="AH124" s="181">
        <v>4536421</v>
      </c>
      <c r="AI124" s="181">
        <v>4536421</v>
      </c>
      <c r="AJ124" s="181">
        <v>0</v>
      </c>
      <c r="AK124" s="181">
        <v>4536421</v>
      </c>
      <c r="AL124" s="181">
        <v>0</v>
      </c>
      <c r="AM124" s="181">
        <v>0</v>
      </c>
      <c r="AN124" s="181" t="s">
        <v>140</v>
      </c>
      <c r="AS124" s="181"/>
    </row>
    <row r="125" spans="1:45" hidden="1" x14ac:dyDescent="0.25">
      <c r="A125" s="181">
        <v>307</v>
      </c>
      <c r="B125" s="181">
        <v>20</v>
      </c>
      <c r="C125" s="181" t="s">
        <v>468</v>
      </c>
      <c r="D125" s="1179" t="s">
        <v>469</v>
      </c>
      <c r="E125" s="181">
        <v>168621174.96000001</v>
      </c>
      <c r="F125" s="181">
        <v>168621174.96000001</v>
      </c>
      <c r="G125" s="181">
        <v>0</v>
      </c>
      <c r="H125" s="181">
        <v>0</v>
      </c>
      <c r="I125" s="181">
        <v>0</v>
      </c>
      <c r="J125" s="181">
        <v>0</v>
      </c>
      <c r="K125" s="181">
        <v>0</v>
      </c>
      <c r="L125" s="181">
        <v>168621174.96000001</v>
      </c>
      <c r="M125" s="181">
        <v>0</v>
      </c>
      <c r="N125" s="181">
        <v>0</v>
      </c>
      <c r="O125" s="181">
        <v>0</v>
      </c>
      <c r="P125" s="181">
        <v>0</v>
      </c>
      <c r="Q125" s="181">
        <v>0</v>
      </c>
      <c r="R125" s="181">
        <v>0</v>
      </c>
      <c r="S125" s="181">
        <v>40463580</v>
      </c>
      <c r="T125" s="181">
        <v>0</v>
      </c>
      <c r="U125" s="181">
        <v>40463580</v>
      </c>
      <c r="V125" s="181">
        <v>0</v>
      </c>
      <c r="W125" s="181">
        <v>0</v>
      </c>
      <c r="X125" s="181">
        <v>0</v>
      </c>
      <c r="Y125" s="181">
        <v>0</v>
      </c>
      <c r="Z125" s="181">
        <v>0</v>
      </c>
      <c r="AA125" s="181">
        <v>0</v>
      </c>
      <c r="AB125" s="181">
        <v>40463580</v>
      </c>
      <c r="AC125" s="181">
        <v>0</v>
      </c>
      <c r="AD125" s="1180">
        <v>40463580</v>
      </c>
      <c r="AE125" s="1183">
        <v>40463580</v>
      </c>
      <c r="AF125" s="181">
        <v>0</v>
      </c>
      <c r="AG125" s="181">
        <v>0</v>
      </c>
      <c r="AH125" s="181">
        <v>40463580</v>
      </c>
      <c r="AI125" s="181">
        <v>40463580</v>
      </c>
      <c r="AJ125" s="181">
        <v>0</v>
      </c>
      <c r="AK125" s="181">
        <v>40463580</v>
      </c>
      <c r="AL125" s="181">
        <v>0</v>
      </c>
      <c r="AM125" s="181">
        <v>0</v>
      </c>
      <c r="AN125" s="181" t="s">
        <v>140</v>
      </c>
    </row>
    <row r="126" spans="1:45" hidden="1" x14ac:dyDescent="0.25">
      <c r="A126" s="181">
        <v>307</v>
      </c>
      <c r="B126" s="181">
        <v>20</v>
      </c>
      <c r="C126" s="181" t="s">
        <v>470</v>
      </c>
      <c r="D126" s="1179" t="s">
        <v>471</v>
      </c>
      <c r="E126" s="181">
        <v>3029058.17</v>
      </c>
      <c r="F126" s="181">
        <v>3029058.17</v>
      </c>
      <c r="G126" s="181">
        <v>0</v>
      </c>
      <c r="H126" s="181">
        <v>0</v>
      </c>
      <c r="I126" s="181">
        <v>0</v>
      </c>
      <c r="J126" s="181">
        <v>0</v>
      </c>
      <c r="K126" s="181">
        <v>0</v>
      </c>
      <c r="L126" s="181">
        <v>3029058.17</v>
      </c>
      <c r="M126" s="181">
        <v>0</v>
      </c>
      <c r="N126" s="181">
        <v>0</v>
      </c>
      <c r="O126" s="181">
        <v>0</v>
      </c>
      <c r="P126" s="181">
        <v>0</v>
      </c>
      <c r="Q126" s="181">
        <v>0</v>
      </c>
      <c r="R126" s="181">
        <v>0</v>
      </c>
      <c r="S126" s="181">
        <v>1272540</v>
      </c>
      <c r="T126" s="181">
        <v>0</v>
      </c>
      <c r="U126" s="181">
        <v>1272540</v>
      </c>
      <c r="V126" s="181">
        <v>0</v>
      </c>
      <c r="W126" s="181">
        <v>0</v>
      </c>
      <c r="X126" s="181">
        <v>0</v>
      </c>
      <c r="Y126" s="181">
        <v>0</v>
      </c>
      <c r="Z126" s="181">
        <v>0</v>
      </c>
      <c r="AA126" s="181">
        <v>0</v>
      </c>
      <c r="AB126" s="181">
        <v>1272540</v>
      </c>
      <c r="AC126" s="181">
        <v>0</v>
      </c>
      <c r="AD126" s="1180">
        <v>1272540</v>
      </c>
      <c r="AE126" s="1183">
        <v>1272540</v>
      </c>
      <c r="AF126" s="181">
        <v>0</v>
      </c>
      <c r="AG126" s="181">
        <v>0</v>
      </c>
      <c r="AH126" s="181">
        <v>1272540</v>
      </c>
      <c r="AI126" s="181">
        <v>1272540</v>
      </c>
      <c r="AJ126" s="181">
        <v>0</v>
      </c>
      <c r="AK126" s="181">
        <v>1272540</v>
      </c>
      <c r="AL126" s="181">
        <v>0</v>
      </c>
      <c r="AM126" s="181">
        <v>0</v>
      </c>
      <c r="AN126" s="181" t="s">
        <v>140</v>
      </c>
    </row>
    <row r="127" spans="1:45" hidden="1" x14ac:dyDescent="0.25">
      <c r="A127" s="181">
        <v>307</v>
      </c>
      <c r="B127" s="181">
        <v>20</v>
      </c>
      <c r="C127" s="181" t="s">
        <v>474</v>
      </c>
      <c r="D127" s="1179" t="s">
        <v>475</v>
      </c>
      <c r="E127" s="181">
        <v>210123453.05000001</v>
      </c>
      <c r="F127" s="181">
        <v>210123453.05000001</v>
      </c>
      <c r="G127" s="181">
        <v>0</v>
      </c>
      <c r="H127" s="181">
        <v>0</v>
      </c>
      <c r="I127" s="181">
        <v>0</v>
      </c>
      <c r="J127" s="181">
        <v>0</v>
      </c>
      <c r="K127" s="181">
        <v>0</v>
      </c>
      <c r="L127" s="181">
        <v>210123453.05000001</v>
      </c>
      <c r="M127" s="181">
        <v>0</v>
      </c>
      <c r="N127" s="181">
        <v>0</v>
      </c>
      <c r="O127" s="181">
        <v>0</v>
      </c>
      <c r="P127" s="181">
        <v>0</v>
      </c>
      <c r="Q127" s="181">
        <v>0</v>
      </c>
      <c r="R127" s="181">
        <v>0</v>
      </c>
      <c r="S127" s="181">
        <v>0</v>
      </c>
      <c r="T127" s="181">
        <v>0</v>
      </c>
      <c r="U127" s="181">
        <v>0</v>
      </c>
      <c r="V127" s="181">
        <v>0</v>
      </c>
      <c r="W127" s="181">
        <v>0</v>
      </c>
      <c r="X127" s="181">
        <v>0</v>
      </c>
      <c r="Y127" s="181">
        <v>0</v>
      </c>
      <c r="Z127" s="181">
        <v>0</v>
      </c>
      <c r="AA127" s="181">
        <v>0</v>
      </c>
      <c r="AB127" s="181">
        <v>0</v>
      </c>
      <c r="AC127" s="181">
        <v>0</v>
      </c>
      <c r="AD127" s="1180">
        <v>0</v>
      </c>
      <c r="AE127" s="1183">
        <v>0</v>
      </c>
      <c r="AF127" s="181">
        <v>0</v>
      </c>
      <c r="AG127" s="181">
        <v>0</v>
      </c>
      <c r="AH127" s="181">
        <v>0</v>
      </c>
      <c r="AI127" s="181">
        <v>0</v>
      </c>
      <c r="AJ127" s="181">
        <v>0</v>
      </c>
      <c r="AK127" s="181">
        <v>0</v>
      </c>
      <c r="AL127" s="181">
        <v>0</v>
      </c>
      <c r="AM127" s="181">
        <v>0</v>
      </c>
      <c r="AN127" s="181" t="s">
        <v>140</v>
      </c>
    </row>
    <row r="128" spans="1:45" hidden="1" x14ac:dyDescent="0.25">
      <c r="A128" s="181">
        <v>307</v>
      </c>
      <c r="B128" s="181">
        <v>20</v>
      </c>
      <c r="C128" s="181" t="s">
        <v>476</v>
      </c>
      <c r="D128" s="1179" t="s">
        <v>477</v>
      </c>
      <c r="E128" s="181">
        <v>16794370.32</v>
      </c>
      <c r="F128" s="181">
        <v>16794370.32</v>
      </c>
      <c r="G128" s="181">
        <v>0</v>
      </c>
      <c r="H128" s="181">
        <v>0</v>
      </c>
      <c r="I128" s="181">
        <v>0</v>
      </c>
      <c r="J128" s="181">
        <v>0</v>
      </c>
      <c r="K128" s="181">
        <v>0</v>
      </c>
      <c r="L128" s="181">
        <v>16794370.32</v>
      </c>
      <c r="M128" s="181">
        <v>0</v>
      </c>
      <c r="N128" s="181">
        <v>0</v>
      </c>
      <c r="O128" s="181">
        <v>0</v>
      </c>
      <c r="P128" s="181">
        <v>0</v>
      </c>
      <c r="Q128" s="181">
        <v>0</v>
      </c>
      <c r="R128" s="181">
        <v>0</v>
      </c>
      <c r="S128" s="181">
        <v>3779339</v>
      </c>
      <c r="T128" s="181">
        <v>0</v>
      </c>
      <c r="U128" s="181">
        <v>3779339</v>
      </c>
      <c r="V128" s="181">
        <v>0</v>
      </c>
      <c r="W128" s="181">
        <v>0</v>
      </c>
      <c r="X128" s="181">
        <v>0</v>
      </c>
      <c r="Y128" s="181">
        <v>0</v>
      </c>
      <c r="Z128" s="181">
        <v>0</v>
      </c>
      <c r="AA128" s="181">
        <v>0</v>
      </c>
      <c r="AB128" s="181">
        <v>3779339</v>
      </c>
      <c r="AC128" s="181">
        <v>0</v>
      </c>
      <c r="AD128" s="1180">
        <v>3779339</v>
      </c>
      <c r="AE128" s="1183">
        <v>3779339</v>
      </c>
      <c r="AF128" s="181">
        <v>0</v>
      </c>
      <c r="AG128" s="181">
        <v>0</v>
      </c>
      <c r="AH128" s="181">
        <v>3779339</v>
      </c>
      <c r="AI128" s="181">
        <v>3779339</v>
      </c>
      <c r="AJ128" s="181">
        <v>0</v>
      </c>
      <c r="AK128" s="181">
        <v>3779339</v>
      </c>
      <c r="AL128" s="181">
        <v>0</v>
      </c>
      <c r="AM128" s="181">
        <v>0</v>
      </c>
      <c r="AN128" s="181" t="s">
        <v>140</v>
      </c>
    </row>
    <row r="129" spans="1:45" hidden="1" x14ac:dyDescent="0.25">
      <c r="A129" s="181">
        <v>307</v>
      </c>
      <c r="B129" s="181">
        <v>20</v>
      </c>
      <c r="C129" s="181" t="s">
        <v>478</v>
      </c>
      <c r="D129" s="1179" t="s">
        <v>479</v>
      </c>
      <c r="E129" s="181">
        <v>24346335.27</v>
      </c>
      <c r="F129" s="181">
        <v>24346335.27</v>
      </c>
      <c r="G129" s="181">
        <v>0</v>
      </c>
      <c r="H129" s="181">
        <v>0</v>
      </c>
      <c r="I129" s="181">
        <v>0</v>
      </c>
      <c r="J129" s="181">
        <v>0</v>
      </c>
      <c r="K129" s="181">
        <v>0</v>
      </c>
      <c r="L129" s="181">
        <v>24346335.27</v>
      </c>
      <c r="M129" s="181">
        <v>0</v>
      </c>
      <c r="N129" s="181">
        <v>0</v>
      </c>
      <c r="O129" s="181">
        <v>0</v>
      </c>
      <c r="P129" s="181">
        <v>0</v>
      </c>
      <c r="Q129" s="181">
        <v>0</v>
      </c>
      <c r="R129" s="181">
        <v>0</v>
      </c>
      <c r="S129" s="181">
        <v>1865610</v>
      </c>
      <c r="T129" s="181">
        <v>0</v>
      </c>
      <c r="U129" s="181">
        <v>1865610</v>
      </c>
      <c r="V129" s="181">
        <v>0</v>
      </c>
      <c r="W129" s="181">
        <v>0</v>
      </c>
      <c r="X129" s="181">
        <v>0</v>
      </c>
      <c r="Y129" s="181">
        <v>0</v>
      </c>
      <c r="Z129" s="181">
        <v>0</v>
      </c>
      <c r="AA129" s="181">
        <v>0</v>
      </c>
      <c r="AB129" s="181">
        <v>1865610</v>
      </c>
      <c r="AC129" s="181">
        <v>0</v>
      </c>
      <c r="AD129" s="1180">
        <v>1865610</v>
      </c>
      <c r="AE129" s="1183">
        <v>1865610</v>
      </c>
      <c r="AF129" s="181">
        <v>0</v>
      </c>
      <c r="AG129" s="181">
        <v>0</v>
      </c>
      <c r="AH129" s="181">
        <v>1865610</v>
      </c>
      <c r="AI129" s="181">
        <v>1865610</v>
      </c>
      <c r="AJ129" s="181">
        <v>0</v>
      </c>
      <c r="AK129" s="181">
        <v>1865610</v>
      </c>
      <c r="AL129" s="181">
        <v>0</v>
      </c>
      <c r="AM129" s="181">
        <v>0</v>
      </c>
      <c r="AN129" s="181" t="s">
        <v>140</v>
      </c>
    </row>
    <row r="130" spans="1:45" hidden="1" x14ac:dyDescent="0.25">
      <c r="A130" s="181">
        <v>307</v>
      </c>
      <c r="B130" s="181">
        <v>20</v>
      </c>
      <c r="C130" s="181" t="s">
        <v>482</v>
      </c>
      <c r="D130" s="1179" t="s">
        <v>483</v>
      </c>
      <c r="E130" s="181">
        <v>10989808.449999999</v>
      </c>
      <c r="F130" s="181">
        <v>10989808.449999999</v>
      </c>
      <c r="G130" s="181">
        <v>0</v>
      </c>
      <c r="H130" s="181">
        <v>0</v>
      </c>
      <c r="I130" s="181">
        <v>0</v>
      </c>
      <c r="J130" s="181">
        <v>0</v>
      </c>
      <c r="K130" s="181">
        <v>0</v>
      </c>
      <c r="L130" s="181">
        <v>10989808.449999999</v>
      </c>
      <c r="M130" s="181">
        <v>0</v>
      </c>
      <c r="N130" s="181">
        <v>0</v>
      </c>
      <c r="O130" s="181">
        <v>0</v>
      </c>
      <c r="P130" s="181">
        <v>0</v>
      </c>
      <c r="Q130" s="181">
        <v>0</v>
      </c>
      <c r="R130" s="181">
        <v>0</v>
      </c>
      <c r="S130" s="181">
        <v>0</v>
      </c>
      <c r="T130" s="181">
        <v>0</v>
      </c>
      <c r="U130" s="181">
        <v>0</v>
      </c>
      <c r="V130" s="181">
        <v>0</v>
      </c>
      <c r="W130" s="181">
        <v>0</v>
      </c>
      <c r="X130" s="181">
        <v>0</v>
      </c>
      <c r="Y130" s="181">
        <v>0</v>
      </c>
      <c r="Z130" s="181">
        <v>0</v>
      </c>
      <c r="AA130" s="181">
        <v>0</v>
      </c>
      <c r="AB130" s="181">
        <v>0</v>
      </c>
      <c r="AC130" s="181">
        <v>0</v>
      </c>
      <c r="AD130" s="1180">
        <v>0</v>
      </c>
      <c r="AE130" s="1183">
        <v>0</v>
      </c>
      <c r="AF130" s="181">
        <v>0</v>
      </c>
      <c r="AG130" s="181">
        <v>0</v>
      </c>
      <c r="AH130" s="181">
        <v>0</v>
      </c>
      <c r="AI130" s="181">
        <v>0</v>
      </c>
      <c r="AJ130" s="181">
        <v>0</v>
      </c>
      <c r="AK130" s="181">
        <v>0</v>
      </c>
      <c r="AL130" s="181">
        <v>0</v>
      </c>
      <c r="AM130" s="181">
        <v>0</v>
      </c>
      <c r="AN130" s="181" t="s">
        <v>140</v>
      </c>
    </row>
    <row r="131" spans="1:45" hidden="1" x14ac:dyDescent="0.25">
      <c r="A131" s="181">
        <v>307</v>
      </c>
      <c r="B131" s="181">
        <v>20</v>
      </c>
      <c r="C131" s="181" t="s">
        <v>484</v>
      </c>
      <c r="D131" s="1179" t="s">
        <v>485</v>
      </c>
      <c r="E131" s="181">
        <v>12485796.869999999</v>
      </c>
      <c r="F131" s="181">
        <v>12485796.869999999</v>
      </c>
      <c r="G131" s="181">
        <v>0</v>
      </c>
      <c r="H131" s="181">
        <v>0</v>
      </c>
      <c r="I131" s="181">
        <v>0</v>
      </c>
      <c r="J131" s="181">
        <v>0</v>
      </c>
      <c r="K131" s="181">
        <v>0</v>
      </c>
      <c r="L131" s="181">
        <v>12485796.869999999</v>
      </c>
      <c r="M131" s="181">
        <v>0</v>
      </c>
      <c r="N131" s="181">
        <v>0</v>
      </c>
      <c r="O131" s="181">
        <v>0</v>
      </c>
      <c r="P131" s="181">
        <v>0</v>
      </c>
      <c r="Q131" s="181">
        <v>0</v>
      </c>
      <c r="R131" s="181">
        <v>0</v>
      </c>
      <c r="S131" s="181">
        <v>5110433</v>
      </c>
      <c r="T131" s="181">
        <v>0</v>
      </c>
      <c r="U131" s="181">
        <v>5110433</v>
      </c>
      <c r="V131" s="181">
        <v>0</v>
      </c>
      <c r="W131" s="181">
        <v>0</v>
      </c>
      <c r="X131" s="181">
        <v>0</v>
      </c>
      <c r="Y131" s="181">
        <v>0</v>
      </c>
      <c r="Z131" s="181">
        <v>0</v>
      </c>
      <c r="AA131" s="181">
        <v>0</v>
      </c>
      <c r="AB131" s="181">
        <v>5110433</v>
      </c>
      <c r="AC131" s="181">
        <v>0</v>
      </c>
      <c r="AD131" s="1180">
        <v>5110433</v>
      </c>
      <c r="AE131" s="1183">
        <v>5110433</v>
      </c>
      <c r="AF131" s="181">
        <v>0</v>
      </c>
      <c r="AG131" s="181">
        <v>0</v>
      </c>
      <c r="AH131" s="181">
        <v>5110433</v>
      </c>
      <c r="AI131" s="181">
        <v>5110433</v>
      </c>
      <c r="AJ131" s="181">
        <v>0</v>
      </c>
      <c r="AK131" s="181">
        <v>5110433</v>
      </c>
      <c r="AL131" s="181">
        <v>0</v>
      </c>
      <c r="AM131" s="181">
        <v>0</v>
      </c>
      <c r="AN131" s="181" t="s">
        <v>140</v>
      </c>
    </row>
    <row r="132" spans="1:45" hidden="1" x14ac:dyDescent="0.25">
      <c r="A132" s="181">
        <v>307</v>
      </c>
      <c r="B132" s="181">
        <v>20</v>
      </c>
      <c r="C132" s="181" t="s">
        <v>490</v>
      </c>
      <c r="D132" s="1179" t="s">
        <v>491</v>
      </c>
      <c r="E132" s="181">
        <v>0</v>
      </c>
      <c r="F132" s="181">
        <v>0</v>
      </c>
      <c r="G132" s="181">
        <v>0</v>
      </c>
      <c r="H132" s="181">
        <v>0</v>
      </c>
      <c r="I132" s="181">
        <v>0</v>
      </c>
      <c r="J132" s="181">
        <v>0</v>
      </c>
      <c r="K132" s="181">
        <v>0</v>
      </c>
      <c r="L132" s="181">
        <v>0</v>
      </c>
      <c r="M132" s="181">
        <v>0</v>
      </c>
      <c r="N132" s="181">
        <v>0</v>
      </c>
      <c r="O132" s="181">
        <v>0</v>
      </c>
      <c r="P132" s="181">
        <v>0</v>
      </c>
      <c r="Q132" s="181">
        <v>0</v>
      </c>
      <c r="R132" s="181">
        <v>0</v>
      </c>
      <c r="S132" s="181">
        <v>1956741</v>
      </c>
      <c r="T132" s="181">
        <v>0</v>
      </c>
      <c r="U132" s="181">
        <v>1956741</v>
      </c>
      <c r="V132" s="181">
        <v>0</v>
      </c>
      <c r="W132" s="181">
        <v>0</v>
      </c>
      <c r="X132" s="181">
        <v>0</v>
      </c>
      <c r="Y132" s="181">
        <v>0</v>
      </c>
      <c r="Z132" s="181">
        <v>0</v>
      </c>
      <c r="AA132" s="181">
        <v>0</v>
      </c>
      <c r="AB132" s="181">
        <v>1956741</v>
      </c>
      <c r="AC132" s="181">
        <v>0</v>
      </c>
      <c r="AD132" s="1180">
        <v>1956741</v>
      </c>
      <c r="AE132" s="1183">
        <v>1956741</v>
      </c>
      <c r="AF132" s="181">
        <v>0</v>
      </c>
      <c r="AG132" s="181">
        <v>0</v>
      </c>
      <c r="AH132" s="181">
        <v>1956741</v>
      </c>
      <c r="AI132" s="181">
        <v>1956741</v>
      </c>
      <c r="AJ132" s="181">
        <v>0</v>
      </c>
      <c r="AK132" s="181">
        <v>1956741</v>
      </c>
      <c r="AL132" s="181">
        <v>0</v>
      </c>
      <c r="AM132" s="181">
        <v>0</v>
      </c>
      <c r="AN132" s="181" t="s">
        <v>140</v>
      </c>
      <c r="AS132" s="181"/>
    </row>
    <row r="133" spans="1:45" hidden="1" x14ac:dyDescent="0.25">
      <c r="A133" s="181">
        <v>307</v>
      </c>
      <c r="B133" s="181">
        <v>20</v>
      </c>
      <c r="C133" s="181" t="s">
        <v>492</v>
      </c>
      <c r="D133" s="1179" t="s">
        <v>493</v>
      </c>
      <c r="E133" s="181">
        <v>29951222.809999999</v>
      </c>
      <c r="F133" s="181">
        <v>29951222.809999999</v>
      </c>
      <c r="G133" s="181">
        <v>0</v>
      </c>
      <c r="H133" s="181">
        <v>0</v>
      </c>
      <c r="I133" s="181">
        <v>0</v>
      </c>
      <c r="J133" s="181">
        <v>0</v>
      </c>
      <c r="K133" s="181">
        <v>0</v>
      </c>
      <c r="L133" s="181">
        <v>29951222.809999999</v>
      </c>
      <c r="M133" s="181">
        <v>0</v>
      </c>
      <c r="N133" s="181">
        <v>0</v>
      </c>
      <c r="O133" s="181">
        <v>0</v>
      </c>
      <c r="P133" s="181">
        <v>0</v>
      </c>
      <c r="Q133" s="181">
        <v>0</v>
      </c>
      <c r="R133" s="181">
        <v>0</v>
      </c>
      <c r="S133" s="181">
        <v>11268440</v>
      </c>
      <c r="T133" s="181">
        <v>0</v>
      </c>
      <c r="U133" s="181">
        <v>11268440</v>
      </c>
      <c r="V133" s="181">
        <v>0</v>
      </c>
      <c r="W133" s="181">
        <v>0</v>
      </c>
      <c r="X133" s="181">
        <v>0</v>
      </c>
      <c r="Y133" s="181">
        <v>0</v>
      </c>
      <c r="Z133" s="181">
        <v>0</v>
      </c>
      <c r="AA133" s="181">
        <v>0</v>
      </c>
      <c r="AB133" s="181">
        <v>11268440</v>
      </c>
      <c r="AC133" s="181">
        <v>0</v>
      </c>
      <c r="AD133" s="1180">
        <v>11268440</v>
      </c>
      <c r="AE133" s="1183">
        <v>11268440</v>
      </c>
      <c r="AF133" s="181">
        <v>0</v>
      </c>
      <c r="AG133" s="181">
        <v>0</v>
      </c>
      <c r="AH133" s="181">
        <v>11268440</v>
      </c>
      <c r="AI133" s="181">
        <v>11268440</v>
      </c>
      <c r="AJ133" s="181">
        <v>0</v>
      </c>
      <c r="AK133" s="181">
        <v>11268440</v>
      </c>
      <c r="AL133" s="181">
        <v>0</v>
      </c>
      <c r="AM133" s="181">
        <v>0</v>
      </c>
      <c r="AN133" s="181" t="s">
        <v>140</v>
      </c>
    </row>
    <row r="134" spans="1:45" ht="30" hidden="1" x14ac:dyDescent="0.25">
      <c r="A134" s="181">
        <v>307</v>
      </c>
      <c r="B134" s="181" t="s">
        <v>226</v>
      </c>
      <c r="C134" s="181" t="s">
        <v>496</v>
      </c>
      <c r="D134" s="1179" t="s">
        <v>497</v>
      </c>
      <c r="E134" s="181">
        <v>13380394225</v>
      </c>
      <c r="F134" s="181">
        <v>13380394225</v>
      </c>
      <c r="G134" s="181">
        <v>0</v>
      </c>
      <c r="H134" s="181">
        <v>0</v>
      </c>
      <c r="I134" s="181">
        <v>0</v>
      </c>
      <c r="J134" s="181">
        <v>0</v>
      </c>
      <c r="K134" s="181">
        <v>0</v>
      </c>
      <c r="L134" s="181">
        <v>13380394225</v>
      </c>
      <c r="M134" s="181">
        <v>0</v>
      </c>
      <c r="N134" s="181">
        <v>0</v>
      </c>
      <c r="O134" s="181">
        <v>0</v>
      </c>
      <c r="P134" s="181">
        <v>0</v>
      </c>
      <c r="Q134" s="181">
        <v>0</v>
      </c>
      <c r="R134" s="181">
        <v>0</v>
      </c>
      <c r="S134" s="181">
        <v>20649172122.400002</v>
      </c>
      <c r="T134" s="181">
        <v>128985723.90000001</v>
      </c>
      <c r="U134" s="181">
        <v>20520186398.5</v>
      </c>
      <c r="V134" s="181">
        <v>0</v>
      </c>
      <c r="W134" s="181">
        <v>0</v>
      </c>
      <c r="X134" s="181">
        <v>0</v>
      </c>
      <c r="Y134" s="181">
        <v>0</v>
      </c>
      <c r="Z134" s="181">
        <v>0</v>
      </c>
      <c r="AA134" s="181">
        <v>0</v>
      </c>
      <c r="AB134" s="181">
        <v>20649172122.400002</v>
      </c>
      <c r="AC134" s="181">
        <v>128985723.90000001</v>
      </c>
      <c r="AD134" s="1180">
        <v>20520186398.5</v>
      </c>
      <c r="AE134" s="1180">
        <v>20520186398.5</v>
      </c>
      <c r="AF134" s="181">
        <v>43146663.340000004</v>
      </c>
      <c r="AG134" s="181">
        <v>43146663.340000004</v>
      </c>
      <c r="AH134" s="181">
        <v>20477039735.16</v>
      </c>
      <c r="AI134" s="181">
        <v>20521295267.360001</v>
      </c>
      <c r="AJ134" s="181">
        <v>44255532.200000003</v>
      </c>
      <c r="AK134" s="181">
        <v>20521295267.360001</v>
      </c>
      <c r="AL134" s="181">
        <v>0</v>
      </c>
      <c r="AM134" s="181">
        <v>44255532.200000003</v>
      </c>
      <c r="AN134" s="181" t="s">
        <v>1709</v>
      </c>
      <c r="AS134" s="181"/>
    </row>
    <row r="135" spans="1:45" ht="60" hidden="1" x14ac:dyDescent="0.25">
      <c r="A135" s="181">
        <v>307</v>
      </c>
      <c r="B135" s="181" t="s">
        <v>226</v>
      </c>
      <c r="C135" s="181" t="s">
        <v>498</v>
      </c>
      <c r="D135" s="1179" t="s">
        <v>499</v>
      </c>
      <c r="E135" s="181">
        <v>13380394225</v>
      </c>
      <c r="F135" s="181">
        <v>13380394225</v>
      </c>
      <c r="G135" s="181">
        <v>0</v>
      </c>
      <c r="H135" s="181">
        <v>0</v>
      </c>
      <c r="I135" s="181">
        <v>0</v>
      </c>
      <c r="J135" s="181">
        <v>0</v>
      </c>
      <c r="K135" s="181">
        <v>0</v>
      </c>
      <c r="L135" s="181">
        <v>13380394225</v>
      </c>
      <c r="M135" s="181">
        <v>0</v>
      </c>
      <c r="N135" s="181">
        <v>0</v>
      </c>
      <c r="O135" s="181">
        <v>0</v>
      </c>
      <c r="P135" s="181">
        <v>0</v>
      </c>
      <c r="Q135" s="181">
        <v>0</v>
      </c>
      <c r="R135" s="181">
        <v>0</v>
      </c>
      <c r="S135" s="181">
        <v>20649172122.400002</v>
      </c>
      <c r="T135" s="181">
        <v>128985723.90000001</v>
      </c>
      <c r="U135" s="181">
        <v>20520186398.5</v>
      </c>
      <c r="V135" s="181">
        <v>0</v>
      </c>
      <c r="W135" s="181">
        <v>0</v>
      </c>
      <c r="X135" s="181">
        <v>0</v>
      </c>
      <c r="Y135" s="181">
        <v>0</v>
      </c>
      <c r="Z135" s="181">
        <v>0</v>
      </c>
      <c r="AA135" s="181">
        <v>0</v>
      </c>
      <c r="AB135" s="181">
        <v>20649172122.400002</v>
      </c>
      <c r="AC135" s="181">
        <v>128985723.90000001</v>
      </c>
      <c r="AD135" s="1180">
        <v>20520186398.5</v>
      </c>
      <c r="AE135" s="1180">
        <v>20520186398.5</v>
      </c>
      <c r="AF135" s="181">
        <v>43146663.340000004</v>
      </c>
      <c r="AG135" s="181">
        <v>43146663.340000004</v>
      </c>
      <c r="AH135" s="181">
        <v>20477039735.16</v>
      </c>
      <c r="AI135" s="181">
        <v>20521295267.360001</v>
      </c>
      <c r="AJ135" s="181">
        <v>44255532.200000003</v>
      </c>
      <c r="AK135" s="181">
        <v>20521295267.360001</v>
      </c>
      <c r="AL135" s="181">
        <v>0</v>
      </c>
      <c r="AM135" s="181">
        <v>44255532.200000003</v>
      </c>
      <c r="AN135" s="181" t="s">
        <v>1709</v>
      </c>
      <c r="AS135" s="181"/>
    </row>
    <row r="136" spans="1:45" ht="60" hidden="1" x14ac:dyDescent="0.25">
      <c r="A136" s="181">
        <v>307</v>
      </c>
      <c r="B136" s="181" t="s">
        <v>226</v>
      </c>
      <c r="C136" s="181" t="s">
        <v>500</v>
      </c>
      <c r="D136" s="1179" t="s">
        <v>501</v>
      </c>
      <c r="E136" s="181">
        <v>13375509320</v>
      </c>
      <c r="F136" s="181">
        <v>13375509320</v>
      </c>
      <c r="G136" s="181">
        <v>0</v>
      </c>
      <c r="H136" s="181">
        <v>0</v>
      </c>
      <c r="I136" s="181">
        <v>0</v>
      </c>
      <c r="J136" s="181">
        <v>0</v>
      </c>
      <c r="K136" s="181">
        <v>0</v>
      </c>
      <c r="L136" s="181">
        <v>13375509320</v>
      </c>
      <c r="M136" s="181">
        <v>0</v>
      </c>
      <c r="N136" s="181">
        <v>0</v>
      </c>
      <c r="O136" s="181">
        <v>0</v>
      </c>
      <c r="P136" s="181">
        <v>0</v>
      </c>
      <c r="Q136" s="181">
        <v>0</v>
      </c>
      <c r="R136" s="181">
        <v>0</v>
      </c>
      <c r="S136" s="181">
        <v>20636849672.400002</v>
      </c>
      <c r="T136" s="181">
        <v>128951423.90000001</v>
      </c>
      <c r="U136" s="181">
        <v>20507898248.5</v>
      </c>
      <c r="V136" s="181">
        <v>0</v>
      </c>
      <c r="W136" s="181">
        <v>0</v>
      </c>
      <c r="X136" s="181">
        <v>0</v>
      </c>
      <c r="Y136" s="181">
        <v>0</v>
      </c>
      <c r="Z136" s="181">
        <v>0</v>
      </c>
      <c r="AA136" s="181">
        <v>0</v>
      </c>
      <c r="AB136" s="181">
        <v>20636849672.400002</v>
      </c>
      <c r="AC136" s="181">
        <v>128951423.90000001</v>
      </c>
      <c r="AD136" s="1180">
        <v>20507898248.5</v>
      </c>
      <c r="AE136" s="1180">
        <v>20507898248.5</v>
      </c>
      <c r="AF136" s="181">
        <v>43146663.340000004</v>
      </c>
      <c r="AG136" s="181">
        <v>43146663.340000004</v>
      </c>
      <c r="AH136" s="181">
        <v>20464751585.16</v>
      </c>
      <c r="AI136" s="181">
        <v>20508972817.360001</v>
      </c>
      <c r="AJ136" s="181">
        <v>44221232.200000003</v>
      </c>
      <c r="AK136" s="181">
        <v>20508972817.360001</v>
      </c>
      <c r="AL136" s="181">
        <v>0</v>
      </c>
      <c r="AM136" s="181">
        <v>44221232.200000003</v>
      </c>
      <c r="AN136" s="181" t="s">
        <v>1709</v>
      </c>
      <c r="AS136" s="181"/>
    </row>
    <row r="137" spans="1:45" ht="45" hidden="1" x14ac:dyDescent="0.25">
      <c r="A137" s="181">
        <v>307</v>
      </c>
      <c r="B137" s="181" t="s">
        <v>226</v>
      </c>
      <c r="C137" s="181" t="s">
        <v>502</v>
      </c>
      <c r="D137" s="1179" t="s">
        <v>503</v>
      </c>
      <c r="E137" s="181">
        <v>534948156</v>
      </c>
      <c r="F137" s="181">
        <v>534948156</v>
      </c>
      <c r="G137" s="181">
        <v>0</v>
      </c>
      <c r="H137" s="181">
        <v>0</v>
      </c>
      <c r="I137" s="181">
        <v>0</v>
      </c>
      <c r="J137" s="181">
        <v>0</v>
      </c>
      <c r="K137" s="181">
        <v>0</v>
      </c>
      <c r="L137" s="181">
        <v>534948156</v>
      </c>
      <c r="M137" s="181">
        <v>0</v>
      </c>
      <c r="N137" s="181">
        <v>0</v>
      </c>
      <c r="O137" s="181">
        <v>0</v>
      </c>
      <c r="P137" s="181">
        <v>0</v>
      </c>
      <c r="Q137" s="181">
        <v>0</v>
      </c>
      <c r="R137" s="181">
        <v>0</v>
      </c>
      <c r="S137" s="181">
        <v>600654731.44000006</v>
      </c>
      <c r="T137" s="181">
        <v>44328901.560000002</v>
      </c>
      <c r="U137" s="181">
        <v>556325829.88</v>
      </c>
      <c r="V137" s="181">
        <v>0</v>
      </c>
      <c r="W137" s="181">
        <v>0</v>
      </c>
      <c r="X137" s="181">
        <v>0</v>
      </c>
      <c r="Y137" s="181">
        <v>0</v>
      </c>
      <c r="Z137" s="181">
        <v>0</v>
      </c>
      <c r="AA137" s="181">
        <v>0</v>
      </c>
      <c r="AB137" s="181">
        <v>600654731.44000006</v>
      </c>
      <c r="AC137" s="181">
        <v>44328901.560000002</v>
      </c>
      <c r="AD137" s="1180">
        <v>556325829.88</v>
      </c>
      <c r="AE137" s="1180">
        <v>556325829.88</v>
      </c>
      <c r="AF137" s="181">
        <v>8020508.8799999999</v>
      </c>
      <c r="AG137" s="181">
        <v>8020508.8799999999</v>
      </c>
      <c r="AH137" s="181">
        <v>548305321</v>
      </c>
      <c r="AI137" s="181">
        <v>548324161</v>
      </c>
      <c r="AJ137" s="181">
        <v>18840</v>
      </c>
      <c r="AK137" s="181">
        <v>548324161</v>
      </c>
      <c r="AL137" s="181">
        <v>0</v>
      </c>
      <c r="AM137" s="181">
        <v>18840</v>
      </c>
      <c r="AN137" s="181" t="s">
        <v>1709</v>
      </c>
      <c r="AS137" s="181"/>
    </row>
    <row r="138" spans="1:45" ht="60" hidden="1" x14ac:dyDescent="0.25">
      <c r="A138" s="181">
        <v>307</v>
      </c>
      <c r="B138" s="181" t="s">
        <v>226</v>
      </c>
      <c r="C138" s="181" t="s">
        <v>504</v>
      </c>
      <c r="D138" s="1179" t="s">
        <v>505</v>
      </c>
      <c r="E138" s="181">
        <v>256775116</v>
      </c>
      <c r="F138" s="181">
        <v>256775116</v>
      </c>
      <c r="G138" s="181">
        <v>0</v>
      </c>
      <c r="H138" s="181">
        <v>0</v>
      </c>
      <c r="I138" s="181">
        <v>0</v>
      </c>
      <c r="J138" s="181">
        <v>0</v>
      </c>
      <c r="K138" s="181">
        <v>0</v>
      </c>
      <c r="L138" s="181">
        <v>256775116</v>
      </c>
      <c r="M138" s="181">
        <v>0</v>
      </c>
      <c r="N138" s="181">
        <v>0</v>
      </c>
      <c r="O138" s="181">
        <v>0</v>
      </c>
      <c r="P138" s="181">
        <v>0</v>
      </c>
      <c r="Q138" s="181">
        <v>0</v>
      </c>
      <c r="R138" s="181">
        <v>0</v>
      </c>
      <c r="S138" s="181">
        <v>401232305.02999997</v>
      </c>
      <c r="T138" s="181">
        <v>43212406.57</v>
      </c>
      <c r="U138" s="181">
        <v>358019898.45999998</v>
      </c>
      <c r="V138" s="181">
        <v>0</v>
      </c>
      <c r="W138" s="181">
        <v>0</v>
      </c>
      <c r="X138" s="181">
        <v>0</v>
      </c>
      <c r="Y138" s="181">
        <v>0</v>
      </c>
      <c r="Z138" s="181">
        <v>0</v>
      </c>
      <c r="AA138" s="181">
        <v>0</v>
      </c>
      <c r="AB138" s="181">
        <v>401232305.02999997</v>
      </c>
      <c r="AC138" s="181">
        <v>43212406.57</v>
      </c>
      <c r="AD138" s="1180">
        <v>358019898.45999998</v>
      </c>
      <c r="AE138" s="1180">
        <v>358019898.45999998</v>
      </c>
      <c r="AF138" s="181">
        <v>7390877.46</v>
      </c>
      <c r="AG138" s="181">
        <v>7390877.46</v>
      </c>
      <c r="AH138" s="181">
        <v>350629021</v>
      </c>
      <c r="AI138" s="181">
        <v>350633221</v>
      </c>
      <c r="AJ138" s="181">
        <v>4200</v>
      </c>
      <c r="AK138" s="181">
        <v>350633221</v>
      </c>
      <c r="AL138" s="181">
        <v>0</v>
      </c>
      <c r="AM138" s="181">
        <v>4200</v>
      </c>
      <c r="AN138" s="181" t="s">
        <v>1709</v>
      </c>
      <c r="AS138" s="181"/>
    </row>
    <row r="139" spans="1:45" ht="60" hidden="1" x14ac:dyDescent="0.25">
      <c r="A139" s="181">
        <v>307</v>
      </c>
      <c r="B139" s="181">
        <v>35</v>
      </c>
      <c r="C139" s="181" t="s">
        <v>1240</v>
      </c>
      <c r="D139" s="1179" t="s">
        <v>1241</v>
      </c>
      <c r="E139" s="181">
        <v>57061137</v>
      </c>
      <c r="F139" s="181">
        <v>57061137</v>
      </c>
      <c r="G139" s="181">
        <v>0</v>
      </c>
      <c r="H139" s="181">
        <v>0</v>
      </c>
      <c r="I139" s="181">
        <v>0</v>
      </c>
      <c r="J139" s="181">
        <v>0</v>
      </c>
      <c r="K139" s="181">
        <v>0</v>
      </c>
      <c r="L139" s="181">
        <v>57061137</v>
      </c>
      <c r="M139" s="181">
        <v>0</v>
      </c>
      <c r="N139" s="181">
        <v>0</v>
      </c>
      <c r="O139" s="181">
        <v>0</v>
      </c>
      <c r="P139" s="181">
        <v>0</v>
      </c>
      <c r="Q139" s="181">
        <v>0</v>
      </c>
      <c r="R139" s="181">
        <v>0</v>
      </c>
      <c r="S139" s="181">
        <v>79605499.859999999</v>
      </c>
      <c r="T139" s="181">
        <v>980</v>
      </c>
      <c r="U139" s="181">
        <v>79604519.859999999</v>
      </c>
      <c r="V139" s="181">
        <v>0</v>
      </c>
      <c r="W139" s="181">
        <v>0</v>
      </c>
      <c r="X139" s="181">
        <v>0</v>
      </c>
      <c r="Y139" s="181">
        <v>0</v>
      </c>
      <c r="Z139" s="181">
        <v>0</v>
      </c>
      <c r="AA139" s="181">
        <v>0</v>
      </c>
      <c r="AB139" s="181">
        <v>79605499.859999999</v>
      </c>
      <c r="AC139" s="181">
        <v>980</v>
      </c>
      <c r="AD139" s="1180">
        <v>79604519.859999999</v>
      </c>
      <c r="AE139" s="1183">
        <v>79604519.859999999</v>
      </c>
      <c r="AF139" s="181">
        <v>11804766.300000001</v>
      </c>
      <c r="AG139" s="181">
        <v>11804766.300000001</v>
      </c>
      <c r="AH139" s="181">
        <v>67799753.560000002</v>
      </c>
      <c r="AI139" s="181">
        <v>67800733.560000002</v>
      </c>
      <c r="AJ139" s="181">
        <v>980</v>
      </c>
      <c r="AK139" s="181">
        <v>67800733.560000002</v>
      </c>
      <c r="AL139" s="181">
        <v>0</v>
      </c>
      <c r="AM139" s="181">
        <v>980</v>
      </c>
      <c r="AN139" s="181" t="s">
        <v>157</v>
      </c>
    </row>
    <row r="140" spans="1:45" ht="60" hidden="1" x14ac:dyDescent="0.25">
      <c r="A140" s="181">
        <v>307</v>
      </c>
      <c r="B140" s="181">
        <v>179</v>
      </c>
      <c r="C140" s="181" t="s">
        <v>1242</v>
      </c>
      <c r="D140" s="1179" t="s">
        <v>1243</v>
      </c>
      <c r="E140" s="181">
        <v>12227386</v>
      </c>
      <c r="F140" s="181">
        <v>12227386</v>
      </c>
      <c r="G140" s="181">
        <v>0</v>
      </c>
      <c r="H140" s="181">
        <v>0</v>
      </c>
      <c r="I140" s="181">
        <v>0</v>
      </c>
      <c r="J140" s="181">
        <v>0</v>
      </c>
      <c r="K140" s="181">
        <v>0</v>
      </c>
      <c r="L140" s="181">
        <v>12227386</v>
      </c>
      <c r="M140" s="181">
        <v>0</v>
      </c>
      <c r="N140" s="181">
        <v>0</v>
      </c>
      <c r="O140" s="181">
        <v>0</v>
      </c>
      <c r="P140" s="181">
        <v>0</v>
      </c>
      <c r="Q140" s="181">
        <v>0</v>
      </c>
      <c r="R140" s="181">
        <v>0</v>
      </c>
      <c r="S140" s="181">
        <v>60058649</v>
      </c>
      <c r="T140" s="181">
        <v>43208206.57</v>
      </c>
      <c r="U140" s="181">
        <v>16850442.43</v>
      </c>
      <c r="V140" s="181">
        <v>0</v>
      </c>
      <c r="W140" s="181">
        <v>0</v>
      </c>
      <c r="X140" s="181">
        <v>0</v>
      </c>
      <c r="Y140" s="181">
        <v>0</v>
      </c>
      <c r="Z140" s="181">
        <v>0</v>
      </c>
      <c r="AA140" s="181">
        <v>0</v>
      </c>
      <c r="AB140" s="181">
        <v>60058649</v>
      </c>
      <c r="AC140" s="181">
        <v>43208206.57</v>
      </c>
      <c r="AD140" s="1180">
        <v>16850442.43</v>
      </c>
      <c r="AE140" s="1183">
        <v>16850442.43</v>
      </c>
      <c r="AF140" s="181">
        <v>-43208206.57</v>
      </c>
      <c r="AG140" s="181">
        <v>-43208206.57</v>
      </c>
      <c r="AH140" s="181">
        <v>60058649</v>
      </c>
      <c r="AI140" s="181">
        <v>60058649</v>
      </c>
      <c r="AJ140" s="181">
        <v>0</v>
      </c>
      <c r="AK140" s="181">
        <v>60058649</v>
      </c>
      <c r="AL140" s="181">
        <v>0</v>
      </c>
      <c r="AM140" s="181">
        <v>0</v>
      </c>
      <c r="AN140" s="181" t="s">
        <v>98</v>
      </c>
    </row>
    <row r="141" spans="1:45" ht="60" hidden="1" x14ac:dyDescent="0.25">
      <c r="A141" s="181">
        <v>307</v>
      </c>
      <c r="B141" s="181">
        <v>20</v>
      </c>
      <c r="C141" s="181" t="s">
        <v>1244</v>
      </c>
      <c r="D141" s="1179" t="s">
        <v>505</v>
      </c>
      <c r="E141" s="181">
        <v>187486593</v>
      </c>
      <c r="F141" s="181">
        <v>187486593</v>
      </c>
      <c r="G141" s="181">
        <v>0</v>
      </c>
      <c r="H141" s="181">
        <v>0</v>
      </c>
      <c r="I141" s="181">
        <v>0</v>
      </c>
      <c r="J141" s="181">
        <v>0</v>
      </c>
      <c r="K141" s="181">
        <v>0</v>
      </c>
      <c r="L141" s="181">
        <v>187486593</v>
      </c>
      <c r="M141" s="181">
        <v>0</v>
      </c>
      <c r="N141" s="181">
        <v>0</v>
      </c>
      <c r="O141" s="181">
        <v>0</v>
      </c>
      <c r="P141" s="181">
        <v>0</v>
      </c>
      <c r="Q141" s="181">
        <v>0</v>
      </c>
      <c r="R141" s="181">
        <v>0</v>
      </c>
      <c r="S141" s="181">
        <v>261568156.16999999</v>
      </c>
      <c r="T141" s="181">
        <v>3220</v>
      </c>
      <c r="U141" s="181">
        <v>261564936.16999999</v>
      </c>
      <c r="V141" s="181">
        <v>0</v>
      </c>
      <c r="W141" s="181">
        <v>0</v>
      </c>
      <c r="X141" s="181">
        <v>0</v>
      </c>
      <c r="Y141" s="181">
        <v>0</v>
      </c>
      <c r="Z141" s="181">
        <v>0</v>
      </c>
      <c r="AA141" s="181">
        <v>0</v>
      </c>
      <c r="AB141" s="181">
        <v>261568156.16999999</v>
      </c>
      <c r="AC141" s="181">
        <v>3220</v>
      </c>
      <c r="AD141" s="1180">
        <v>261564936.16999999</v>
      </c>
      <c r="AE141" s="1183">
        <v>261564936.16999999</v>
      </c>
      <c r="AF141" s="181">
        <v>38794317.729999997</v>
      </c>
      <c r="AG141" s="181">
        <v>38794317.729999997</v>
      </c>
      <c r="AH141" s="181">
        <v>222770618.44</v>
      </c>
      <c r="AI141" s="181">
        <v>222773838.44</v>
      </c>
      <c r="AJ141" s="181">
        <v>3220</v>
      </c>
      <c r="AK141" s="181">
        <v>222773838.44</v>
      </c>
      <c r="AL141" s="181">
        <v>0</v>
      </c>
      <c r="AM141" s="181">
        <v>3220</v>
      </c>
      <c r="AN141" s="181" t="s">
        <v>140</v>
      </c>
    </row>
    <row r="142" spans="1:45" ht="60" hidden="1" x14ac:dyDescent="0.25">
      <c r="A142" s="181">
        <v>307</v>
      </c>
      <c r="B142" s="181" t="s">
        <v>226</v>
      </c>
      <c r="C142" s="181" t="s">
        <v>1529</v>
      </c>
      <c r="D142" s="1179" t="s">
        <v>1248</v>
      </c>
      <c r="E142" s="181">
        <v>278173040</v>
      </c>
      <c r="F142" s="181">
        <v>278173040</v>
      </c>
      <c r="G142" s="181">
        <v>0</v>
      </c>
      <c r="H142" s="181">
        <v>0</v>
      </c>
      <c r="I142" s="181">
        <v>0</v>
      </c>
      <c r="J142" s="181">
        <v>0</v>
      </c>
      <c r="K142" s="181">
        <v>0</v>
      </c>
      <c r="L142" s="181">
        <v>278173040</v>
      </c>
      <c r="M142" s="181">
        <v>0</v>
      </c>
      <c r="N142" s="181">
        <v>0</v>
      </c>
      <c r="O142" s="181">
        <v>0</v>
      </c>
      <c r="P142" s="181">
        <v>0</v>
      </c>
      <c r="Q142" s="181">
        <v>0</v>
      </c>
      <c r="R142" s="181">
        <v>0</v>
      </c>
      <c r="S142" s="181">
        <v>199422426.41</v>
      </c>
      <c r="T142" s="181">
        <v>1116494.99</v>
      </c>
      <c r="U142" s="181">
        <v>198305931.41999999</v>
      </c>
      <c r="V142" s="181">
        <v>0</v>
      </c>
      <c r="W142" s="181">
        <v>0</v>
      </c>
      <c r="X142" s="181">
        <v>0</v>
      </c>
      <c r="Y142" s="181">
        <v>0</v>
      </c>
      <c r="Z142" s="181">
        <v>0</v>
      </c>
      <c r="AA142" s="181">
        <v>0</v>
      </c>
      <c r="AB142" s="181">
        <v>199422426.41</v>
      </c>
      <c r="AC142" s="181">
        <v>1116494.99</v>
      </c>
      <c r="AD142" s="1180">
        <v>198305931.41999999</v>
      </c>
      <c r="AE142" s="1180">
        <v>198305931.41999999</v>
      </c>
      <c r="AF142" s="181">
        <v>629631.42000000004</v>
      </c>
      <c r="AG142" s="181">
        <v>629631.42000000004</v>
      </c>
      <c r="AH142" s="181">
        <v>197676300</v>
      </c>
      <c r="AI142" s="181">
        <v>197690940</v>
      </c>
      <c r="AJ142" s="181">
        <v>14640</v>
      </c>
      <c r="AK142" s="181">
        <v>197690940</v>
      </c>
      <c r="AL142" s="181">
        <v>0</v>
      </c>
      <c r="AM142" s="181">
        <v>14640</v>
      </c>
      <c r="AN142" s="181" t="s">
        <v>1709</v>
      </c>
      <c r="AS142" s="181"/>
    </row>
    <row r="143" spans="1:45" ht="60" hidden="1" x14ac:dyDescent="0.25">
      <c r="A143" s="181">
        <v>307</v>
      </c>
      <c r="B143" s="181">
        <v>35</v>
      </c>
      <c r="C143" s="181" t="s">
        <v>1245</v>
      </c>
      <c r="D143" s="1179" t="s">
        <v>1246</v>
      </c>
      <c r="E143" s="181">
        <v>61816234</v>
      </c>
      <c r="F143" s="181">
        <v>61816234</v>
      </c>
      <c r="G143" s="181">
        <v>0</v>
      </c>
      <c r="H143" s="181">
        <v>0</v>
      </c>
      <c r="I143" s="181">
        <v>0</v>
      </c>
      <c r="J143" s="181">
        <v>0</v>
      </c>
      <c r="K143" s="181">
        <v>0</v>
      </c>
      <c r="L143" s="181">
        <v>61816234</v>
      </c>
      <c r="M143" s="181">
        <v>0</v>
      </c>
      <c r="N143" s="181">
        <v>0</v>
      </c>
      <c r="O143" s="181">
        <v>0</v>
      </c>
      <c r="P143" s="181">
        <v>0</v>
      </c>
      <c r="Q143" s="181">
        <v>0</v>
      </c>
      <c r="R143" s="181">
        <v>0</v>
      </c>
      <c r="S143" s="181">
        <v>44323020</v>
      </c>
      <c r="T143" s="181">
        <v>257062.77</v>
      </c>
      <c r="U143" s="181">
        <v>44065957.229999997</v>
      </c>
      <c r="V143" s="181">
        <v>0</v>
      </c>
      <c r="W143" s="181">
        <v>0</v>
      </c>
      <c r="X143" s="181">
        <v>0</v>
      </c>
      <c r="Y143" s="181">
        <v>0</v>
      </c>
      <c r="Z143" s="181">
        <v>0</v>
      </c>
      <c r="AA143" s="181">
        <v>0</v>
      </c>
      <c r="AB143" s="181">
        <v>44323020</v>
      </c>
      <c r="AC143" s="181">
        <v>257062.77</v>
      </c>
      <c r="AD143" s="1180">
        <v>44065957.229999997</v>
      </c>
      <c r="AE143" s="1183">
        <v>44065957.229999997</v>
      </c>
      <c r="AF143" s="181">
        <v>-257062.77</v>
      </c>
      <c r="AG143" s="181">
        <v>-257062.77</v>
      </c>
      <c r="AH143" s="181">
        <v>44323020</v>
      </c>
      <c r="AI143" s="181">
        <v>44323020</v>
      </c>
      <c r="AJ143" s="181">
        <v>0</v>
      </c>
      <c r="AK143" s="181">
        <v>44323020</v>
      </c>
      <c r="AL143" s="181">
        <v>0</v>
      </c>
      <c r="AM143" s="181">
        <v>0</v>
      </c>
      <c r="AN143" s="181" t="s">
        <v>157</v>
      </c>
    </row>
    <row r="144" spans="1:45" ht="60" hidden="1" x14ac:dyDescent="0.25">
      <c r="A144" s="181">
        <v>307</v>
      </c>
      <c r="B144" s="181">
        <v>179</v>
      </c>
      <c r="C144" s="181" t="s">
        <v>1247</v>
      </c>
      <c r="D144" s="1179" t="s">
        <v>1248</v>
      </c>
      <c r="E144" s="181">
        <v>13246330</v>
      </c>
      <c r="F144" s="181">
        <v>13246330</v>
      </c>
      <c r="G144" s="181">
        <v>0</v>
      </c>
      <c r="H144" s="181">
        <v>0</v>
      </c>
      <c r="I144" s="181">
        <v>0</v>
      </c>
      <c r="J144" s="181">
        <v>0</v>
      </c>
      <c r="K144" s="181">
        <v>0</v>
      </c>
      <c r="L144" s="181">
        <v>13246330</v>
      </c>
      <c r="M144" s="181">
        <v>0</v>
      </c>
      <c r="N144" s="181">
        <v>0</v>
      </c>
      <c r="O144" s="181">
        <v>0</v>
      </c>
      <c r="P144" s="181">
        <v>0</v>
      </c>
      <c r="Q144" s="181">
        <v>0</v>
      </c>
      <c r="R144" s="181">
        <v>0</v>
      </c>
      <c r="S144" s="181">
        <v>9466626.4100000001</v>
      </c>
      <c r="T144" s="181">
        <v>14640</v>
      </c>
      <c r="U144" s="181">
        <v>9451986.4100000001</v>
      </c>
      <c r="V144" s="181">
        <v>0</v>
      </c>
      <c r="W144" s="181">
        <v>0</v>
      </c>
      <c r="X144" s="181">
        <v>0</v>
      </c>
      <c r="Y144" s="181">
        <v>0</v>
      </c>
      <c r="Z144" s="181">
        <v>0</v>
      </c>
      <c r="AA144" s="181">
        <v>0</v>
      </c>
      <c r="AB144" s="181">
        <v>9466626.4100000001</v>
      </c>
      <c r="AC144" s="181">
        <v>14640</v>
      </c>
      <c r="AD144" s="1180">
        <v>9451986.4100000001</v>
      </c>
      <c r="AE144" s="1183">
        <v>9451986.4100000001</v>
      </c>
      <c r="AF144" s="181">
        <v>1731486.41</v>
      </c>
      <c r="AG144" s="181">
        <v>1731486.41</v>
      </c>
      <c r="AH144" s="181">
        <v>7720500</v>
      </c>
      <c r="AI144" s="181">
        <v>7735140</v>
      </c>
      <c r="AJ144" s="181">
        <v>14640</v>
      </c>
      <c r="AK144" s="181">
        <v>7735140</v>
      </c>
      <c r="AL144" s="181">
        <v>0</v>
      </c>
      <c r="AM144" s="181">
        <v>14640</v>
      </c>
      <c r="AN144" s="181" t="s">
        <v>98</v>
      </c>
    </row>
    <row r="145" spans="1:45" ht="60" hidden="1" x14ac:dyDescent="0.25">
      <c r="A145" s="181">
        <v>307</v>
      </c>
      <c r="B145" s="181">
        <v>20</v>
      </c>
      <c r="C145" s="181" t="s">
        <v>1249</v>
      </c>
      <c r="D145" s="1179" t="s">
        <v>1248</v>
      </c>
      <c r="E145" s="181">
        <v>203110476</v>
      </c>
      <c r="F145" s="181">
        <v>203110476</v>
      </c>
      <c r="G145" s="181">
        <v>0</v>
      </c>
      <c r="H145" s="181">
        <v>0</v>
      </c>
      <c r="I145" s="181">
        <v>0</v>
      </c>
      <c r="J145" s="181">
        <v>0</v>
      </c>
      <c r="K145" s="181">
        <v>0</v>
      </c>
      <c r="L145" s="181">
        <v>203110476</v>
      </c>
      <c r="M145" s="181">
        <v>0</v>
      </c>
      <c r="N145" s="181">
        <v>0</v>
      </c>
      <c r="O145" s="181">
        <v>0</v>
      </c>
      <c r="P145" s="181">
        <v>0</v>
      </c>
      <c r="Q145" s="181">
        <v>0</v>
      </c>
      <c r="R145" s="181">
        <v>0</v>
      </c>
      <c r="S145" s="181">
        <v>145632780</v>
      </c>
      <c r="T145" s="181">
        <v>844792.22</v>
      </c>
      <c r="U145" s="181">
        <v>144787987.78</v>
      </c>
      <c r="V145" s="181">
        <v>0</v>
      </c>
      <c r="W145" s="181">
        <v>0</v>
      </c>
      <c r="X145" s="181">
        <v>0</v>
      </c>
      <c r="Y145" s="181">
        <v>0</v>
      </c>
      <c r="Z145" s="181">
        <v>0</v>
      </c>
      <c r="AA145" s="181">
        <v>0</v>
      </c>
      <c r="AB145" s="181">
        <v>145632780</v>
      </c>
      <c r="AC145" s="181">
        <v>844792.22</v>
      </c>
      <c r="AD145" s="1180">
        <v>144787987.78</v>
      </c>
      <c r="AE145" s="1183">
        <v>144787987.78</v>
      </c>
      <c r="AF145" s="181">
        <v>-844792.22</v>
      </c>
      <c r="AG145" s="181">
        <v>-844792.22</v>
      </c>
      <c r="AH145" s="181">
        <v>145632780</v>
      </c>
      <c r="AI145" s="181">
        <v>145632780</v>
      </c>
      <c r="AJ145" s="181">
        <v>0</v>
      </c>
      <c r="AK145" s="181">
        <v>145632780</v>
      </c>
      <c r="AL145" s="181">
        <v>0</v>
      </c>
      <c r="AM145" s="181">
        <v>0</v>
      </c>
      <c r="AN145" s="181" t="s">
        <v>140</v>
      </c>
    </row>
    <row r="146" spans="1:45" ht="30" hidden="1" x14ac:dyDescent="0.25">
      <c r="A146" s="181">
        <v>307</v>
      </c>
      <c r="B146" s="181" t="s">
        <v>226</v>
      </c>
      <c r="C146" s="181" t="s">
        <v>507</v>
      </c>
      <c r="D146" s="1179" t="s">
        <v>508</v>
      </c>
      <c r="E146" s="181">
        <v>12840561164</v>
      </c>
      <c r="F146" s="181">
        <v>12840561164</v>
      </c>
      <c r="G146" s="181">
        <v>0</v>
      </c>
      <c r="H146" s="181">
        <v>0</v>
      </c>
      <c r="I146" s="181">
        <v>0</v>
      </c>
      <c r="J146" s="181">
        <v>0</v>
      </c>
      <c r="K146" s="181">
        <v>0</v>
      </c>
      <c r="L146" s="181">
        <v>12840561164</v>
      </c>
      <c r="M146" s="181">
        <v>0</v>
      </c>
      <c r="N146" s="181">
        <v>0</v>
      </c>
      <c r="O146" s="181">
        <v>0</v>
      </c>
      <c r="P146" s="181">
        <v>0</v>
      </c>
      <c r="Q146" s="181">
        <v>0</v>
      </c>
      <c r="R146" s="181">
        <v>0</v>
      </c>
      <c r="S146" s="181">
        <v>20036194940.959999</v>
      </c>
      <c r="T146" s="181">
        <v>84622522.340000004</v>
      </c>
      <c r="U146" s="181">
        <v>19951572418.619999</v>
      </c>
      <c r="V146" s="181">
        <v>0</v>
      </c>
      <c r="W146" s="181">
        <v>0</v>
      </c>
      <c r="X146" s="181">
        <v>0</v>
      </c>
      <c r="Y146" s="181">
        <v>0</v>
      </c>
      <c r="Z146" s="181">
        <v>0</v>
      </c>
      <c r="AA146" s="181">
        <v>0</v>
      </c>
      <c r="AB146" s="181">
        <v>20036194940.959999</v>
      </c>
      <c r="AC146" s="181">
        <v>84622522.340000004</v>
      </c>
      <c r="AD146" s="1180">
        <v>19951572418.619999</v>
      </c>
      <c r="AE146" s="1180">
        <v>19951572418.619999</v>
      </c>
      <c r="AF146" s="181">
        <v>35126154.460000001</v>
      </c>
      <c r="AG146" s="181">
        <v>35126154.460000001</v>
      </c>
      <c r="AH146" s="181">
        <v>19916446264.16</v>
      </c>
      <c r="AI146" s="181">
        <v>19960648656.360001</v>
      </c>
      <c r="AJ146" s="181">
        <v>44202392.200000003</v>
      </c>
      <c r="AK146" s="181">
        <v>19960648656.360001</v>
      </c>
      <c r="AL146" s="181">
        <v>0</v>
      </c>
      <c r="AM146" s="181">
        <v>44202392.200000003</v>
      </c>
      <c r="AN146" s="181" t="s">
        <v>1709</v>
      </c>
      <c r="AS146" s="181"/>
    </row>
    <row r="147" spans="1:45" ht="45" hidden="1" x14ac:dyDescent="0.25">
      <c r="A147" s="181">
        <v>307</v>
      </c>
      <c r="B147" s="181" t="s">
        <v>226</v>
      </c>
      <c r="C147" s="181" t="s">
        <v>509</v>
      </c>
      <c r="D147" s="1179" t="s">
        <v>510</v>
      </c>
      <c r="E147" s="181">
        <v>12840561164</v>
      </c>
      <c r="F147" s="181">
        <v>12840561164</v>
      </c>
      <c r="G147" s="181">
        <v>0</v>
      </c>
      <c r="H147" s="181">
        <v>0</v>
      </c>
      <c r="I147" s="181">
        <v>0</v>
      </c>
      <c r="J147" s="181">
        <v>0</v>
      </c>
      <c r="K147" s="181">
        <v>0</v>
      </c>
      <c r="L147" s="181">
        <v>12840561164</v>
      </c>
      <c r="M147" s="181">
        <v>0</v>
      </c>
      <c r="N147" s="181">
        <v>0</v>
      </c>
      <c r="O147" s="181">
        <v>0</v>
      </c>
      <c r="P147" s="181">
        <v>0</v>
      </c>
      <c r="Q147" s="181">
        <v>0</v>
      </c>
      <c r="R147" s="181">
        <v>0</v>
      </c>
      <c r="S147" s="181">
        <v>20036194940.959999</v>
      </c>
      <c r="T147" s="181">
        <v>84622522.340000004</v>
      </c>
      <c r="U147" s="181">
        <v>19951572418.619999</v>
      </c>
      <c r="V147" s="181">
        <v>0</v>
      </c>
      <c r="W147" s="181">
        <v>0</v>
      </c>
      <c r="X147" s="181">
        <v>0</v>
      </c>
      <c r="Y147" s="181">
        <v>0</v>
      </c>
      <c r="Z147" s="181">
        <v>0</v>
      </c>
      <c r="AA147" s="181">
        <v>0</v>
      </c>
      <c r="AB147" s="181">
        <v>20036194940.959999</v>
      </c>
      <c r="AC147" s="181">
        <v>84622522.340000004</v>
      </c>
      <c r="AD147" s="1180">
        <v>19951572418.619999</v>
      </c>
      <c r="AE147" s="1180">
        <v>19951572418.619999</v>
      </c>
      <c r="AF147" s="181">
        <v>35126154.460000001</v>
      </c>
      <c r="AG147" s="181">
        <v>35126154.460000001</v>
      </c>
      <c r="AH147" s="181">
        <v>19916446264.16</v>
      </c>
      <c r="AI147" s="181">
        <v>19960648656.360001</v>
      </c>
      <c r="AJ147" s="181">
        <v>44202392.200000003</v>
      </c>
      <c r="AK147" s="181">
        <v>19960648656.360001</v>
      </c>
      <c r="AL147" s="181">
        <v>0</v>
      </c>
      <c r="AM147" s="181">
        <v>44202392.200000003</v>
      </c>
      <c r="AN147" s="181" t="s">
        <v>1709</v>
      </c>
      <c r="AS147" s="181"/>
    </row>
    <row r="148" spans="1:45" ht="60" hidden="1" x14ac:dyDescent="0.25">
      <c r="A148" s="181">
        <v>307</v>
      </c>
      <c r="B148" s="181" t="s">
        <v>226</v>
      </c>
      <c r="C148" s="181" t="s">
        <v>1533</v>
      </c>
      <c r="D148" s="1179" t="s">
        <v>1534</v>
      </c>
      <c r="E148" s="181">
        <v>12840561164</v>
      </c>
      <c r="F148" s="181">
        <v>12840561164</v>
      </c>
      <c r="G148" s="181">
        <v>0</v>
      </c>
      <c r="H148" s="181">
        <v>0</v>
      </c>
      <c r="I148" s="181">
        <v>0</v>
      </c>
      <c r="J148" s="181">
        <v>0</v>
      </c>
      <c r="K148" s="181">
        <v>0</v>
      </c>
      <c r="L148" s="181">
        <v>12840561164</v>
      </c>
      <c r="M148" s="181">
        <v>0</v>
      </c>
      <c r="N148" s="181">
        <v>0</v>
      </c>
      <c r="O148" s="181">
        <v>0</v>
      </c>
      <c r="P148" s="181">
        <v>0</v>
      </c>
      <c r="Q148" s="181">
        <v>0</v>
      </c>
      <c r="R148" s="181">
        <v>0</v>
      </c>
      <c r="S148" s="181">
        <v>20036194940.959999</v>
      </c>
      <c r="T148" s="181">
        <v>84622522.340000004</v>
      </c>
      <c r="U148" s="181">
        <v>19951572418.619999</v>
      </c>
      <c r="V148" s="181">
        <v>0</v>
      </c>
      <c r="W148" s="181">
        <v>0</v>
      </c>
      <c r="X148" s="181">
        <v>0</v>
      </c>
      <c r="Y148" s="181">
        <v>0</v>
      </c>
      <c r="Z148" s="181">
        <v>0</v>
      </c>
      <c r="AA148" s="181">
        <v>0</v>
      </c>
      <c r="AB148" s="181">
        <v>20036194940.959999</v>
      </c>
      <c r="AC148" s="181">
        <v>84622522.340000004</v>
      </c>
      <c r="AD148" s="1180">
        <v>19951572418.619999</v>
      </c>
      <c r="AE148" s="1180">
        <v>19951572418.619999</v>
      </c>
      <c r="AF148" s="181">
        <v>35126154.460000001</v>
      </c>
      <c r="AG148" s="181">
        <v>35126154.460000001</v>
      </c>
      <c r="AH148" s="181">
        <v>19916446264.16</v>
      </c>
      <c r="AI148" s="181">
        <v>19960648656.360001</v>
      </c>
      <c r="AJ148" s="181">
        <v>44202392.200000003</v>
      </c>
      <c r="AK148" s="181">
        <v>19960648656.360001</v>
      </c>
      <c r="AL148" s="181">
        <v>0</v>
      </c>
      <c r="AM148" s="181">
        <v>44202392.200000003</v>
      </c>
      <c r="AN148" s="181" t="s">
        <v>1709</v>
      </c>
      <c r="AS148" s="181"/>
    </row>
    <row r="149" spans="1:45" ht="60" hidden="1" x14ac:dyDescent="0.25">
      <c r="A149" s="181">
        <v>307</v>
      </c>
      <c r="B149" s="181">
        <v>179</v>
      </c>
      <c r="C149" s="181" t="s">
        <v>1250</v>
      </c>
      <c r="D149" s="1179" t="s">
        <v>1251</v>
      </c>
      <c r="E149" s="181">
        <v>226353196</v>
      </c>
      <c r="F149" s="181">
        <v>226353196</v>
      </c>
      <c r="G149" s="181">
        <v>0</v>
      </c>
      <c r="H149" s="181">
        <v>0</v>
      </c>
      <c r="I149" s="181">
        <v>0</v>
      </c>
      <c r="J149" s="181">
        <v>0</v>
      </c>
      <c r="K149" s="181">
        <v>0</v>
      </c>
      <c r="L149" s="181">
        <v>226353196</v>
      </c>
      <c r="M149" s="181">
        <v>0</v>
      </c>
      <c r="N149" s="181">
        <v>0</v>
      </c>
      <c r="O149" s="181">
        <v>0</v>
      </c>
      <c r="P149" s="181">
        <v>0</v>
      </c>
      <c r="Q149" s="181">
        <v>0</v>
      </c>
      <c r="R149" s="181">
        <v>0</v>
      </c>
      <c r="S149" s="181">
        <v>728139719.72000003</v>
      </c>
      <c r="T149" s="181">
        <v>6865620</v>
      </c>
      <c r="U149" s="181">
        <v>721274099.72000003</v>
      </c>
      <c r="V149" s="181">
        <v>0</v>
      </c>
      <c r="W149" s="181">
        <v>0</v>
      </c>
      <c r="X149" s="181">
        <v>0</v>
      </c>
      <c r="Y149" s="181">
        <v>0</v>
      </c>
      <c r="Z149" s="181">
        <v>0</v>
      </c>
      <c r="AA149" s="181">
        <v>0</v>
      </c>
      <c r="AB149" s="181">
        <v>728139719.72000003</v>
      </c>
      <c r="AC149" s="181">
        <v>6865620</v>
      </c>
      <c r="AD149" s="1180">
        <v>721274099.72000003</v>
      </c>
      <c r="AE149" s="1183">
        <v>721274099.72000003</v>
      </c>
      <c r="AF149" s="181">
        <v>45327770.759999998</v>
      </c>
      <c r="AG149" s="181">
        <v>45327770.759999998</v>
      </c>
      <c r="AH149" s="181">
        <v>675946328.96000004</v>
      </c>
      <c r="AI149" s="181">
        <v>682811948.96000004</v>
      </c>
      <c r="AJ149" s="181">
        <v>6865620</v>
      </c>
      <c r="AK149" s="181">
        <v>682811948.96000004</v>
      </c>
      <c r="AL149" s="181">
        <v>0</v>
      </c>
      <c r="AM149" s="181">
        <v>6865620</v>
      </c>
      <c r="AN149" s="181" t="s">
        <v>98</v>
      </c>
    </row>
    <row r="150" spans="1:45" ht="60" hidden="1" x14ac:dyDescent="0.25">
      <c r="A150" s="181">
        <v>307</v>
      </c>
      <c r="B150" s="181">
        <v>20</v>
      </c>
      <c r="C150" s="181" t="s">
        <v>1252</v>
      </c>
      <c r="D150" s="1179" t="s">
        <v>1251</v>
      </c>
      <c r="E150" s="181">
        <v>3468843927</v>
      </c>
      <c r="F150" s="181">
        <v>3468843927</v>
      </c>
      <c r="G150" s="181">
        <v>0</v>
      </c>
      <c r="H150" s="181">
        <v>0</v>
      </c>
      <c r="I150" s="181">
        <v>0</v>
      </c>
      <c r="J150" s="181">
        <v>0</v>
      </c>
      <c r="K150" s="181">
        <v>0</v>
      </c>
      <c r="L150" s="181">
        <v>3468843927</v>
      </c>
      <c r="M150" s="181">
        <v>0</v>
      </c>
      <c r="N150" s="181">
        <v>0</v>
      </c>
      <c r="O150" s="181">
        <v>0</v>
      </c>
      <c r="P150" s="181">
        <v>0</v>
      </c>
      <c r="Q150" s="181">
        <v>0</v>
      </c>
      <c r="R150" s="181">
        <v>0</v>
      </c>
      <c r="S150" s="181">
        <v>11067538624.719999</v>
      </c>
      <c r="T150" s="181">
        <v>8982835.8399999999</v>
      </c>
      <c r="U150" s="181">
        <v>11058555788.879999</v>
      </c>
      <c r="V150" s="181">
        <v>0</v>
      </c>
      <c r="W150" s="181">
        <v>0</v>
      </c>
      <c r="X150" s="181">
        <v>0</v>
      </c>
      <c r="Y150" s="181">
        <v>0</v>
      </c>
      <c r="Z150" s="181">
        <v>0</v>
      </c>
      <c r="AA150" s="181">
        <v>0</v>
      </c>
      <c r="AB150" s="181">
        <v>11067538624.719999</v>
      </c>
      <c r="AC150" s="181">
        <v>8982835.8399999999</v>
      </c>
      <c r="AD150" s="1180">
        <v>11058555788.879999</v>
      </c>
      <c r="AE150" s="1183">
        <v>11058555788.879999</v>
      </c>
      <c r="AF150" s="181">
        <v>23168534.559999999</v>
      </c>
      <c r="AG150" s="181">
        <v>23168534.559999999</v>
      </c>
      <c r="AH150" s="181">
        <v>11035387254.32</v>
      </c>
      <c r="AI150" s="181">
        <v>11044370090.16</v>
      </c>
      <c r="AJ150" s="181">
        <v>8982835.8399999999</v>
      </c>
      <c r="AK150" s="181">
        <v>11044370090.16</v>
      </c>
      <c r="AL150" s="181">
        <v>0</v>
      </c>
      <c r="AM150" s="181">
        <v>8982835.8399999999</v>
      </c>
      <c r="AN150" s="181" t="s">
        <v>140</v>
      </c>
    </row>
    <row r="151" spans="1:45" ht="60" hidden="1" x14ac:dyDescent="0.25">
      <c r="A151" s="181">
        <v>307</v>
      </c>
      <c r="B151" s="181">
        <v>35</v>
      </c>
      <c r="C151" s="181" t="s">
        <v>1253</v>
      </c>
      <c r="D151" s="1179" t="s">
        <v>1251</v>
      </c>
      <c r="E151" s="181">
        <v>1053823622</v>
      </c>
      <c r="F151" s="181">
        <v>1053823622</v>
      </c>
      <c r="G151" s="181">
        <v>0</v>
      </c>
      <c r="H151" s="181">
        <v>0</v>
      </c>
      <c r="I151" s="181">
        <v>0</v>
      </c>
      <c r="J151" s="181">
        <v>0</v>
      </c>
      <c r="K151" s="181">
        <v>0</v>
      </c>
      <c r="L151" s="181">
        <v>1053823622</v>
      </c>
      <c r="M151" s="181">
        <v>0</v>
      </c>
      <c r="N151" s="181">
        <v>0</v>
      </c>
      <c r="O151" s="181">
        <v>0</v>
      </c>
      <c r="P151" s="181">
        <v>0</v>
      </c>
      <c r="Q151" s="181">
        <v>0</v>
      </c>
      <c r="R151" s="181">
        <v>0</v>
      </c>
      <c r="S151" s="181">
        <v>3368380006.7199998</v>
      </c>
      <c r="T151" s="181">
        <v>2733906.56</v>
      </c>
      <c r="U151" s="181">
        <v>3365646100.1599998</v>
      </c>
      <c r="V151" s="181">
        <v>0</v>
      </c>
      <c r="W151" s="181">
        <v>0</v>
      </c>
      <c r="X151" s="181">
        <v>0</v>
      </c>
      <c r="Y151" s="181">
        <v>0</v>
      </c>
      <c r="Z151" s="181">
        <v>0</v>
      </c>
      <c r="AA151" s="181">
        <v>0</v>
      </c>
      <c r="AB151" s="181">
        <v>3368380006.7199998</v>
      </c>
      <c r="AC151" s="181">
        <v>2733906.56</v>
      </c>
      <c r="AD151" s="1180">
        <v>3365646100.1599998</v>
      </c>
      <c r="AE151" s="1183">
        <v>3365646100.1599998</v>
      </c>
      <c r="AF151" s="181">
        <v>7049979.2800000003</v>
      </c>
      <c r="AG151" s="181">
        <v>7049979.2800000003</v>
      </c>
      <c r="AH151" s="181">
        <v>3358596120.8800001</v>
      </c>
      <c r="AI151" s="181">
        <v>3361330027.4400001</v>
      </c>
      <c r="AJ151" s="181">
        <v>2733906.56</v>
      </c>
      <c r="AK151" s="181">
        <v>3361330027.4400001</v>
      </c>
      <c r="AL151" s="181">
        <v>0</v>
      </c>
      <c r="AM151" s="181">
        <v>2733906.56</v>
      </c>
      <c r="AN151" s="181" t="s">
        <v>157</v>
      </c>
    </row>
    <row r="152" spans="1:45" ht="60" hidden="1" x14ac:dyDescent="0.25">
      <c r="A152" s="181">
        <v>307</v>
      </c>
      <c r="B152" s="181">
        <v>179</v>
      </c>
      <c r="C152" s="181" t="s">
        <v>1254</v>
      </c>
      <c r="D152" s="1179" t="s">
        <v>1255</v>
      </c>
      <c r="E152" s="181">
        <v>384846228</v>
      </c>
      <c r="F152" s="181">
        <v>384846228</v>
      </c>
      <c r="G152" s="181">
        <v>0</v>
      </c>
      <c r="H152" s="181">
        <v>0</v>
      </c>
      <c r="I152" s="181">
        <v>0</v>
      </c>
      <c r="J152" s="181">
        <v>0</v>
      </c>
      <c r="K152" s="181">
        <v>0</v>
      </c>
      <c r="L152" s="181">
        <v>384846228</v>
      </c>
      <c r="M152" s="181">
        <v>0</v>
      </c>
      <c r="N152" s="181">
        <v>0</v>
      </c>
      <c r="O152" s="181">
        <v>0</v>
      </c>
      <c r="P152" s="181">
        <v>0</v>
      </c>
      <c r="Q152" s="181">
        <v>0</v>
      </c>
      <c r="R152" s="181">
        <v>0</v>
      </c>
      <c r="S152" s="181">
        <v>260071089.80000001</v>
      </c>
      <c r="T152" s="181">
        <v>27375546.07</v>
      </c>
      <c r="U152" s="181">
        <v>232695543.72999999</v>
      </c>
      <c r="V152" s="181">
        <v>0</v>
      </c>
      <c r="W152" s="181">
        <v>0</v>
      </c>
      <c r="X152" s="181">
        <v>0</v>
      </c>
      <c r="Y152" s="181">
        <v>0</v>
      </c>
      <c r="Z152" s="181">
        <v>0</v>
      </c>
      <c r="AA152" s="181">
        <v>0</v>
      </c>
      <c r="AB152" s="181">
        <v>260071089.80000001</v>
      </c>
      <c r="AC152" s="181">
        <v>27375546.07</v>
      </c>
      <c r="AD152" s="1180">
        <v>232695543.72999999</v>
      </c>
      <c r="AE152" s="1183">
        <v>232695543.72999999</v>
      </c>
      <c r="AF152" s="181">
        <v>-5052516.2699999996</v>
      </c>
      <c r="AG152" s="181">
        <v>-5052516.2699999996</v>
      </c>
      <c r="AH152" s="181">
        <v>237748060</v>
      </c>
      <c r="AI152" s="181">
        <v>260071089.80000001</v>
      </c>
      <c r="AJ152" s="181">
        <v>22323029.800000001</v>
      </c>
      <c r="AK152" s="181">
        <v>260071089.80000001</v>
      </c>
      <c r="AL152" s="181">
        <v>0</v>
      </c>
      <c r="AM152" s="181">
        <v>22323029.800000001</v>
      </c>
      <c r="AN152" s="181" t="s">
        <v>98</v>
      </c>
    </row>
    <row r="153" spans="1:45" ht="60" hidden="1" x14ac:dyDescent="0.25">
      <c r="A153" s="181">
        <v>307</v>
      </c>
      <c r="B153" s="181">
        <v>20</v>
      </c>
      <c r="C153" s="181" t="s">
        <v>1256</v>
      </c>
      <c r="D153" s="1179" t="s">
        <v>1255</v>
      </c>
      <c r="E153" s="181">
        <v>5908465547</v>
      </c>
      <c r="F153" s="181">
        <v>5908465547</v>
      </c>
      <c r="G153" s="181">
        <v>0</v>
      </c>
      <c r="H153" s="181">
        <v>0</v>
      </c>
      <c r="I153" s="181">
        <v>0</v>
      </c>
      <c r="J153" s="181">
        <v>0</v>
      </c>
      <c r="K153" s="181">
        <v>0</v>
      </c>
      <c r="L153" s="181">
        <v>5908465547</v>
      </c>
      <c r="M153" s="181">
        <v>0</v>
      </c>
      <c r="N153" s="181">
        <v>0</v>
      </c>
      <c r="O153" s="181">
        <v>0</v>
      </c>
      <c r="P153" s="181">
        <v>0</v>
      </c>
      <c r="Q153" s="181">
        <v>0</v>
      </c>
      <c r="R153" s="181">
        <v>0</v>
      </c>
      <c r="S153" s="181">
        <v>3536089548.6100001</v>
      </c>
      <c r="T153" s="181">
        <v>29663089.550000001</v>
      </c>
      <c r="U153" s="181">
        <v>3506426459.0599999</v>
      </c>
      <c r="V153" s="181">
        <v>0</v>
      </c>
      <c r="W153" s="181">
        <v>0</v>
      </c>
      <c r="X153" s="181">
        <v>0</v>
      </c>
      <c r="Y153" s="181">
        <v>0</v>
      </c>
      <c r="Z153" s="181">
        <v>0</v>
      </c>
      <c r="AA153" s="181">
        <v>0</v>
      </c>
      <c r="AB153" s="181">
        <v>3536089548.6100001</v>
      </c>
      <c r="AC153" s="181">
        <v>29663089.550000001</v>
      </c>
      <c r="AD153" s="1180">
        <v>3506426459.0599999</v>
      </c>
      <c r="AE153" s="1183">
        <v>3506426459.0599999</v>
      </c>
      <c r="AF153" s="181">
        <v>-27116349.550000001</v>
      </c>
      <c r="AG153" s="181">
        <v>-27116349.550000001</v>
      </c>
      <c r="AH153" s="181">
        <v>3533542808.6100001</v>
      </c>
      <c r="AI153" s="181">
        <v>3536089548.6100001</v>
      </c>
      <c r="AJ153" s="181">
        <v>2546740</v>
      </c>
      <c r="AK153" s="181">
        <v>3536089548.6100001</v>
      </c>
      <c r="AL153" s="181">
        <v>0</v>
      </c>
      <c r="AM153" s="181">
        <v>2546740</v>
      </c>
      <c r="AN153" s="181" t="s">
        <v>140</v>
      </c>
    </row>
    <row r="154" spans="1:45" ht="60" hidden="1" x14ac:dyDescent="0.25">
      <c r="A154" s="181">
        <v>307</v>
      </c>
      <c r="B154" s="181">
        <v>35</v>
      </c>
      <c r="C154" s="181" t="s">
        <v>1257</v>
      </c>
      <c r="D154" s="1179" t="s">
        <v>1255</v>
      </c>
      <c r="E154" s="181">
        <v>1798228644</v>
      </c>
      <c r="F154" s="181">
        <v>1798228644</v>
      </c>
      <c r="G154" s="181">
        <v>0</v>
      </c>
      <c r="H154" s="181">
        <v>0</v>
      </c>
      <c r="I154" s="181">
        <v>0</v>
      </c>
      <c r="J154" s="181">
        <v>0</v>
      </c>
      <c r="K154" s="181">
        <v>0</v>
      </c>
      <c r="L154" s="181">
        <v>1798228644</v>
      </c>
      <c r="M154" s="181">
        <v>0</v>
      </c>
      <c r="N154" s="181">
        <v>0</v>
      </c>
      <c r="O154" s="181">
        <v>0</v>
      </c>
      <c r="P154" s="181">
        <v>0</v>
      </c>
      <c r="Q154" s="181">
        <v>0</v>
      </c>
      <c r="R154" s="181">
        <v>0</v>
      </c>
      <c r="S154" s="181">
        <v>1075975951.3900001</v>
      </c>
      <c r="T154" s="181">
        <v>9001524.3200000003</v>
      </c>
      <c r="U154" s="181">
        <v>1066974427.0700001</v>
      </c>
      <c r="V154" s="181">
        <v>0</v>
      </c>
      <c r="W154" s="181">
        <v>0</v>
      </c>
      <c r="X154" s="181">
        <v>0</v>
      </c>
      <c r="Y154" s="181">
        <v>0</v>
      </c>
      <c r="Z154" s="181">
        <v>0</v>
      </c>
      <c r="AA154" s="181">
        <v>0</v>
      </c>
      <c r="AB154" s="181">
        <v>1075975951.3900001</v>
      </c>
      <c r="AC154" s="181">
        <v>9001524.3200000003</v>
      </c>
      <c r="AD154" s="1180">
        <v>1066974427.0700001</v>
      </c>
      <c r="AE154" s="1183">
        <v>1066974427.0700001</v>
      </c>
      <c r="AF154" s="181">
        <v>-8251264.3200000003</v>
      </c>
      <c r="AG154" s="181">
        <v>-8251264.3200000003</v>
      </c>
      <c r="AH154" s="181">
        <v>1075225691.3900001</v>
      </c>
      <c r="AI154" s="181">
        <v>1075975951.3900001</v>
      </c>
      <c r="AJ154" s="181">
        <v>750260</v>
      </c>
      <c r="AK154" s="181">
        <v>1075975951.3900001</v>
      </c>
      <c r="AL154" s="181">
        <v>0</v>
      </c>
      <c r="AM154" s="181">
        <v>750260</v>
      </c>
      <c r="AN154" s="181" t="s">
        <v>157</v>
      </c>
    </row>
    <row r="155" spans="1:45" ht="45" hidden="1" x14ac:dyDescent="0.25">
      <c r="A155" s="181">
        <v>307</v>
      </c>
      <c r="B155" s="181" t="s">
        <v>226</v>
      </c>
      <c r="C155" s="181" t="s">
        <v>1535</v>
      </c>
      <c r="D155" s="1179" t="s">
        <v>1536</v>
      </c>
      <c r="E155" s="181">
        <v>4884905</v>
      </c>
      <c r="F155" s="181">
        <v>4884905</v>
      </c>
      <c r="G155" s="181">
        <v>0</v>
      </c>
      <c r="H155" s="181">
        <v>0</v>
      </c>
      <c r="I155" s="181">
        <v>0</v>
      </c>
      <c r="J155" s="181">
        <v>0</v>
      </c>
      <c r="K155" s="181">
        <v>0</v>
      </c>
      <c r="L155" s="181">
        <v>4884905</v>
      </c>
      <c r="M155" s="181">
        <v>0</v>
      </c>
      <c r="N155" s="181">
        <v>0</v>
      </c>
      <c r="O155" s="181">
        <v>0</v>
      </c>
      <c r="P155" s="181">
        <v>0</v>
      </c>
      <c r="Q155" s="181">
        <v>0</v>
      </c>
      <c r="R155" s="181">
        <v>0</v>
      </c>
      <c r="S155" s="181">
        <v>12322450</v>
      </c>
      <c r="T155" s="181">
        <v>34300</v>
      </c>
      <c r="U155" s="181">
        <v>12288150</v>
      </c>
      <c r="V155" s="181">
        <v>0</v>
      </c>
      <c r="W155" s="181">
        <v>0</v>
      </c>
      <c r="X155" s="181">
        <v>0</v>
      </c>
      <c r="Y155" s="181">
        <v>0</v>
      </c>
      <c r="Z155" s="181">
        <v>0</v>
      </c>
      <c r="AA155" s="181">
        <v>0</v>
      </c>
      <c r="AB155" s="181">
        <v>12322450</v>
      </c>
      <c r="AC155" s="181">
        <v>34300</v>
      </c>
      <c r="AD155" s="1180">
        <v>12288150</v>
      </c>
      <c r="AE155" s="1180">
        <v>12288150</v>
      </c>
      <c r="AF155" s="181">
        <v>0</v>
      </c>
      <c r="AG155" s="181">
        <v>0</v>
      </c>
      <c r="AH155" s="181">
        <v>12288150</v>
      </c>
      <c r="AI155" s="181">
        <v>12322450</v>
      </c>
      <c r="AJ155" s="181">
        <v>34300</v>
      </c>
      <c r="AK155" s="181">
        <v>12322450</v>
      </c>
      <c r="AL155" s="181">
        <v>0</v>
      </c>
      <c r="AM155" s="181">
        <v>34300</v>
      </c>
      <c r="AN155" s="181" t="s">
        <v>1709</v>
      </c>
      <c r="AS155" s="181"/>
    </row>
    <row r="156" spans="1:45" ht="30" hidden="1" x14ac:dyDescent="0.25">
      <c r="A156" s="181">
        <v>307</v>
      </c>
      <c r="B156" s="181">
        <v>20</v>
      </c>
      <c r="C156" s="181" t="s">
        <v>1258</v>
      </c>
      <c r="D156" s="1179" t="s">
        <v>1259</v>
      </c>
      <c r="E156" s="181">
        <v>1905113</v>
      </c>
      <c r="F156" s="181">
        <v>1905113</v>
      </c>
      <c r="G156" s="181">
        <v>0</v>
      </c>
      <c r="H156" s="181">
        <v>0</v>
      </c>
      <c r="I156" s="181">
        <v>0</v>
      </c>
      <c r="J156" s="181">
        <v>0</v>
      </c>
      <c r="K156" s="181">
        <v>0</v>
      </c>
      <c r="L156" s="181">
        <v>1905113</v>
      </c>
      <c r="M156" s="181">
        <v>0</v>
      </c>
      <c r="N156" s="181">
        <v>0</v>
      </c>
      <c r="O156" s="181">
        <v>0</v>
      </c>
      <c r="P156" s="181">
        <v>0</v>
      </c>
      <c r="Q156" s="181">
        <v>0</v>
      </c>
      <c r="R156" s="181">
        <v>0</v>
      </c>
      <c r="S156" s="181">
        <v>7606897.9500000002</v>
      </c>
      <c r="T156" s="181">
        <v>0</v>
      </c>
      <c r="U156" s="181">
        <v>7606897.9500000002</v>
      </c>
      <c r="V156" s="181">
        <v>0</v>
      </c>
      <c r="W156" s="181">
        <v>0</v>
      </c>
      <c r="X156" s="181">
        <v>0</v>
      </c>
      <c r="Y156" s="181">
        <v>0</v>
      </c>
      <c r="Z156" s="181">
        <v>0</v>
      </c>
      <c r="AA156" s="181">
        <v>0</v>
      </c>
      <c r="AB156" s="181">
        <v>7606897.9500000002</v>
      </c>
      <c r="AC156" s="181">
        <v>0</v>
      </c>
      <c r="AD156" s="1180">
        <v>7606897.9500000002</v>
      </c>
      <c r="AE156" s="1183">
        <v>7606897.9500000002</v>
      </c>
      <c r="AF156" s="181">
        <v>0</v>
      </c>
      <c r="AG156" s="181">
        <v>0</v>
      </c>
      <c r="AH156" s="181">
        <v>7606897.9500000002</v>
      </c>
      <c r="AI156" s="181">
        <v>7606897.9500000002</v>
      </c>
      <c r="AJ156" s="181">
        <v>0</v>
      </c>
      <c r="AK156" s="181">
        <v>7606897.9500000002</v>
      </c>
      <c r="AL156" s="181">
        <v>0</v>
      </c>
      <c r="AM156" s="181">
        <v>0</v>
      </c>
      <c r="AN156" s="181" t="s">
        <v>140</v>
      </c>
    </row>
    <row r="157" spans="1:45" ht="30" hidden="1" x14ac:dyDescent="0.25">
      <c r="A157" s="181">
        <v>307</v>
      </c>
      <c r="B157" s="181">
        <v>205</v>
      </c>
      <c r="C157" s="181" t="s">
        <v>1260</v>
      </c>
      <c r="D157" s="1179" t="s">
        <v>1259</v>
      </c>
      <c r="E157" s="181">
        <v>488490</v>
      </c>
      <c r="F157" s="181">
        <v>488490</v>
      </c>
      <c r="G157" s="181">
        <v>0</v>
      </c>
      <c r="H157" s="181">
        <v>0</v>
      </c>
      <c r="I157" s="181">
        <v>0</v>
      </c>
      <c r="J157" s="181">
        <v>0</v>
      </c>
      <c r="K157" s="181">
        <v>0</v>
      </c>
      <c r="L157" s="181">
        <v>488490</v>
      </c>
      <c r="M157" s="181">
        <v>0</v>
      </c>
      <c r="N157" s="181">
        <v>0</v>
      </c>
      <c r="O157" s="181">
        <v>0</v>
      </c>
      <c r="P157" s="181">
        <v>0</v>
      </c>
      <c r="Q157" s="181">
        <v>0</v>
      </c>
      <c r="R157" s="181">
        <v>0</v>
      </c>
      <c r="S157" s="181">
        <v>1984800</v>
      </c>
      <c r="T157" s="181">
        <v>34300</v>
      </c>
      <c r="U157" s="181">
        <v>1950500</v>
      </c>
      <c r="V157" s="181">
        <v>0</v>
      </c>
      <c r="W157" s="181">
        <v>0</v>
      </c>
      <c r="X157" s="181">
        <v>0</v>
      </c>
      <c r="Y157" s="181">
        <v>0</v>
      </c>
      <c r="Z157" s="181">
        <v>0</v>
      </c>
      <c r="AA157" s="181">
        <v>0</v>
      </c>
      <c r="AB157" s="181">
        <v>1984800</v>
      </c>
      <c r="AC157" s="181">
        <v>34300</v>
      </c>
      <c r="AD157" s="1180">
        <v>1950500</v>
      </c>
      <c r="AE157" s="1183">
        <v>1950500</v>
      </c>
      <c r="AF157" s="181">
        <v>0</v>
      </c>
      <c r="AG157" s="181">
        <v>0</v>
      </c>
      <c r="AH157" s="181">
        <v>1950500</v>
      </c>
      <c r="AI157" s="181">
        <v>1984800</v>
      </c>
      <c r="AJ157" s="181">
        <v>34300</v>
      </c>
      <c r="AK157" s="181">
        <v>1984800</v>
      </c>
      <c r="AL157" s="181">
        <v>0</v>
      </c>
      <c r="AM157" s="181">
        <v>34300</v>
      </c>
      <c r="AN157" s="181" t="s">
        <v>1717</v>
      </c>
    </row>
    <row r="158" spans="1:45" ht="30" hidden="1" x14ac:dyDescent="0.25">
      <c r="A158" s="181">
        <v>307</v>
      </c>
      <c r="B158" s="181">
        <v>35</v>
      </c>
      <c r="C158" s="181" t="s">
        <v>1261</v>
      </c>
      <c r="D158" s="1179" t="s">
        <v>1259</v>
      </c>
      <c r="E158" s="181">
        <v>2491302</v>
      </c>
      <c r="F158" s="181">
        <v>2491302</v>
      </c>
      <c r="G158" s="181">
        <v>0</v>
      </c>
      <c r="H158" s="181">
        <v>0</v>
      </c>
      <c r="I158" s="181">
        <v>0</v>
      </c>
      <c r="J158" s="181">
        <v>0</v>
      </c>
      <c r="K158" s="181">
        <v>0</v>
      </c>
      <c r="L158" s="181">
        <v>2491302</v>
      </c>
      <c r="M158" s="181">
        <v>0</v>
      </c>
      <c r="N158" s="181">
        <v>0</v>
      </c>
      <c r="O158" s="181">
        <v>0</v>
      </c>
      <c r="P158" s="181">
        <v>0</v>
      </c>
      <c r="Q158" s="181">
        <v>0</v>
      </c>
      <c r="R158" s="181">
        <v>0</v>
      </c>
      <c r="S158" s="181">
        <v>2730752.05</v>
      </c>
      <c r="T158" s="181">
        <v>0</v>
      </c>
      <c r="U158" s="181">
        <v>2730752.05</v>
      </c>
      <c r="V158" s="181">
        <v>0</v>
      </c>
      <c r="W158" s="181">
        <v>0</v>
      </c>
      <c r="X158" s="181">
        <v>0</v>
      </c>
      <c r="Y158" s="181">
        <v>0</v>
      </c>
      <c r="Z158" s="181">
        <v>0</v>
      </c>
      <c r="AA158" s="181">
        <v>0</v>
      </c>
      <c r="AB158" s="181">
        <v>2730752.05</v>
      </c>
      <c r="AC158" s="181">
        <v>0</v>
      </c>
      <c r="AD158" s="1180">
        <v>2730752.05</v>
      </c>
      <c r="AE158" s="1183">
        <v>2730752.05</v>
      </c>
      <c r="AF158" s="181">
        <v>0</v>
      </c>
      <c r="AG158" s="181">
        <v>0</v>
      </c>
      <c r="AH158" s="181">
        <v>2730752.05</v>
      </c>
      <c r="AI158" s="181">
        <v>2730752.05</v>
      </c>
      <c r="AJ158" s="181">
        <v>0</v>
      </c>
      <c r="AK158" s="181">
        <v>2730752.05</v>
      </c>
      <c r="AL158" s="181">
        <v>0</v>
      </c>
      <c r="AM158" s="181">
        <v>0</v>
      </c>
      <c r="AN158" s="181" t="s">
        <v>157</v>
      </c>
    </row>
    <row r="159" spans="1:45" hidden="1" x14ac:dyDescent="0.25">
      <c r="A159" s="181">
        <v>307</v>
      </c>
      <c r="B159" s="181" t="s">
        <v>226</v>
      </c>
      <c r="C159" s="181" t="s">
        <v>516</v>
      </c>
      <c r="D159" s="1179" t="s">
        <v>517</v>
      </c>
      <c r="E159" s="181">
        <v>7883689268</v>
      </c>
      <c r="F159" s="181">
        <v>7883689268</v>
      </c>
      <c r="G159" s="181">
        <v>84179412780.309998</v>
      </c>
      <c r="H159" s="181">
        <v>39224850.409999996</v>
      </c>
      <c r="I159" s="181">
        <v>84140187929.899994</v>
      </c>
      <c r="J159" s="181">
        <v>84179412780.309998</v>
      </c>
      <c r="K159" s="181">
        <v>39224850.409999996</v>
      </c>
      <c r="L159" s="181">
        <v>92023877197.899994</v>
      </c>
      <c r="M159" s="181">
        <v>0</v>
      </c>
      <c r="N159" s="181">
        <v>0</v>
      </c>
      <c r="O159" s="181">
        <v>0</v>
      </c>
      <c r="P159" s="181">
        <v>39224850.409999996</v>
      </c>
      <c r="Q159" s="181">
        <v>0</v>
      </c>
      <c r="R159" s="181">
        <v>39224850.409999996</v>
      </c>
      <c r="S159" s="181">
        <v>60410020336.239998</v>
      </c>
      <c r="T159" s="181">
        <v>1567104909.73</v>
      </c>
      <c r="U159" s="181">
        <v>58842915426.510002</v>
      </c>
      <c r="V159" s="181">
        <v>0</v>
      </c>
      <c r="W159" s="181">
        <v>0</v>
      </c>
      <c r="X159" s="181">
        <v>0</v>
      </c>
      <c r="Y159" s="181">
        <v>39224850.409999996</v>
      </c>
      <c r="Z159" s="181">
        <v>0</v>
      </c>
      <c r="AA159" s="181">
        <v>39224850.409999996</v>
      </c>
      <c r="AB159" s="181">
        <v>60410020336.239998</v>
      </c>
      <c r="AC159" s="181">
        <v>1567104909.73</v>
      </c>
      <c r="AD159" s="1180">
        <v>58842915426.510002</v>
      </c>
      <c r="AE159" s="1180">
        <v>58882140276.919998</v>
      </c>
      <c r="AF159" s="181">
        <v>47949856786.720001</v>
      </c>
      <c r="AG159" s="181">
        <v>47949856786.720001</v>
      </c>
      <c r="AH159" s="181">
        <v>10893058639.790001</v>
      </c>
      <c r="AI159" s="181">
        <v>10964017555.629999</v>
      </c>
      <c r="AJ159" s="181">
        <v>70958915.840000004</v>
      </c>
      <c r="AK159" s="181">
        <v>10964017555.629999</v>
      </c>
      <c r="AL159" s="181">
        <v>0</v>
      </c>
      <c r="AM159" s="181">
        <v>70958915.840000004</v>
      </c>
      <c r="AN159" s="181" t="s">
        <v>1709</v>
      </c>
      <c r="AS159" s="181"/>
    </row>
    <row r="160" spans="1:45" ht="30" hidden="1" x14ac:dyDescent="0.25">
      <c r="A160" s="181">
        <v>307</v>
      </c>
      <c r="B160" s="181" t="s">
        <v>226</v>
      </c>
      <c r="C160" s="181" t="s">
        <v>522</v>
      </c>
      <c r="D160" s="1179" t="s">
        <v>523</v>
      </c>
      <c r="E160" s="181">
        <v>150000000</v>
      </c>
      <c r="F160" s="181">
        <v>150000000</v>
      </c>
      <c r="G160" s="181">
        <v>0</v>
      </c>
      <c r="H160" s="181">
        <v>0</v>
      </c>
      <c r="I160" s="181">
        <v>0</v>
      </c>
      <c r="J160" s="181">
        <v>0</v>
      </c>
      <c r="K160" s="181">
        <v>0</v>
      </c>
      <c r="L160" s="181">
        <v>150000000</v>
      </c>
      <c r="M160" s="181">
        <v>0</v>
      </c>
      <c r="N160" s="181">
        <v>0</v>
      </c>
      <c r="O160" s="181">
        <v>0</v>
      </c>
      <c r="P160" s="181">
        <v>0</v>
      </c>
      <c r="Q160" s="181">
        <v>0</v>
      </c>
      <c r="R160" s="181">
        <v>0</v>
      </c>
      <c r="S160" s="181">
        <v>0</v>
      </c>
      <c r="T160" s="181">
        <v>0</v>
      </c>
      <c r="U160" s="181">
        <v>0</v>
      </c>
      <c r="V160" s="181">
        <v>0</v>
      </c>
      <c r="W160" s="181">
        <v>0</v>
      </c>
      <c r="X160" s="181">
        <v>0</v>
      </c>
      <c r="Y160" s="181">
        <v>0</v>
      </c>
      <c r="Z160" s="181">
        <v>0</v>
      </c>
      <c r="AA160" s="181">
        <v>0</v>
      </c>
      <c r="AB160" s="181">
        <v>0</v>
      </c>
      <c r="AC160" s="181">
        <v>0</v>
      </c>
      <c r="AD160" s="1180">
        <v>0</v>
      </c>
      <c r="AE160" s="1180">
        <v>0</v>
      </c>
      <c r="AF160" s="181">
        <v>0</v>
      </c>
      <c r="AG160" s="181">
        <v>0</v>
      </c>
      <c r="AH160" s="181">
        <v>0</v>
      </c>
      <c r="AI160" s="181">
        <v>0</v>
      </c>
      <c r="AJ160" s="181">
        <v>0</v>
      </c>
      <c r="AK160" s="181">
        <v>0</v>
      </c>
      <c r="AL160" s="181">
        <v>0</v>
      </c>
      <c r="AM160" s="181">
        <v>0</v>
      </c>
      <c r="AN160" s="181" t="s">
        <v>1709</v>
      </c>
      <c r="AS160" s="181"/>
    </row>
    <row r="161" spans="1:45" hidden="1" x14ac:dyDescent="0.25">
      <c r="A161" s="181">
        <v>307</v>
      </c>
      <c r="B161" s="181" t="s">
        <v>226</v>
      </c>
      <c r="C161" s="181" t="s">
        <v>524</v>
      </c>
      <c r="D161" s="1179" t="s">
        <v>525</v>
      </c>
      <c r="E161" s="181">
        <v>150000000</v>
      </c>
      <c r="F161" s="181">
        <v>150000000</v>
      </c>
      <c r="G161" s="181">
        <v>0</v>
      </c>
      <c r="H161" s="181">
        <v>0</v>
      </c>
      <c r="I161" s="181">
        <v>0</v>
      </c>
      <c r="J161" s="181">
        <v>0</v>
      </c>
      <c r="K161" s="181">
        <v>0</v>
      </c>
      <c r="L161" s="181">
        <v>150000000</v>
      </c>
      <c r="M161" s="181">
        <v>0</v>
      </c>
      <c r="N161" s="181">
        <v>0</v>
      </c>
      <c r="O161" s="181">
        <v>0</v>
      </c>
      <c r="P161" s="181">
        <v>0</v>
      </c>
      <c r="Q161" s="181">
        <v>0</v>
      </c>
      <c r="R161" s="181">
        <v>0</v>
      </c>
      <c r="S161" s="181">
        <v>0</v>
      </c>
      <c r="T161" s="181">
        <v>0</v>
      </c>
      <c r="U161" s="181">
        <v>0</v>
      </c>
      <c r="V161" s="181">
        <v>0</v>
      </c>
      <c r="W161" s="181">
        <v>0</v>
      </c>
      <c r="X161" s="181">
        <v>0</v>
      </c>
      <c r="Y161" s="181">
        <v>0</v>
      </c>
      <c r="Z161" s="181">
        <v>0</v>
      </c>
      <c r="AA161" s="181">
        <v>0</v>
      </c>
      <c r="AB161" s="181">
        <v>0</v>
      </c>
      <c r="AC161" s="181">
        <v>0</v>
      </c>
      <c r="AD161" s="1180">
        <v>0</v>
      </c>
      <c r="AE161" s="1180">
        <v>0</v>
      </c>
      <c r="AF161" s="181">
        <v>0</v>
      </c>
      <c r="AG161" s="181">
        <v>0</v>
      </c>
      <c r="AH161" s="181">
        <v>0</v>
      </c>
      <c r="AI161" s="181">
        <v>0</v>
      </c>
      <c r="AJ161" s="181">
        <v>0</v>
      </c>
      <c r="AK161" s="181">
        <v>0</v>
      </c>
      <c r="AL161" s="181">
        <v>0</v>
      </c>
      <c r="AM161" s="181">
        <v>0</v>
      </c>
      <c r="AN161" s="181" t="s">
        <v>1709</v>
      </c>
      <c r="AS161" s="181"/>
    </row>
    <row r="162" spans="1:45" ht="30" hidden="1" x14ac:dyDescent="0.25">
      <c r="A162" s="181">
        <v>307</v>
      </c>
      <c r="B162" s="181">
        <v>20</v>
      </c>
      <c r="C162" s="181" t="s">
        <v>526</v>
      </c>
      <c r="D162" s="1179" t="s">
        <v>527</v>
      </c>
      <c r="E162" s="181">
        <v>150000000</v>
      </c>
      <c r="F162" s="181">
        <v>150000000</v>
      </c>
      <c r="G162" s="181">
        <v>0</v>
      </c>
      <c r="H162" s="181">
        <v>0</v>
      </c>
      <c r="I162" s="181">
        <v>0</v>
      </c>
      <c r="J162" s="181">
        <v>0</v>
      </c>
      <c r="K162" s="181">
        <v>0</v>
      </c>
      <c r="L162" s="181">
        <v>150000000</v>
      </c>
      <c r="M162" s="181">
        <v>0</v>
      </c>
      <c r="N162" s="181">
        <v>0</v>
      </c>
      <c r="O162" s="181">
        <v>0</v>
      </c>
      <c r="P162" s="181">
        <v>0</v>
      </c>
      <c r="Q162" s="181">
        <v>0</v>
      </c>
      <c r="R162" s="181">
        <v>0</v>
      </c>
      <c r="S162" s="181">
        <v>0</v>
      </c>
      <c r="T162" s="181">
        <v>0</v>
      </c>
      <c r="U162" s="181">
        <v>0</v>
      </c>
      <c r="V162" s="181">
        <v>0</v>
      </c>
      <c r="W162" s="181">
        <v>0</v>
      </c>
      <c r="X162" s="181">
        <v>0</v>
      </c>
      <c r="Y162" s="181">
        <v>0</v>
      </c>
      <c r="Z162" s="181">
        <v>0</v>
      </c>
      <c r="AA162" s="181">
        <v>0</v>
      </c>
      <c r="AB162" s="181">
        <v>0</v>
      </c>
      <c r="AC162" s="181">
        <v>0</v>
      </c>
      <c r="AD162" s="1180">
        <v>0</v>
      </c>
      <c r="AE162" s="1183">
        <v>0</v>
      </c>
      <c r="AF162" s="181">
        <v>0</v>
      </c>
      <c r="AG162" s="181">
        <v>0</v>
      </c>
      <c r="AH162" s="181">
        <v>0</v>
      </c>
      <c r="AI162" s="181">
        <v>0</v>
      </c>
      <c r="AJ162" s="181">
        <v>0</v>
      </c>
      <c r="AK162" s="181">
        <v>0</v>
      </c>
      <c r="AL162" s="181">
        <v>0</v>
      </c>
      <c r="AM162" s="181">
        <v>0</v>
      </c>
      <c r="AN162" s="181" t="s">
        <v>140</v>
      </c>
    </row>
    <row r="163" spans="1:45" hidden="1" x14ac:dyDescent="0.25">
      <c r="A163" s="181">
        <v>307</v>
      </c>
      <c r="B163" s="181">
        <v>20</v>
      </c>
      <c r="C163" s="181" t="s">
        <v>1262</v>
      </c>
      <c r="D163" s="1179" t="s">
        <v>1263</v>
      </c>
      <c r="E163" s="181">
        <v>0</v>
      </c>
      <c r="F163" s="181">
        <v>0</v>
      </c>
      <c r="G163" s="181">
        <v>0</v>
      </c>
      <c r="H163" s="181">
        <v>0</v>
      </c>
      <c r="I163" s="181">
        <v>0</v>
      </c>
      <c r="J163" s="181">
        <v>0</v>
      </c>
      <c r="K163" s="181">
        <v>0</v>
      </c>
      <c r="L163" s="181">
        <v>0</v>
      </c>
      <c r="M163" s="181">
        <v>0</v>
      </c>
      <c r="N163" s="181">
        <v>0</v>
      </c>
      <c r="O163" s="181">
        <v>0</v>
      </c>
      <c r="P163" s="181">
        <v>0</v>
      </c>
      <c r="Q163" s="181">
        <v>0</v>
      </c>
      <c r="R163" s="181">
        <v>0</v>
      </c>
      <c r="S163" s="181">
        <v>0</v>
      </c>
      <c r="T163" s="181">
        <v>0</v>
      </c>
      <c r="U163" s="181">
        <v>0</v>
      </c>
      <c r="V163" s="181">
        <v>0</v>
      </c>
      <c r="W163" s="181">
        <v>0</v>
      </c>
      <c r="X163" s="181">
        <v>0</v>
      </c>
      <c r="Y163" s="181">
        <v>0</v>
      </c>
      <c r="Z163" s="181">
        <v>0</v>
      </c>
      <c r="AA163" s="181">
        <v>0</v>
      </c>
      <c r="AB163" s="181">
        <v>0</v>
      </c>
      <c r="AC163" s="181">
        <v>0</v>
      </c>
      <c r="AD163" s="1180">
        <v>0</v>
      </c>
      <c r="AE163" s="1180">
        <v>0</v>
      </c>
      <c r="AF163" s="181">
        <v>0</v>
      </c>
      <c r="AG163" s="181">
        <v>0</v>
      </c>
      <c r="AH163" s="181">
        <v>0</v>
      </c>
      <c r="AI163" s="181">
        <v>0</v>
      </c>
      <c r="AJ163" s="181">
        <v>0</v>
      </c>
      <c r="AK163" s="181">
        <v>0</v>
      </c>
      <c r="AL163" s="181">
        <v>0</v>
      </c>
      <c r="AM163" s="181">
        <v>0</v>
      </c>
      <c r="AN163" s="181" t="s">
        <v>140</v>
      </c>
      <c r="AS163" s="181"/>
    </row>
    <row r="164" spans="1:45" hidden="1" x14ac:dyDescent="0.25">
      <c r="A164" s="181">
        <v>307</v>
      </c>
      <c r="B164" s="181" t="s">
        <v>226</v>
      </c>
      <c r="C164" s="181" t="s">
        <v>528</v>
      </c>
      <c r="D164" s="1179" t="s">
        <v>529</v>
      </c>
      <c r="E164" s="181">
        <v>460422611</v>
      </c>
      <c r="F164" s="181">
        <v>460422611</v>
      </c>
      <c r="G164" s="181">
        <v>0</v>
      </c>
      <c r="H164" s="181">
        <v>0</v>
      </c>
      <c r="I164" s="181">
        <v>0</v>
      </c>
      <c r="J164" s="181">
        <v>0</v>
      </c>
      <c r="K164" s="181">
        <v>0</v>
      </c>
      <c r="L164" s="181">
        <v>460422611</v>
      </c>
      <c r="M164" s="181">
        <v>0</v>
      </c>
      <c r="N164" s="181">
        <v>0</v>
      </c>
      <c r="O164" s="181">
        <v>0</v>
      </c>
      <c r="P164" s="181">
        <v>0</v>
      </c>
      <c r="Q164" s="181">
        <v>0</v>
      </c>
      <c r="R164" s="181">
        <v>0</v>
      </c>
      <c r="S164" s="181">
        <v>1061252190.55</v>
      </c>
      <c r="T164" s="181">
        <v>68195568.840000004</v>
      </c>
      <c r="U164" s="181">
        <v>993056621.71000004</v>
      </c>
      <c r="V164" s="181">
        <v>0</v>
      </c>
      <c r="W164" s="181">
        <v>0</v>
      </c>
      <c r="X164" s="181">
        <v>0</v>
      </c>
      <c r="Y164" s="181">
        <v>0</v>
      </c>
      <c r="Z164" s="181">
        <v>0</v>
      </c>
      <c r="AA164" s="181">
        <v>0</v>
      </c>
      <c r="AB164" s="181">
        <v>1061252190.55</v>
      </c>
      <c r="AC164" s="181">
        <v>68195568.840000004</v>
      </c>
      <c r="AD164" s="1180">
        <v>993056621.71000004</v>
      </c>
      <c r="AE164" s="1180">
        <v>993056621.71000004</v>
      </c>
      <c r="AF164" s="181">
        <v>0</v>
      </c>
      <c r="AG164" s="181">
        <v>0</v>
      </c>
      <c r="AH164" s="181">
        <v>993056621.71000004</v>
      </c>
      <c r="AI164" s="181">
        <v>1061252190.55</v>
      </c>
      <c r="AJ164" s="181">
        <v>68195568.840000004</v>
      </c>
      <c r="AK164" s="181">
        <v>1061252190.55</v>
      </c>
      <c r="AL164" s="181">
        <v>0</v>
      </c>
      <c r="AM164" s="181">
        <v>68195568.840000004</v>
      </c>
      <c r="AN164" s="181" t="s">
        <v>1709</v>
      </c>
      <c r="AS164" s="181"/>
    </row>
    <row r="165" spans="1:45" hidden="1" x14ac:dyDescent="0.25">
      <c r="A165" s="181">
        <v>307</v>
      </c>
      <c r="B165" s="181" t="s">
        <v>226</v>
      </c>
      <c r="C165" s="181" t="s">
        <v>530</v>
      </c>
      <c r="D165" s="1179" t="s">
        <v>531</v>
      </c>
      <c r="E165" s="181">
        <v>460422611</v>
      </c>
      <c r="F165" s="181">
        <v>460422611</v>
      </c>
      <c r="G165" s="181">
        <v>0</v>
      </c>
      <c r="H165" s="181">
        <v>0</v>
      </c>
      <c r="I165" s="181">
        <v>0</v>
      </c>
      <c r="J165" s="181">
        <v>0</v>
      </c>
      <c r="K165" s="181">
        <v>0</v>
      </c>
      <c r="L165" s="181">
        <v>460422611</v>
      </c>
      <c r="M165" s="181">
        <v>0</v>
      </c>
      <c r="N165" s="181">
        <v>0</v>
      </c>
      <c r="O165" s="181">
        <v>0</v>
      </c>
      <c r="P165" s="181">
        <v>0</v>
      </c>
      <c r="Q165" s="181">
        <v>0</v>
      </c>
      <c r="R165" s="181">
        <v>0</v>
      </c>
      <c r="S165" s="181">
        <v>1061252190.55</v>
      </c>
      <c r="T165" s="181">
        <v>68195568.840000004</v>
      </c>
      <c r="U165" s="181">
        <v>993056621.71000004</v>
      </c>
      <c r="V165" s="181">
        <v>0</v>
      </c>
      <c r="W165" s="181">
        <v>0</v>
      </c>
      <c r="X165" s="181">
        <v>0</v>
      </c>
      <c r="Y165" s="181">
        <v>0</v>
      </c>
      <c r="Z165" s="181">
        <v>0</v>
      </c>
      <c r="AA165" s="181">
        <v>0</v>
      </c>
      <c r="AB165" s="181">
        <v>1061252190.55</v>
      </c>
      <c r="AC165" s="181">
        <v>68195568.840000004</v>
      </c>
      <c r="AD165" s="1180">
        <v>993056621.71000004</v>
      </c>
      <c r="AE165" s="1180">
        <v>993056621.71000004</v>
      </c>
      <c r="AF165" s="181">
        <v>0</v>
      </c>
      <c r="AG165" s="181">
        <v>0</v>
      </c>
      <c r="AH165" s="181">
        <v>993056621.71000004</v>
      </c>
      <c r="AI165" s="181">
        <v>1061252190.55</v>
      </c>
      <c r="AJ165" s="181">
        <v>68195568.840000004</v>
      </c>
      <c r="AK165" s="181">
        <v>1061252190.55</v>
      </c>
      <c r="AL165" s="181">
        <v>0</v>
      </c>
      <c r="AM165" s="181">
        <v>68195568.840000004</v>
      </c>
      <c r="AN165" s="181" t="s">
        <v>1709</v>
      </c>
      <c r="AS165" s="181"/>
    </row>
    <row r="166" spans="1:45" ht="30" hidden="1" x14ac:dyDescent="0.25">
      <c r="A166" s="181">
        <v>307</v>
      </c>
      <c r="B166" s="181">
        <v>4</v>
      </c>
      <c r="C166" s="181" t="s">
        <v>1264</v>
      </c>
      <c r="D166" s="1179" t="s">
        <v>1265</v>
      </c>
      <c r="E166" s="181">
        <v>1664967</v>
      </c>
      <c r="F166" s="181">
        <v>1664967</v>
      </c>
      <c r="G166" s="181">
        <v>0</v>
      </c>
      <c r="H166" s="181">
        <v>0</v>
      </c>
      <c r="I166" s="181">
        <v>0</v>
      </c>
      <c r="J166" s="181">
        <v>0</v>
      </c>
      <c r="K166" s="181">
        <v>0</v>
      </c>
      <c r="L166" s="181">
        <v>1664967</v>
      </c>
      <c r="M166" s="181">
        <v>0</v>
      </c>
      <c r="N166" s="181">
        <v>0</v>
      </c>
      <c r="O166" s="181">
        <v>0</v>
      </c>
      <c r="P166" s="181">
        <v>0</v>
      </c>
      <c r="Q166" s="181">
        <v>0</v>
      </c>
      <c r="R166" s="181">
        <v>0</v>
      </c>
      <c r="S166" s="181">
        <v>69803152.939999998</v>
      </c>
      <c r="T166" s="181">
        <v>0</v>
      </c>
      <c r="U166" s="181">
        <v>69803152.939999998</v>
      </c>
      <c r="V166" s="181">
        <v>0</v>
      </c>
      <c r="W166" s="181">
        <v>0</v>
      </c>
      <c r="X166" s="181">
        <v>0</v>
      </c>
      <c r="Y166" s="181">
        <v>0</v>
      </c>
      <c r="Z166" s="181">
        <v>0</v>
      </c>
      <c r="AA166" s="181">
        <v>0</v>
      </c>
      <c r="AB166" s="181">
        <v>69803152.939999998</v>
      </c>
      <c r="AC166" s="181">
        <v>0</v>
      </c>
      <c r="AD166" s="1180">
        <v>69803152.939999998</v>
      </c>
      <c r="AE166" s="1183">
        <v>69803152.939999998</v>
      </c>
      <c r="AF166" s="181">
        <v>0</v>
      </c>
      <c r="AG166" s="181">
        <v>0</v>
      </c>
      <c r="AH166" s="181">
        <v>69803152.939999998</v>
      </c>
      <c r="AI166" s="181">
        <v>69803152.939999998</v>
      </c>
      <c r="AJ166" s="181">
        <v>0</v>
      </c>
      <c r="AK166" s="181">
        <v>69803152.939999998</v>
      </c>
      <c r="AL166" s="181">
        <v>0</v>
      </c>
      <c r="AM166" s="181">
        <v>0</v>
      </c>
      <c r="AN166" s="181" t="s">
        <v>32</v>
      </c>
    </row>
    <row r="167" spans="1:45" ht="30" hidden="1" x14ac:dyDescent="0.25">
      <c r="A167" s="181">
        <v>307</v>
      </c>
      <c r="B167" s="181">
        <v>176</v>
      </c>
      <c r="C167" s="181" t="s">
        <v>1266</v>
      </c>
      <c r="D167" s="1179" t="s">
        <v>1267</v>
      </c>
      <c r="E167" s="181">
        <v>481528</v>
      </c>
      <c r="F167" s="181">
        <v>481528</v>
      </c>
      <c r="G167" s="181">
        <v>0</v>
      </c>
      <c r="H167" s="181">
        <v>0</v>
      </c>
      <c r="I167" s="181">
        <v>0</v>
      </c>
      <c r="J167" s="181">
        <v>0</v>
      </c>
      <c r="K167" s="181">
        <v>0</v>
      </c>
      <c r="L167" s="181">
        <v>481528</v>
      </c>
      <c r="M167" s="181">
        <v>0</v>
      </c>
      <c r="N167" s="181">
        <v>0</v>
      </c>
      <c r="O167" s="181">
        <v>0</v>
      </c>
      <c r="P167" s="181">
        <v>0</v>
      </c>
      <c r="Q167" s="181">
        <v>0</v>
      </c>
      <c r="R167" s="181">
        <v>0</v>
      </c>
      <c r="S167" s="181">
        <v>27921261.129999999</v>
      </c>
      <c r="T167" s="181">
        <v>0</v>
      </c>
      <c r="U167" s="181">
        <v>27921261.129999999</v>
      </c>
      <c r="V167" s="181">
        <v>0</v>
      </c>
      <c r="W167" s="181">
        <v>0</v>
      </c>
      <c r="X167" s="181">
        <v>0</v>
      </c>
      <c r="Y167" s="181">
        <v>0</v>
      </c>
      <c r="Z167" s="181">
        <v>0</v>
      </c>
      <c r="AA167" s="181">
        <v>0</v>
      </c>
      <c r="AB167" s="181">
        <v>27921261.129999999</v>
      </c>
      <c r="AC167" s="181">
        <v>0</v>
      </c>
      <c r="AD167" s="1180">
        <v>27921261.129999999</v>
      </c>
      <c r="AE167" s="1183">
        <v>27921261.129999999</v>
      </c>
      <c r="AF167" s="181">
        <v>0</v>
      </c>
      <c r="AG167" s="181">
        <v>0</v>
      </c>
      <c r="AH167" s="181">
        <v>27921261.129999999</v>
      </c>
      <c r="AI167" s="181">
        <v>27921261.129999999</v>
      </c>
      <c r="AJ167" s="181">
        <v>0</v>
      </c>
      <c r="AK167" s="181">
        <v>27921261.129999999</v>
      </c>
      <c r="AL167" s="181">
        <v>0</v>
      </c>
      <c r="AM167" s="181">
        <v>0</v>
      </c>
      <c r="AN167" s="181" t="s">
        <v>92</v>
      </c>
    </row>
    <row r="168" spans="1:45" ht="30" hidden="1" x14ac:dyDescent="0.25">
      <c r="A168" s="181">
        <v>307</v>
      </c>
      <c r="B168" s="181">
        <v>5</v>
      </c>
      <c r="C168" s="181" t="s">
        <v>1268</v>
      </c>
      <c r="D168" s="1179" t="s">
        <v>1269</v>
      </c>
      <c r="E168" s="181">
        <v>316121</v>
      </c>
      <c r="F168" s="181">
        <v>316121</v>
      </c>
      <c r="G168" s="181">
        <v>0</v>
      </c>
      <c r="H168" s="181">
        <v>0</v>
      </c>
      <c r="I168" s="181">
        <v>0</v>
      </c>
      <c r="J168" s="181">
        <v>0</v>
      </c>
      <c r="K168" s="181">
        <v>0</v>
      </c>
      <c r="L168" s="181">
        <v>316121</v>
      </c>
      <c r="M168" s="181">
        <v>0</v>
      </c>
      <c r="N168" s="181">
        <v>0</v>
      </c>
      <c r="O168" s="181">
        <v>0</v>
      </c>
      <c r="P168" s="181">
        <v>0</v>
      </c>
      <c r="Q168" s="181">
        <v>0</v>
      </c>
      <c r="R168" s="181">
        <v>0</v>
      </c>
      <c r="S168" s="181">
        <v>4007801.64</v>
      </c>
      <c r="T168" s="181">
        <v>0</v>
      </c>
      <c r="U168" s="181">
        <v>4007801.64</v>
      </c>
      <c r="V168" s="181">
        <v>0</v>
      </c>
      <c r="W168" s="181">
        <v>0</v>
      </c>
      <c r="X168" s="181">
        <v>0</v>
      </c>
      <c r="Y168" s="181">
        <v>0</v>
      </c>
      <c r="Z168" s="181">
        <v>0</v>
      </c>
      <c r="AA168" s="181">
        <v>0</v>
      </c>
      <c r="AB168" s="181">
        <v>4007801.64</v>
      </c>
      <c r="AC168" s="181">
        <v>0</v>
      </c>
      <c r="AD168" s="1180">
        <v>4007801.64</v>
      </c>
      <c r="AE168" s="1183">
        <v>4007801.64</v>
      </c>
      <c r="AF168" s="181">
        <v>0</v>
      </c>
      <c r="AG168" s="181">
        <v>0</v>
      </c>
      <c r="AH168" s="181">
        <v>4007801.64</v>
      </c>
      <c r="AI168" s="181">
        <v>4007801.64</v>
      </c>
      <c r="AJ168" s="181">
        <v>0</v>
      </c>
      <c r="AK168" s="181">
        <v>4007801.64</v>
      </c>
      <c r="AL168" s="181">
        <v>0</v>
      </c>
      <c r="AM168" s="181">
        <v>0</v>
      </c>
      <c r="AN168" s="181" t="s">
        <v>34</v>
      </c>
    </row>
    <row r="169" spans="1:45" ht="45" hidden="1" x14ac:dyDescent="0.25">
      <c r="A169" s="181">
        <v>307</v>
      </c>
      <c r="B169" s="181">
        <v>33</v>
      </c>
      <c r="C169" s="181" t="s">
        <v>1270</v>
      </c>
      <c r="D169" s="1179" t="s">
        <v>1271</v>
      </c>
      <c r="E169" s="181">
        <v>158060</v>
      </c>
      <c r="F169" s="181">
        <v>158060</v>
      </c>
      <c r="G169" s="181">
        <v>0</v>
      </c>
      <c r="H169" s="181">
        <v>0</v>
      </c>
      <c r="I169" s="181">
        <v>0</v>
      </c>
      <c r="J169" s="181">
        <v>0</v>
      </c>
      <c r="K169" s="181">
        <v>0</v>
      </c>
      <c r="L169" s="181">
        <v>158060</v>
      </c>
      <c r="M169" s="181">
        <v>0</v>
      </c>
      <c r="N169" s="181">
        <v>0</v>
      </c>
      <c r="O169" s="181">
        <v>0</v>
      </c>
      <c r="P169" s="181">
        <v>0</v>
      </c>
      <c r="Q169" s="181">
        <v>0</v>
      </c>
      <c r="R169" s="181">
        <v>0</v>
      </c>
      <c r="S169" s="181">
        <v>2003900.82</v>
      </c>
      <c r="T169" s="181">
        <v>0</v>
      </c>
      <c r="U169" s="181">
        <v>2003900.82</v>
      </c>
      <c r="V169" s="181">
        <v>0</v>
      </c>
      <c r="W169" s="181">
        <v>0</v>
      </c>
      <c r="X169" s="181">
        <v>0</v>
      </c>
      <c r="Y169" s="181">
        <v>0</v>
      </c>
      <c r="Z169" s="181">
        <v>0</v>
      </c>
      <c r="AA169" s="181">
        <v>0</v>
      </c>
      <c r="AB169" s="181">
        <v>2003900.82</v>
      </c>
      <c r="AC169" s="181">
        <v>0</v>
      </c>
      <c r="AD169" s="1180">
        <v>2003900.82</v>
      </c>
      <c r="AE169" s="1183">
        <v>2003900.82</v>
      </c>
      <c r="AF169" s="181">
        <v>0</v>
      </c>
      <c r="AG169" s="181">
        <v>0</v>
      </c>
      <c r="AH169" s="181">
        <v>2003900.82</v>
      </c>
      <c r="AI169" s="181">
        <v>2003900.82</v>
      </c>
      <c r="AJ169" s="181">
        <v>0</v>
      </c>
      <c r="AK169" s="181">
        <v>2003900.82</v>
      </c>
      <c r="AL169" s="181">
        <v>0</v>
      </c>
      <c r="AM169" s="181">
        <v>0</v>
      </c>
      <c r="AN169" s="181" t="s">
        <v>153</v>
      </c>
    </row>
    <row r="170" spans="1:45" ht="30" hidden="1" x14ac:dyDescent="0.25">
      <c r="A170" s="181">
        <v>307</v>
      </c>
      <c r="B170" s="181">
        <v>34</v>
      </c>
      <c r="C170" s="181" t="s">
        <v>1272</v>
      </c>
      <c r="D170" s="1179" t="s">
        <v>1273</v>
      </c>
      <c r="E170" s="181">
        <v>158060</v>
      </c>
      <c r="F170" s="181">
        <v>158060</v>
      </c>
      <c r="G170" s="181">
        <v>0</v>
      </c>
      <c r="H170" s="181">
        <v>0</v>
      </c>
      <c r="I170" s="181">
        <v>0</v>
      </c>
      <c r="J170" s="181">
        <v>0</v>
      </c>
      <c r="K170" s="181">
        <v>0</v>
      </c>
      <c r="L170" s="181">
        <v>158060</v>
      </c>
      <c r="M170" s="181">
        <v>0</v>
      </c>
      <c r="N170" s="181">
        <v>0</v>
      </c>
      <c r="O170" s="181">
        <v>0</v>
      </c>
      <c r="P170" s="181">
        <v>0</v>
      </c>
      <c r="Q170" s="181">
        <v>0</v>
      </c>
      <c r="R170" s="181">
        <v>0</v>
      </c>
      <c r="S170" s="181">
        <v>2003900.82</v>
      </c>
      <c r="T170" s="181">
        <v>0</v>
      </c>
      <c r="U170" s="181">
        <v>2003900.82</v>
      </c>
      <c r="V170" s="181">
        <v>0</v>
      </c>
      <c r="W170" s="181">
        <v>0</v>
      </c>
      <c r="X170" s="181">
        <v>0</v>
      </c>
      <c r="Y170" s="181">
        <v>0</v>
      </c>
      <c r="Z170" s="181">
        <v>0</v>
      </c>
      <c r="AA170" s="181">
        <v>0</v>
      </c>
      <c r="AB170" s="181">
        <v>2003900.82</v>
      </c>
      <c r="AC170" s="181">
        <v>0</v>
      </c>
      <c r="AD170" s="1180">
        <v>2003900.82</v>
      </c>
      <c r="AE170" s="1183">
        <v>2003900.82</v>
      </c>
      <c r="AF170" s="181">
        <v>0</v>
      </c>
      <c r="AG170" s="181">
        <v>0</v>
      </c>
      <c r="AH170" s="181">
        <v>2003900.82</v>
      </c>
      <c r="AI170" s="181">
        <v>2003900.82</v>
      </c>
      <c r="AJ170" s="181">
        <v>0</v>
      </c>
      <c r="AK170" s="181">
        <v>2003900.82</v>
      </c>
      <c r="AL170" s="181">
        <v>0</v>
      </c>
      <c r="AM170" s="181">
        <v>0</v>
      </c>
      <c r="AN170" s="181" t="s">
        <v>155</v>
      </c>
    </row>
    <row r="171" spans="1:45" ht="30" hidden="1" x14ac:dyDescent="0.25">
      <c r="A171" s="181">
        <v>307</v>
      </c>
      <c r="B171" s="181">
        <v>39</v>
      </c>
      <c r="C171" s="181" t="s">
        <v>1274</v>
      </c>
      <c r="D171" s="1179" t="s">
        <v>1275</v>
      </c>
      <c r="E171" s="181">
        <v>790301</v>
      </c>
      <c r="F171" s="181">
        <v>790301</v>
      </c>
      <c r="G171" s="181">
        <v>0</v>
      </c>
      <c r="H171" s="181">
        <v>0</v>
      </c>
      <c r="I171" s="181">
        <v>0</v>
      </c>
      <c r="J171" s="181">
        <v>0</v>
      </c>
      <c r="K171" s="181">
        <v>0</v>
      </c>
      <c r="L171" s="181">
        <v>790301</v>
      </c>
      <c r="M171" s="181">
        <v>0</v>
      </c>
      <c r="N171" s="181">
        <v>0</v>
      </c>
      <c r="O171" s="181">
        <v>0</v>
      </c>
      <c r="P171" s="181">
        <v>0</v>
      </c>
      <c r="Q171" s="181">
        <v>0</v>
      </c>
      <c r="R171" s="181">
        <v>0</v>
      </c>
      <c r="S171" s="181">
        <v>9231216.7200000007</v>
      </c>
      <c r="T171" s="181">
        <v>0</v>
      </c>
      <c r="U171" s="181">
        <v>9231216.7200000007</v>
      </c>
      <c r="V171" s="181">
        <v>0</v>
      </c>
      <c r="W171" s="181">
        <v>0</v>
      </c>
      <c r="X171" s="181">
        <v>0</v>
      </c>
      <c r="Y171" s="181">
        <v>0</v>
      </c>
      <c r="Z171" s="181">
        <v>0</v>
      </c>
      <c r="AA171" s="181">
        <v>0</v>
      </c>
      <c r="AB171" s="181">
        <v>9231216.7200000007</v>
      </c>
      <c r="AC171" s="181">
        <v>0</v>
      </c>
      <c r="AD171" s="1180">
        <v>9231216.7200000007</v>
      </c>
      <c r="AE171" s="1183">
        <v>9231216.7200000007</v>
      </c>
      <c r="AF171" s="181">
        <v>0</v>
      </c>
      <c r="AG171" s="181">
        <v>0</v>
      </c>
      <c r="AH171" s="181">
        <v>9231216.7200000007</v>
      </c>
      <c r="AI171" s="181">
        <v>9231216.7200000007</v>
      </c>
      <c r="AJ171" s="181">
        <v>0</v>
      </c>
      <c r="AK171" s="181">
        <v>9231216.7200000007</v>
      </c>
      <c r="AL171" s="181">
        <v>0</v>
      </c>
      <c r="AM171" s="181">
        <v>0</v>
      </c>
      <c r="AN171" s="181" t="s">
        <v>159</v>
      </c>
    </row>
    <row r="172" spans="1:45" ht="30" hidden="1" x14ac:dyDescent="0.25">
      <c r="A172" s="181">
        <v>307</v>
      </c>
      <c r="B172" s="181">
        <v>41</v>
      </c>
      <c r="C172" s="181" t="s">
        <v>1276</v>
      </c>
      <c r="D172" s="1179" t="s">
        <v>1277</v>
      </c>
      <c r="E172" s="181">
        <v>158060</v>
      </c>
      <c r="F172" s="181">
        <v>158060</v>
      </c>
      <c r="G172" s="181">
        <v>0</v>
      </c>
      <c r="H172" s="181">
        <v>0</v>
      </c>
      <c r="I172" s="181">
        <v>0</v>
      </c>
      <c r="J172" s="181">
        <v>0</v>
      </c>
      <c r="K172" s="181">
        <v>0</v>
      </c>
      <c r="L172" s="181">
        <v>158060</v>
      </c>
      <c r="M172" s="181">
        <v>0</v>
      </c>
      <c r="N172" s="181">
        <v>0</v>
      </c>
      <c r="O172" s="181">
        <v>0</v>
      </c>
      <c r="P172" s="181">
        <v>0</v>
      </c>
      <c r="Q172" s="181">
        <v>0</v>
      </c>
      <c r="R172" s="181">
        <v>0</v>
      </c>
      <c r="S172" s="181">
        <v>2792188.18</v>
      </c>
      <c r="T172" s="181">
        <v>0</v>
      </c>
      <c r="U172" s="181">
        <v>2792188.18</v>
      </c>
      <c r="V172" s="181">
        <v>0</v>
      </c>
      <c r="W172" s="181">
        <v>0</v>
      </c>
      <c r="X172" s="181">
        <v>0</v>
      </c>
      <c r="Y172" s="181">
        <v>0</v>
      </c>
      <c r="Z172" s="181">
        <v>0</v>
      </c>
      <c r="AA172" s="181">
        <v>0</v>
      </c>
      <c r="AB172" s="181">
        <v>2792188.18</v>
      </c>
      <c r="AC172" s="181">
        <v>0</v>
      </c>
      <c r="AD172" s="1180">
        <v>2792188.18</v>
      </c>
      <c r="AE172" s="1183">
        <v>2792188.18</v>
      </c>
      <c r="AF172" s="181">
        <v>0</v>
      </c>
      <c r="AG172" s="181">
        <v>0</v>
      </c>
      <c r="AH172" s="181">
        <v>2792188.18</v>
      </c>
      <c r="AI172" s="181">
        <v>2792188.18</v>
      </c>
      <c r="AJ172" s="181">
        <v>0</v>
      </c>
      <c r="AK172" s="181">
        <v>2792188.18</v>
      </c>
      <c r="AL172" s="181">
        <v>0</v>
      </c>
      <c r="AM172" s="181">
        <v>0</v>
      </c>
      <c r="AN172" s="181" t="s">
        <v>161</v>
      </c>
    </row>
    <row r="173" spans="1:45" ht="45" hidden="1" x14ac:dyDescent="0.25">
      <c r="A173" s="181">
        <v>307</v>
      </c>
      <c r="B173" s="181">
        <v>6</v>
      </c>
      <c r="C173" s="181" t="s">
        <v>1278</v>
      </c>
      <c r="D173" s="1179" t="s">
        <v>1279</v>
      </c>
      <c r="E173" s="181">
        <v>1400016</v>
      </c>
      <c r="F173" s="181">
        <v>1400016</v>
      </c>
      <c r="G173" s="181">
        <v>0</v>
      </c>
      <c r="H173" s="181">
        <v>0</v>
      </c>
      <c r="I173" s="181">
        <v>0</v>
      </c>
      <c r="J173" s="181">
        <v>0</v>
      </c>
      <c r="K173" s="181">
        <v>0</v>
      </c>
      <c r="L173" s="181">
        <v>1400016</v>
      </c>
      <c r="M173" s="181">
        <v>0</v>
      </c>
      <c r="N173" s="181">
        <v>0</v>
      </c>
      <c r="O173" s="181">
        <v>0</v>
      </c>
      <c r="P173" s="181">
        <v>0</v>
      </c>
      <c r="Q173" s="181">
        <v>0</v>
      </c>
      <c r="R173" s="181">
        <v>0</v>
      </c>
      <c r="S173" s="181">
        <v>57150560.700000003</v>
      </c>
      <c r="T173" s="181">
        <v>0</v>
      </c>
      <c r="U173" s="181">
        <v>57150560.700000003</v>
      </c>
      <c r="V173" s="181">
        <v>0</v>
      </c>
      <c r="W173" s="181">
        <v>0</v>
      </c>
      <c r="X173" s="181">
        <v>0</v>
      </c>
      <c r="Y173" s="181">
        <v>0</v>
      </c>
      <c r="Z173" s="181">
        <v>0</v>
      </c>
      <c r="AA173" s="181">
        <v>0</v>
      </c>
      <c r="AB173" s="181">
        <v>57150560.700000003</v>
      </c>
      <c r="AC173" s="181">
        <v>0</v>
      </c>
      <c r="AD173" s="1180">
        <v>57150560.700000003</v>
      </c>
      <c r="AE173" s="1183">
        <v>57150560.700000003</v>
      </c>
      <c r="AF173" s="181">
        <v>0</v>
      </c>
      <c r="AG173" s="181">
        <v>0</v>
      </c>
      <c r="AH173" s="181">
        <v>57150560.700000003</v>
      </c>
      <c r="AI173" s="181">
        <v>57150560.700000003</v>
      </c>
      <c r="AJ173" s="181">
        <v>0</v>
      </c>
      <c r="AK173" s="181">
        <v>57150560.700000003</v>
      </c>
      <c r="AL173" s="181">
        <v>0</v>
      </c>
      <c r="AM173" s="181">
        <v>0</v>
      </c>
      <c r="AN173" s="181" t="s">
        <v>36</v>
      </c>
    </row>
    <row r="174" spans="1:45" ht="30" hidden="1" x14ac:dyDescent="0.25">
      <c r="A174" s="181">
        <v>307</v>
      </c>
      <c r="B174" s="181">
        <v>178</v>
      </c>
      <c r="C174" s="181" t="s">
        <v>1280</v>
      </c>
      <c r="D174" s="1179" t="s">
        <v>1281</v>
      </c>
      <c r="E174" s="181">
        <v>325004</v>
      </c>
      <c r="F174" s="181">
        <v>325004</v>
      </c>
      <c r="G174" s="181">
        <v>0</v>
      </c>
      <c r="H174" s="181">
        <v>0</v>
      </c>
      <c r="I174" s="181">
        <v>0</v>
      </c>
      <c r="J174" s="181">
        <v>0</v>
      </c>
      <c r="K174" s="181">
        <v>0</v>
      </c>
      <c r="L174" s="181">
        <v>325004</v>
      </c>
      <c r="M174" s="181">
        <v>0</v>
      </c>
      <c r="N174" s="181">
        <v>0</v>
      </c>
      <c r="O174" s="181">
        <v>0</v>
      </c>
      <c r="P174" s="181">
        <v>0</v>
      </c>
      <c r="Q174" s="181">
        <v>0</v>
      </c>
      <c r="R174" s="181">
        <v>0</v>
      </c>
      <c r="S174" s="181">
        <v>14287640.15</v>
      </c>
      <c r="T174" s="181">
        <v>0</v>
      </c>
      <c r="U174" s="181">
        <v>14287640.15</v>
      </c>
      <c r="V174" s="181">
        <v>0</v>
      </c>
      <c r="W174" s="181">
        <v>0</v>
      </c>
      <c r="X174" s="181">
        <v>0</v>
      </c>
      <c r="Y174" s="181">
        <v>0</v>
      </c>
      <c r="Z174" s="181">
        <v>0</v>
      </c>
      <c r="AA174" s="181">
        <v>0</v>
      </c>
      <c r="AB174" s="181">
        <v>14287640.15</v>
      </c>
      <c r="AC174" s="181">
        <v>0</v>
      </c>
      <c r="AD174" s="1180">
        <v>14287640.15</v>
      </c>
      <c r="AE174" s="1183">
        <v>14287640.15</v>
      </c>
      <c r="AF174" s="181">
        <v>0</v>
      </c>
      <c r="AG174" s="181">
        <v>0</v>
      </c>
      <c r="AH174" s="181">
        <v>14287640.15</v>
      </c>
      <c r="AI174" s="181">
        <v>14287640.15</v>
      </c>
      <c r="AJ174" s="181">
        <v>0</v>
      </c>
      <c r="AK174" s="181">
        <v>14287640.15</v>
      </c>
      <c r="AL174" s="181">
        <v>0</v>
      </c>
      <c r="AM174" s="181">
        <v>0</v>
      </c>
      <c r="AN174" s="181" t="s">
        <v>96</v>
      </c>
    </row>
    <row r="175" spans="1:45" ht="30" hidden="1" x14ac:dyDescent="0.25">
      <c r="A175" s="181">
        <v>307</v>
      </c>
      <c r="B175" s="181">
        <v>135</v>
      </c>
      <c r="C175" s="181" t="s">
        <v>1282</v>
      </c>
      <c r="D175" s="1179" t="s">
        <v>1283</v>
      </c>
      <c r="E175" s="181">
        <v>39724450</v>
      </c>
      <c r="F175" s="181">
        <v>39724450</v>
      </c>
      <c r="G175" s="181">
        <v>0</v>
      </c>
      <c r="H175" s="181">
        <v>0</v>
      </c>
      <c r="I175" s="181">
        <v>0</v>
      </c>
      <c r="J175" s="181">
        <v>0</v>
      </c>
      <c r="K175" s="181">
        <v>0</v>
      </c>
      <c r="L175" s="181">
        <v>39724450</v>
      </c>
      <c r="M175" s="181">
        <v>0</v>
      </c>
      <c r="N175" s="181">
        <v>0</v>
      </c>
      <c r="O175" s="181">
        <v>0</v>
      </c>
      <c r="P175" s="181">
        <v>0</v>
      </c>
      <c r="Q175" s="181">
        <v>0</v>
      </c>
      <c r="R175" s="181">
        <v>0</v>
      </c>
      <c r="S175" s="181">
        <v>41693619.909999996</v>
      </c>
      <c r="T175" s="181">
        <v>0</v>
      </c>
      <c r="U175" s="181">
        <v>41693619.909999996</v>
      </c>
      <c r="V175" s="181">
        <v>0</v>
      </c>
      <c r="W175" s="181">
        <v>0</v>
      </c>
      <c r="X175" s="181">
        <v>0</v>
      </c>
      <c r="Y175" s="181">
        <v>0</v>
      </c>
      <c r="Z175" s="181">
        <v>0</v>
      </c>
      <c r="AA175" s="181">
        <v>0</v>
      </c>
      <c r="AB175" s="181">
        <v>41693619.909999996</v>
      </c>
      <c r="AC175" s="181">
        <v>0</v>
      </c>
      <c r="AD175" s="1180">
        <v>41693619.909999996</v>
      </c>
      <c r="AE175" s="1183">
        <v>41693619.909999996</v>
      </c>
      <c r="AF175" s="181">
        <v>0</v>
      </c>
      <c r="AG175" s="181">
        <v>0</v>
      </c>
      <c r="AH175" s="181">
        <v>41693619.909999996</v>
      </c>
      <c r="AI175" s="181">
        <v>41693619.909999996</v>
      </c>
      <c r="AJ175" s="181">
        <v>0</v>
      </c>
      <c r="AK175" s="181">
        <v>41693619.909999996</v>
      </c>
      <c r="AL175" s="181">
        <v>0</v>
      </c>
      <c r="AM175" s="181">
        <v>0</v>
      </c>
      <c r="AN175" s="181" t="s">
        <v>1718</v>
      </c>
    </row>
    <row r="176" spans="1:45" ht="30" hidden="1" x14ac:dyDescent="0.25">
      <c r="A176" s="181">
        <v>307</v>
      </c>
      <c r="B176" s="181">
        <v>42</v>
      </c>
      <c r="C176" s="181" t="s">
        <v>1284</v>
      </c>
      <c r="D176" s="1179" t="s">
        <v>1285</v>
      </c>
      <c r="E176" s="181">
        <v>2314305</v>
      </c>
      <c r="F176" s="181">
        <v>2314305</v>
      </c>
      <c r="G176" s="181">
        <v>0</v>
      </c>
      <c r="H176" s="181">
        <v>0</v>
      </c>
      <c r="I176" s="181">
        <v>0</v>
      </c>
      <c r="J176" s="181">
        <v>0</v>
      </c>
      <c r="K176" s="181">
        <v>0</v>
      </c>
      <c r="L176" s="181">
        <v>2314305</v>
      </c>
      <c r="M176" s="181">
        <v>0</v>
      </c>
      <c r="N176" s="181">
        <v>0</v>
      </c>
      <c r="O176" s="181">
        <v>0</v>
      </c>
      <c r="P176" s="181">
        <v>0</v>
      </c>
      <c r="Q176" s="181">
        <v>0</v>
      </c>
      <c r="R176" s="181">
        <v>0</v>
      </c>
      <c r="S176" s="181">
        <v>115442163.69</v>
      </c>
      <c r="T176" s="181">
        <v>0</v>
      </c>
      <c r="U176" s="181">
        <v>115442163.69</v>
      </c>
      <c r="V176" s="181">
        <v>0</v>
      </c>
      <c r="W176" s="181">
        <v>0</v>
      </c>
      <c r="X176" s="181">
        <v>0</v>
      </c>
      <c r="Y176" s="181">
        <v>0</v>
      </c>
      <c r="Z176" s="181">
        <v>0</v>
      </c>
      <c r="AA176" s="181">
        <v>0</v>
      </c>
      <c r="AB176" s="181">
        <v>115442163.69</v>
      </c>
      <c r="AC176" s="181">
        <v>0</v>
      </c>
      <c r="AD176" s="1180">
        <v>115442163.69</v>
      </c>
      <c r="AE176" s="1183">
        <v>115442163.69</v>
      </c>
      <c r="AF176" s="181">
        <v>0</v>
      </c>
      <c r="AG176" s="181">
        <v>0</v>
      </c>
      <c r="AH176" s="181">
        <v>115442163.69</v>
      </c>
      <c r="AI176" s="181">
        <v>115442163.69</v>
      </c>
      <c r="AJ176" s="181">
        <v>0</v>
      </c>
      <c r="AK176" s="181">
        <v>115442163.69</v>
      </c>
      <c r="AL176" s="181">
        <v>0</v>
      </c>
      <c r="AM176" s="181">
        <v>0</v>
      </c>
      <c r="AN176" s="181" t="s">
        <v>163</v>
      </c>
    </row>
    <row r="177" spans="1:45" hidden="1" x14ac:dyDescent="0.25">
      <c r="A177" s="181">
        <v>307</v>
      </c>
      <c r="B177" s="181">
        <v>27</v>
      </c>
      <c r="C177" s="181" t="s">
        <v>1286</v>
      </c>
      <c r="D177" s="1179" t="s">
        <v>1287</v>
      </c>
      <c r="E177" s="181">
        <v>311522</v>
      </c>
      <c r="F177" s="181">
        <v>311522</v>
      </c>
      <c r="G177" s="181">
        <v>0</v>
      </c>
      <c r="H177" s="181">
        <v>0</v>
      </c>
      <c r="I177" s="181">
        <v>0</v>
      </c>
      <c r="J177" s="181">
        <v>0</v>
      </c>
      <c r="K177" s="181">
        <v>0</v>
      </c>
      <c r="L177" s="181">
        <v>311522</v>
      </c>
      <c r="M177" s="181">
        <v>0</v>
      </c>
      <c r="N177" s="181">
        <v>0</v>
      </c>
      <c r="O177" s="181">
        <v>0</v>
      </c>
      <c r="P177" s="181">
        <v>0</v>
      </c>
      <c r="Q177" s="181">
        <v>0</v>
      </c>
      <c r="R177" s="181">
        <v>0</v>
      </c>
      <c r="S177" s="181">
        <v>18387856.039999999</v>
      </c>
      <c r="T177" s="181">
        <v>0</v>
      </c>
      <c r="U177" s="181">
        <v>18387856.039999999</v>
      </c>
      <c r="V177" s="181">
        <v>0</v>
      </c>
      <c r="W177" s="181">
        <v>0</v>
      </c>
      <c r="X177" s="181">
        <v>0</v>
      </c>
      <c r="Y177" s="181">
        <v>0</v>
      </c>
      <c r="Z177" s="181">
        <v>0</v>
      </c>
      <c r="AA177" s="181">
        <v>0</v>
      </c>
      <c r="AB177" s="181">
        <v>18387856.039999999</v>
      </c>
      <c r="AC177" s="181">
        <v>0</v>
      </c>
      <c r="AD177" s="1180">
        <v>18387856.039999999</v>
      </c>
      <c r="AE177" s="1183">
        <v>18387856.039999999</v>
      </c>
      <c r="AF177" s="181">
        <v>0</v>
      </c>
      <c r="AG177" s="181">
        <v>0</v>
      </c>
      <c r="AH177" s="181">
        <v>18387856.039999999</v>
      </c>
      <c r="AI177" s="181">
        <v>18387856.039999999</v>
      </c>
      <c r="AJ177" s="181">
        <v>0</v>
      </c>
      <c r="AK177" s="181">
        <v>18387856.039999999</v>
      </c>
      <c r="AL177" s="181">
        <v>0</v>
      </c>
      <c r="AM177" s="181">
        <v>0</v>
      </c>
      <c r="AN177" s="181" t="s">
        <v>1710</v>
      </c>
    </row>
    <row r="178" spans="1:45" hidden="1" x14ac:dyDescent="0.25">
      <c r="A178" s="181">
        <v>307</v>
      </c>
      <c r="B178" s="181">
        <v>20</v>
      </c>
      <c r="C178" s="181" t="s">
        <v>1288</v>
      </c>
      <c r="D178" s="1179" t="s">
        <v>1289</v>
      </c>
      <c r="E178" s="181">
        <v>412620217</v>
      </c>
      <c r="F178" s="181">
        <v>412620217</v>
      </c>
      <c r="G178" s="181">
        <v>0</v>
      </c>
      <c r="H178" s="181">
        <v>0</v>
      </c>
      <c r="I178" s="181">
        <v>0</v>
      </c>
      <c r="J178" s="181">
        <v>0</v>
      </c>
      <c r="K178" s="181">
        <v>0</v>
      </c>
      <c r="L178" s="181">
        <v>412620217</v>
      </c>
      <c r="M178" s="181">
        <v>0</v>
      </c>
      <c r="N178" s="181">
        <v>0</v>
      </c>
      <c r="O178" s="181">
        <v>0</v>
      </c>
      <c r="P178" s="181">
        <v>0</v>
      </c>
      <c r="Q178" s="181">
        <v>0</v>
      </c>
      <c r="R178" s="181">
        <v>0</v>
      </c>
      <c r="S178" s="181">
        <v>651522221.07000005</v>
      </c>
      <c r="T178" s="181">
        <v>68195568.840000004</v>
      </c>
      <c r="U178" s="181">
        <v>583326652.23000002</v>
      </c>
      <c r="V178" s="181">
        <v>0</v>
      </c>
      <c r="W178" s="181">
        <v>0</v>
      </c>
      <c r="X178" s="181">
        <v>0</v>
      </c>
      <c r="Y178" s="181">
        <v>0</v>
      </c>
      <c r="Z178" s="181">
        <v>0</v>
      </c>
      <c r="AA178" s="181">
        <v>0</v>
      </c>
      <c r="AB178" s="181">
        <v>651522221.07000005</v>
      </c>
      <c r="AC178" s="181">
        <v>68195568.840000004</v>
      </c>
      <c r="AD178" s="1180">
        <v>583326652.23000002</v>
      </c>
      <c r="AE178" s="1183">
        <v>583326652.23000002</v>
      </c>
      <c r="AF178" s="181">
        <v>0</v>
      </c>
      <c r="AG178" s="181">
        <v>0</v>
      </c>
      <c r="AH178" s="181">
        <v>583326652.23000002</v>
      </c>
      <c r="AI178" s="181">
        <v>651522221.07000005</v>
      </c>
      <c r="AJ178" s="181">
        <v>68195568.840000004</v>
      </c>
      <c r="AK178" s="181">
        <v>651522221.07000005</v>
      </c>
      <c r="AL178" s="181">
        <v>0</v>
      </c>
      <c r="AM178" s="181">
        <v>68195568.840000004</v>
      </c>
      <c r="AN178" s="181" t="s">
        <v>140</v>
      </c>
    </row>
    <row r="179" spans="1:45" ht="30" hidden="1" x14ac:dyDescent="0.25">
      <c r="A179" s="181">
        <v>307</v>
      </c>
      <c r="B179" s="181">
        <v>177</v>
      </c>
      <c r="C179" s="181" t="s">
        <v>1290</v>
      </c>
      <c r="D179" s="1179" t="s">
        <v>1291</v>
      </c>
      <c r="E179" s="181">
        <v>0</v>
      </c>
      <c r="F179" s="181">
        <v>0</v>
      </c>
      <c r="G179" s="181">
        <v>0</v>
      </c>
      <c r="H179" s="181">
        <v>0</v>
      </c>
      <c r="I179" s="181">
        <v>0</v>
      </c>
      <c r="J179" s="181">
        <v>0</v>
      </c>
      <c r="K179" s="181">
        <v>0</v>
      </c>
      <c r="L179" s="181">
        <v>0</v>
      </c>
      <c r="M179" s="181">
        <v>0</v>
      </c>
      <c r="N179" s="181">
        <v>0</v>
      </c>
      <c r="O179" s="181">
        <v>0</v>
      </c>
      <c r="P179" s="181">
        <v>0</v>
      </c>
      <c r="Q179" s="181">
        <v>0</v>
      </c>
      <c r="R179" s="181">
        <v>0</v>
      </c>
      <c r="S179" s="181">
        <v>41881891.670000002</v>
      </c>
      <c r="T179" s="181">
        <v>0</v>
      </c>
      <c r="U179" s="181">
        <v>41881891.670000002</v>
      </c>
      <c r="V179" s="181">
        <v>0</v>
      </c>
      <c r="W179" s="181">
        <v>0</v>
      </c>
      <c r="X179" s="181">
        <v>0</v>
      </c>
      <c r="Y179" s="181">
        <v>0</v>
      </c>
      <c r="Z179" s="181">
        <v>0</v>
      </c>
      <c r="AA179" s="181">
        <v>0</v>
      </c>
      <c r="AB179" s="181">
        <v>41881891.670000002</v>
      </c>
      <c r="AC179" s="181">
        <v>0</v>
      </c>
      <c r="AD179" s="1180">
        <v>41881891.670000002</v>
      </c>
      <c r="AE179" s="1180">
        <v>41881891.670000002</v>
      </c>
      <c r="AF179" s="181">
        <v>0</v>
      </c>
      <c r="AG179" s="181">
        <v>0</v>
      </c>
      <c r="AH179" s="181">
        <v>41881891.670000002</v>
      </c>
      <c r="AI179" s="181">
        <v>41881891.670000002</v>
      </c>
      <c r="AJ179" s="181">
        <v>0</v>
      </c>
      <c r="AK179" s="181">
        <v>41881891.670000002</v>
      </c>
      <c r="AL179" s="181">
        <v>0</v>
      </c>
      <c r="AM179" s="181">
        <v>0</v>
      </c>
      <c r="AN179" s="181" t="s">
        <v>94</v>
      </c>
      <c r="AS179" s="181"/>
    </row>
    <row r="180" spans="1:45" hidden="1" x14ac:dyDescent="0.25">
      <c r="A180" s="181">
        <v>307</v>
      </c>
      <c r="B180" s="181">
        <v>23</v>
      </c>
      <c r="C180" s="181" t="s">
        <v>1292</v>
      </c>
      <c r="D180" s="1179" t="s">
        <v>1293</v>
      </c>
      <c r="E180" s="181">
        <v>0</v>
      </c>
      <c r="F180" s="181">
        <v>0</v>
      </c>
      <c r="G180" s="181">
        <v>0</v>
      </c>
      <c r="H180" s="181">
        <v>0</v>
      </c>
      <c r="I180" s="181">
        <v>0</v>
      </c>
      <c r="J180" s="181">
        <v>0</v>
      </c>
      <c r="K180" s="181">
        <v>0</v>
      </c>
      <c r="L180" s="181">
        <v>0</v>
      </c>
      <c r="M180" s="181">
        <v>0</v>
      </c>
      <c r="N180" s="181">
        <v>0</v>
      </c>
      <c r="O180" s="181">
        <v>0</v>
      </c>
      <c r="P180" s="181">
        <v>0</v>
      </c>
      <c r="Q180" s="181">
        <v>0</v>
      </c>
      <c r="R180" s="181">
        <v>0</v>
      </c>
      <c r="S180" s="181">
        <v>2370689.27</v>
      </c>
      <c r="T180" s="181">
        <v>0</v>
      </c>
      <c r="U180" s="181">
        <v>2370689.27</v>
      </c>
      <c r="V180" s="181">
        <v>0</v>
      </c>
      <c r="W180" s="181">
        <v>0</v>
      </c>
      <c r="X180" s="181">
        <v>0</v>
      </c>
      <c r="Y180" s="181">
        <v>0</v>
      </c>
      <c r="Z180" s="181">
        <v>0</v>
      </c>
      <c r="AA180" s="181">
        <v>0</v>
      </c>
      <c r="AB180" s="181">
        <v>2370689.27</v>
      </c>
      <c r="AC180" s="181">
        <v>0</v>
      </c>
      <c r="AD180" s="1180">
        <v>2370689.27</v>
      </c>
      <c r="AE180" s="1180">
        <v>2370689.27</v>
      </c>
      <c r="AF180" s="181">
        <v>0</v>
      </c>
      <c r="AG180" s="181">
        <v>0</v>
      </c>
      <c r="AH180" s="181">
        <v>2370689.27</v>
      </c>
      <c r="AI180" s="181">
        <v>2370689.27</v>
      </c>
      <c r="AJ180" s="181">
        <v>0</v>
      </c>
      <c r="AK180" s="181">
        <v>2370689.27</v>
      </c>
      <c r="AL180" s="181">
        <v>0</v>
      </c>
      <c r="AM180" s="181">
        <v>0</v>
      </c>
      <c r="AN180" s="181" t="s">
        <v>145</v>
      </c>
      <c r="AS180" s="181"/>
    </row>
    <row r="181" spans="1:45" hidden="1" x14ac:dyDescent="0.25">
      <c r="A181" s="181">
        <v>307</v>
      </c>
      <c r="B181" s="181">
        <v>134</v>
      </c>
      <c r="C181" s="181" t="s">
        <v>1294</v>
      </c>
      <c r="D181" s="1179" t="s">
        <v>1295</v>
      </c>
      <c r="E181" s="181">
        <v>0</v>
      </c>
      <c r="F181" s="181">
        <v>0</v>
      </c>
      <c r="G181" s="181">
        <v>0</v>
      </c>
      <c r="H181" s="181">
        <v>0</v>
      </c>
      <c r="I181" s="181">
        <v>0</v>
      </c>
      <c r="J181" s="181">
        <v>0</v>
      </c>
      <c r="K181" s="181">
        <v>0</v>
      </c>
      <c r="L181" s="181">
        <v>0</v>
      </c>
      <c r="M181" s="181">
        <v>0</v>
      </c>
      <c r="N181" s="181">
        <v>0</v>
      </c>
      <c r="O181" s="181">
        <v>0</v>
      </c>
      <c r="P181" s="181">
        <v>0</v>
      </c>
      <c r="Q181" s="181">
        <v>0</v>
      </c>
      <c r="R181" s="181">
        <v>0</v>
      </c>
      <c r="S181" s="181">
        <v>226.32</v>
      </c>
      <c r="T181" s="181">
        <v>0</v>
      </c>
      <c r="U181" s="181">
        <v>226.32</v>
      </c>
      <c r="V181" s="181">
        <v>0</v>
      </c>
      <c r="W181" s="181">
        <v>0</v>
      </c>
      <c r="X181" s="181">
        <v>0</v>
      </c>
      <c r="Y181" s="181">
        <v>0</v>
      </c>
      <c r="Z181" s="181">
        <v>0</v>
      </c>
      <c r="AA181" s="181">
        <v>0</v>
      </c>
      <c r="AB181" s="181">
        <v>226.32</v>
      </c>
      <c r="AC181" s="181">
        <v>0</v>
      </c>
      <c r="AD181" s="1180">
        <v>226.32</v>
      </c>
      <c r="AE181" s="1180">
        <v>226.32</v>
      </c>
      <c r="AF181" s="181">
        <v>0</v>
      </c>
      <c r="AG181" s="181">
        <v>0</v>
      </c>
      <c r="AH181" s="181">
        <v>226.32</v>
      </c>
      <c r="AI181" s="181">
        <v>226.32</v>
      </c>
      <c r="AJ181" s="181">
        <v>0</v>
      </c>
      <c r="AK181" s="181">
        <v>226.32</v>
      </c>
      <c r="AL181" s="181">
        <v>0</v>
      </c>
      <c r="AM181" s="181">
        <v>0</v>
      </c>
      <c r="AN181" s="181" t="s">
        <v>60</v>
      </c>
      <c r="AS181" s="181"/>
    </row>
    <row r="182" spans="1:45" ht="45" hidden="1" x14ac:dyDescent="0.25">
      <c r="A182" s="181">
        <v>307</v>
      </c>
      <c r="B182" s="181">
        <v>179</v>
      </c>
      <c r="C182" s="181" t="s">
        <v>1296</v>
      </c>
      <c r="D182" s="1179" t="s">
        <v>1297</v>
      </c>
      <c r="E182" s="181">
        <v>0</v>
      </c>
      <c r="F182" s="181">
        <v>0</v>
      </c>
      <c r="G182" s="181">
        <v>0</v>
      </c>
      <c r="H182" s="181">
        <v>0</v>
      </c>
      <c r="I182" s="181">
        <v>0</v>
      </c>
      <c r="J182" s="181">
        <v>0</v>
      </c>
      <c r="K182" s="181">
        <v>0</v>
      </c>
      <c r="L182" s="181">
        <v>0</v>
      </c>
      <c r="M182" s="181">
        <v>0</v>
      </c>
      <c r="N182" s="181">
        <v>0</v>
      </c>
      <c r="O182" s="181">
        <v>0</v>
      </c>
      <c r="P182" s="181">
        <v>0</v>
      </c>
      <c r="Q182" s="181">
        <v>0</v>
      </c>
      <c r="R182" s="181">
        <v>0</v>
      </c>
      <c r="S182" s="181">
        <v>170623.11</v>
      </c>
      <c r="T182" s="181">
        <v>0</v>
      </c>
      <c r="U182" s="181">
        <v>170623.11</v>
      </c>
      <c r="V182" s="181">
        <v>0</v>
      </c>
      <c r="W182" s="181">
        <v>0</v>
      </c>
      <c r="X182" s="181">
        <v>0</v>
      </c>
      <c r="Y182" s="181">
        <v>0</v>
      </c>
      <c r="Z182" s="181">
        <v>0</v>
      </c>
      <c r="AA182" s="181">
        <v>0</v>
      </c>
      <c r="AB182" s="181">
        <v>170623.11</v>
      </c>
      <c r="AC182" s="181">
        <v>0</v>
      </c>
      <c r="AD182" s="1180">
        <v>170623.11</v>
      </c>
      <c r="AE182" s="1180">
        <v>170623.11</v>
      </c>
      <c r="AF182" s="181">
        <v>0</v>
      </c>
      <c r="AG182" s="181">
        <v>0</v>
      </c>
      <c r="AH182" s="181">
        <v>170623.11</v>
      </c>
      <c r="AI182" s="181">
        <v>170623.11</v>
      </c>
      <c r="AJ182" s="181">
        <v>0</v>
      </c>
      <c r="AK182" s="181">
        <v>170623.11</v>
      </c>
      <c r="AL182" s="181">
        <v>0</v>
      </c>
      <c r="AM182" s="181">
        <v>0</v>
      </c>
      <c r="AN182" s="181" t="s">
        <v>98</v>
      </c>
      <c r="AS182" s="181"/>
    </row>
    <row r="183" spans="1:45" ht="30" hidden="1" x14ac:dyDescent="0.25">
      <c r="A183" s="181">
        <v>307</v>
      </c>
      <c r="B183" s="181">
        <v>145</v>
      </c>
      <c r="C183" s="181" t="s">
        <v>1298</v>
      </c>
      <c r="D183" s="1179" t="s">
        <v>1299</v>
      </c>
      <c r="E183" s="181">
        <v>0</v>
      </c>
      <c r="F183" s="181">
        <v>0</v>
      </c>
      <c r="G183" s="181">
        <v>0</v>
      </c>
      <c r="H183" s="181">
        <v>0</v>
      </c>
      <c r="I183" s="181">
        <v>0</v>
      </c>
      <c r="J183" s="181">
        <v>0</v>
      </c>
      <c r="K183" s="181">
        <v>0</v>
      </c>
      <c r="L183" s="181">
        <v>0</v>
      </c>
      <c r="M183" s="181">
        <v>0</v>
      </c>
      <c r="N183" s="181">
        <v>0</v>
      </c>
      <c r="O183" s="181">
        <v>0</v>
      </c>
      <c r="P183" s="181">
        <v>0</v>
      </c>
      <c r="Q183" s="181">
        <v>0</v>
      </c>
      <c r="R183" s="181">
        <v>0</v>
      </c>
      <c r="S183" s="181">
        <v>581276.37</v>
      </c>
      <c r="T183" s="181">
        <v>0</v>
      </c>
      <c r="U183" s="181">
        <v>581276.37</v>
      </c>
      <c r="V183" s="181">
        <v>0</v>
      </c>
      <c r="W183" s="181">
        <v>0</v>
      </c>
      <c r="X183" s="181">
        <v>0</v>
      </c>
      <c r="Y183" s="181">
        <v>0</v>
      </c>
      <c r="Z183" s="181">
        <v>0</v>
      </c>
      <c r="AA183" s="181">
        <v>0</v>
      </c>
      <c r="AB183" s="181">
        <v>581276.37</v>
      </c>
      <c r="AC183" s="181">
        <v>0</v>
      </c>
      <c r="AD183" s="1180">
        <v>581276.37</v>
      </c>
      <c r="AE183" s="1180">
        <v>581276.37</v>
      </c>
      <c r="AF183" s="181">
        <v>0</v>
      </c>
      <c r="AG183" s="181">
        <v>0</v>
      </c>
      <c r="AH183" s="181">
        <v>581276.37</v>
      </c>
      <c r="AI183" s="181">
        <v>581276.37</v>
      </c>
      <c r="AJ183" s="181">
        <v>0</v>
      </c>
      <c r="AK183" s="181">
        <v>581276.37</v>
      </c>
      <c r="AL183" s="181">
        <v>0</v>
      </c>
      <c r="AM183" s="181">
        <v>0</v>
      </c>
      <c r="AN183" s="181" t="s">
        <v>66</v>
      </c>
      <c r="AS183" s="181"/>
    </row>
    <row r="184" spans="1:45" hidden="1" x14ac:dyDescent="0.25">
      <c r="A184" s="181">
        <v>307</v>
      </c>
      <c r="B184" s="181" t="s">
        <v>226</v>
      </c>
      <c r="C184" s="181" t="s">
        <v>1719</v>
      </c>
      <c r="D184" s="1179" t="s">
        <v>1720</v>
      </c>
      <c r="E184" s="181">
        <v>0</v>
      </c>
      <c r="F184" s="181">
        <v>0</v>
      </c>
      <c r="G184" s="181">
        <v>34750000000</v>
      </c>
      <c r="H184" s="181">
        <v>0</v>
      </c>
      <c r="I184" s="181">
        <v>34750000000</v>
      </c>
      <c r="J184" s="181">
        <v>34750000000</v>
      </c>
      <c r="K184" s="181">
        <v>0</v>
      </c>
      <c r="L184" s="181">
        <v>34750000000</v>
      </c>
      <c r="M184" s="181">
        <v>0</v>
      </c>
      <c r="N184" s="181">
        <v>0</v>
      </c>
      <c r="O184" s="181">
        <v>0</v>
      </c>
      <c r="P184" s="181">
        <v>0</v>
      </c>
      <c r="Q184" s="181">
        <v>0</v>
      </c>
      <c r="R184" s="181">
        <v>0</v>
      </c>
      <c r="S184" s="181">
        <v>0</v>
      </c>
      <c r="T184" s="181">
        <v>0</v>
      </c>
      <c r="U184" s="181">
        <v>0</v>
      </c>
      <c r="V184" s="181">
        <v>0</v>
      </c>
      <c r="W184" s="181">
        <v>0</v>
      </c>
      <c r="X184" s="181">
        <v>0</v>
      </c>
      <c r="Y184" s="181">
        <v>0</v>
      </c>
      <c r="Z184" s="181">
        <v>0</v>
      </c>
      <c r="AA184" s="181">
        <v>0</v>
      </c>
      <c r="AB184" s="181">
        <v>0</v>
      </c>
      <c r="AC184" s="181">
        <v>0</v>
      </c>
      <c r="AD184" s="1180">
        <v>0</v>
      </c>
      <c r="AE184" s="1180">
        <v>0</v>
      </c>
      <c r="AF184" s="181">
        <v>0</v>
      </c>
      <c r="AG184" s="181">
        <v>0</v>
      </c>
      <c r="AH184" s="181">
        <v>0</v>
      </c>
      <c r="AI184" s="181">
        <v>0</v>
      </c>
      <c r="AJ184" s="181">
        <v>0</v>
      </c>
      <c r="AK184" s="181">
        <v>0</v>
      </c>
      <c r="AL184" s="181">
        <v>0</v>
      </c>
      <c r="AM184" s="181">
        <v>0</v>
      </c>
      <c r="AN184" s="181" t="s">
        <v>1709</v>
      </c>
      <c r="AS184" s="181"/>
    </row>
    <row r="185" spans="1:45" ht="30" hidden="1" x14ac:dyDescent="0.25">
      <c r="A185" s="181">
        <v>307</v>
      </c>
      <c r="B185" s="181" t="s">
        <v>226</v>
      </c>
      <c r="C185" s="181" t="s">
        <v>1721</v>
      </c>
      <c r="D185" s="1179" t="s">
        <v>1722</v>
      </c>
      <c r="E185" s="181">
        <v>0</v>
      </c>
      <c r="F185" s="181">
        <v>0</v>
      </c>
      <c r="G185" s="181">
        <v>34750000000</v>
      </c>
      <c r="H185" s="181">
        <v>0</v>
      </c>
      <c r="I185" s="181">
        <v>34750000000</v>
      </c>
      <c r="J185" s="181">
        <v>34750000000</v>
      </c>
      <c r="K185" s="181">
        <v>0</v>
      </c>
      <c r="L185" s="181">
        <v>34750000000</v>
      </c>
      <c r="M185" s="181">
        <v>0</v>
      </c>
      <c r="N185" s="181">
        <v>0</v>
      </c>
      <c r="O185" s="181">
        <v>0</v>
      </c>
      <c r="P185" s="181">
        <v>0</v>
      </c>
      <c r="Q185" s="181">
        <v>0</v>
      </c>
      <c r="R185" s="181">
        <v>0</v>
      </c>
      <c r="S185" s="181">
        <v>0</v>
      </c>
      <c r="T185" s="181">
        <v>0</v>
      </c>
      <c r="U185" s="181">
        <v>0</v>
      </c>
      <c r="V185" s="181">
        <v>0</v>
      </c>
      <c r="W185" s="181">
        <v>0</v>
      </c>
      <c r="X185" s="181">
        <v>0</v>
      </c>
      <c r="Y185" s="181">
        <v>0</v>
      </c>
      <c r="Z185" s="181">
        <v>0</v>
      </c>
      <c r="AA185" s="181">
        <v>0</v>
      </c>
      <c r="AB185" s="181">
        <v>0</v>
      </c>
      <c r="AC185" s="181">
        <v>0</v>
      </c>
      <c r="AD185" s="1180">
        <v>0</v>
      </c>
      <c r="AE185" s="1180">
        <v>0</v>
      </c>
      <c r="AF185" s="181">
        <v>0</v>
      </c>
      <c r="AG185" s="181">
        <v>0</v>
      </c>
      <c r="AH185" s="181">
        <v>0</v>
      </c>
      <c r="AI185" s="181">
        <v>0</v>
      </c>
      <c r="AJ185" s="181">
        <v>0</v>
      </c>
      <c r="AK185" s="181">
        <v>0</v>
      </c>
      <c r="AL185" s="181">
        <v>0</v>
      </c>
      <c r="AM185" s="181">
        <v>0</v>
      </c>
      <c r="AN185" s="181" t="s">
        <v>1709</v>
      </c>
      <c r="AS185" s="181"/>
    </row>
    <row r="186" spans="1:45" hidden="1" x14ac:dyDescent="0.25">
      <c r="A186" s="181">
        <v>307</v>
      </c>
      <c r="B186" s="181">
        <v>46</v>
      </c>
      <c r="C186" s="181" t="s">
        <v>1300</v>
      </c>
      <c r="D186" s="1179" t="s">
        <v>1301</v>
      </c>
      <c r="E186" s="181">
        <v>0</v>
      </c>
      <c r="F186" s="181">
        <v>0</v>
      </c>
      <c r="G186" s="181">
        <v>34750000000</v>
      </c>
      <c r="H186" s="181">
        <v>0</v>
      </c>
      <c r="I186" s="181">
        <v>34750000000</v>
      </c>
      <c r="J186" s="181">
        <v>34750000000</v>
      </c>
      <c r="K186" s="181">
        <v>0</v>
      </c>
      <c r="L186" s="181">
        <v>34750000000</v>
      </c>
      <c r="M186" s="181">
        <v>0</v>
      </c>
      <c r="N186" s="181">
        <v>0</v>
      </c>
      <c r="O186" s="181">
        <v>0</v>
      </c>
      <c r="P186" s="181">
        <v>0</v>
      </c>
      <c r="Q186" s="181">
        <v>0</v>
      </c>
      <c r="R186" s="181">
        <v>0</v>
      </c>
      <c r="S186" s="181">
        <v>0</v>
      </c>
      <c r="T186" s="181">
        <v>0</v>
      </c>
      <c r="U186" s="181">
        <v>0</v>
      </c>
      <c r="V186" s="181">
        <v>0</v>
      </c>
      <c r="W186" s="181">
        <v>0</v>
      </c>
      <c r="X186" s="181">
        <v>0</v>
      </c>
      <c r="Y186" s="181">
        <v>0</v>
      </c>
      <c r="Z186" s="181">
        <v>0</v>
      </c>
      <c r="AA186" s="181">
        <v>0</v>
      </c>
      <c r="AB186" s="181">
        <v>0</v>
      </c>
      <c r="AC186" s="181">
        <v>0</v>
      </c>
      <c r="AD186" s="1180">
        <v>0</v>
      </c>
      <c r="AE186" s="1180">
        <v>0</v>
      </c>
      <c r="AF186" s="181">
        <v>0</v>
      </c>
      <c r="AG186" s="181">
        <v>0</v>
      </c>
      <c r="AH186" s="181">
        <v>0</v>
      </c>
      <c r="AI186" s="181">
        <v>0</v>
      </c>
      <c r="AJ186" s="181">
        <v>0</v>
      </c>
      <c r="AK186" s="181">
        <v>0</v>
      </c>
      <c r="AL186" s="181">
        <v>0</v>
      </c>
      <c r="AM186" s="181">
        <v>0</v>
      </c>
      <c r="AN186" s="181" t="s">
        <v>165</v>
      </c>
      <c r="AS186" s="181"/>
    </row>
    <row r="187" spans="1:45" hidden="1" x14ac:dyDescent="0.25">
      <c r="A187" s="181">
        <v>307</v>
      </c>
      <c r="B187" s="181" t="s">
        <v>226</v>
      </c>
      <c r="C187" s="181" t="s">
        <v>1549</v>
      </c>
      <c r="D187" s="1179" t="s">
        <v>1123</v>
      </c>
      <c r="E187" s="181">
        <v>0</v>
      </c>
      <c r="F187" s="181">
        <v>0</v>
      </c>
      <c r="G187" s="181">
        <v>47949856786.720001</v>
      </c>
      <c r="H187" s="181">
        <v>39224850.409999996</v>
      </c>
      <c r="I187" s="181">
        <v>47910631936.309998</v>
      </c>
      <c r="J187" s="181">
        <v>47949856786.720001</v>
      </c>
      <c r="K187" s="181">
        <v>39224850.409999996</v>
      </c>
      <c r="L187" s="181">
        <v>47910631936.309998</v>
      </c>
      <c r="M187" s="181">
        <v>0</v>
      </c>
      <c r="N187" s="181">
        <v>0</v>
      </c>
      <c r="O187" s="181">
        <v>0</v>
      </c>
      <c r="P187" s="181">
        <v>39224850.409999996</v>
      </c>
      <c r="Q187" s="181">
        <v>0</v>
      </c>
      <c r="R187" s="181">
        <v>39224850.409999996</v>
      </c>
      <c r="S187" s="181">
        <v>47949856786.720001</v>
      </c>
      <c r="T187" s="181">
        <v>0</v>
      </c>
      <c r="U187" s="181">
        <v>47949856786.720001</v>
      </c>
      <c r="V187" s="181">
        <v>0</v>
      </c>
      <c r="W187" s="181">
        <v>0</v>
      </c>
      <c r="X187" s="181">
        <v>0</v>
      </c>
      <c r="Y187" s="181">
        <v>39224850.409999996</v>
      </c>
      <c r="Z187" s="181">
        <v>0</v>
      </c>
      <c r="AA187" s="181">
        <v>39224850.409999996</v>
      </c>
      <c r="AB187" s="181">
        <v>47949856786.720001</v>
      </c>
      <c r="AC187" s="181">
        <v>0</v>
      </c>
      <c r="AD187" s="1180">
        <v>47949856786.720001</v>
      </c>
      <c r="AE187" s="1180">
        <v>47989081637.129997</v>
      </c>
      <c r="AF187" s="181">
        <v>47949856786.720001</v>
      </c>
      <c r="AG187" s="181">
        <v>47949856786.720001</v>
      </c>
      <c r="AH187" s="181">
        <v>0</v>
      </c>
      <c r="AI187" s="181">
        <v>0</v>
      </c>
      <c r="AJ187" s="181">
        <v>0</v>
      </c>
      <c r="AK187" s="181">
        <v>0</v>
      </c>
      <c r="AL187" s="181">
        <v>0</v>
      </c>
      <c r="AM187" s="181">
        <v>0</v>
      </c>
      <c r="AN187" s="181" t="s">
        <v>1709</v>
      </c>
      <c r="AS187" s="181"/>
    </row>
    <row r="188" spans="1:45" hidden="1" x14ac:dyDescent="0.25">
      <c r="A188" s="181">
        <v>307</v>
      </c>
      <c r="B188" s="181" t="s">
        <v>226</v>
      </c>
      <c r="C188" s="181" t="s">
        <v>1550</v>
      </c>
      <c r="D188" s="1179" t="s">
        <v>1551</v>
      </c>
      <c r="E188" s="181">
        <v>0</v>
      </c>
      <c r="F188" s="181">
        <v>0</v>
      </c>
      <c r="G188" s="181">
        <v>47949856786.720001</v>
      </c>
      <c r="H188" s="181">
        <v>39224850.409999996</v>
      </c>
      <c r="I188" s="181">
        <v>47910631936.309998</v>
      </c>
      <c r="J188" s="181">
        <v>47949856786.720001</v>
      </c>
      <c r="K188" s="181">
        <v>39224850.409999996</v>
      </c>
      <c r="L188" s="181">
        <v>47910631936.309998</v>
      </c>
      <c r="M188" s="181">
        <v>0</v>
      </c>
      <c r="N188" s="181">
        <v>0</v>
      </c>
      <c r="O188" s="181">
        <v>0</v>
      </c>
      <c r="P188" s="181">
        <v>39224850.409999996</v>
      </c>
      <c r="Q188" s="181">
        <v>0</v>
      </c>
      <c r="R188" s="181">
        <v>39224850.409999996</v>
      </c>
      <c r="S188" s="181">
        <v>47949856786.720001</v>
      </c>
      <c r="T188" s="181">
        <v>0</v>
      </c>
      <c r="U188" s="181">
        <v>47949856786.720001</v>
      </c>
      <c r="V188" s="181">
        <v>0</v>
      </c>
      <c r="W188" s="181">
        <v>0</v>
      </c>
      <c r="X188" s="181">
        <v>0</v>
      </c>
      <c r="Y188" s="181">
        <v>39224850.409999996</v>
      </c>
      <c r="Z188" s="181">
        <v>0</v>
      </c>
      <c r="AA188" s="181">
        <v>39224850.409999996</v>
      </c>
      <c r="AB188" s="181">
        <v>47949856786.720001</v>
      </c>
      <c r="AC188" s="181">
        <v>0</v>
      </c>
      <c r="AD188" s="1180">
        <v>47949856786.720001</v>
      </c>
      <c r="AE188" s="1180">
        <v>47989081637.129997</v>
      </c>
      <c r="AF188" s="181">
        <v>47949856786.720001</v>
      </c>
      <c r="AG188" s="181">
        <v>47949856786.720001</v>
      </c>
      <c r="AH188" s="181">
        <v>0</v>
      </c>
      <c r="AI188" s="181">
        <v>0</v>
      </c>
      <c r="AJ188" s="181">
        <v>0</v>
      </c>
      <c r="AK188" s="181">
        <v>0</v>
      </c>
      <c r="AL188" s="181">
        <v>0</v>
      </c>
      <c r="AM188" s="181">
        <v>0</v>
      </c>
      <c r="AN188" s="181" t="s">
        <v>1709</v>
      </c>
      <c r="AS188" s="181"/>
    </row>
    <row r="189" spans="1:45" ht="30" hidden="1" x14ac:dyDescent="0.25">
      <c r="A189" s="181">
        <v>307</v>
      </c>
      <c r="B189" s="181" t="s">
        <v>226</v>
      </c>
      <c r="C189" s="181" t="s">
        <v>1552</v>
      </c>
      <c r="D189" s="1179" t="s">
        <v>1553</v>
      </c>
      <c r="E189" s="181">
        <v>0</v>
      </c>
      <c r="F189" s="181">
        <v>0</v>
      </c>
      <c r="G189" s="181">
        <v>20546103372.259998</v>
      </c>
      <c r="H189" s="181">
        <v>39224850.409999996</v>
      </c>
      <c r="I189" s="181">
        <v>20506878521.849998</v>
      </c>
      <c r="J189" s="181">
        <v>20546103372.259998</v>
      </c>
      <c r="K189" s="181">
        <v>39224850.409999996</v>
      </c>
      <c r="L189" s="181">
        <v>20506878521.849998</v>
      </c>
      <c r="M189" s="181">
        <v>0</v>
      </c>
      <c r="N189" s="181">
        <v>0</v>
      </c>
      <c r="O189" s="181">
        <v>0</v>
      </c>
      <c r="P189" s="181">
        <v>39224850.409999996</v>
      </c>
      <c r="Q189" s="181">
        <v>0</v>
      </c>
      <c r="R189" s="181">
        <v>39224850.409999996</v>
      </c>
      <c r="S189" s="181">
        <v>20546103372.259998</v>
      </c>
      <c r="T189" s="181">
        <v>0</v>
      </c>
      <c r="U189" s="181">
        <v>20546103372.259998</v>
      </c>
      <c r="V189" s="181">
        <v>0</v>
      </c>
      <c r="W189" s="181">
        <v>0</v>
      </c>
      <c r="X189" s="181">
        <v>0</v>
      </c>
      <c r="Y189" s="181">
        <v>39224850.409999996</v>
      </c>
      <c r="Z189" s="181">
        <v>0</v>
      </c>
      <c r="AA189" s="181">
        <v>39224850.409999996</v>
      </c>
      <c r="AB189" s="181">
        <v>20546103372.259998</v>
      </c>
      <c r="AC189" s="181">
        <v>0</v>
      </c>
      <c r="AD189" s="1180">
        <v>20546103372.259998</v>
      </c>
      <c r="AE189" s="1180">
        <v>20585328222.669998</v>
      </c>
      <c r="AF189" s="181">
        <v>20546103372.259998</v>
      </c>
      <c r="AG189" s="181">
        <v>20546103372.259998</v>
      </c>
      <c r="AH189" s="181">
        <v>0</v>
      </c>
      <c r="AI189" s="181">
        <v>0</v>
      </c>
      <c r="AJ189" s="181">
        <v>0</v>
      </c>
      <c r="AK189" s="181">
        <v>0</v>
      </c>
      <c r="AL189" s="181">
        <v>0</v>
      </c>
      <c r="AM189" s="181">
        <v>0</v>
      </c>
      <c r="AN189" s="181" t="s">
        <v>1709</v>
      </c>
      <c r="AS189" s="181"/>
    </row>
    <row r="190" spans="1:45" hidden="1" x14ac:dyDescent="0.25">
      <c r="A190" s="181">
        <v>307</v>
      </c>
      <c r="B190" s="181">
        <v>88</v>
      </c>
      <c r="C190" s="181" t="s">
        <v>1302</v>
      </c>
      <c r="D190" s="1179" t="s">
        <v>1303</v>
      </c>
      <c r="E190" s="181">
        <v>0</v>
      </c>
      <c r="F190" s="181">
        <v>0</v>
      </c>
      <c r="G190" s="181">
        <v>20546103372.259998</v>
      </c>
      <c r="H190" s="181">
        <v>39224850.409999996</v>
      </c>
      <c r="I190" s="181">
        <v>20506878521.849998</v>
      </c>
      <c r="J190" s="181">
        <v>20546103372.259998</v>
      </c>
      <c r="K190" s="181">
        <v>39224850.409999996</v>
      </c>
      <c r="L190" s="181">
        <v>20506878521.849998</v>
      </c>
      <c r="M190" s="181">
        <v>0</v>
      </c>
      <c r="N190" s="181">
        <v>0</v>
      </c>
      <c r="O190" s="181">
        <v>0</v>
      </c>
      <c r="P190" s="181">
        <v>39224850.409999996</v>
      </c>
      <c r="Q190" s="181">
        <v>0</v>
      </c>
      <c r="R190" s="181">
        <v>39224850.409999996</v>
      </c>
      <c r="S190" s="181">
        <v>20546103372.259998</v>
      </c>
      <c r="T190" s="181">
        <v>0</v>
      </c>
      <c r="U190" s="181">
        <v>20546103372.259998</v>
      </c>
      <c r="V190" s="181">
        <v>0</v>
      </c>
      <c r="W190" s="181">
        <v>0</v>
      </c>
      <c r="X190" s="181">
        <v>0</v>
      </c>
      <c r="Y190" s="181">
        <v>39224850.409999996</v>
      </c>
      <c r="Z190" s="181">
        <v>0</v>
      </c>
      <c r="AA190" s="181">
        <v>39224850.409999996</v>
      </c>
      <c r="AB190" s="181">
        <v>20546103372.259998</v>
      </c>
      <c r="AC190" s="181">
        <v>0</v>
      </c>
      <c r="AD190" s="1180">
        <v>20546103372.259998</v>
      </c>
      <c r="AE190" s="1180">
        <v>20585328222.669998</v>
      </c>
      <c r="AF190" s="181">
        <v>20546103372.259998</v>
      </c>
      <c r="AG190" s="181">
        <v>20546103372.259998</v>
      </c>
      <c r="AH190" s="181">
        <v>0</v>
      </c>
      <c r="AI190" s="181">
        <v>0</v>
      </c>
      <c r="AJ190" s="181">
        <v>0</v>
      </c>
      <c r="AK190" s="181">
        <v>0</v>
      </c>
      <c r="AL190" s="181">
        <v>0</v>
      </c>
      <c r="AM190" s="181">
        <v>0</v>
      </c>
      <c r="AN190" s="181" t="s">
        <v>199</v>
      </c>
      <c r="AS190" s="181"/>
    </row>
    <row r="191" spans="1:45" ht="30" hidden="1" x14ac:dyDescent="0.25">
      <c r="A191" s="181">
        <v>307</v>
      </c>
      <c r="B191" s="181" t="s">
        <v>226</v>
      </c>
      <c r="C191" s="181" t="s">
        <v>1554</v>
      </c>
      <c r="D191" s="1179" t="s">
        <v>1555</v>
      </c>
      <c r="E191" s="181">
        <v>0</v>
      </c>
      <c r="F191" s="181">
        <v>0</v>
      </c>
      <c r="G191" s="181">
        <v>27403753414.459999</v>
      </c>
      <c r="H191" s="181">
        <v>0</v>
      </c>
      <c r="I191" s="181">
        <v>27403753414.459999</v>
      </c>
      <c r="J191" s="181">
        <v>27403753414.459999</v>
      </c>
      <c r="K191" s="181">
        <v>0</v>
      </c>
      <c r="L191" s="181">
        <v>27403753414.459999</v>
      </c>
      <c r="M191" s="181">
        <v>0</v>
      </c>
      <c r="N191" s="181">
        <v>0</v>
      </c>
      <c r="O191" s="181">
        <v>0</v>
      </c>
      <c r="P191" s="181">
        <v>0</v>
      </c>
      <c r="Q191" s="181">
        <v>0</v>
      </c>
      <c r="R191" s="181">
        <v>0</v>
      </c>
      <c r="S191" s="181">
        <v>27403753414.459999</v>
      </c>
      <c r="T191" s="181">
        <v>0</v>
      </c>
      <c r="U191" s="181">
        <v>27403753414.459999</v>
      </c>
      <c r="V191" s="181">
        <v>0</v>
      </c>
      <c r="W191" s="181">
        <v>0</v>
      </c>
      <c r="X191" s="181">
        <v>0</v>
      </c>
      <c r="Y191" s="181">
        <v>0</v>
      </c>
      <c r="Z191" s="181">
        <v>0</v>
      </c>
      <c r="AA191" s="181">
        <v>0</v>
      </c>
      <c r="AB191" s="181">
        <v>27403753414.459999</v>
      </c>
      <c r="AC191" s="181">
        <v>0</v>
      </c>
      <c r="AD191" s="1180">
        <v>27403753414.459999</v>
      </c>
      <c r="AE191" s="1180">
        <v>27403753414.459999</v>
      </c>
      <c r="AF191" s="181">
        <v>27403753414.459999</v>
      </c>
      <c r="AG191" s="181">
        <v>27403753414.459999</v>
      </c>
      <c r="AH191" s="181">
        <v>0</v>
      </c>
      <c r="AI191" s="181">
        <v>0</v>
      </c>
      <c r="AJ191" s="181">
        <v>0</v>
      </c>
      <c r="AK191" s="181">
        <v>0</v>
      </c>
      <c r="AL191" s="181">
        <v>0</v>
      </c>
      <c r="AM191" s="181">
        <v>0</v>
      </c>
      <c r="AN191" s="181" t="s">
        <v>1709</v>
      </c>
      <c r="AS191" s="181"/>
    </row>
    <row r="192" spans="1:45" ht="30" hidden="1" x14ac:dyDescent="0.25">
      <c r="A192" s="181">
        <v>307</v>
      </c>
      <c r="B192" s="181">
        <v>82</v>
      </c>
      <c r="C192" s="181" t="s">
        <v>1304</v>
      </c>
      <c r="D192" s="1179" t="s">
        <v>1305</v>
      </c>
      <c r="E192" s="181">
        <v>0</v>
      </c>
      <c r="F192" s="181">
        <v>0</v>
      </c>
      <c r="G192" s="181">
        <v>6009696027.8800001</v>
      </c>
      <c r="H192" s="181">
        <v>0</v>
      </c>
      <c r="I192" s="181">
        <v>6009696027.8800001</v>
      </c>
      <c r="J192" s="181">
        <v>6009696027.8800001</v>
      </c>
      <c r="K192" s="181">
        <v>0</v>
      </c>
      <c r="L192" s="181">
        <v>6009696027.8800001</v>
      </c>
      <c r="M192" s="181">
        <v>0</v>
      </c>
      <c r="N192" s="181">
        <v>0</v>
      </c>
      <c r="O192" s="181">
        <v>0</v>
      </c>
      <c r="P192" s="181">
        <v>0</v>
      </c>
      <c r="Q192" s="181">
        <v>0</v>
      </c>
      <c r="R192" s="181">
        <v>0</v>
      </c>
      <c r="S192" s="181">
        <v>6009696027.8800001</v>
      </c>
      <c r="T192" s="181">
        <v>0</v>
      </c>
      <c r="U192" s="181">
        <v>6009696027.8800001</v>
      </c>
      <c r="V192" s="181">
        <v>0</v>
      </c>
      <c r="W192" s="181">
        <v>0</v>
      </c>
      <c r="X192" s="181">
        <v>0</v>
      </c>
      <c r="Y192" s="181">
        <v>0</v>
      </c>
      <c r="Z192" s="181">
        <v>0</v>
      </c>
      <c r="AA192" s="181">
        <v>0</v>
      </c>
      <c r="AB192" s="181">
        <v>6009696027.8800001</v>
      </c>
      <c r="AC192" s="181">
        <v>0</v>
      </c>
      <c r="AD192" s="1180">
        <v>6009696027.8800001</v>
      </c>
      <c r="AE192" s="1180">
        <v>6009696027.8800001</v>
      </c>
      <c r="AF192" s="181">
        <v>6009696027.8800001</v>
      </c>
      <c r="AG192" s="181">
        <v>6009696027.8800001</v>
      </c>
      <c r="AH192" s="181">
        <v>0</v>
      </c>
      <c r="AI192" s="181">
        <v>0</v>
      </c>
      <c r="AJ192" s="181">
        <v>0</v>
      </c>
      <c r="AK192" s="181">
        <v>0</v>
      </c>
      <c r="AL192" s="181">
        <v>0</v>
      </c>
      <c r="AM192" s="181">
        <v>0</v>
      </c>
      <c r="AN192" s="181" t="s">
        <v>191</v>
      </c>
      <c r="AS192" s="181"/>
    </row>
    <row r="193" spans="1:40" s="181" customFormat="1" hidden="1" x14ac:dyDescent="0.25">
      <c r="A193" s="181">
        <v>307</v>
      </c>
      <c r="B193" s="181">
        <v>157</v>
      </c>
      <c r="C193" s="181" t="s">
        <v>1306</v>
      </c>
      <c r="D193" s="1179" t="s">
        <v>1307</v>
      </c>
      <c r="E193" s="181">
        <v>0</v>
      </c>
      <c r="F193" s="181">
        <v>0</v>
      </c>
      <c r="G193" s="181">
        <v>124913102.38</v>
      </c>
      <c r="H193" s="181">
        <v>0</v>
      </c>
      <c r="I193" s="181">
        <v>124913102.38</v>
      </c>
      <c r="J193" s="181">
        <v>124913102.38</v>
      </c>
      <c r="K193" s="181">
        <v>0</v>
      </c>
      <c r="L193" s="181">
        <v>124913102.38</v>
      </c>
      <c r="M193" s="181">
        <v>0</v>
      </c>
      <c r="N193" s="181">
        <v>0</v>
      </c>
      <c r="O193" s="181">
        <v>0</v>
      </c>
      <c r="P193" s="181">
        <v>0</v>
      </c>
      <c r="Q193" s="181">
        <v>0</v>
      </c>
      <c r="R193" s="181">
        <v>0</v>
      </c>
      <c r="S193" s="181">
        <v>124913102.38</v>
      </c>
      <c r="T193" s="181">
        <v>0</v>
      </c>
      <c r="U193" s="181">
        <v>124913102.38</v>
      </c>
      <c r="V193" s="181">
        <v>0</v>
      </c>
      <c r="W193" s="181">
        <v>0</v>
      </c>
      <c r="X193" s="181">
        <v>0</v>
      </c>
      <c r="Y193" s="181">
        <v>0</v>
      </c>
      <c r="Z193" s="181">
        <v>0</v>
      </c>
      <c r="AA193" s="181">
        <v>0</v>
      </c>
      <c r="AB193" s="181">
        <v>124913102.38</v>
      </c>
      <c r="AC193" s="181">
        <v>0</v>
      </c>
      <c r="AD193" s="1180">
        <v>124913102.38</v>
      </c>
      <c r="AE193" s="1180">
        <v>124913102.38</v>
      </c>
      <c r="AF193" s="181">
        <v>124913102.38</v>
      </c>
      <c r="AG193" s="181">
        <v>124913102.38</v>
      </c>
      <c r="AH193" s="181">
        <v>0</v>
      </c>
      <c r="AI193" s="181">
        <v>0</v>
      </c>
      <c r="AJ193" s="181">
        <v>0</v>
      </c>
      <c r="AK193" s="181">
        <v>0</v>
      </c>
      <c r="AL193" s="181">
        <v>0</v>
      </c>
      <c r="AM193" s="181">
        <v>0</v>
      </c>
      <c r="AN193" s="181" t="s">
        <v>78</v>
      </c>
    </row>
    <row r="194" spans="1:40" s="181" customFormat="1" ht="30" hidden="1" x14ac:dyDescent="0.25">
      <c r="A194" s="181">
        <v>307</v>
      </c>
      <c r="B194" s="181">
        <v>91</v>
      </c>
      <c r="C194" s="181" t="s">
        <v>1308</v>
      </c>
      <c r="D194" s="1179" t="s">
        <v>1309</v>
      </c>
      <c r="E194" s="181">
        <v>0</v>
      </c>
      <c r="F194" s="181">
        <v>0</v>
      </c>
      <c r="G194" s="181">
        <v>359888430.18000001</v>
      </c>
      <c r="H194" s="181">
        <v>0</v>
      </c>
      <c r="I194" s="181">
        <v>359888430.18000001</v>
      </c>
      <c r="J194" s="181">
        <v>359888430.18000001</v>
      </c>
      <c r="K194" s="181">
        <v>0</v>
      </c>
      <c r="L194" s="181">
        <v>359888430.18000001</v>
      </c>
      <c r="M194" s="181">
        <v>0</v>
      </c>
      <c r="N194" s="181">
        <v>0</v>
      </c>
      <c r="O194" s="181">
        <v>0</v>
      </c>
      <c r="P194" s="181">
        <v>0</v>
      </c>
      <c r="Q194" s="181">
        <v>0</v>
      </c>
      <c r="R194" s="181">
        <v>0</v>
      </c>
      <c r="S194" s="181">
        <v>359888430.18000001</v>
      </c>
      <c r="T194" s="181">
        <v>0</v>
      </c>
      <c r="U194" s="181">
        <v>359888430.18000001</v>
      </c>
      <c r="V194" s="181">
        <v>0</v>
      </c>
      <c r="W194" s="181">
        <v>0</v>
      </c>
      <c r="X194" s="181">
        <v>0</v>
      </c>
      <c r="Y194" s="181">
        <v>0</v>
      </c>
      <c r="Z194" s="181">
        <v>0</v>
      </c>
      <c r="AA194" s="181">
        <v>0</v>
      </c>
      <c r="AB194" s="181">
        <v>359888430.18000001</v>
      </c>
      <c r="AC194" s="181">
        <v>0</v>
      </c>
      <c r="AD194" s="1180">
        <v>359888430.18000001</v>
      </c>
      <c r="AE194" s="1180">
        <v>359888430.18000001</v>
      </c>
      <c r="AF194" s="181">
        <v>359888430.18000001</v>
      </c>
      <c r="AG194" s="181">
        <v>359888430.18000001</v>
      </c>
      <c r="AH194" s="181">
        <v>0</v>
      </c>
      <c r="AI194" s="181">
        <v>0</v>
      </c>
      <c r="AJ194" s="181">
        <v>0</v>
      </c>
      <c r="AK194" s="181">
        <v>0</v>
      </c>
      <c r="AL194" s="181">
        <v>0</v>
      </c>
      <c r="AM194" s="181">
        <v>0</v>
      </c>
      <c r="AN194" s="181" t="s">
        <v>205</v>
      </c>
    </row>
    <row r="195" spans="1:40" s="181" customFormat="1" ht="30" hidden="1" x14ac:dyDescent="0.25">
      <c r="A195" s="181">
        <v>307</v>
      </c>
      <c r="B195" s="181">
        <v>92</v>
      </c>
      <c r="C195" s="181" t="s">
        <v>1310</v>
      </c>
      <c r="D195" s="1179" t="s">
        <v>1311</v>
      </c>
      <c r="E195" s="181">
        <v>0</v>
      </c>
      <c r="F195" s="181">
        <v>0</v>
      </c>
      <c r="G195" s="181">
        <v>3201088686.1500001</v>
      </c>
      <c r="H195" s="181">
        <v>0</v>
      </c>
      <c r="I195" s="181">
        <v>3201088686.1500001</v>
      </c>
      <c r="J195" s="181">
        <v>3201088686.1500001</v>
      </c>
      <c r="K195" s="181">
        <v>0</v>
      </c>
      <c r="L195" s="181">
        <v>3201088686.1500001</v>
      </c>
      <c r="M195" s="181">
        <v>0</v>
      </c>
      <c r="N195" s="181">
        <v>0</v>
      </c>
      <c r="O195" s="181">
        <v>0</v>
      </c>
      <c r="P195" s="181">
        <v>0</v>
      </c>
      <c r="Q195" s="181">
        <v>0</v>
      </c>
      <c r="R195" s="181">
        <v>0</v>
      </c>
      <c r="S195" s="181">
        <v>3201088686.1500001</v>
      </c>
      <c r="T195" s="181">
        <v>0</v>
      </c>
      <c r="U195" s="181">
        <v>3201088686.1500001</v>
      </c>
      <c r="V195" s="181">
        <v>0</v>
      </c>
      <c r="W195" s="181">
        <v>0</v>
      </c>
      <c r="X195" s="181">
        <v>0</v>
      </c>
      <c r="Y195" s="181">
        <v>0</v>
      </c>
      <c r="Z195" s="181">
        <v>0</v>
      </c>
      <c r="AA195" s="181">
        <v>0</v>
      </c>
      <c r="AB195" s="181">
        <v>3201088686.1500001</v>
      </c>
      <c r="AC195" s="181">
        <v>0</v>
      </c>
      <c r="AD195" s="1180">
        <v>3201088686.1500001</v>
      </c>
      <c r="AE195" s="1180">
        <v>3201088686.1500001</v>
      </c>
      <c r="AF195" s="181">
        <v>3201088686.1500001</v>
      </c>
      <c r="AG195" s="181">
        <v>3201088686.1500001</v>
      </c>
      <c r="AH195" s="181">
        <v>0</v>
      </c>
      <c r="AI195" s="181">
        <v>0</v>
      </c>
      <c r="AJ195" s="181">
        <v>0</v>
      </c>
      <c r="AK195" s="181">
        <v>0</v>
      </c>
      <c r="AL195" s="181">
        <v>0</v>
      </c>
      <c r="AM195" s="181">
        <v>0</v>
      </c>
      <c r="AN195" s="181" t="s">
        <v>207</v>
      </c>
    </row>
    <row r="196" spans="1:40" s="181" customFormat="1" ht="30" hidden="1" x14ac:dyDescent="0.25">
      <c r="A196" s="181">
        <v>307</v>
      </c>
      <c r="B196" s="181">
        <v>186</v>
      </c>
      <c r="C196" s="181" t="s">
        <v>1312</v>
      </c>
      <c r="D196" s="1179" t="s">
        <v>1313</v>
      </c>
      <c r="E196" s="181">
        <v>0</v>
      </c>
      <c r="F196" s="181">
        <v>0</v>
      </c>
      <c r="G196" s="181">
        <v>150081.03</v>
      </c>
      <c r="H196" s="181">
        <v>0</v>
      </c>
      <c r="I196" s="181">
        <v>150081.03</v>
      </c>
      <c r="J196" s="181">
        <v>150081.03</v>
      </c>
      <c r="K196" s="181">
        <v>0</v>
      </c>
      <c r="L196" s="181">
        <v>150081.03</v>
      </c>
      <c r="M196" s="181">
        <v>0</v>
      </c>
      <c r="N196" s="181">
        <v>0</v>
      </c>
      <c r="O196" s="181">
        <v>0</v>
      </c>
      <c r="P196" s="181">
        <v>0</v>
      </c>
      <c r="Q196" s="181">
        <v>0</v>
      </c>
      <c r="R196" s="181">
        <v>0</v>
      </c>
      <c r="S196" s="181">
        <v>150081.03</v>
      </c>
      <c r="T196" s="181">
        <v>0</v>
      </c>
      <c r="U196" s="181">
        <v>150081.03</v>
      </c>
      <c r="V196" s="181">
        <v>0</v>
      </c>
      <c r="W196" s="181">
        <v>0</v>
      </c>
      <c r="X196" s="181">
        <v>0</v>
      </c>
      <c r="Y196" s="181">
        <v>0</v>
      </c>
      <c r="Z196" s="181">
        <v>0</v>
      </c>
      <c r="AA196" s="181">
        <v>0</v>
      </c>
      <c r="AB196" s="181">
        <v>150081.03</v>
      </c>
      <c r="AC196" s="181">
        <v>0</v>
      </c>
      <c r="AD196" s="1180">
        <v>150081.03</v>
      </c>
      <c r="AE196" s="1180">
        <v>150081.03</v>
      </c>
      <c r="AF196" s="181">
        <v>150081.03</v>
      </c>
      <c r="AG196" s="181">
        <v>150081.03</v>
      </c>
      <c r="AH196" s="181">
        <v>0</v>
      </c>
      <c r="AI196" s="181">
        <v>0</v>
      </c>
      <c r="AJ196" s="181">
        <v>0</v>
      </c>
      <c r="AK196" s="181">
        <v>0</v>
      </c>
      <c r="AL196" s="181">
        <v>0</v>
      </c>
      <c r="AM196" s="181">
        <v>0</v>
      </c>
      <c r="AN196" s="181" t="s">
        <v>112</v>
      </c>
    </row>
    <row r="197" spans="1:40" s="181" customFormat="1" ht="30" hidden="1" x14ac:dyDescent="0.25">
      <c r="A197" s="181">
        <v>307</v>
      </c>
      <c r="B197" s="181">
        <v>195</v>
      </c>
      <c r="C197" s="181" t="s">
        <v>1314</v>
      </c>
      <c r="D197" s="1179" t="s">
        <v>1315</v>
      </c>
      <c r="E197" s="181">
        <v>0</v>
      </c>
      <c r="F197" s="181">
        <v>0</v>
      </c>
      <c r="G197" s="181">
        <v>105606585.66</v>
      </c>
      <c r="H197" s="181">
        <v>0</v>
      </c>
      <c r="I197" s="181">
        <v>105606585.66</v>
      </c>
      <c r="J197" s="181">
        <v>105606585.66</v>
      </c>
      <c r="K197" s="181">
        <v>0</v>
      </c>
      <c r="L197" s="181">
        <v>105606585.66</v>
      </c>
      <c r="M197" s="181">
        <v>0</v>
      </c>
      <c r="N197" s="181">
        <v>0</v>
      </c>
      <c r="O197" s="181">
        <v>0</v>
      </c>
      <c r="P197" s="181">
        <v>0</v>
      </c>
      <c r="Q197" s="181">
        <v>0</v>
      </c>
      <c r="R197" s="181">
        <v>0</v>
      </c>
      <c r="S197" s="181">
        <v>105606585.66</v>
      </c>
      <c r="T197" s="181">
        <v>0</v>
      </c>
      <c r="U197" s="181">
        <v>105606585.66</v>
      </c>
      <c r="V197" s="181">
        <v>0</v>
      </c>
      <c r="W197" s="181">
        <v>0</v>
      </c>
      <c r="X197" s="181">
        <v>0</v>
      </c>
      <c r="Y197" s="181">
        <v>0</v>
      </c>
      <c r="Z197" s="181">
        <v>0</v>
      </c>
      <c r="AA197" s="181">
        <v>0</v>
      </c>
      <c r="AB197" s="181">
        <v>105606585.66</v>
      </c>
      <c r="AC197" s="181">
        <v>0</v>
      </c>
      <c r="AD197" s="1180">
        <v>105606585.66</v>
      </c>
      <c r="AE197" s="1180">
        <v>105606585.66</v>
      </c>
      <c r="AF197" s="181">
        <v>105606585.66</v>
      </c>
      <c r="AG197" s="181">
        <v>105606585.66</v>
      </c>
      <c r="AH197" s="181">
        <v>0</v>
      </c>
      <c r="AI197" s="181">
        <v>0</v>
      </c>
      <c r="AJ197" s="181">
        <v>0</v>
      </c>
      <c r="AK197" s="181">
        <v>0</v>
      </c>
      <c r="AL197" s="181">
        <v>0</v>
      </c>
      <c r="AM197" s="181">
        <v>0</v>
      </c>
      <c r="AN197" s="181" t="s">
        <v>130</v>
      </c>
    </row>
    <row r="198" spans="1:40" s="181" customFormat="1" hidden="1" x14ac:dyDescent="0.25">
      <c r="A198" s="181">
        <v>307</v>
      </c>
      <c r="B198" s="181">
        <v>90</v>
      </c>
      <c r="C198" s="181" t="s">
        <v>1316</v>
      </c>
      <c r="D198" s="1179" t="s">
        <v>1317</v>
      </c>
      <c r="E198" s="181">
        <v>0</v>
      </c>
      <c r="F198" s="181">
        <v>0</v>
      </c>
      <c r="G198" s="181">
        <v>664789.80000000005</v>
      </c>
      <c r="H198" s="181">
        <v>0</v>
      </c>
      <c r="I198" s="181">
        <v>664789.80000000005</v>
      </c>
      <c r="J198" s="181">
        <v>664789.80000000005</v>
      </c>
      <c r="K198" s="181">
        <v>0</v>
      </c>
      <c r="L198" s="181">
        <v>664789.80000000005</v>
      </c>
      <c r="M198" s="181">
        <v>0</v>
      </c>
      <c r="N198" s="181">
        <v>0</v>
      </c>
      <c r="O198" s="181">
        <v>0</v>
      </c>
      <c r="P198" s="181">
        <v>0</v>
      </c>
      <c r="Q198" s="181">
        <v>0</v>
      </c>
      <c r="R198" s="181">
        <v>0</v>
      </c>
      <c r="S198" s="181">
        <v>664789.80000000005</v>
      </c>
      <c r="T198" s="181">
        <v>0</v>
      </c>
      <c r="U198" s="181">
        <v>664789.80000000005</v>
      </c>
      <c r="V198" s="181">
        <v>0</v>
      </c>
      <c r="W198" s="181">
        <v>0</v>
      </c>
      <c r="X198" s="181">
        <v>0</v>
      </c>
      <c r="Y198" s="181">
        <v>0</v>
      </c>
      <c r="Z198" s="181">
        <v>0</v>
      </c>
      <c r="AA198" s="181">
        <v>0</v>
      </c>
      <c r="AB198" s="181">
        <v>664789.80000000005</v>
      </c>
      <c r="AC198" s="181">
        <v>0</v>
      </c>
      <c r="AD198" s="1180">
        <v>664789.80000000005</v>
      </c>
      <c r="AE198" s="1180">
        <v>664789.80000000005</v>
      </c>
      <c r="AF198" s="181">
        <v>664789.80000000005</v>
      </c>
      <c r="AG198" s="181">
        <v>664789.80000000005</v>
      </c>
      <c r="AH198" s="181">
        <v>0</v>
      </c>
      <c r="AI198" s="181">
        <v>0</v>
      </c>
      <c r="AJ198" s="181">
        <v>0</v>
      </c>
      <c r="AK198" s="181">
        <v>0</v>
      </c>
      <c r="AL198" s="181">
        <v>0</v>
      </c>
      <c r="AM198" s="181">
        <v>0</v>
      </c>
      <c r="AN198" s="181" t="s">
        <v>203</v>
      </c>
    </row>
    <row r="199" spans="1:40" s="181" customFormat="1" ht="30" hidden="1" x14ac:dyDescent="0.25">
      <c r="A199" s="181">
        <v>307</v>
      </c>
      <c r="B199" s="181">
        <v>84</v>
      </c>
      <c r="C199" s="181" t="s">
        <v>1318</v>
      </c>
      <c r="D199" s="1179" t="s">
        <v>1319</v>
      </c>
      <c r="E199" s="181">
        <v>0</v>
      </c>
      <c r="F199" s="181">
        <v>0</v>
      </c>
      <c r="G199" s="181">
        <v>1170202789.98</v>
      </c>
      <c r="H199" s="181">
        <v>0</v>
      </c>
      <c r="I199" s="181">
        <v>1170202789.98</v>
      </c>
      <c r="J199" s="181">
        <v>1170202789.98</v>
      </c>
      <c r="K199" s="181">
        <v>0</v>
      </c>
      <c r="L199" s="181">
        <v>1170202789.98</v>
      </c>
      <c r="M199" s="181">
        <v>0</v>
      </c>
      <c r="N199" s="181">
        <v>0</v>
      </c>
      <c r="O199" s="181">
        <v>0</v>
      </c>
      <c r="P199" s="181">
        <v>0</v>
      </c>
      <c r="Q199" s="181">
        <v>0</v>
      </c>
      <c r="R199" s="181">
        <v>0</v>
      </c>
      <c r="S199" s="181">
        <v>1170202789.98</v>
      </c>
      <c r="T199" s="181">
        <v>0</v>
      </c>
      <c r="U199" s="181">
        <v>1170202789.98</v>
      </c>
      <c r="V199" s="181">
        <v>0</v>
      </c>
      <c r="W199" s="181">
        <v>0</v>
      </c>
      <c r="X199" s="181">
        <v>0</v>
      </c>
      <c r="Y199" s="181">
        <v>0</v>
      </c>
      <c r="Z199" s="181">
        <v>0</v>
      </c>
      <c r="AA199" s="181">
        <v>0</v>
      </c>
      <c r="AB199" s="181">
        <v>1170202789.98</v>
      </c>
      <c r="AC199" s="181">
        <v>0</v>
      </c>
      <c r="AD199" s="1180">
        <v>1170202789.98</v>
      </c>
      <c r="AE199" s="1180">
        <v>1170202789.98</v>
      </c>
      <c r="AF199" s="181">
        <v>1170202789.98</v>
      </c>
      <c r="AG199" s="181">
        <v>1170202789.98</v>
      </c>
      <c r="AH199" s="181">
        <v>0</v>
      </c>
      <c r="AI199" s="181">
        <v>0</v>
      </c>
      <c r="AJ199" s="181">
        <v>0</v>
      </c>
      <c r="AK199" s="181">
        <v>0</v>
      </c>
      <c r="AL199" s="181">
        <v>0</v>
      </c>
      <c r="AM199" s="181">
        <v>0</v>
      </c>
      <c r="AN199" s="181" t="s">
        <v>195</v>
      </c>
    </row>
    <row r="200" spans="1:40" s="181" customFormat="1" ht="30" hidden="1" x14ac:dyDescent="0.25">
      <c r="A200" s="181">
        <v>307</v>
      </c>
      <c r="B200" s="181">
        <v>217</v>
      </c>
      <c r="C200" s="181" t="s">
        <v>1320</v>
      </c>
      <c r="D200" s="1179" t="s">
        <v>1321</v>
      </c>
      <c r="E200" s="181">
        <v>0</v>
      </c>
      <c r="F200" s="181">
        <v>0</v>
      </c>
      <c r="G200" s="181">
        <v>138533774.16</v>
      </c>
      <c r="H200" s="181">
        <v>0</v>
      </c>
      <c r="I200" s="181">
        <v>138533774.16</v>
      </c>
      <c r="J200" s="181">
        <v>138533774.16</v>
      </c>
      <c r="K200" s="181">
        <v>0</v>
      </c>
      <c r="L200" s="181">
        <v>138533774.16</v>
      </c>
      <c r="M200" s="181">
        <v>0</v>
      </c>
      <c r="N200" s="181">
        <v>0</v>
      </c>
      <c r="O200" s="181">
        <v>0</v>
      </c>
      <c r="P200" s="181">
        <v>0</v>
      </c>
      <c r="Q200" s="181">
        <v>0</v>
      </c>
      <c r="R200" s="181">
        <v>0</v>
      </c>
      <c r="S200" s="181">
        <v>138533774.16</v>
      </c>
      <c r="T200" s="181">
        <v>0</v>
      </c>
      <c r="U200" s="181">
        <v>138533774.16</v>
      </c>
      <c r="V200" s="181">
        <v>0</v>
      </c>
      <c r="W200" s="181">
        <v>0</v>
      </c>
      <c r="X200" s="181">
        <v>0</v>
      </c>
      <c r="Y200" s="181">
        <v>0</v>
      </c>
      <c r="Z200" s="181">
        <v>0</v>
      </c>
      <c r="AA200" s="181">
        <v>0</v>
      </c>
      <c r="AB200" s="181">
        <v>138533774.16</v>
      </c>
      <c r="AC200" s="181">
        <v>0</v>
      </c>
      <c r="AD200" s="1180">
        <v>138533774.16</v>
      </c>
      <c r="AE200" s="1180">
        <v>138533774.16</v>
      </c>
      <c r="AF200" s="181">
        <v>138533774.16</v>
      </c>
      <c r="AG200" s="181">
        <v>138533774.16</v>
      </c>
      <c r="AH200" s="181">
        <v>0</v>
      </c>
      <c r="AI200" s="181">
        <v>0</v>
      </c>
      <c r="AJ200" s="181">
        <v>0</v>
      </c>
      <c r="AK200" s="181">
        <v>0</v>
      </c>
      <c r="AL200" s="181">
        <v>0</v>
      </c>
      <c r="AM200" s="181">
        <v>0</v>
      </c>
      <c r="AN200" s="181" t="s">
        <v>1723</v>
      </c>
    </row>
    <row r="201" spans="1:40" s="181" customFormat="1" ht="30" hidden="1" x14ac:dyDescent="0.25">
      <c r="A201" s="181">
        <v>307</v>
      </c>
      <c r="B201" s="181">
        <v>95</v>
      </c>
      <c r="C201" s="181" t="s">
        <v>1322</v>
      </c>
      <c r="D201" s="1179" t="s">
        <v>1321</v>
      </c>
      <c r="E201" s="181">
        <v>0</v>
      </c>
      <c r="F201" s="181">
        <v>0</v>
      </c>
      <c r="G201" s="181">
        <v>3554512644</v>
      </c>
      <c r="H201" s="181">
        <v>0</v>
      </c>
      <c r="I201" s="181">
        <v>3554512644</v>
      </c>
      <c r="J201" s="181">
        <v>3554512644</v>
      </c>
      <c r="K201" s="181">
        <v>0</v>
      </c>
      <c r="L201" s="181">
        <v>3554512644</v>
      </c>
      <c r="M201" s="181">
        <v>0</v>
      </c>
      <c r="N201" s="181">
        <v>0</v>
      </c>
      <c r="O201" s="181">
        <v>0</v>
      </c>
      <c r="P201" s="181">
        <v>0</v>
      </c>
      <c r="Q201" s="181">
        <v>0</v>
      </c>
      <c r="R201" s="181">
        <v>0</v>
      </c>
      <c r="S201" s="181">
        <v>3554512644</v>
      </c>
      <c r="T201" s="181">
        <v>0</v>
      </c>
      <c r="U201" s="181">
        <v>3554512644</v>
      </c>
      <c r="V201" s="181">
        <v>0</v>
      </c>
      <c r="W201" s="181">
        <v>0</v>
      </c>
      <c r="X201" s="181">
        <v>0</v>
      </c>
      <c r="Y201" s="181">
        <v>0</v>
      </c>
      <c r="Z201" s="181">
        <v>0</v>
      </c>
      <c r="AA201" s="181">
        <v>0</v>
      </c>
      <c r="AB201" s="181">
        <v>3554512644</v>
      </c>
      <c r="AC201" s="181">
        <v>0</v>
      </c>
      <c r="AD201" s="1180">
        <v>3554512644</v>
      </c>
      <c r="AE201" s="1180">
        <v>3554512644</v>
      </c>
      <c r="AF201" s="181">
        <v>3554512644</v>
      </c>
      <c r="AG201" s="181">
        <v>3554512644</v>
      </c>
      <c r="AH201" s="181">
        <v>0</v>
      </c>
      <c r="AI201" s="181">
        <v>0</v>
      </c>
      <c r="AJ201" s="181">
        <v>0</v>
      </c>
      <c r="AK201" s="181">
        <v>0</v>
      </c>
      <c r="AL201" s="181">
        <v>0</v>
      </c>
      <c r="AM201" s="181">
        <v>0</v>
      </c>
      <c r="AN201" s="181" t="s">
        <v>213</v>
      </c>
    </row>
    <row r="202" spans="1:40" s="181" customFormat="1" ht="45" hidden="1" x14ac:dyDescent="0.25">
      <c r="A202" s="181">
        <v>307</v>
      </c>
      <c r="B202" s="181">
        <v>208</v>
      </c>
      <c r="C202" s="181" t="s">
        <v>1323</v>
      </c>
      <c r="D202" s="1179" t="s">
        <v>1324</v>
      </c>
      <c r="E202" s="181">
        <v>0</v>
      </c>
      <c r="F202" s="181">
        <v>0</v>
      </c>
      <c r="G202" s="181">
        <v>161388461.13</v>
      </c>
      <c r="H202" s="181">
        <v>0</v>
      </c>
      <c r="I202" s="181">
        <v>161388461.13</v>
      </c>
      <c r="J202" s="181">
        <v>161388461.13</v>
      </c>
      <c r="K202" s="181">
        <v>0</v>
      </c>
      <c r="L202" s="181">
        <v>161388461.13</v>
      </c>
      <c r="M202" s="181">
        <v>0</v>
      </c>
      <c r="N202" s="181">
        <v>0</v>
      </c>
      <c r="O202" s="181">
        <v>0</v>
      </c>
      <c r="P202" s="181">
        <v>0</v>
      </c>
      <c r="Q202" s="181">
        <v>0</v>
      </c>
      <c r="R202" s="181">
        <v>0</v>
      </c>
      <c r="S202" s="181">
        <v>161388461.13</v>
      </c>
      <c r="T202" s="181">
        <v>0</v>
      </c>
      <c r="U202" s="181">
        <v>161388461.13</v>
      </c>
      <c r="V202" s="181">
        <v>0</v>
      </c>
      <c r="W202" s="181">
        <v>0</v>
      </c>
      <c r="X202" s="181">
        <v>0</v>
      </c>
      <c r="Y202" s="181">
        <v>0</v>
      </c>
      <c r="Z202" s="181">
        <v>0</v>
      </c>
      <c r="AA202" s="181">
        <v>0</v>
      </c>
      <c r="AB202" s="181">
        <v>161388461.13</v>
      </c>
      <c r="AC202" s="181">
        <v>0</v>
      </c>
      <c r="AD202" s="1180">
        <v>161388461.13</v>
      </c>
      <c r="AE202" s="1180">
        <v>161388461.13</v>
      </c>
      <c r="AF202" s="181">
        <v>161388461.13</v>
      </c>
      <c r="AG202" s="181">
        <v>161388461.13</v>
      </c>
      <c r="AH202" s="181">
        <v>0</v>
      </c>
      <c r="AI202" s="181">
        <v>0</v>
      </c>
      <c r="AJ202" s="181">
        <v>0</v>
      </c>
      <c r="AK202" s="181">
        <v>0</v>
      </c>
      <c r="AL202" s="181">
        <v>0</v>
      </c>
      <c r="AM202" s="181">
        <v>0</v>
      </c>
      <c r="AN202" s="181" t="s">
        <v>1724</v>
      </c>
    </row>
    <row r="203" spans="1:40" s="181" customFormat="1" ht="30" hidden="1" x14ac:dyDescent="0.25">
      <c r="A203" s="181">
        <v>307</v>
      </c>
      <c r="B203" s="181">
        <v>123</v>
      </c>
      <c r="C203" s="181" t="s">
        <v>1325</v>
      </c>
      <c r="D203" s="1179" t="s">
        <v>1326</v>
      </c>
      <c r="E203" s="181">
        <v>0</v>
      </c>
      <c r="F203" s="181">
        <v>0</v>
      </c>
      <c r="G203" s="181">
        <v>666478200</v>
      </c>
      <c r="H203" s="181">
        <v>0</v>
      </c>
      <c r="I203" s="181">
        <v>666478200</v>
      </c>
      <c r="J203" s="181">
        <v>666478200</v>
      </c>
      <c r="K203" s="181">
        <v>0</v>
      </c>
      <c r="L203" s="181">
        <v>666478200</v>
      </c>
      <c r="M203" s="181">
        <v>0</v>
      </c>
      <c r="N203" s="181">
        <v>0</v>
      </c>
      <c r="O203" s="181">
        <v>0</v>
      </c>
      <c r="P203" s="181">
        <v>0</v>
      </c>
      <c r="Q203" s="181">
        <v>0</v>
      </c>
      <c r="R203" s="181">
        <v>0</v>
      </c>
      <c r="S203" s="181">
        <v>666478200</v>
      </c>
      <c r="T203" s="181">
        <v>0</v>
      </c>
      <c r="U203" s="181">
        <v>666478200</v>
      </c>
      <c r="V203" s="181">
        <v>0</v>
      </c>
      <c r="W203" s="181">
        <v>0</v>
      </c>
      <c r="X203" s="181">
        <v>0</v>
      </c>
      <c r="Y203" s="181">
        <v>0</v>
      </c>
      <c r="Z203" s="181">
        <v>0</v>
      </c>
      <c r="AA203" s="181">
        <v>0</v>
      </c>
      <c r="AB203" s="181">
        <v>666478200</v>
      </c>
      <c r="AC203" s="181">
        <v>0</v>
      </c>
      <c r="AD203" s="1180">
        <v>666478200</v>
      </c>
      <c r="AE203" s="1180">
        <v>666478200</v>
      </c>
      <c r="AF203" s="181">
        <v>666478200</v>
      </c>
      <c r="AG203" s="181">
        <v>666478200</v>
      </c>
      <c r="AH203" s="181">
        <v>0</v>
      </c>
      <c r="AI203" s="181">
        <v>0</v>
      </c>
      <c r="AJ203" s="181">
        <v>0</v>
      </c>
      <c r="AK203" s="181">
        <v>0</v>
      </c>
      <c r="AL203" s="181">
        <v>0</v>
      </c>
      <c r="AM203" s="181">
        <v>0</v>
      </c>
      <c r="AN203" s="181" t="s">
        <v>52</v>
      </c>
    </row>
    <row r="204" spans="1:40" s="181" customFormat="1" ht="30" hidden="1" x14ac:dyDescent="0.25">
      <c r="A204" s="181">
        <v>307</v>
      </c>
      <c r="B204" s="181">
        <v>86</v>
      </c>
      <c r="C204" s="181" t="s">
        <v>1327</v>
      </c>
      <c r="D204" s="1179" t="s">
        <v>1328</v>
      </c>
      <c r="E204" s="181">
        <v>0</v>
      </c>
      <c r="F204" s="181">
        <v>0</v>
      </c>
      <c r="G204" s="181">
        <v>915730476.15999997</v>
      </c>
      <c r="H204" s="181">
        <v>0</v>
      </c>
      <c r="I204" s="181">
        <v>915730476.15999997</v>
      </c>
      <c r="J204" s="181">
        <v>915730476.15999997</v>
      </c>
      <c r="K204" s="181">
        <v>0</v>
      </c>
      <c r="L204" s="181">
        <v>915730476.15999997</v>
      </c>
      <c r="M204" s="181">
        <v>0</v>
      </c>
      <c r="N204" s="181">
        <v>0</v>
      </c>
      <c r="O204" s="181">
        <v>0</v>
      </c>
      <c r="P204" s="181">
        <v>0</v>
      </c>
      <c r="Q204" s="181">
        <v>0</v>
      </c>
      <c r="R204" s="181">
        <v>0</v>
      </c>
      <c r="S204" s="181">
        <v>915730476.15999997</v>
      </c>
      <c r="T204" s="181">
        <v>0</v>
      </c>
      <c r="U204" s="181">
        <v>915730476.15999997</v>
      </c>
      <c r="V204" s="181">
        <v>0</v>
      </c>
      <c r="W204" s="181">
        <v>0</v>
      </c>
      <c r="X204" s="181">
        <v>0</v>
      </c>
      <c r="Y204" s="181">
        <v>0</v>
      </c>
      <c r="Z204" s="181">
        <v>0</v>
      </c>
      <c r="AA204" s="181">
        <v>0</v>
      </c>
      <c r="AB204" s="181">
        <v>915730476.15999997</v>
      </c>
      <c r="AC204" s="181">
        <v>0</v>
      </c>
      <c r="AD204" s="1180">
        <v>915730476.15999997</v>
      </c>
      <c r="AE204" s="1180">
        <v>915730476.15999997</v>
      </c>
      <c r="AF204" s="181">
        <v>915730476.15999997</v>
      </c>
      <c r="AG204" s="181">
        <v>915730476.15999997</v>
      </c>
      <c r="AH204" s="181">
        <v>0</v>
      </c>
      <c r="AI204" s="181">
        <v>0</v>
      </c>
      <c r="AJ204" s="181">
        <v>0</v>
      </c>
      <c r="AK204" s="181">
        <v>0</v>
      </c>
      <c r="AL204" s="181">
        <v>0</v>
      </c>
      <c r="AM204" s="181">
        <v>0</v>
      </c>
      <c r="AN204" s="181" t="s">
        <v>197</v>
      </c>
    </row>
    <row r="205" spans="1:40" s="181" customFormat="1" hidden="1" x14ac:dyDescent="0.25">
      <c r="A205" s="181">
        <v>307</v>
      </c>
      <c r="B205" s="181">
        <v>93</v>
      </c>
      <c r="C205" s="181" t="s">
        <v>1329</v>
      </c>
      <c r="D205" s="1179" t="s">
        <v>1330</v>
      </c>
      <c r="E205" s="181">
        <v>0</v>
      </c>
      <c r="F205" s="181">
        <v>0</v>
      </c>
      <c r="G205" s="181">
        <v>34433.300000000003</v>
      </c>
      <c r="H205" s="181">
        <v>0</v>
      </c>
      <c r="I205" s="181">
        <v>34433.300000000003</v>
      </c>
      <c r="J205" s="181">
        <v>34433.300000000003</v>
      </c>
      <c r="K205" s="181">
        <v>0</v>
      </c>
      <c r="L205" s="181">
        <v>34433.300000000003</v>
      </c>
      <c r="M205" s="181">
        <v>0</v>
      </c>
      <c r="N205" s="181">
        <v>0</v>
      </c>
      <c r="O205" s="181">
        <v>0</v>
      </c>
      <c r="P205" s="181">
        <v>0</v>
      </c>
      <c r="Q205" s="181">
        <v>0</v>
      </c>
      <c r="R205" s="181">
        <v>0</v>
      </c>
      <c r="S205" s="181">
        <v>34433.300000000003</v>
      </c>
      <c r="T205" s="181">
        <v>0</v>
      </c>
      <c r="U205" s="181">
        <v>34433.300000000003</v>
      </c>
      <c r="V205" s="181">
        <v>0</v>
      </c>
      <c r="W205" s="181">
        <v>0</v>
      </c>
      <c r="X205" s="181">
        <v>0</v>
      </c>
      <c r="Y205" s="181">
        <v>0</v>
      </c>
      <c r="Z205" s="181">
        <v>0</v>
      </c>
      <c r="AA205" s="181">
        <v>0</v>
      </c>
      <c r="AB205" s="181">
        <v>34433.300000000003</v>
      </c>
      <c r="AC205" s="181">
        <v>0</v>
      </c>
      <c r="AD205" s="1180">
        <v>34433.300000000003</v>
      </c>
      <c r="AE205" s="1180">
        <v>34433.300000000003</v>
      </c>
      <c r="AF205" s="181">
        <v>34433.300000000003</v>
      </c>
      <c r="AG205" s="181">
        <v>34433.300000000003</v>
      </c>
      <c r="AH205" s="181">
        <v>0</v>
      </c>
      <c r="AI205" s="181">
        <v>0</v>
      </c>
      <c r="AJ205" s="181">
        <v>0</v>
      </c>
      <c r="AK205" s="181">
        <v>0</v>
      </c>
      <c r="AL205" s="181">
        <v>0</v>
      </c>
      <c r="AM205" s="181">
        <v>0</v>
      </c>
      <c r="AN205" s="181" t="s">
        <v>209</v>
      </c>
    </row>
    <row r="206" spans="1:40" s="181" customFormat="1" ht="30" hidden="1" x14ac:dyDescent="0.25">
      <c r="A206" s="181">
        <v>307</v>
      </c>
      <c r="B206" s="181">
        <v>94</v>
      </c>
      <c r="C206" s="181" t="s">
        <v>1331</v>
      </c>
      <c r="D206" s="1179" t="s">
        <v>1332</v>
      </c>
      <c r="E206" s="181">
        <v>0</v>
      </c>
      <c r="F206" s="181">
        <v>0</v>
      </c>
      <c r="G206" s="181">
        <v>694342708.11000001</v>
      </c>
      <c r="H206" s="181">
        <v>0</v>
      </c>
      <c r="I206" s="181">
        <v>694342708.11000001</v>
      </c>
      <c r="J206" s="181">
        <v>694342708.11000001</v>
      </c>
      <c r="K206" s="181">
        <v>0</v>
      </c>
      <c r="L206" s="181">
        <v>694342708.11000001</v>
      </c>
      <c r="M206" s="181">
        <v>0</v>
      </c>
      <c r="N206" s="181">
        <v>0</v>
      </c>
      <c r="O206" s="181">
        <v>0</v>
      </c>
      <c r="P206" s="181">
        <v>0</v>
      </c>
      <c r="Q206" s="181">
        <v>0</v>
      </c>
      <c r="R206" s="181">
        <v>0</v>
      </c>
      <c r="S206" s="181">
        <v>694342708.11000001</v>
      </c>
      <c r="T206" s="181">
        <v>0</v>
      </c>
      <c r="U206" s="181">
        <v>694342708.11000001</v>
      </c>
      <c r="V206" s="181">
        <v>0</v>
      </c>
      <c r="W206" s="181">
        <v>0</v>
      </c>
      <c r="X206" s="181">
        <v>0</v>
      </c>
      <c r="Y206" s="181">
        <v>0</v>
      </c>
      <c r="Z206" s="181">
        <v>0</v>
      </c>
      <c r="AA206" s="181">
        <v>0</v>
      </c>
      <c r="AB206" s="181">
        <v>694342708.11000001</v>
      </c>
      <c r="AC206" s="181">
        <v>0</v>
      </c>
      <c r="AD206" s="1180">
        <v>694342708.11000001</v>
      </c>
      <c r="AE206" s="1180">
        <v>694342708.11000001</v>
      </c>
      <c r="AF206" s="181">
        <v>694342708.11000001</v>
      </c>
      <c r="AG206" s="181">
        <v>694342708.11000001</v>
      </c>
      <c r="AH206" s="181">
        <v>0</v>
      </c>
      <c r="AI206" s="181">
        <v>0</v>
      </c>
      <c r="AJ206" s="181">
        <v>0</v>
      </c>
      <c r="AK206" s="181">
        <v>0</v>
      </c>
      <c r="AL206" s="181">
        <v>0</v>
      </c>
      <c r="AM206" s="181">
        <v>0</v>
      </c>
      <c r="AN206" s="181" t="s">
        <v>211</v>
      </c>
    </row>
    <row r="207" spans="1:40" s="181" customFormat="1" ht="30" hidden="1" x14ac:dyDescent="0.25">
      <c r="A207" s="181">
        <v>307</v>
      </c>
      <c r="B207" s="181">
        <v>207</v>
      </c>
      <c r="C207" s="181" t="s">
        <v>1333</v>
      </c>
      <c r="D207" s="1179" t="s">
        <v>1334</v>
      </c>
      <c r="E207" s="181">
        <v>0</v>
      </c>
      <c r="F207" s="181">
        <v>0</v>
      </c>
      <c r="G207" s="181">
        <v>401080689</v>
      </c>
      <c r="H207" s="181">
        <v>0</v>
      </c>
      <c r="I207" s="181">
        <v>401080689</v>
      </c>
      <c r="J207" s="181">
        <v>401080689</v>
      </c>
      <c r="K207" s="181">
        <v>0</v>
      </c>
      <c r="L207" s="181">
        <v>401080689</v>
      </c>
      <c r="M207" s="181">
        <v>0</v>
      </c>
      <c r="N207" s="181">
        <v>0</v>
      </c>
      <c r="O207" s="181">
        <v>0</v>
      </c>
      <c r="P207" s="181">
        <v>0</v>
      </c>
      <c r="Q207" s="181">
        <v>0</v>
      </c>
      <c r="R207" s="181">
        <v>0</v>
      </c>
      <c r="S207" s="181">
        <v>401080689</v>
      </c>
      <c r="T207" s="181">
        <v>0</v>
      </c>
      <c r="U207" s="181">
        <v>401080689</v>
      </c>
      <c r="V207" s="181">
        <v>0</v>
      </c>
      <c r="W207" s="181">
        <v>0</v>
      </c>
      <c r="X207" s="181">
        <v>0</v>
      </c>
      <c r="Y207" s="181">
        <v>0</v>
      </c>
      <c r="Z207" s="181">
        <v>0</v>
      </c>
      <c r="AA207" s="181">
        <v>0</v>
      </c>
      <c r="AB207" s="181">
        <v>401080689</v>
      </c>
      <c r="AC207" s="181">
        <v>0</v>
      </c>
      <c r="AD207" s="1180">
        <v>401080689</v>
      </c>
      <c r="AE207" s="1180">
        <v>401080689</v>
      </c>
      <c r="AF207" s="181">
        <v>401080689</v>
      </c>
      <c r="AG207" s="181">
        <v>401080689</v>
      </c>
      <c r="AH207" s="181">
        <v>0</v>
      </c>
      <c r="AI207" s="181">
        <v>0</v>
      </c>
      <c r="AJ207" s="181">
        <v>0</v>
      </c>
      <c r="AK207" s="181">
        <v>0</v>
      </c>
      <c r="AL207" s="181">
        <v>0</v>
      </c>
      <c r="AM207" s="181">
        <v>0</v>
      </c>
      <c r="AN207" s="181" t="s">
        <v>1725</v>
      </c>
    </row>
    <row r="208" spans="1:40" s="181" customFormat="1" ht="30" hidden="1" x14ac:dyDescent="0.25">
      <c r="A208" s="181">
        <v>307</v>
      </c>
      <c r="B208" s="181">
        <v>209</v>
      </c>
      <c r="C208" s="181" t="s">
        <v>1335</v>
      </c>
      <c r="D208" s="1179" t="s">
        <v>1336</v>
      </c>
      <c r="E208" s="181">
        <v>0</v>
      </c>
      <c r="F208" s="181">
        <v>0</v>
      </c>
      <c r="G208" s="181">
        <v>854834830.09000003</v>
      </c>
      <c r="H208" s="181">
        <v>0</v>
      </c>
      <c r="I208" s="181">
        <v>854834830.09000003</v>
      </c>
      <c r="J208" s="181">
        <v>854834830.09000003</v>
      </c>
      <c r="K208" s="181">
        <v>0</v>
      </c>
      <c r="L208" s="181">
        <v>854834830.09000003</v>
      </c>
      <c r="M208" s="181">
        <v>0</v>
      </c>
      <c r="N208" s="181">
        <v>0</v>
      </c>
      <c r="O208" s="181">
        <v>0</v>
      </c>
      <c r="P208" s="181">
        <v>0</v>
      </c>
      <c r="Q208" s="181">
        <v>0</v>
      </c>
      <c r="R208" s="181">
        <v>0</v>
      </c>
      <c r="S208" s="181">
        <v>854834830.09000003</v>
      </c>
      <c r="T208" s="181">
        <v>0</v>
      </c>
      <c r="U208" s="181">
        <v>854834830.09000003</v>
      </c>
      <c r="V208" s="181">
        <v>0</v>
      </c>
      <c r="W208" s="181">
        <v>0</v>
      </c>
      <c r="X208" s="181">
        <v>0</v>
      </c>
      <c r="Y208" s="181">
        <v>0</v>
      </c>
      <c r="Z208" s="181">
        <v>0</v>
      </c>
      <c r="AA208" s="181">
        <v>0</v>
      </c>
      <c r="AB208" s="181">
        <v>854834830.09000003</v>
      </c>
      <c r="AC208" s="181">
        <v>0</v>
      </c>
      <c r="AD208" s="1180">
        <v>854834830.09000003</v>
      </c>
      <c r="AE208" s="1180">
        <v>854834830.09000003</v>
      </c>
      <c r="AF208" s="181">
        <v>854834830.09000003</v>
      </c>
      <c r="AG208" s="181">
        <v>854834830.09000003</v>
      </c>
      <c r="AH208" s="181">
        <v>0</v>
      </c>
      <c r="AI208" s="181">
        <v>0</v>
      </c>
      <c r="AJ208" s="181">
        <v>0</v>
      </c>
      <c r="AK208" s="181">
        <v>0</v>
      </c>
      <c r="AL208" s="181">
        <v>0</v>
      </c>
      <c r="AM208" s="181">
        <v>0</v>
      </c>
      <c r="AN208" s="181" t="s">
        <v>1726</v>
      </c>
    </row>
    <row r="209" spans="1:45" ht="30" hidden="1" x14ac:dyDescent="0.25">
      <c r="A209" s="181">
        <v>307</v>
      </c>
      <c r="B209" s="181">
        <v>210</v>
      </c>
      <c r="C209" s="181" t="s">
        <v>1337</v>
      </c>
      <c r="D209" s="1179" t="s">
        <v>1338</v>
      </c>
      <c r="E209" s="181">
        <v>0</v>
      </c>
      <c r="F209" s="181">
        <v>0</v>
      </c>
      <c r="G209" s="181">
        <v>74807488.079999998</v>
      </c>
      <c r="H209" s="181">
        <v>0</v>
      </c>
      <c r="I209" s="181">
        <v>74807488.079999998</v>
      </c>
      <c r="J209" s="181">
        <v>74807488.079999998</v>
      </c>
      <c r="K209" s="181">
        <v>0</v>
      </c>
      <c r="L209" s="181">
        <v>74807488.079999998</v>
      </c>
      <c r="M209" s="181">
        <v>0</v>
      </c>
      <c r="N209" s="181">
        <v>0</v>
      </c>
      <c r="O209" s="181">
        <v>0</v>
      </c>
      <c r="P209" s="181">
        <v>0</v>
      </c>
      <c r="Q209" s="181">
        <v>0</v>
      </c>
      <c r="R209" s="181">
        <v>0</v>
      </c>
      <c r="S209" s="181">
        <v>74807488.079999998</v>
      </c>
      <c r="T209" s="181">
        <v>0</v>
      </c>
      <c r="U209" s="181">
        <v>74807488.079999998</v>
      </c>
      <c r="V209" s="181">
        <v>0</v>
      </c>
      <c r="W209" s="181">
        <v>0</v>
      </c>
      <c r="X209" s="181">
        <v>0</v>
      </c>
      <c r="Y209" s="181">
        <v>0</v>
      </c>
      <c r="Z209" s="181">
        <v>0</v>
      </c>
      <c r="AA209" s="181">
        <v>0</v>
      </c>
      <c r="AB209" s="181">
        <v>74807488.079999998</v>
      </c>
      <c r="AC209" s="181">
        <v>0</v>
      </c>
      <c r="AD209" s="1180">
        <v>74807488.079999998</v>
      </c>
      <c r="AE209" s="1180">
        <v>74807488.079999998</v>
      </c>
      <c r="AF209" s="181">
        <v>74807488.079999998</v>
      </c>
      <c r="AG209" s="181">
        <v>74807488.079999998</v>
      </c>
      <c r="AH209" s="181">
        <v>0</v>
      </c>
      <c r="AI209" s="181">
        <v>0</v>
      </c>
      <c r="AJ209" s="181">
        <v>0</v>
      </c>
      <c r="AK209" s="181">
        <v>0</v>
      </c>
      <c r="AL209" s="181">
        <v>0</v>
      </c>
      <c r="AM209" s="181">
        <v>0</v>
      </c>
      <c r="AN209" s="181" t="s">
        <v>1727</v>
      </c>
      <c r="AS209" s="181"/>
    </row>
    <row r="210" spans="1:45" ht="30" hidden="1" x14ac:dyDescent="0.25">
      <c r="A210" s="181">
        <v>307</v>
      </c>
      <c r="B210" s="181">
        <v>211</v>
      </c>
      <c r="C210" s="181" t="s">
        <v>1339</v>
      </c>
      <c r="D210" s="1179" t="s">
        <v>1340</v>
      </c>
      <c r="E210" s="181">
        <v>0</v>
      </c>
      <c r="F210" s="181">
        <v>0</v>
      </c>
      <c r="G210" s="181">
        <v>311025523.94999999</v>
      </c>
      <c r="H210" s="181">
        <v>0</v>
      </c>
      <c r="I210" s="181">
        <v>311025523.94999999</v>
      </c>
      <c r="J210" s="181">
        <v>311025523.94999999</v>
      </c>
      <c r="K210" s="181">
        <v>0</v>
      </c>
      <c r="L210" s="181">
        <v>311025523.94999999</v>
      </c>
      <c r="M210" s="181">
        <v>0</v>
      </c>
      <c r="N210" s="181">
        <v>0</v>
      </c>
      <c r="O210" s="181">
        <v>0</v>
      </c>
      <c r="P210" s="181">
        <v>0</v>
      </c>
      <c r="Q210" s="181">
        <v>0</v>
      </c>
      <c r="R210" s="181">
        <v>0</v>
      </c>
      <c r="S210" s="181">
        <v>311025523.94999999</v>
      </c>
      <c r="T210" s="181">
        <v>0</v>
      </c>
      <c r="U210" s="181">
        <v>311025523.94999999</v>
      </c>
      <c r="V210" s="181">
        <v>0</v>
      </c>
      <c r="W210" s="181">
        <v>0</v>
      </c>
      <c r="X210" s="181">
        <v>0</v>
      </c>
      <c r="Y210" s="181">
        <v>0</v>
      </c>
      <c r="Z210" s="181">
        <v>0</v>
      </c>
      <c r="AA210" s="181">
        <v>0</v>
      </c>
      <c r="AB210" s="181">
        <v>311025523.94999999</v>
      </c>
      <c r="AC210" s="181">
        <v>0</v>
      </c>
      <c r="AD210" s="1180">
        <v>311025523.94999999</v>
      </c>
      <c r="AE210" s="1180">
        <v>311025523.94999999</v>
      </c>
      <c r="AF210" s="181">
        <v>311025523.94999999</v>
      </c>
      <c r="AG210" s="181">
        <v>311025523.94999999</v>
      </c>
      <c r="AH210" s="181">
        <v>0</v>
      </c>
      <c r="AI210" s="181">
        <v>0</v>
      </c>
      <c r="AJ210" s="181">
        <v>0</v>
      </c>
      <c r="AK210" s="181">
        <v>0</v>
      </c>
      <c r="AL210" s="181">
        <v>0</v>
      </c>
      <c r="AM210" s="181">
        <v>0</v>
      </c>
      <c r="AN210" s="181" t="s">
        <v>1728</v>
      </c>
      <c r="AS210" s="181"/>
    </row>
    <row r="211" spans="1:45" ht="30" hidden="1" x14ac:dyDescent="0.25">
      <c r="A211" s="181">
        <v>307</v>
      </c>
      <c r="B211" s="181">
        <v>216</v>
      </c>
      <c r="C211" s="181" t="s">
        <v>1341</v>
      </c>
      <c r="D211" s="1179" t="s">
        <v>1342</v>
      </c>
      <c r="E211" s="181">
        <v>0</v>
      </c>
      <c r="F211" s="181">
        <v>0</v>
      </c>
      <c r="G211" s="181">
        <v>435999905.50999999</v>
      </c>
      <c r="H211" s="181">
        <v>0</v>
      </c>
      <c r="I211" s="181">
        <v>435999905.50999999</v>
      </c>
      <c r="J211" s="181">
        <v>435999905.50999999</v>
      </c>
      <c r="K211" s="181">
        <v>0</v>
      </c>
      <c r="L211" s="181">
        <v>435999905.50999999</v>
      </c>
      <c r="M211" s="181">
        <v>0</v>
      </c>
      <c r="N211" s="181">
        <v>0</v>
      </c>
      <c r="O211" s="181">
        <v>0</v>
      </c>
      <c r="P211" s="181">
        <v>0</v>
      </c>
      <c r="Q211" s="181">
        <v>0</v>
      </c>
      <c r="R211" s="181">
        <v>0</v>
      </c>
      <c r="S211" s="181">
        <v>435999905.50999999</v>
      </c>
      <c r="T211" s="181">
        <v>0</v>
      </c>
      <c r="U211" s="181">
        <v>435999905.50999999</v>
      </c>
      <c r="V211" s="181">
        <v>0</v>
      </c>
      <c r="W211" s="181">
        <v>0</v>
      </c>
      <c r="X211" s="181">
        <v>0</v>
      </c>
      <c r="Y211" s="181">
        <v>0</v>
      </c>
      <c r="Z211" s="181">
        <v>0</v>
      </c>
      <c r="AA211" s="181">
        <v>0</v>
      </c>
      <c r="AB211" s="181">
        <v>435999905.50999999</v>
      </c>
      <c r="AC211" s="181">
        <v>0</v>
      </c>
      <c r="AD211" s="1180">
        <v>435999905.50999999</v>
      </c>
      <c r="AE211" s="1180">
        <v>435999905.50999999</v>
      </c>
      <c r="AF211" s="181">
        <v>435999905.50999999</v>
      </c>
      <c r="AG211" s="181">
        <v>435999905.50999999</v>
      </c>
      <c r="AH211" s="181">
        <v>0</v>
      </c>
      <c r="AI211" s="181">
        <v>0</v>
      </c>
      <c r="AJ211" s="181">
        <v>0</v>
      </c>
      <c r="AK211" s="181">
        <v>0</v>
      </c>
      <c r="AL211" s="181">
        <v>0</v>
      </c>
      <c r="AM211" s="181">
        <v>0</v>
      </c>
      <c r="AN211" s="181" t="s">
        <v>1729</v>
      </c>
      <c r="AS211" s="181"/>
    </row>
    <row r="212" spans="1:45" hidden="1" x14ac:dyDescent="0.25">
      <c r="A212" s="181">
        <v>307</v>
      </c>
      <c r="B212" s="181">
        <v>122</v>
      </c>
      <c r="C212" s="181" t="s">
        <v>1343</v>
      </c>
      <c r="D212" s="1179" t="s">
        <v>1344</v>
      </c>
      <c r="E212" s="181">
        <v>0</v>
      </c>
      <c r="F212" s="181">
        <v>0</v>
      </c>
      <c r="G212" s="181">
        <v>7537378380.5</v>
      </c>
      <c r="H212" s="181">
        <v>0</v>
      </c>
      <c r="I212" s="181">
        <v>7537378380.5</v>
      </c>
      <c r="J212" s="181">
        <v>7537378380.5</v>
      </c>
      <c r="K212" s="181">
        <v>0</v>
      </c>
      <c r="L212" s="181">
        <v>7537378380.5</v>
      </c>
      <c r="M212" s="181">
        <v>0</v>
      </c>
      <c r="N212" s="181">
        <v>0</v>
      </c>
      <c r="O212" s="181">
        <v>0</v>
      </c>
      <c r="P212" s="181">
        <v>0</v>
      </c>
      <c r="Q212" s="181">
        <v>0</v>
      </c>
      <c r="R212" s="181">
        <v>0</v>
      </c>
      <c r="S212" s="181">
        <v>7537378380.5</v>
      </c>
      <c r="T212" s="181">
        <v>0</v>
      </c>
      <c r="U212" s="181">
        <v>7537378380.5</v>
      </c>
      <c r="V212" s="181">
        <v>0</v>
      </c>
      <c r="W212" s="181">
        <v>0</v>
      </c>
      <c r="X212" s="181">
        <v>0</v>
      </c>
      <c r="Y212" s="181">
        <v>0</v>
      </c>
      <c r="Z212" s="181">
        <v>0</v>
      </c>
      <c r="AA212" s="181">
        <v>0</v>
      </c>
      <c r="AB212" s="181">
        <v>7537378380.5</v>
      </c>
      <c r="AC212" s="181">
        <v>0</v>
      </c>
      <c r="AD212" s="1180">
        <v>7537378380.5</v>
      </c>
      <c r="AE212" s="1180">
        <v>7537378380.5</v>
      </c>
      <c r="AF212" s="181">
        <v>7537378380.5</v>
      </c>
      <c r="AG212" s="181">
        <v>7537378380.5</v>
      </c>
      <c r="AH212" s="181">
        <v>0</v>
      </c>
      <c r="AI212" s="181">
        <v>0</v>
      </c>
      <c r="AJ212" s="181">
        <v>0</v>
      </c>
      <c r="AK212" s="181">
        <v>0</v>
      </c>
      <c r="AL212" s="181">
        <v>0</v>
      </c>
      <c r="AM212" s="181">
        <v>0</v>
      </c>
      <c r="AN212" s="181" t="s">
        <v>50</v>
      </c>
      <c r="AS212" s="181"/>
    </row>
    <row r="213" spans="1:45" ht="30" hidden="1" x14ac:dyDescent="0.25">
      <c r="A213" s="181">
        <v>307</v>
      </c>
      <c r="B213" s="181">
        <v>129</v>
      </c>
      <c r="C213" s="181" t="s">
        <v>1345</v>
      </c>
      <c r="D213" s="1179" t="s">
        <v>1346</v>
      </c>
      <c r="E213" s="181">
        <v>0</v>
      </c>
      <c r="F213" s="181">
        <v>0</v>
      </c>
      <c r="G213" s="181">
        <v>241128725.83000001</v>
      </c>
      <c r="H213" s="181">
        <v>0</v>
      </c>
      <c r="I213" s="181">
        <v>241128725.83000001</v>
      </c>
      <c r="J213" s="181">
        <v>241128725.83000001</v>
      </c>
      <c r="K213" s="181">
        <v>0</v>
      </c>
      <c r="L213" s="181">
        <v>241128725.83000001</v>
      </c>
      <c r="M213" s="181">
        <v>0</v>
      </c>
      <c r="N213" s="181">
        <v>0</v>
      </c>
      <c r="O213" s="181">
        <v>0</v>
      </c>
      <c r="P213" s="181">
        <v>0</v>
      </c>
      <c r="Q213" s="181">
        <v>0</v>
      </c>
      <c r="R213" s="181">
        <v>0</v>
      </c>
      <c r="S213" s="181">
        <v>241128725.83000001</v>
      </c>
      <c r="T213" s="181">
        <v>0</v>
      </c>
      <c r="U213" s="181">
        <v>241128725.83000001</v>
      </c>
      <c r="V213" s="181">
        <v>0</v>
      </c>
      <c r="W213" s="181">
        <v>0</v>
      </c>
      <c r="X213" s="181">
        <v>0</v>
      </c>
      <c r="Y213" s="181">
        <v>0</v>
      </c>
      <c r="Z213" s="181">
        <v>0</v>
      </c>
      <c r="AA213" s="181">
        <v>0</v>
      </c>
      <c r="AB213" s="181">
        <v>241128725.83000001</v>
      </c>
      <c r="AC213" s="181">
        <v>0</v>
      </c>
      <c r="AD213" s="1180">
        <v>241128725.83000001</v>
      </c>
      <c r="AE213" s="1180">
        <v>241128725.83000001</v>
      </c>
      <c r="AF213" s="181">
        <v>241128725.83000001</v>
      </c>
      <c r="AG213" s="181">
        <v>241128725.83000001</v>
      </c>
      <c r="AH213" s="181">
        <v>0</v>
      </c>
      <c r="AI213" s="181">
        <v>0</v>
      </c>
      <c r="AJ213" s="181">
        <v>0</v>
      </c>
      <c r="AK213" s="181">
        <v>0</v>
      </c>
      <c r="AL213" s="181">
        <v>0</v>
      </c>
      <c r="AM213" s="181">
        <v>0</v>
      </c>
      <c r="AN213" s="181" t="s">
        <v>54</v>
      </c>
      <c r="AS213" s="181"/>
    </row>
    <row r="214" spans="1:45" ht="30" hidden="1" x14ac:dyDescent="0.25">
      <c r="A214" s="181">
        <v>307</v>
      </c>
      <c r="B214" s="181">
        <v>213</v>
      </c>
      <c r="C214" s="181" t="s">
        <v>1347</v>
      </c>
      <c r="D214" s="1179" t="s">
        <v>1348</v>
      </c>
      <c r="E214" s="181">
        <v>0</v>
      </c>
      <c r="F214" s="181">
        <v>0</v>
      </c>
      <c r="G214" s="181">
        <v>108238766.06</v>
      </c>
      <c r="H214" s="181">
        <v>0</v>
      </c>
      <c r="I214" s="181">
        <v>108238766.06</v>
      </c>
      <c r="J214" s="181">
        <v>108238766.06</v>
      </c>
      <c r="K214" s="181">
        <v>0</v>
      </c>
      <c r="L214" s="181">
        <v>108238766.06</v>
      </c>
      <c r="M214" s="181">
        <v>0</v>
      </c>
      <c r="N214" s="181">
        <v>0</v>
      </c>
      <c r="O214" s="181">
        <v>0</v>
      </c>
      <c r="P214" s="181">
        <v>0</v>
      </c>
      <c r="Q214" s="181">
        <v>0</v>
      </c>
      <c r="R214" s="181">
        <v>0</v>
      </c>
      <c r="S214" s="181">
        <v>108238766.06</v>
      </c>
      <c r="T214" s="181">
        <v>0</v>
      </c>
      <c r="U214" s="181">
        <v>108238766.06</v>
      </c>
      <c r="V214" s="181">
        <v>0</v>
      </c>
      <c r="W214" s="181">
        <v>0</v>
      </c>
      <c r="X214" s="181">
        <v>0</v>
      </c>
      <c r="Y214" s="181">
        <v>0</v>
      </c>
      <c r="Z214" s="181">
        <v>0</v>
      </c>
      <c r="AA214" s="181">
        <v>0</v>
      </c>
      <c r="AB214" s="181">
        <v>108238766.06</v>
      </c>
      <c r="AC214" s="181">
        <v>0</v>
      </c>
      <c r="AD214" s="1180">
        <v>108238766.06</v>
      </c>
      <c r="AE214" s="1180">
        <v>108238766.06</v>
      </c>
      <c r="AF214" s="181">
        <v>108238766.06</v>
      </c>
      <c r="AG214" s="181">
        <v>108238766.06</v>
      </c>
      <c r="AH214" s="181">
        <v>0</v>
      </c>
      <c r="AI214" s="181">
        <v>0</v>
      </c>
      <c r="AJ214" s="181">
        <v>0</v>
      </c>
      <c r="AK214" s="181">
        <v>0</v>
      </c>
      <c r="AL214" s="181">
        <v>0</v>
      </c>
      <c r="AM214" s="181">
        <v>0</v>
      </c>
      <c r="AN214" s="181" t="s">
        <v>1730</v>
      </c>
      <c r="AS214" s="181"/>
    </row>
    <row r="215" spans="1:45" ht="45" hidden="1" x14ac:dyDescent="0.25">
      <c r="A215" s="181">
        <v>307</v>
      </c>
      <c r="B215" s="181">
        <v>212</v>
      </c>
      <c r="C215" s="181" t="s">
        <v>1349</v>
      </c>
      <c r="D215" s="1179" t="s">
        <v>1350</v>
      </c>
      <c r="E215" s="181">
        <v>0</v>
      </c>
      <c r="F215" s="181">
        <v>0</v>
      </c>
      <c r="G215" s="181">
        <v>252294235.72999999</v>
      </c>
      <c r="H215" s="181">
        <v>0</v>
      </c>
      <c r="I215" s="181">
        <v>252294235.72999999</v>
      </c>
      <c r="J215" s="181">
        <v>252294235.72999999</v>
      </c>
      <c r="K215" s="181">
        <v>0</v>
      </c>
      <c r="L215" s="181">
        <v>252294235.72999999</v>
      </c>
      <c r="M215" s="181">
        <v>0</v>
      </c>
      <c r="N215" s="181">
        <v>0</v>
      </c>
      <c r="O215" s="181">
        <v>0</v>
      </c>
      <c r="P215" s="181">
        <v>0</v>
      </c>
      <c r="Q215" s="181">
        <v>0</v>
      </c>
      <c r="R215" s="181">
        <v>0</v>
      </c>
      <c r="S215" s="181">
        <v>252294235.72999999</v>
      </c>
      <c r="T215" s="181">
        <v>0</v>
      </c>
      <c r="U215" s="181">
        <v>252294235.72999999</v>
      </c>
      <c r="V215" s="181">
        <v>0</v>
      </c>
      <c r="W215" s="181">
        <v>0</v>
      </c>
      <c r="X215" s="181">
        <v>0</v>
      </c>
      <c r="Y215" s="181">
        <v>0</v>
      </c>
      <c r="Z215" s="181">
        <v>0</v>
      </c>
      <c r="AA215" s="181">
        <v>0</v>
      </c>
      <c r="AB215" s="181">
        <v>252294235.72999999</v>
      </c>
      <c r="AC215" s="181">
        <v>0</v>
      </c>
      <c r="AD215" s="1180">
        <v>252294235.72999999</v>
      </c>
      <c r="AE215" s="1180">
        <v>252294235.72999999</v>
      </c>
      <c r="AF215" s="181">
        <v>252294235.72999999</v>
      </c>
      <c r="AG215" s="181">
        <v>252294235.72999999</v>
      </c>
      <c r="AH215" s="181">
        <v>0</v>
      </c>
      <c r="AI215" s="181">
        <v>0</v>
      </c>
      <c r="AJ215" s="181">
        <v>0</v>
      </c>
      <c r="AK215" s="181">
        <v>0</v>
      </c>
      <c r="AL215" s="181">
        <v>0</v>
      </c>
      <c r="AM215" s="181">
        <v>0</v>
      </c>
      <c r="AN215" s="181" t="s">
        <v>1731</v>
      </c>
      <c r="AS215" s="181"/>
    </row>
    <row r="216" spans="1:45" ht="30" hidden="1" x14ac:dyDescent="0.25">
      <c r="A216" s="181">
        <v>307</v>
      </c>
      <c r="B216" s="181">
        <v>214</v>
      </c>
      <c r="C216" s="181" t="s">
        <v>1351</v>
      </c>
      <c r="D216" s="1179" t="s">
        <v>1352</v>
      </c>
      <c r="E216" s="181">
        <v>0</v>
      </c>
      <c r="F216" s="181">
        <v>0</v>
      </c>
      <c r="G216" s="181">
        <v>67688898.989999995</v>
      </c>
      <c r="H216" s="181">
        <v>0</v>
      </c>
      <c r="I216" s="181">
        <v>67688898.989999995</v>
      </c>
      <c r="J216" s="181">
        <v>67688898.989999995</v>
      </c>
      <c r="K216" s="181">
        <v>0</v>
      </c>
      <c r="L216" s="181">
        <v>67688898.989999995</v>
      </c>
      <c r="M216" s="181">
        <v>0</v>
      </c>
      <c r="N216" s="181">
        <v>0</v>
      </c>
      <c r="O216" s="181">
        <v>0</v>
      </c>
      <c r="P216" s="181">
        <v>0</v>
      </c>
      <c r="Q216" s="181">
        <v>0</v>
      </c>
      <c r="R216" s="181">
        <v>0</v>
      </c>
      <c r="S216" s="181">
        <v>67688898.989999995</v>
      </c>
      <c r="T216" s="181">
        <v>0</v>
      </c>
      <c r="U216" s="181">
        <v>67688898.989999995</v>
      </c>
      <c r="V216" s="181">
        <v>0</v>
      </c>
      <c r="W216" s="181">
        <v>0</v>
      </c>
      <c r="X216" s="181">
        <v>0</v>
      </c>
      <c r="Y216" s="181">
        <v>0</v>
      </c>
      <c r="Z216" s="181">
        <v>0</v>
      </c>
      <c r="AA216" s="181">
        <v>0</v>
      </c>
      <c r="AB216" s="181">
        <v>67688898.989999995</v>
      </c>
      <c r="AC216" s="181">
        <v>0</v>
      </c>
      <c r="AD216" s="1180">
        <v>67688898.989999995</v>
      </c>
      <c r="AE216" s="1180">
        <v>67688898.989999995</v>
      </c>
      <c r="AF216" s="181">
        <v>67688898.989999995</v>
      </c>
      <c r="AG216" s="181">
        <v>67688898.989999995</v>
      </c>
      <c r="AH216" s="181">
        <v>0</v>
      </c>
      <c r="AI216" s="181">
        <v>0</v>
      </c>
      <c r="AJ216" s="181">
        <v>0</v>
      </c>
      <c r="AK216" s="181">
        <v>0</v>
      </c>
      <c r="AL216" s="181">
        <v>0</v>
      </c>
      <c r="AM216" s="181">
        <v>0</v>
      </c>
      <c r="AN216" s="181" t="s">
        <v>1732</v>
      </c>
      <c r="AS216" s="181"/>
    </row>
    <row r="217" spans="1:45" ht="30" hidden="1" x14ac:dyDescent="0.25">
      <c r="A217" s="181">
        <v>307</v>
      </c>
      <c r="B217" s="181">
        <v>215</v>
      </c>
      <c r="C217" s="181" t="s">
        <v>1353</v>
      </c>
      <c r="D217" s="1179" t="s">
        <v>1354</v>
      </c>
      <c r="E217" s="181">
        <v>0</v>
      </c>
      <c r="F217" s="181">
        <v>0</v>
      </c>
      <c r="G217" s="181">
        <v>16044780.800000001</v>
      </c>
      <c r="H217" s="181">
        <v>0</v>
      </c>
      <c r="I217" s="181">
        <v>16044780.800000001</v>
      </c>
      <c r="J217" s="181">
        <v>16044780.800000001</v>
      </c>
      <c r="K217" s="181">
        <v>0</v>
      </c>
      <c r="L217" s="181">
        <v>16044780.800000001</v>
      </c>
      <c r="M217" s="181">
        <v>0</v>
      </c>
      <c r="N217" s="181">
        <v>0</v>
      </c>
      <c r="O217" s="181">
        <v>0</v>
      </c>
      <c r="P217" s="181">
        <v>0</v>
      </c>
      <c r="Q217" s="181">
        <v>0</v>
      </c>
      <c r="R217" s="181">
        <v>0</v>
      </c>
      <c r="S217" s="181">
        <v>16044780.800000001</v>
      </c>
      <c r="T217" s="181">
        <v>0</v>
      </c>
      <c r="U217" s="181">
        <v>16044780.800000001</v>
      </c>
      <c r="V217" s="181">
        <v>0</v>
      </c>
      <c r="W217" s="181">
        <v>0</v>
      </c>
      <c r="X217" s="181">
        <v>0</v>
      </c>
      <c r="Y217" s="181">
        <v>0</v>
      </c>
      <c r="Z217" s="181">
        <v>0</v>
      </c>
      <c r="AA217" s="181">
        <v>0</v>
      </c>
      <c r="AB217" s="181">
        <v>16044780.800000001</v>
      </c>
      <c r="AC217" s="181">
        <v>0</v>
      </c>
      <c r="AD217" s="1180">
        <v>16044780.800000001</v>
      </c>
      <c r="AE217" s="1180">
        <v>16044780.800000001</v>
      </c>
      <c r="AF217" s="181">
        <v>16044780.800000001</v>
      </c>
      <c r="AG217" s="181">
        <v>16044780.800000001</v>
      </c>
      <c r="AH217" s="181">
        <v>0</v>
      </c>
      <c r="AI217" s="181">
        <v>0</v>
      </c>
      <c r="AJ217" s="181">
        <v>0</v>
      </c>
      <c r="AK217" s="181">
        <v>0</v>
      </c>
      <c r="AL217" s="181">
        <v>0</v>
      </c>
      <c r="AM217" s="181">
        <v>0</v>
      </c>
      <c r="AN217" s="181" t="s">
        <v>1733</v>
      </c>
      <c r="AS217" s="181"/>
    </row>
    <row r="218" spans="1:45" hidden="1" x14ac:dyDescent="0.25">
      <c r="A218" s="181">
        <v>307</v>
      </c>
      <c r="B218" s="181" t="s">
        <v>226</v>
      </c>
      <c r="C218" s="181" t="s">
        <v>616</v>
      </c>
      <c r="D218" s="1179" t="s">
        <v>617</v>
      </c>
      <c r="E218" s="181">
        <v>7263266657</v>
      </c>
      <c r="F218" s="181">
        <v>7263266657</v>
      </c>
      <c r="G218" s="181">
        <v>0</v>
      </c>
      <c r="H218" s="181">
        <v>0</v>
      </c>
      <c r="I218" s="181">
        <v>0</v>
      </c>
      <c r="J218" s="181">
        <v>0</v>
      </c>
      <c r="K218" s="181">
        <v>0</v>
      </c>
      <c r="L218" s="181">
        <v>7263266657</v>
      </c>
      <c r="M218" s="181">
        <v>0</v>
      </c>
      <c r="N218" s="181">
        <v>0</v>
      </c>
      <c r="O218" s="181">
        <v>0</v>
      </c>
      <c r="P218" s="181">
        <v>0</v>
      </c>
      <c r="Q218" s="181">
        <v>0</v>
      </c>
      <c r="R218" s="181">
        <v>0</v>
      </c>
      <c r="S218" s="181">
        <v>8257203322</v>
      </c>
      <c r="T218" s="181">
        <v>0</v>
      </c>
      <c r="U218" s="181">
        <v>8257203322</v>
      </c>
      <c r="V218" s="181">
        <v>0</v>
      </c>
      <c r="W218" s="181">
        <v>0</v>
      </c>
      <c r="X218" s="181">
        <v>0</v>
      </c>
      <c r="Y218" s="181">
        <v>0</v>
      </c>
      <c r="Z218" s="181">
        <v>0</v>
      </c>
      <c r="AA218" s="181">
        <v>0</v>
      </c>
      <c r="AB218" s="181">
        <v>8257203322</v>
      </c>
      <c r="AC218" s="181">
        <v>0</v>
      </c>
      <c r="AD218" s="1180">
        <v>8257203322</v>
      </c>
      <c r="AE218" s="1180">
        <v>8257203322</v>
      </c>
      <c r="AF218" s="181">
        <v>0</v>
      </c>
      <c r="AG218" s="181">
        <v>0</v>
      </c>
      <c r="AH218" s="181">
        <v>8257203322</v>
      </c>
      <c r="AI218" s="181">
        <v>8257203322</v>
      </c>
      <c r="AJ218" s="181">
        <v>0</v>
      </c>
      <c r="AK218" s="181">
        <v>8257203322</v>
      </c>
      <c r="AL218" s="181">
        <v>0</v>
      </c>
      <c r="AM218" s="181">
        <v>0</v>
      </c>
      <c r="AN218" s="181" t="s">
        <v>1709</v>
      </c>
      <c r="AS218" s="181"/>
    </row>
    <row r="219" spans="1:45" ht="45" hidden="1" x14ac:dyDescent="0.25">
      <c r="A219" s="181">
        <v>307</v>
      </c>
      <c r="B219" s="181" t="s">
        <v>226</v>
      </c>
      <c r="C219" s="181" t="s">
        <v>618</v>
      </c>
      <c r="D219" s="1179" t="s">
        <v>619</v>
      </c>
      <c r="E219" s="181">
        <v>7263266657</v>
      </c>
      <c r="F219" s="181">
        <v>7263266657</v>
      </c>
      <c r="G219" s="181">
        <v>0</v>
      </c>
      <c r="H219" s="181">
        <v>0</v>
      </c>
      <c r="I219" s="181">
        <v>0</v>
      </c>
      <c r="J219" s="181">
        <v>0</v>
      </c>
      <c r="K219" s="181">
        <v>0</v>
      </c>
      <c r="L219" s="181">
        <v>7263266657</v>
      </c>
      <c r="M219" s="181">
        <v>0</v>
      </c>
      <c r="N219" s="181">
        <v>0</v>
      </c>
      <c r="O219" s="181">
        <v>0</v>
      </c>
      <c r="P219" s="181">
        <v>0</v>
      </c>
      <c r="Q219" s="181">
        <v>0</v>
      </c>
      <c r="R219" s="181">
        <v>0</v>
      </c>
      <c r="S219" s="181">
        <v>8257203322</v>
      </c>
      <c r="T219" s="181">
        <v>0</v>
      </c>
      <c r="U219" s="181">
        <v>8257203322</v>
      </c>
      <c r="V219" s="181">
        <v>0</v>
      </c>
      <c r="W219" s="181">
        <v>0</v>
      </c>
      <c r="X219" s="181">
        <v>0</v>
      </c>
      <c r="Y219" s="181">
        <v>0</v>
      </c>
      <c r="Z219" s="181">
        <v>0</v>
      </c>
      <c r="AA219" s="181">
        <v>0</v>
      </c>
      <c r="AB219" s="181">
        <v>8257203322</v>
      </c>
      <c r="AC219" s="181">
        <v>0</v>
      </c>
      <c r="AD219" s="1180">
        <v>8257203322</v>
      </c>
      <c r="AE219" s="1180">
        <v>8257203322</v>
      </c>
      <c r="AF219" s="181">
        <v>0</v>
      </c>
      <c r="AG219" s="181">
        <v>0</v>
      </c>
      <c r="AH219" s="181">
        <v>8257203322</v>
      </c>
      <c r="AI219" s="181">
        <v>8257203322</v>
      </c>
      <c r="AJ219" s="181">
        <v>0</v>
      </c>
      <c r="AK219" s="181">
        <v>8257203322</v>
      </c>
      <c r="AL219" s="181">
        <v>0</v>
      </c>
      <c r="AM219" s="181">
        <v>0</v>
      </c>
      <c r="AN219" s="181" t="s">
        <v>1709</v>
      </c>
      <c r="AS219" s="181"/>
    </row>
    <row r="220" spans="1:45" ht="30" hidden="1" x14ac:dyDescent="0.25">
      <c r="A220" s="181">
        <v>307</v>
      </c>
      <c r="B220" s="181">
        <v>135</v>
      </c>
      <c r="C220" s="181" t="s">
        <v>1355</v>
      </c>
      <c r="D220" s="1179" t="s">
        <v>621</v>
      </c>
      <c r="E220" s="181">
        <v>7263266657</v>
      </c>
      <c r="F220" s="181">
        <v>7263266657</v>
      </c>
      <c r="G220" s="181">
        <v>0</v>
      </c>
      <c r="H220" s="181">
        <v>0</v>
      </c>
      <c r="I220" s="181">
        <v>0</v>
      </c>
      <c r="J220" s="181">
        <v>0</v>
      </c>
      <c r="K220" s="181">
        <v>0</v>
      </c>
      <c r="L220" s="181">
        <v>7263266657</v>
      </c>
      <c r="M220" s="181">
        <v>0</v>
      </c>
      <c r="N220" s="181">
        <v>0</v>
      </c>
      <c r="O220" s="181">
        <v>0</v>
      </c>
      <c r="P220" s="181">
        <v>0</v>
      </c>
      <c r="Q220" s="181">
        <v>0</v>
      </c>
      <c r="R220" s="181">
        <v>0</v>
      </c>
      <c r="S220" s="181">
        <v>8257203322</v>
      </c>
      <c r="T220" s="181">
        <v>0</v>
      </c>
      <c r="U220" s="181">
        <v>8257203322</v>
      </c>
      <c r="V220" s="181">
        <v>0</v>
      </c>
      <c r="W220" s="181">
        <v>0</v>
      </c>
      <c r="X220" s="181">
        <v>0</v>
      </c>
      <c r="Y220" s="181">
        <v>0</v>
      </c>
      <c r="Z220" s="181">
        <v>0</v>
      </c>
      <c r="AA220" s="181">
        <v>0</v>
      </c>
      <c r="AB220" s="181">
        <v>8257203322</v>
      </c>
      <c r="AC220" s="181">
        <v>0</v>
      </c>
      <c r="AD220" s="1180">
        <v>8257203322</v>
      </c>
      <c r="AE220" s="1183">
        <v>8257203322</v>
      </c>
      <c r="AF220" s="181">
        <v>0</v>
      </c>
      <c r="AG220" s="181">
        <v>0</v>
      </c>
      <c r="AH220" s="181">
        <v>8257203322</v>
      </c>
      <c r="AI220" s="181">
        <v>8257203322</v>
      </c>
      <c r="AJ220" s="181">
        <v>0</v>
      </c>
      <c r="AK220" s="181">
        <v>8257203322</v>
      </c>
      <c r="AL220" s="181">
        <v>0</v>
      </c>
      <c r="AM220" s="181">
        <v>0</v>
      </c>
      <c r="AN220" s="181" t="s">
        <v>1718</v>
      </c>
    </row>
    <row r="221" spans="1:45" ht="30" hidden="1" x14ac:dyDescent="0.25">
      <c r="A221" s="181">
        <v>307</v>
      </c>
      <c r="B221" s="181" t="s">
        <v>226</v>
      </c>
      <c r="C221" s="181" t="s">
        <v>622</v>
      </c>
      <c r="D221" s="1179" t="s">
        <v>623</v>
      </c>
      <c r="E221" s="181">
        <v>10000000</v>
      </c>
      <c r="F221" s="181">
        <v>10000000</v>
      </c>
      <c r="G221" s="181">
        <v>1479555993.5899999</v>
      </c>
      <c r="H221" s="181">
        <v>0</v>
      </c>
      <c r="I221" s="181">
        <v>1479555993.5899999</v>
      </c>
      <c r="J221" s="181">
        <v>1479555993.5899999</v>
      </c>
      <c r="K221" s="181">
        <v>0</v>
      </c>
      <c r="L221" s="181">
        <v>1489555993.5899999</v>
      </c>
      <c r="M221" s="181">
        <v>0</v>
      </c>
      <c r="N221" s="181">
        <v>0</v>
      </c>
      <c r="O221" s="181">
        <v>0</v>
      </c>
      <c r="P221" s="181">
        <v>0</v>
      </c>
      <c r="Q221" s="181">
        <v>0</v>
      </c>
      <c r="R221" s="181">
        <v>0</v>
      </c>
      <c r="S221" s="181">
        <v>3141708036.9699998</v>
      </c>
      <c r="T221" s="181">
        <v>1498909340.8900001</v>
      </c>
      <c r="U221" s="181">
        <v>1642798696.0799999</v>
      </c>
      <c r="V221" s="181">
        <v>0</v>
      </c>
      <c r="W221" s="181">
        <v>0</v>
      </c>
      <c r="X221" s="181">
        <v>0</v>
      </c>
      <c r="Y221" s="181">
        <v>0</v>
      </c>
      <c r="Z221" s="181">
        <v>0</v>
      </c>
      <c r="AA221" s="181">
        <v>0</v>
      </c>
      <c r="AB221" s="181">
        <v>3141708036.9699998</v>
      </c>
      <c r="AC221" s="181">
        <v>1498909340.8900001</v>
      </c>
      <c r="AD221" s="1180">
        <v>1642798696.0799999</v>
      </c>
      <c r="AE221" s="1180">
        <v>1642798696.0799999</v>
      </c>
      <c r="AF221" s="181">
        <v>0</v>
      </c>
      <c r="AG221" s="181">
        <v>0</v>
      </c>
      <c r="AH221" s="181">
        <v>1642798696.0799999</v>
      </c>
      <c r="AI221" s="181">
        <v>1645562043.0799999</v>
      </c>
      <c r="AJ221" s="181">
        <v>2763347</v>
      </c>
      <c r="AK221" s="181">
        <v>1645562043.0799999</v>
      </c>
      <c r="AL221" s="181">
        <v>0</v>
      </c>
      <c r="AM221" s="181">
        <v>2763347</v>
      </c>
      <c r="AN221" s="181" t="s">
        <v>1709</v>
      </c>
      <c r="AS221" s="181"/>
    </row>
    <row r="222" spans="1:45" hidden="1" x14ac:dyDescent="0.25">
      <c r="A222" s="181">
        <v>307</v>
      </c>
      <c r="B222" s="181">
        <v>6</v>
      </c>
      <c r="C222" s="181" t="s">
        <v>626</v>
      </c>
      <c r="D222" s="1179" t="s">
        <v>606</v>
      </c>
      <c r="E222" s="181">
        <v>0</v>
      </c>
      <c r="F222" s="181">
        <v>0</v>
      </c>
      <c r="G222" s="181">
        <v>0</v>
      </c>
      <c r="H222" s="181">
        <v>0</v>
      </c>
      <c r="I222" s="181">
        <v>0</v>
      </c>
      <c r="J222" s="181">
        <v>0</v>
      </c>
      <c r="K222" s="181">
        <v>0</v>
      </c>
      <c r="L222" s="181">
        <v>0</v>
      </c>
      <c r="M222" s="181">
        <v>0</v>
      </c>
      <c r="N222" s="181">
        <v>0</v>
      </c>
      <c r="O222" s="181">
        <v>0</v>
      </c>
      <c r="P222" s="181">
        <v>0</v>
      </c>
      <c r="Q222" s="181">
        <v>0</v>
      </c>
      <c r="R222" s="181">
        <v>0</v>
      </c>
      <c r="S222" s="181">
        <v>1496145993.8900001</v>
      </c>
      <c r="T222" s="181">
        <v>1496145993.8900001</v>
      </c>
      <c r="U222" s="181">
        <v>0</v>
      </c>
      <c r="V222" s="181">
        <v>0</v>
      </c>
      <c r="W222" s="181">
        <v>0</v>
      </c>
      <c r="X222" s="181">
        <v>0</v>
      </c>
      <c r="Y222" s="181">
        <v>0</v>
      </c>
      <c r="Z222" s="181">
        <v>0</v>
      </c>
      <c r="AA222" s="181">
        <v>0</v>
      </c>
      <c r="AB222" s="181">
        <v>1496145993.8900001</v>
      </c>
      <c r="AC222" s="181">
        <v>1496145993.8900001</v>
      </c>
      <c r="AD222" s="1180">
        <v>0</v>
      </c>
      <c r="AE222" s="1180">
        <v>0</v>
      </c>
      <c r="AF222" s="181">
        <v>-1496145993.8900001</v>
      </c>
      <c r="AG222" s="181">
        <v>-1496145993.8900001</v>
      </c>
      <c r="AH222" s="181">
        <v>1496145993.8900001</v>
      </c>
      <c r="AI222" s="181">
        <v>1496145993.8900001</v>
      </c>
      <c r="AJ222" s="181">
        <v>0</v>
      </c>
      <c r="AK222" s="181">
        <v>1496145993.8900001</v>
      </c>
      <c r="AL222" s="181">
        <v>0</v>
      </c>
      <c r="AM222" s="181">
        <v>0</v>
      </c>
      <c r="AN222" s="181" t="s">
        <v>36</v>
      </c>
      <c r="AS222" s="181"/>
    </row>
    <row r="223" spans="1:45" hidden="1" x14ac:dyDescent="0.25">
      <c r="A223" s="181">
        <v>307</v>
      </c>
      <c r="B223" s="181">
        <v>20</v>
      </c>
      <c r="C223" s="181" t="s">
        <v>628</v>
      </c>
      <c r="D223" s="1179" t="s">
        <v>606</v>
      </c>
      <c r="E223" s="181">
        <v>10000000</v>
      </c>
      <c r="F223" s="181">
        <v>10000000</v>
      </c>
      <c r="G223" s="181">
        <v>0</v>
      </c>
      <c r="H223" s="181">
        <v>0</v>
      </c>
      <c r="I223" s="181">
        <v>0</v>
      </c>
      <c r="J223" s="181">
        <v>0</v>
      </c>
      <c r="K223" s="181">
        <v>0</v>
      </c>
      <c r="L223" s="181">
        <v>10000000</v>
      </c>
      <c r="M223" s="181">
        <v>0</v>
      </c>
      <c r="N223" s="181">
        <v>0</v>
      </c>
      <c r="O223" s="181">
        <v>0</v>
      </c>
      <c r="P223" s="181">
        <v>0</v>
      </c>
      <c r="Q223" s="181">
        <v>0</v>
      </c>
      <c r="R223" s="181">
        <v>0</v>
      </c>
      <c r="S223" s="181">
        <v>103168804.84</v>
      </c>
      <c r="T223" s="181">
        <v>2763347</v>
      </c>
      <c r="U223" s="181">
        <v>100405457.84</v>
      </c>
      <c r="V223" s="181">
        <v>0</v>
      </c>
      <c r="W223" s="181">
        <v>0</v>
      </c>
      <c r="X223" s="181">
        <v>0</v>
      </c>
      <c r="Y223" s="181">
        <v>0</v>
      </c>
      <c r="Z223" s="181">
        <v>0</v>
      </c>
      <c r="AA223" s="181">
        <v>0</v>
      </c>
      <c r="AB223" s="181">
        <v>103168804.84</v>
      </c>
      <c r="AC223" s="181">
        <v>2763347</v>
      </c>
      <c r="AD223" s="1180">
        <v>100405457.84</v>
      </c>
      <c r="AE223" s="1183">
        <v>100405457.84</v>
      </c>
      <c r="AF223" s="181">
        <v>0</v>
      </c>
      <c r="AG223" s="181">
        <v>0</v>
      </c>
      <c r="AH223" s="181">
        <v>100405457.84</v>
      </c>
      <c r="AI223" s="181">
        <v>103168804.84</v>
      </c>
      <c r="AJ223" s="181">
        <v>2763347</v>
      </c>
      <c r="AK223" s="181">
        <v>103168804.84</v>
      </c>
      <c r="AL223" s="181">
        <v>0</v>
      </c>
      <c r="AM223" s="181">
        <v>2763347</v>
      </c>
      <c r="AN223" s="181" t="s">
        <v>140</v>
      </c>
      <c r="AS223" s="1180">
        <f>SUBTOTAL(9,AE6:AE223)</f>
        <v>0</v>
      </c>
    </row>
    <row r="224" spans="1:45" hidden="1" x14ac:dyDescent="0.25">
      <c r="A224" s="181">
        <v>307</v>
      </c>
      <c r="B224" s="181">
        <v>202</v>
      </c>
      <c r="C224" s="181" t="s">
        <v>1356</v>
      </c>
      <c r="D224" s="1179" t="s">
        <v>606</v>
      </c>
      <c r="E224" s="181">
        <v>0</v>
      </c>
      <c r="F224" s="181">
        <v>0</v>
      </c>
      <c r="G224" s="181">
        <v>1479555993.5899999</v>
      </c>
      <c r="H224" s="181">
        <v>0</v>
      </c>
      <c r="I224" s="181">
        <v>1479555993.5899999</v>
      </c>
      <c r="J224" s="181">
        <v>1479555993.5899999</v>
      </c>
      <c r="K224" s="181">
        <v>0</v>
      </c>
      <c r="L224" s="181">
        <v>1479555993.5899999</v>
      </c>
      <c r="M224" s="181">
        <v>0</v>
      </c>
      <c r="N224" s="181">
        <v>0</v>
      </c>
      <c r="O224" s="181">
        <v>0</v>
      </c>
      <c r="P224" s="181">
        <v>0</v>
      </c>
      <c r="Q224" s="181">
        <v>0</v>
      </c>
      <c r="R224" s="181">
        <v>0</v>
      </c>
      <c r="S224" s="181">
        <v>1496145993.8900001</v>
      </c>
      <c r="T224" s="181">
        <v>0</v>
      </c>
      <c r="U224" s="181">
        <v>1496145993.8900001</v>
      </c>
      <c r="V224" s="181">
        <v>0</v>
      </c>
      <c r="W224" s="181">
        <v>0</v>
      </c>
      <c r="X224" s="181">
        <v>0</v>
      </c>
      <c r="Y224" s="181">
        <v>0</v>
      </c>
      <c r="Z224" s="181">
        <v>0</v>
      </c>
      <c r="AA224" s="181">
        <v>0</v>
      </c>
      <c r="AB224" s="181">
        <v>1496145993.8900001</v>
      </c>
      <c r="AC224" s="181">
        <v>0</v>
      </c>
      <c r="AD224" s="1180">
        <v>1496145993.8900001</v>
      </c>
      <c r="AE224" s="1180">
        <v>1496145993.8900001</v>
      </c>
      <c r="AF224" s="181">
        <v>1496145993.8900001</v>
      </c>
      <c r="AG224" s="181">
        <v>1496145993.8900001</v>
      </c>
      <c r="AH224" s="181">
        <v>0</v>
      </c>
      <c r="AI224" s="181">
        <v>0</v>
      </c>
      <c r="AJ224" s="181">
        <v>0</v>
      </c>
      <c r="AK224" s="181">
        <v>0</v>
      </c>
      <c r="AL224" s="181">
        <v>0</v>
      </c>
      <c r="AM224" s="181">
        <v>0</v>
      </c>
      <c r="AN224" s="181" t="s">
        <v>1734</v>
      </c>
      <c r="AS224" s="181"/>
    </row>
    <row r="225" spans="1:45" hidden="1" x14ac:dyDescent="0.25">
      <c r="A225" s="181">
        <v>307</v>
      </c>
      <c r="B225" s="181">
        <v>84</v>
      </c>
      <c r="C225" s="181" t="s">
        <v>1357</v>
      </c>
      <c r="D225" s="1179" t="s">
        <v>606</v>
      </c>
      <c r="E225" s="181">
        <v>0</v>
      </c>
      <c r="F225" s="181">
        <v>0</v>
      </c>
      <c r="G225" s="181">
        <v>0</v>
      </c>
      <c r="H225" s="181">
        <v>0</v>
      </c>
      <c r="I225" s="181">
        <v>0</v>
      </c>
      <c r="J225" s="181">
        <v>0</v>
      </c>
      <c r="K225" s="181">
        <v>0</v>
      </c>
      <c r="L225" s="181">
        <v>0</v>
      </c>
      <c r="M225" s="181">
        <v>0</v>
      </c>
      <c r="N225" s="181">
        <v>0</v>
      </c>
      <c r="O225" s="181">
        <v>0</v>
      </c>
      <c r="P225" s="181">
        <v>0</v>
      </c>
      <c r="Q225" s="181">
        <v>0</v>
      </c>
      <c r="R225" s="181">
        <v>0</v>
      </c>
      <c r="S225" s="181">
        <v>0</v>
      </c>
      <c r="T225" s="181">
        <v>0</v>
      </c>
      <c r="U225" s="181">
        <v>0</v>
      </c>
      <c r="V225" s="181">
        <v>0</v>
      </c>
      <c r="W225" s="181">
        <v>0</v>
      </c>
      <c r="X225" s="181">
        <v>0</v>
      </c>
      <c r="Y225" s="181">
        <v>0</v>
      </c>
      <c r="Z225" s="181">
        <v>0</v>
      </c>
      <c r="AA225" s="181">
        <v>0</v>
      </c>
      <c r="AB225" s="181">
        <v>0</v>
      </c>
      <c r="AC225" s="181">
        <v>0</v>
      </c>
      <c r="AD225" s="1180">
        <v>0</v>
      </c>
      <c r="AE225" s="1180">
        <v>0</v>
      </c>
      <c r="AF225" s="181">
        <v>0</v>
      </c>
      <c r="AG225" s="181">
        <v>0</v>
      </c>
      <c r="AH225" s="181">
        <v>0</v>
      </c>
      <c r="AI225" s="181">
        <v>0</v>
      </c>
      <c r="AJ225" s="181">
        <v>0</v>
      </c>
      <c r="AK225" s="181">
        <v>0</v>
      </c>
      <c r="AL225" s="181">
        <v>0</v>
      </c>
      <c r="AM225" s="181">
        <v>0</v>
      </c>
      <c r="AN225" s="181" t="s">
        <v>195</v>
      </c>
      <c r="AS225" s="181"/>
    </row>
    <row r="226" spans="1:45" hidden="1" x14ac:dyDescent="0.25">
      <c r="A226" s="181">
        <v>307</v>
      </c>
      <c r="B226" s="181">
        <v>88</v>
      </c>
      <c r="C226" s="181" t="s">
        <v>630</v>
      </c>
      <c r="D226" s="1179" t="s">
        <v>606</v>
      </c>
      <c r="E226" s="181">
        <v>0</v>
      </c>
      <c r="F226" s="181">
        <v>0</v>
      </c>
      <c r="G226" s="181">
        <v>0</v>
      </c>
      <c r="H226" s="181">
        <v>0</v>
      </c>
      <c r="I226" s="181">
        <v>0</v>
      </c>
      <c r="J226" s="181">
        <v>0</v>
      </c>
      <c r="K226" s="181">
        <v>0</v>
      </c>
      <c r="L226" s="181">
        <v>0</v>
      </c>
      <c r="M226" s="181">
        <v>0</v>
      </c>
      <c r="N226" s="181">
        <v>0</v>
      </c>
      <c r="O226" s="181">
        <v>0</v>
      </c>
      <c r="P226" s="181">
        <v>0</v>
      </c>
      <c r="Q226" s="181">
        <v>0</v>
      </c>
      <c r="R226" s="181">
        <v>0</v>
      </c>
      <c r="S226" s="181">
        <v>46247244.350000001</v>
      </c>
      <c r="T226" s="181">
        <v>0</v>
      </c>
      <c r="U226" s="181">
        <v>46247244.350000001</v>
      </c>
      <c r="V226" s="181">
        <v>0</v>
      </c>
      <c r="W226" s="181">
        <v>0</v>
      </c>
      <c r="X226" s="181">
        <v>0</v>
      </c>
      <c r="Y226" s="181">
        <v>0</v>
      </c>
      <c r="Z226" s="181">
        <v>0</v>
      </c>
      <c r="AA226" s="181">
        <v>0</v>
      </c>
      <c r="AB226" s="181">
        <v>46247244.350000001</v>
      </c>
      <c r="AC226" s="181">
        <v>0</v>
      </c>
      <c r="AD226" s="1180">
        <v>46247244.350000001</v>
      </c>
      <c r="AE226" s="1180">
        <v>46247244.350000001</v>
      </c>
      <c r="AF226" s="181">
        <v>0</v>
      </c>
      <c r="AG226" s="181">
        <v>0</v>
      </c>
      <c r="AH226" s="181">
        <v>46247244.350000001</v>
      </c>
      <c r="AI226" s="181">
        <v>46247244.350000001</v>
      </c>
      <c r="AJ226" s="181">
        <v>0</v>
      </c>
      <c r="AK226" s="181">
        <v>46247244.350000001</v>
      </c>
      <c r="AL226" s="181">
        <v>0</v>
      </c>
      <c r="AM226" s="181">
        <v>0</v>
      </c>
      <c r="AN226" s="181" t="s">
        <v>199</v>
      </c>
      <c r="AS226" s="181"/>
    </row>
    <row r="227" spans="1:45" hidden="1" x14ac:dyDescent="0.25">
      <c r="A227" s="181">
        <v>307</v>
      </c>
      <c r="B227" s="181">
        <v>20</v>
      </c>
      <c r="C227" s="181" t="s">
        <v>1358</v>
      </c>
      <c r="D227" s="1179" t="s">
        <v>1359</v>
      </c>
      <c r="E227" s="181">
        <v>0</v>
      </c>
      <c r="F227" s="181">
        <v>0</v>
      </c>
      <c r="G227" s="181">
        <v>0</v>
      </c>
      <c r="H227" s="181">
        <v>0</v>
      </c>
      <c r="I227" s="181">
        <v>0</v>
      </c>
      <c r="J227" s="181">
        <v>0</v>
      </c>
      <c r="K227" s="181">
        <v>0</v>
      </c>
      <c r="L227" s="181">
        <v>0</v>
      </c>
      <c r="M227" s="181">
        <v>0</v>
      </c>
      <c r="N227" s="181">
        <v>0</v>
      </c>
      <c r="O227" s="181">
        <v>0</v>
      </c>
      <c r="P227" s="181">
        <v>0</v>
      </c>
      <c r="Q227" s="181">
        <v>0</v>
      </c>
      <c r="R227" s="181">
        <v>0</v>
      </c>
      <c r="S227" s="181">
        <v>0</v>
      </c>
      <c r="T227" s="181">
        <v>0</v>
      </c>
      <c r="U227" s="181">
        <v>0</v>
      </c>
      <c r="V227" s="181">
        <v>0</v>
      </c>
      <c r="W227" s="181">
        <v>0</v>
      </c>
      <c r="X227" s="181">
        <v>0</v>
      </c>
      <c r="Y227" s="181">
        <v>0</v>
      </c>
      <c r="Z227" s="181">
        <v>0</v>
      </c>
      <c r="AA227" s="181">
        <v>0</v>
      </c>
      <c r="AB227" s="181">
        <v>0</v>
      </c>
      <c r="AC227" s="181">
        <v>0</v>
      </c>
      <c r="AD227" s="1180">
        <v>0</v>
      </c>
      <c r="AE227" s="1180">
        <v>0</v>
      </c>
      <c r="AF227" s="181">
        <v>0</v>
      </c>
      <c r="AG227" s="181">
        <v>0</v>
      </c>
      <c r="AH227" s="181">
        <v>0</v>
      </c>
      <c r="AI227" s="181">
        <v>0</v>
      </c>
      <c r="AJ227" s="181">
        <v>0</v>
      </c>
      <c r="AK227" s="181">
        <v>0</v>
      </c>
      <c r="AL227" s="181">
        <v>0</v>
      </c>
      <c r="AM227" s="181">
        <v>0</v>
      </c>
      <c r="AN227" s="181" t="s">
        <v>140</v>
      </c>
      <c r="AS227" s="181"/>
    </row>
    <row r="228" spans="1:45" hidden="1" x14ac:dyDescent="0.25">
      <c r="A228" s="181">
        <v>314</v>
      </c>
      <c r="B228" s="181" t="s">
        <v>226</v>
      </c>
      <c r="C228" s="181" t="s">
        <v>632</v>
      </c>
      <c r="D228" s="1179" t="s">
        <v>228</v>
      </c>
      <c r="E228" s="181">
        <v>190482000000</v>
      </c>
      <c r="F228" s="181">
        <v>190482000000</v>
      </c>
      <c r="G228" s="181">
        <v>5001374668.2200003</v>
      </c>
      <c r="H228" s="181">
        <v>15191182012.73</v>
      </c>
      <c r="I228" s="181">
        <v>-10189807344.51</v>
      </c>
      <c r="J228" s="181">
        <v>5001374668.2200003</v>
      </c>
      <c r="K228" s="181">
        <v>15191182012.73</v>
      </c>
      <c r="L228" s="181">
        <v>180292192655.48999</v>
      </c>
      <c r="M228" s="181">
        <v>0</v>
      </c>
      <c r="N228" s="181">
        <v>0</v>
      </c>
      <c r="O228" s="181">
        <v>0</v>
      </c>
      <c r="P228" s="181">
        <v>0</v>
      </c>
      <c r="Q228" s="181">
        <v>0</v>
      </c>
      <c r="R228" s="181">
        <v>0</v>
      </c>
      <c r="S228" s="181">
        <v>201555051099.26001</v>
      </c>
      <c r="T228" s="181">
        <v>21165786704.360001</v>
      </c>
      <c r="U228" s="181">
        <v>180389264394.89999</v>
      </c>
      <c r="V228" s="181">
        <v>0</v>
      </c>
      <c r="W228" s="181">
        <v>0</v>
      </c>
      <c r="X228" s="181">
        <v>0</v>
      </c>
      <c r="Y228" s="181">
        <v>0</v>
      </c>
      <c r="Z228" s="181">
        <v>0</v>
      </c>
      <c r="AA228" s="181">
        <v>0</v>
      </c>
      <c r="AB228" s="181">
        <v>201555051099.26001</v>
      </c>
      <c r="AC228" s="181">
        <v>21165786704.360001</v>
      </c>
      <c r="AD228" s="1180">
        <v>180389264394.89999</v>
      </c>
      <c r="AE228" s="1180">
        <v>180389264394.89999</v>
      </c>
      <c r="AF228" s="181">
        <v>24470473214.98</v>
      </c>
      <c r="AG228" s="181">
        <v>24470473214.98</v>
      </c>
      <c r="AH228" s="181">
        <v>156116514082.07001</v>
      </c>
      <c r="AI228" s="181">
        <v>176468805110.54999</v>
      </c>
      <c r="AJ228" s="181">
        <v>20352291028.48</v>
      </c>
      <c r="AK228" s="181">
        <v>176468805110.54999</v>
      </c>
      <c r="AL228" s="181">
        <v>0</v>
      </c>
      <c r="AM228" s="181">
        <v>20352291028.48</v>
      </c>
      <c r="AN228" s="181" t="s">
        <v>1709</v>
      </c>
      <c r="AS228" s="181"/>
    </row>
    <row r="229" spans="1:45" hidden="1" x14ac:dyDescent="0.25">
      <c r="A229" s="181">
        <v>314</v>
      </c>
      <c r="B229" s="181" t="s">
        <v>226</v>
      </c>
      <c r="C229" s="181" t="s">
        <v>633</v>
      </c>
      <c r="D229" s="1179" t="s">
        <v>230</v>
      </c>
      <c r="E229" s="181">
        <v>190387000000</v>
      </c>
      <c r="F229" s="181">
        <v>190387000000</v>
      </c>
      <c r="G229" s="181">
        <v>981465045</v>
      </c>
      <c r="H229" s="181">
        <v>15177806495</v>
      </c>
      <c r="I229" s="181">
        <v>-14196341450</v>
      </c>
      <c r="J229" s="181">
        <v>981465045</v>
      </c>
      <c r="K229" s="181">
        <v>15177806495</v>
      </c>
      <c r="L229" s="181">
        <v>176190658550</v>
      </c>
      <c r="M229" s="181">
        <v>0</v>
      </c>
      <c r="N229" s="181">
        <v>0</v>
      </c>
      <c r="O229" s="181">
        <v>0</v>
      </c>
      <c r="P229" s="181">
        <v>0</v>
      </c>
      <c r="Q229" s="181">
        <v>0</v>
      </c>
      <c r="R229" s="181">
        <v>0</v>
      </c>
      <c r="S229" s="181">
        <v>197119142740</v>
      </c>
      <c r="T229" s="181">
        <v>20928484190</v>
      </c>
      <c r="U229" s="181">
        <v>176190658550</v>
      </c>
      <c r="V229" s="181">
        <v>0</v>
      </c>
      <c r="W229" s="181">
        <v>0</v>
      </c>
      <c r="X229" s="181">
        <v>0</v>
      </c>
      <c r="Y229" s="181">
        <v>0</v>
      </c>
      <c r="Z229" s="181">
        <v>0</v>
      </c>
      <c r="AA229" s="181">
        <v>0</v>
      </c>
      <c r="AB229" s="181">
        <v>197119142740</v>
      </c>
      <c r="AC229" s="181">
        <v>20928484190</v>
      </c>
      <c r="AD229" s="1180">
        <v>176190658550</v>
      </c>
      <c r="AE229" s="1180">
        <v>176190658550</v>
      </c>
      <c r="AF229" s="181">
        <v>20731219763</v>
      </c>
      <c r="AG229" s="181">
        <v>20731219763</v>
      </c>
      <c r="AH229" s="181">
        <v>155459438787</v>
      </c>
      <c r="AI229" s="181">
        <v>175775453853</v>
      </c>
      <c r="AJ229" s="181">
        <v>20316015066</v>
      </c>
      <c r="AK229" s="181">
        <v>175775453853</v>
      </c>
      <c r="AL229" s="181">
        <v>0</v>
      </c>
      <c r="AM229" s="181">
        <v>20316015066</v>
      </c>
      <c r="AN229" s="181" t="s">
        <v>1709</v>
      </c>
      <c r="AS229" s="181"/>
    </row>
    <row r="230" spans="1:45" hidden="1" x14ac:dyDescent="0.25">
      <c r="A230" s="181">
        <v>314</v>
      </c>
      <c r="B230" s="181" t="s">
        <v>226</v>
      </c>
      <c r="C230" s="181" t="s">
        <v>634</v>
      </c>
      <c r="D230" s="1179" t="s">
        <v>311</v>
      </c>
      <c r="E230" s="181">
        <v>190387000000</v>
      </c>
      <c r="F230" s="181">
        <v>190387000000</v>
      </c>
      <c r="G230" s="181">
        <v>981465045</v>
      </c>
      <c r="H230" s="181">
        <v>15177806495</v>
      </c>
      <c r="I230" s="181">
        <v>-14196341450</v>
      </c>
      <c r="J230" s="181">
        <v>981465045</v>
      </c>
      <c r="K230" s="181">
        <v>15177806495</v>
      </c>
      <c r="L230" s="181">
        <v>176190658550</v>
      </c>
      <c r="M230" s="181">
        <v>0</v>
      </c>
      <c r="N230" s="181">
        <v>0</v>
      </c>
      <c r="O230" s="181">
        <v>0</v>
      </c>
      <c r="P230" s="181">
        <v>0</v>
      </c>
      <c r="Q230" s="181">
        <v>0</v>
      </c>
      <c r="R230" s="181">
        <v>0</v>
      </c>
      <c r="S230" s="181">
        <v>197119142740</v>
      </c>
      <c r="T230" s="181">
        <v>20928484190</v>
      </c>
      <c r="U230" s="181">
        <v>176190658550</v>
      </c>
      <c r="V230" s="181">
        <v>0</v>
      </c>
      <c r="W230" s="181">
        <v>0</v>
      </c>
      <c r="X230" s="181">
        <v>0</v>
      </c>
      <c r="Y230" s="181">
        <v>0</v>
      </c>
      <c r="Z230" s="181">
        <v>0</v>
      </c>
      <c r="AA230" s="181">
        <v>0</v>
      </c>
      <c r="AB230" s="181">
        <v>197119142740</v>
      </c>
      <c r="AC230" s="181">
        <v>20928484190</v>
      </c>
      <c r="AD230" s="1180">
        <v>176190658550</v>
      </c>
      <c r="AE230" s="1180">
        <v>176190658550</v>
      </c>
      <c r="AF230" s="181">
        <v>20731219763</v>
      </c>
      <c r="AG230" s="181">
        <v>20731219763</v>
      </c>
      <c r="AH230" s="181">
        <v>155459438787</v>
      </c>
      <c r="AI230" s="181">
        <v>175775453853</v>
      </c>
      <c r="AJ230" s="181">
        <v>20316015066</v>
      </c>
      <c r="AK230" s="181">
        <v>175775453853</v>
      </c>
      <c r="AL230" s="181">
        <v>0</v>
      </c>
      <c r="AM230" s="181">
        <v>20316015066</v>
      </c>
      <c r="AN230" s="181" t="s">
        <v>1709</v>
      </c>
      <c r="AS230" s="181"/>
    </row>
    <row r="231" spans="1:45" hidden="1" x14ac:dyDescent="0.25">
      <c r="A231" s="181">
        <v>314</v>
      </c>
      <c r="B231" s="181" t="s">
        <v>226</v>
      </c>
      <c r="C231" s="181" t="s">
        <v>635</v>
      </c>
      <c r="D231" s="1179" t="s">
        <v>406</v>
      </c>
      <c r="E231" s="181">
        <v>190387000000</v>
      </c>
      <c r="F231" s="181">
        <v>190387000000</v>
      </c>
      <c r="G231" s="181">
        <v>981465045</v>
      </c>
      <c r="H231" s="181">
        <v>15177806495</v>
      </c>
      <c r="I231" s="181">
        <v>-14196341450</v>
      </c>
      <c r="J231" s="181">
        <v>981465045</v>
      </c>
      <c r="K231" s="181">
        <v>15177806495</v>
      </c>
      <c r="L231" s="181">
        <v>176190658550</v>
      </c>
      <c r="M231" s="181">
        <v>0</v>
      </c>
      <c r="N231" s="181">
        <v>0</v>
      </c>
      <c r="O231" s="181">
        <v>0</v>
      </c>
      <c r="P231" s="181">
        <v>0</v>
      </c>
      <c r="Q231" s="181">
        <v>0</v>
      </c>
      <c r="R231" s="181">
        <v>0</v>
      </c>
      <c r="S231" s="181">
        <v>197119142740</v>
      </c>
      <c r="T231" s="181">
        <v>20928484190</v>
      </c>
      <c r="U231" s="181">
        <v>176190658550</v>
      </c>
      <c r="V231" s="181">
        <v>0</v>
      </c>
      <c r="W231" s="181">
        <v>0</v>
      </c>
      <c r="X231" s="181">
        <v>0</v>
      </c>
      <c r="Y231" s="181">
        <v>0</v>
      </c>
      <c r="Z231" s="181">
        <v>0</v>
      </c>
      <c r="AA231" s="181">
        <v>0</v>
      </c>
      <c r="AB231" s="181">
        <v>197119142740</v>
      </c>
      <c r="AC231" s="181">
        <v>20928484190</v>
      </c>
      <c r="AD231" s="1180">
        <v>176190658550</v>
      </c>
      <c r="AE231" s="1180">
        <v>176190658550</v>
      </c>
      <c r="AF231" s="181">
        <v>20731219763</v>
      </c>
      <c r="AG231" s="181">
        <v>20731219763</v>
      </c>
      <c r="AH231" s="181">
        <v>155459438787</v>
      </c>
      <c r="AI231" s="181">
        <v>175775453853</v>
      </c>
      <c r="AJ231" s="181">
        <v>20316015066</v>
      </c>
      <c r="AK231" s="181">
        <v>175775453853</v>
      </c>
      <c r="AL231" s="181">
        <v>0</v>
      </c>
      <c r="AM231" s="181">
        <v>20316015066</v>
      </c>
      <c r="AN231" s="181" t="s">
        <v>1709</v>
      </c>
      <c r="AS231" s="181"/>
    </row>
    <row r="232" spans="1:45" ht="30" hidden="1" x14ac:dyDescent="0.25">
      <c r="A232" s="181">
        <v>314</v>
      </c>
      <c r="B232" s="181" t="s">
        <v>226</v>
      </c>
      <c r="C232" s="181" t="s">
        <v>636</v>
      </c>
      <c r="D232" s="1179" t="s">
        <v>408</v>
      </c>
      <c r="E232" s="181">
        <v>179387000000</v>
      </c>
      <c r="F232" s="181">
        <v>179387000000</v>
      </c>
      <c r="G232" s="181">
        <v>615778490</v>
      </c>
      <c r="H232" s="181">
        <v>13145281262</v>
      </c>
      <c r="I232" s="181">
        <v>-12529502772</v>
      </c>
      <c r="J232" s="181">
        <v>615778490</v>
      </c>
      <c r="K232" s="181">
        <v>13145281262</v>
      </c>
      <c r="L232" s="181">
        <v>166857497228</v>
      </c>
      <c r="M232" s="181">
        <v>0</v>
      </c>
      <c r="N232" s="181">
        <v>0</v>
      </c>
      <c r="O232" s="181">
        <v>0</v>
      </c>
      <c r="P232" s="181">
        <v>0</v>
      </c>
      <c r="Q232" s="181">
        <v>0</v>
      </c>
      <c r="R232" s="181">
        <v>0</v>
      </c>
      <c r="S232" s="181">
        <v>187785981418</v>
      </c>
      <c r="T232" s="181">
        <v>20928484190</v>
      </c>
      <c r="U232" s="181">
        <v>166857497228</v>
      </c>
      <c r="V232" s="181">
        <v>0</v>
      </c>
      <c r="W232" s="181">
        <v>0</v>
      </c>
      <c r="X232" s="181">
        <v>0</v>
      </c>
      <c r="Y232" s="181">
        <v>0</v>
      </c>
      <c r="Z232" s="181">
        <v>0</v>
      </c>
      <c r="AA232" s="181">
        <v>0</v>
      </c>
      <c r="AB232" s="181">
        <v>187785981418</v>
      </c>
      <c r="AC232" s="181">
        <v>20928484190</v>
      </c>
      <c r="AD232" s="1180">
        <v>166857497228</v>
      </c>
      <c r="AE232" s="1180">
        <v>166857497228</v>
      </c>
      <c r="AF232" s="181">
        <v>20731219763</v>
      </c>
      <c r="AG232" s="181">
        <v>20731219763</v>
      </c>
      <c r="AH232" s="181">
        <v>146126277465</v>
      </c>
      <c r="AI232" s="181">
        <v>166442292531</v>
      </c>
      <c r="AJ232" s="181">
        <v>20316015066</v>
      </c>
      <c r="AK232" s="181">
        <v>166442292531</v>
      </c>
      <c r="AL232" s="181">
        <v>0</v>
      </c>
      <c r="AM232" s="181">
        <v>20316015066</v>
      </c>
      <c r="AN232" s="181" t="s">
        <v>1709</v>
      </c>
      <c r="AS232" s="181"/>
    </row>
    <row r="233" spans="1:45" hidden="1" x14ac:dyDescent="0.25">
      <c r="A233" s="181">
        <v>314</v>
      </c>
      <c r="B233" s="181" t="s">
        <v>226</v>
      </c>
      <c r="C233" s="181" t="s">
        <v>637</v>
      </c>
      <c r="D233" s="1179" t="s">
        <v>638</v>
      </c>
      <c r="E233" s="181">
        <v>179387000000</v>
      </c>
      <c r="F233" s="181">
        <v>179387000000</v>
      </c>
      <c r="G233" s="181">
        <v>615778490</v>
      </c>
      <c r="H233" s="181">
        <v>13145281262</v>
      </c>
      <c r="I233" s="181">
        <v>-12529502772</v>
      </c>
      <c r="J233" s="181">
        <v>615778490</v>
      </c>
      <c r="K233" s="181">
        <v>13145281262</v>
      </c>
      <c r="L233" s="181">
        <v>166857497228</v>
      </c>
      <c r="M233" s="181">
        <v>0</v>
      </c>
      <c r="N233" s="181">
        <v>0</v>
      </c>
      <c r="O233" s="181">
        <v>0</v>
      </c>
      <c r="P233" s="181">
        <v>0</v>
      </c>
      <c r="Q233" s="181">
        <v>0</v>
      </c>
      <c r="R233" s="181">
        <v>0</v>
      </c>
      <c r="S233" s="181">
        <v>187785981418</v>
      </c>
      <c r="T233" s="181">
        <v>20928484190</v>
      </c>
      <c r="U233" s="181">
        <v>166857497228</v>
      </c>
      <c r="V233" s="181">
        <v>0</v>
      </c>
      <c r="W233" s="181">
        <v>0</v>
      </c>
      <c r="X233" s="181">
        <v>0</v>
      </c>
      <c r="Y233" s="181">
        <v>0</v>
      </c>
      <c r="Z233" s="181">
        <v>0</v>
      </c>
      <c r="AA233" s="181">
        <v>0</v>
      </c>
      <c r="AB233" s="181">
        <v>187785981418</v>
      </c>
      <c r="AC233" s="181">
        <v>20928484190</v>
      </c>
      <c r="AD233" s="1180">
        <v>166857497228</v>
      </c>
      <c r="AE233" s="1180">
        <v>166857497228</v>
      </c>
      <c r="AF233" s="181">
        <v>20731219763</v>
      </c>
      <c r="AG233" s="181">
        <v>20731219763</v>
      </c>
      <c r="AH233" s="181">
        <v>146126277465</v>
      </c>
      <c r="AI233" s="181">
        <v>166442292531</v>
      </c>
      <c r="AJ233" s="181">
        <v>20316015066</v>
      </c>
      <c r="AK233" s="181">
        <v>166442292531</v>
      </c>
      <c r="AL233" s="181">
        <v>0</v>
      </c>
      <c r="AM233" s="181">
        <v>20316015066</v>
      </c>
      <c r="AN233" s="181" t="s">
        <v>1709</v>
      </c>
      <c r="AS233" s="181"/>
    </row>
    <row r="234" spans="1:45" ht="30" hidden="1" x14ac:dyDescent="0.25">
      <c r="A234" s="181">
        <v>314</v>
      </c>
      <c r="B234" s="181">
        <v>25</v>
      </c>
      <c r="C234" s="181" t="s">
        <v>639</v>
      </c>
      <c r="D234" s="1179" t="s">
        <v>640</v>
      </c>
      <c r="E234" s="181">
        <v>150387000000</v>
      </c>
      <c r="F234" s="181">
        <v>150387000000</v>
      </c>
      <c r="G234" s="181">
        <v>615778490</v>
      </c>
      <c r="H234" s="181">
        <v>4876501025</v>
      </c>
      <c r="I234" s="181">
        <v>-4260722535</v>
      </c>
      <c r="J234" s="181">
        <v>615778490</v>
      </c>
      <c r="K234" s="181">
        <v>4876501025</v>
      </c>
      <c r="L234" s="181">
        <v>146126277465</v>
      </c>
      <c r="M234" s="181">
        <v>0</v>
      </c>
      <c r="N234" s="181">
        <v>0</v>
      </c>
      <c r="O234" s="181">
        <v>0</v>
      </c>
      <c r="P234" s="181">
        <v>0</v>
      </c>
      <c r="Q234" s="181">
        <v>0</v>
      </c>
      <c r="R234" s="181">
        <v>0</v>
      </c>
      <c r="S234" s="181">
        <v>166442292531</v>
      </c>
      <c r="T234" s="181">
        <v>20316015066</v>
      </c>
      <c r="U234" s="181">
        <v>146126277465</v>
      </c>
      <c r="V234" s="181">
        <v>0</v>
      </c>
      <c r="W234" s="181">
        <v>0</v>
      </c>
      <c r="X234" s="181">
        <v>0</v>
      </c>
      <c r="Y234" s="181">
        <v>0</v>
      </c>
      <c r="Z234" s="181">
        <v>0</v>
      </c>
      <c r="AA234" s="181">
        <v>0</v>
      </c>
      <c r="AB234" s="181">
        <v>166442292531</v>
      </c>
      <c r="AC234" s="181">
        <v>20316015066</v>
      </c>
      <c r="AD234" s="1180">
        <v>146126277465</v>
      </c>
      <c r="AE234" s="1183">
        <v>146126277465</v>
      </c>
      <c r="AF234" s="181">
        <v>0</v>
      </c>
      <c r="AG234" s="181">
        <v>0</v>
      </c>
      <c r="AH234" s="181">
        <v>146126277465</v>
      </c>
      <c r="AI234" s="181">
        <v>166442292531</v>
      </c>
      <c r="AJ234" s="181">
        <v>20316015066</v>
      </c>
      <c r="AK234" s="181">
        <v>166442292531</v>
      </c>
      <c r="AL234" s="181">
        <v>0</v>
      </c>
      <c r="AM234" s="181">
        <v>20316015066</v>
      </c>
      <c r="AN234" s="181" t="s">
        <v>147</v>
      </c>
    </row>
    <row r="235" spans="1:45" ht="30" hidden="1" x14ac:dyDescent="0.25">
      <c r="A235" s="181">
        <v>314</v>
      </c>
      <c r="B235" s="181">
        <v>26</v>
      </c>
      <c r="C235" s="181" t="s">
        <v>641</v>
      </c>
      <c r="D235" s="1179" t="s">
        <v>640</v>
      </c>
      <c r="E235" s="181">
        <v>29000000000</v>
      </c>
      <c r="F235" s="181">
        <v>29000000000</v>
      </c>
      <c r="G235" s="181">
        <v>0</v>
      </c>
      <c r="H235" s="181">
        <v>8268780237</v>
      </c>
      <c r="I235" s="181">
        <v>-8268780237</v>
      </c>
      <c r="J235" s="181">
        <v>0</v>
      </c>
      <c r="K235" s="181">
        <v>8268780237</v>
      </c>
      <c r="L235" s="181">
        <v>20731219763</v>
      </c>
      <c r="M235" s="181">
        <v>0</v>
      </c>
      <c r="N235" s="181">
        <v>0</v>
      </c>
      <c r="O235" s="181">
        <v>0</v>
      </c>
      <c r="P235" s="181">
        <v>0</v>
      </c>
      <c r="Q235" s="181">
        <v>0</v>
      </c>
      <c r="R235" s="181">
        <v>0</v>
      </c>
      <c r="S235" s="181">
        <v>21343688887</v>
      </c>
      <c r="T235" s="181">
        <v>612469124</v>
      </c>
      <c r="U235" s="181">
        <v>20731219763</v>
      </c>
      <c r="V235" s="181">
        <v>0</v>
      </c>
      <c r="W235" s="181">
        <v>0</v>
      </c>
      <c r="X235" s="181">
        <v>0</v>
      </c>
      <c r="Y235" s="181">
        <v>0</v>
      </c>
      <c r="Z235" s="181">
        <v>0</v>
      </c>
      <c r="AA235" s="181">
        <v>0</v>
      </c>
      <c r="AB235" s="181">
        <v>21343688887</v>
      </c>
      <c r="AC235" s="181">
        <v>612469124</v>
      </c>
      <c r="AD235" s="1180">
        <v>20731219763</v>
      </c>
      <c r="AE235" s="1183">
        <v>20731219763</v>
      </c>
      <c r="AF235" s="181">
        <v>20731219763</v>
      </c>
      <c r="AG235" s="181">
        <v>20731219763</v>
      </c>
      <c r="AH235" s="181">
        <v>0</v>
      </c>
      <c r="AI235" s="181">
        <v>0</v>
      </c>
      <c r="AJ235" s="181">
        <v>0</v>
      </c>
      <c r="AK235" s="181">
        <v>0</v>
      </c>
      <c r="AL235" s="181">
        <v>0</v>
      </c>
      <c r="AM235" s="181">
        <v>0</v>
      </c>
      <c r="AN235" s="181" t="s">
        <v>149</v>
      </c>
    </row>
    <row r="236" spans="1:45" ht="45" hidden="1" x14ac:dyDescent="0.25">
      <c r="A236" s="181">
        <v>314</v>
      </c>
      <c r="B236" s="181" t="s">
        <v>226</v>
      </c>
      <c r="C236" s="181" t="s">
        <v>642</v>
      </c>
      <c r="D236" s="1179" t="s">
        <v>428</v>
      </c>
      <c r="E236" s="181">
        <v>11000000000</v>
      </c>
      <c r="F236" s="181">
        <v>11000000000</v>
      </c>
      <c r="G236" s="181">
        <v>365686555</v>
      </c>
      <c r="H236" s="181">
        <v>2032525233</v>
      </c>
      <c r="I236" s="181">
        <v>-1666838678</v>
      </c>
      <c r="J236" s="181">
        <v>365686555</v>
      </c>
      <c r="K236" s="181">
        <v>2032525233</v>
      </c>
      <c r="L236" s="181">
        <v>9333161322</v>
      </c>
      <c r="M236" s="181">
        <v>0</v>
      </c>
      <c r="N236" s="181">
        <v>0</v>
      </c>
      <c r="O236" s="181">
        <v>0</v>
      </c>
      <c r="P236" s="181">
        <v>0</v>
      </c>
      <c r="Q236" s="181">
        <v>0</v>
      </c>
      <c r="R236" s="181">
        <v>0</v>
      </c>
      <c r="S236" s="181">
        <v>9333161322</v>
      </c>
      <c r="T236" s="181">
        <v>0</v>
      </c>
      <c r="U236" s="181">
        <v>9333161322</v>
      </c>
      <c r="V236" s="181">
        <v>0</v>
      </c>
      <c r="W236" s="181">
        <v>0</v>
      </c>
      <c r="X236" s="181">
        <v>0</v>
      </c>
      <c r="Y236" s="181">
        <v>0</v>
      </c>
      <c r="Z236" s="181">
        <v>0</v>
      </c>
      <c r="AA236" s="181">
        <v>0</v>
      </c>
      <c r="AB236" s="181">
        <v>9333161322</v>
      </c>
      <c r="AC236" s="181">
        <v>0</v>
      </c>
      <c r="AD236" s="1180">
        <v>9333161322</v>
      </c>
      <c r="AE236" s="1180">
        <v>9333161322</v>
      </c>
      <c r="AF236" s="181">
        <v>0</v>
      </c>
      <c r="AG236" s="181">
        <v>0</v>
      </c>
      <c r="AH236" s="181">
        <v>9333161322</v>
      </c>
      <c r="AI236" s="181">
        <v>9333161322</v>
      </c>
      <c r="AJ236" s="181">
        <v>0</v>
      </c>
      <c r="AK236" s="181">
        <v>9333161322</v>
      </c>
      <c r="AL236" s="181">
        <v>0</v>
      </c>
      <c r="AM236" s="181">
        <v>0</v>
      </c>
      <c r="AN236" s="181" t="s">
        <v>1709</v>
      </c>
      <c r="AS236" s="181"/>
    </row>
    <row r="237" spans="1:45" hidden="1" x14ac:dyDescent="0.25">
      <c r="A237" s="181">
        <v>314</v>
      </c>
      <c r="B237" s="181" t="s">
        <v>226</v>
      </c>
      <c r="C237" s="181" t="s">
        <v>643</v>
      </c>
      <c r="D237" s="1179" t="s">
        <v>430</v>
      </c>
      <c r="E237" s="181">
        <v>11000000000</v>
      </c>
      <c r="F237" s="181">
        <v>11000000000</v>
      </c>
      <c r="G237" s="181">
        <v>365686555</v>
      </c>
      <c r="H237" s="181">
        <v>2032525233</v>
      </c>
      <c r="I237" s="181">
        <v>-1666838678</v>
      </c>
      <c r="J237" s="181">
        <v>365686555</v>
      </c>
      <c r="K237" s="181">
        <v>2032525233</v>
      </c>
      <c r="L237" s="181">
        <v>9333161322</v>
      </c>
      <c r="M237" s="181">
        <v>0</v>
      </c>
      <c r="N237" s="181">
        <v>0</v>
      </c>
      <c r="O237" s="181">
        <v>0</v>
      </c>
      <c r="P237" s="181">
        <v>0</v>
      </c>
      <c r="Q237" s="181">
        <v>0</v>
      </c>
      <c r="R237" s="181">
        <v>0</v>
      </c>
      <c r="S237" s="181">
        <v>9333161322</v>
      </c>
      <c r="T237" s="181">
        <v>0</v>
      </c>
      <c r="U237" s="181">
        <v>9333161322</v>
      </c>
      <c r="V237" s="181">
        <v>0</v>
      </c>
      <c r="W237" s="181">
        <v>0</v>
      </c>
      <c r="X237" s="181">
        <v>0</v>
      </c>
      <c r="Y237" s="181">
        <v>0</v>
      </c>
      <c r="Z237" s="181">
        <v>0</v>
      </c>
      <c r="AA237" s="181">
        <v>0</v>
      </c>
      <c r="AB237" s="181">
        <v>9333161322</v>
      </c>
      <c r="AC237" s="181">
        <v>0</v>
      </c>
      <c r="AD237" s="1180">
        <v>9333161322</v>
      </c>
      <c r="AE237" s="1180">
        <v>9333161322</v>
      </c>
      <c r="AF237" s="181">
        <v>0</v>
      </c>
      <c r="AG237" s="181">
        <v>0</v>
      </c>
      <c r="AH237" s="181">
        <v>9333161322</v>
      </c>
      <c r="AI237" s="181">
        <v>9333161322</v>
      </c>
      <c r="AJ237" s="181">
        <v>0</v>
      </c>
      <c r="AK237" s="181">
        <v>9333161322</v>
      </c>
      <c r="AL237" s="181">
        <v>0</v>
      </c>
      <c r="AM237" s="181">
        <v>0</v>
      </c>
      <c r="AN237" s="181" t="s">
        <v>1709</v>
      </c>
      <c r="AS237" s="181"/>
    </row>
    <row r="238" spans="1:45" hidden="1" x14ac:dyDescent="0.25">
      <c r="A238" s="181">
        <v>314</v>
      </c>
      <c r="B238" s="181" t="s">
        <v>226</v>
      </c>
      <c r="C238" s="181" t="s">
        <v>644</v>
      </c>
      <c r="D238" s="1179" t="s">
        <v>430</v>
      </c>
      <c r="E238" s="181">
        <v>11000000000</v>
      </c>
      <c r="F238" s="181">
        <v>11000000000</v>
      </c>
      <c r="G238" s="181">
        <v>365686555</v>
      </c>
      <c r="H238" s="181">
        <v>2032525233</v>
      </c>
      <c r="I238" s="181">
        <v>-1666838678</v>
      </c>
      <c r="J238" s="181">
        <v>365686555</v>
      </c>
      <c r="K238" s="181">
        <v>2032525233</v>
      </c>
      <c r="L238" s="181">
        <v>9333161322</v>
      </c>
      <c r="M238" s="181">
        <v>0</v>
      </c>
      <c r="N238" s="181">
        <v>0</v>
      </c>
      <c r="O238" s="181">
        <v>0</v>
      </c>
      <c r="P238" s="181">
        <v>0</v>
      </c>
      <c r="Q238" s="181">
        <v>0</v>
      </c>
      <c r="R238" s="181">
        <v>0</v>
      </c>
      <c r="S238" s="181">
        <v>9333161322</v>
      </c>
      <c r="T238" s="181">
        <v>0</v>
      </c>
      <c r="U238" s="181">
        <v>9333161322</v>
      </c>
      <c r="V238" s="181">
        <v>0</v>
      </c>
      <c r="W238" s="181">
        <v>0</v>
      </c>
      <c r="X238" s="181">
        <v>0</v>
      </c>
      <c r="Y238" s="181">
        <v>0</v>
      </c>
      <c r="Z238" s="181">
        <v>0</v>
      </c>
      <c r="AA238" s="181">
        <v>0</v>
      </c>
      <c r="AB238" s="181">
        <v>9333161322</v>
      </c>
      <c r="AC238" s="181">
        <v>0</v>
      </c>
      <c r="AD238" s="1180">
        <v>9333161322</v>
      </c>
      <c r="AE238" s="1180">
        <v>9333161322</v>
      </c>
      <c r="AF238" s="181">
        <v>0</v>
      </c>
      <c r="AG238" s="181">
        <v>0</v>
      </c>
      <c r="AH238" s="181">
        <v>9333161322</v>
      </c>
      <c r="AI238" s="181">
        <v>9333161322</v>
      </c>
      <c r="AJ238" s="181">
        <v>0</v>
      </c>
      <c r="AK238" s="181">
        <v>9333161322</v>
      </c>
      <c r="AL238" s="181">
        <v>0</v>
      </c>
      <c r="AM238" s="181">
        <v>0</v>
      </c>
      <c r="AN238" s="181" t="s">
        <v>1709</v>
      </c>
      <c r="AS238" s="181"/>
    </row>
    <row r="239" spans="1:45" hidden="1" x14ac:dyDescent="0.25">
      <c r="A239" s="181">
        <v>314</v>
      </c>
      <c r="B239" s="181" t="s">
        <v>226</v>
      </c>
      <c r="C239" s="181" t="s">
        <v>645</v>
      </c>
      <c r="D239" s="1179" t="s">
        <v>430</v>
      </c>
      <c r="E239" s="181">
        <v>11000000000</v>
      </c>
      <c r="F239" s="181">
        <v>11000000000</v>
      </c>
      <c r="G239" s="181">
        <v>365686555</v>
      </c>
      <c r="H239" s="181">
        <v>2032525233</v>
      </c>
      <c r="I239" s="181">
        <v>-1666838678</v>
      </c>
      <c r="J239" s="181">
        <v>365686555</v>
      </c>
      <c r="K239" s="181">
        <v>2032525233</v>
      </c>
      <c r="L239" s="181">
        <v>9333161322</v>
      </c>
      <c r="M239" s="181">
        <v>0</v>
      </c>
      <c r="N239" s="181">
        <v>0</v>
      </c>
      <c r="O239" s="181">
        <v>0</v>
      </c>
      <c r="P239" s="181">
        <v>0</v>
      </c>
      <c r="Q239" s="181">
        <v>0</v>
      </c>
      <c r="R239" s="181">
        <v>0</v>
      </c>
      <c r="S239" s="181">
        <v>9333161322</v>
      </c>
      <c r="T239" s="181">
        <v>0</v>
      </c>
      <c r="U239" s="181">
        <v>9333161322</v>
      </c>
      <c r="V239" s="181">
        <v>0</v>
      </c>
      <c r="W239" s="181">
        <v>0</v>
      </c>
      <c r="X239" s="181">
        <v>0</v>
      </c>
      <c r="Y239" s="181">
        <v>0</v>
      </c>
      <c r="Z239" s="181">
        <v>0</v>
      </c>
      <c r="AA239" s="181">
        <v>0</v>
      </c>
      <c r="AB239" s="181">
        <v>9333161322</v>
      </c>
      <c r="AC239" s="181">
        <v>0</v>
      </c>
      <c r="AD239" s="1180">
        <v>9333161322</v>
      </c>
      <c r="AE239" s="1180">
        <v>9333161322</v>
      </c>
      <c r="AF239" s="181">
        <v>0</v>
      </c>
      <c r="AG239" s="181">
        <v>0</v>
      </c>
      <c r="AH239" s="181">
        <v>9333161322</v>
      </c>
      <c r="AI239" s="181">
        <v>9333161322</v>
      </c>
      <c r="AJ239" s="181">
        <v>0</v>
      </c>
      <c r="AK239" s="181">
        <v>9333161322</v>
      </c>
      <c r="AL239" s="181">
        <v>0</v>
      </c>
      <c r="AM239" s="181">
        <v>0</v>
      </c>
      <c r="AN239" s="181" t="s">
        <v>1709</v>
      </c>
      <c r="AS239" s="181"/>
    </row>
    <row r="240" spans="1:45" hidden="1" x14ac:dyDescent="0.25">
      <c r="A240" s="181">
        <v>314</v>
      </c>
      <c r="B240" s="181" t="s">
        <v>226</v>
      </c>
      <c r="C240" s="181" t="s">
        <v>1576</v>
      </c>
      <c r="D240" s="1179" t="s">
        <v>430</v>
      </c>
      <c r="E240" s="181">
        <v>11000000000</v>
      </c>
      <c r="F240" s="181">
        <v>11000000000</v>
      </c>
      <c r="G240" s="181">
        <v>365686555</v>
      </c>
      <c r="H240" s="181">
        <v>2032525233</v>
      </c>
      <c r="I240" s="181">
        <v>-1666838678</v>
      </c>
      <c r="J240" s="181">
        <v>365686555</v>
      </c>
      <c r="K240" s="181">
        <v>2032525233</v>
      </c>
      <c r="L240" s="181">
        <v>9333161322</v>
      </c>
      <c r="M240" s="181">
        <v>0</v>
      </c>
      <c r="N240" s="181">
        <v>0</v>
      </c>
      <c r="O240" s="181">
        <v>0</v>
      </c>
      <c r="P240" s="181">
        <v>0</v>
      </c>
      <c r="Q240" s="181">
        <v>0</v>
      </c>
      <c r="R240" s="181">
        <v>0</v>
      </c>
      <c r="S240" s="181">
        <v>9333161322</v>
      </c>
      <c r="T240" s="181">
        <v>0</v>
      </c>
      <c r="U240" s="181">
        <v>9333161322</v>
      </c>
      <c r="V240" s="181">
        <v>0</v>
      </c>
      <c r="W240" s="181">
        <v>0</v>
      </c>
      <c r="X240" s="181">
        <v>0</v>
      </c>
      <c r="Y240" s="181">
        <v>0</v>
      </c>
      <c r="Z240" s="181">
        <v>0</v>
      </c>
      <c r="AA240" s="181">
        <v>0</v>
      </c>
      <c r="AB240" s="181">
        <v>9333161322</v>
      </c>
      <c r="AC240" s="181">
        <v>0</v>
      </c>
      <c r="AD240" s="1180">
        <v>9333161322</v>
      </c>
      <c r="AE240" s="1180">
        <v>9333161322</v>
      </c>
      <c r="AF240" s="181">
        <v>0</v>
      </c>
      <c r="AG240" s="181">
        <v>0</v>
      </c>
      <c r="AH240" s="181">
        <v>9333161322</v>
      </c>
      <c r="AI240" s="181">
        <v>9333161322</v>
      </c>
      <c r="AJ240" s="181">
        <v>0</v>
      </c>
      <c r="AK240" s="181">
        <v>9333161322</v>
      </c>
      <c r="AL240" s="181">
        <v>0</v>
      </c>
      <c r="AM240" s="181">
        <v>0</v>
      </c>
      <c r="AN240" s="181" t="s">
        <v>1709</v>
      </c>
      <c r="AS240" s="181"/>
    </row>
    <row r="241" spans="1:45" hidden="1" x14ac:dyDescent="0.25">
      <c r="A241" s="181">
        <v>314</v>
      </c>
      <c r="B241" s="181" t="s">
        <v>226</v>
      </c>
      <c r="C241" s="181" t="s">
        <v>1577</v>
      </c>
      <c r="D241" s="1179" t="s">
        <v>430</v>
      </c>
      <c r="E241" s="181">
        <v>11000000000</v>
      </c>
      <c r="F241" s="181">
        <v>11000000000</v>
      </c>
      <c r="G241" s="181">
        <v>365686555</v>
      </c>
      <c r="H241" s="181">
        <v>2032525233</v>
      </c>
      <c r="I241" s="181">
        <v>-1666838678</v>
      </c>
      <c r="J241" s="181">
        <v>365686555</v>
      </c>
      <c r="K241" s="181">
        <v>2032525233</v>
      </c>
      <c r="L241" s="181">
        <v>9333161322</v>
      </c>
      <c r="M241" s="181">
        <v>0</v>
      </c>
      <c r="N241" s="181">
        <v>0</v>
      </c>
      <c r="O241" s="181">
        <v>0</v>
      </c>
      <c r="P241" s="181">
        <v>0</v>
      </c>
      <c r="Q241" s="181">
        <v>0</v>
      </c>
      <c r="R241" s="181">
        <v>0</v>
      </c>
      <c r="S241" s="181">
        <v>9333161322</v>
      </c>
      <c r="T241" s="181">
        <v>0</v>
      </c>
      <c r="U241" s="181">
        <v>9333161322</v>
      </c>
      <c r="V241" s="181">
        <v>0</v>
      </c>
      <c r="W241" s="181">
        <v>0</v>
      </c>
      <c r="X241" s="181">
        <v>0</v>
      </c>
      <c r="Y241" s="181">
        <v>0</v>
      </c>
      <c r="Z241" s="181">
        <v>0</v>
      </c>
      <c r="AA241" s="181">
        <v>0</v>
      </c>
      <c r="AB241" s="181">
        <v>9333161322</v>
      </c>
      <c r="AC241" s="181">
        <v>0</v>
      </c>
      <c r="AD241" s="1180">
        <v>9333161322</v>
      </c>
      <c r="AE241" s="1180">
        <v>9333161322</v>
      </c>
      <c r="AF241" s="181">
        <v>0</v>
      </c>
      <c r="AG241" s="181">
        <v>0</v>
      </c>
      <c r="AH241" s="181">
        <v>9333161322</v>
      </c>
      <c r="AI241" s="181">
        <v>9333161322</v>
      </c>
      <c r="AJ241" s="181">
        <v>0</v>
      </c>
      <c r="AK241" s="181">
        <v>9333161322</v>
      </c>
      <c r="AL241" s="181">
        <v>0</v>
      </c>
      <c r="AM241" s="181">
        <v>0</v>
      </c>
      <c r="AN241" s="181" t="s">
        <v>1709</v>
      </c>
      <c r="AS241" s="181"/>
    </row>
    <row r="242" spans="1:45" ht="45" hidden="1" x14ac:dyDescent="0.25">
      <c r="A242" s="181">
        <v>314</v>
      </c>
      <c r="B242" s="181">
        <v>81</v>
      </c>
      <c r="C242" s="181" t="s">
        <v>648</v>
      </c>
      <c r="D242" s="1179" t="s">
        <v>649</v>
      </c>
      <c r="E242" s="181">
        <v>11000000000</v>
      </c>
      <c r="F242" s="181">
        <v>11000000000</v>
      </c>
      <c r="G242" s="181">
        <v>365686555</v>
      </c>
      <c r="H242" s="181">
        <v>2032525233</v>
      </c>
      <c r="I242" s="181">
        <v>-1666838678</v>
      </c>
      <c r="J242" s="181">
        <v>365686555</v>
      </c>
      <c r="K242" s="181">
        <v>2032525233</v>
      </c>
      <c r="L242" s="181">
        <v>9333161322</v>
      </c>
      <c r="M242" s="181">
        <v>0</v>
      </c>
      <c r="N242" s="181">
        <v>0</v>
      </c>
      <c r="O242" s="181">
        <v>0</v>
      </c>
      <c r="P242" s="181">
        <v>0</v>
      </c>
      <c r="Q242" s="181">
        <v>0</v>
      </c>
      <c r="R242" s="181">
        <v>0</v>
      </c>
      <c r="S242" s="181">
        <v>9333161322</v>
      </c>
      <c r="T242" s="181">
        <v>0</v>
      </c>
      <c r="U242" s="181">
        <v>9333161322</v>
      </c>
      <c r="V242" s="181">
        <v>0</v>
      </c>
      <c r="W242" s="181">
        <v>0</v>
      </c>
      <c r="X242" s="181">
        <v>0</v>
      </c>
      <c r="Y242" s="181">
        <v>0</v>
      </c>
      <c r="Z242" s="181">
        <v>0</v>
      </c>
      <c r="AA242" s="181">
        <v>0</v>
      </c>
      <c r="AB242" s="181">
        <v>9333161322</v>
      </c>
      <c r="AC242" s="181">
        <v>0</v>
      </c>
      <c r="AD242" s="1180">
        <v>9333161322</v>
      </c>
      <c r="AE242" s="1183">
        <v>9333161322</v>
      </c>
      <c r="AF242" s="181">
        <v>0</v>
      </c>
      <c r="AG242" s="181">
        <v>0</v>
      </c>
      <c r="AH242" s="181">
        <v>9333161322</v>
      </c>
      <c r="AI242" s="181">
        <v>9333161322</v>
      </c>
      <c r="AJ242" s="181">
        <v>0</v>
      </c>
      <c r="AK242" s="181">
        <v>9333161322</v>
      </c>
      <c r="AL242" s="181">
        <v>0</v>
      </c>
      <c r="AM242" s="181">
        <v>0</v>
      </c>
      <c r="AN242" s="181" t="s">
        <v>189</v>
      </c>
    </row>
    <row r="243" spans="1:45" hidden="1" x14ac:dyDescent="0.25">
      <c r="A243" s="181">
        <v>314</v>
      </c>
      <c r="B243" s="181" t="s">
        <v>226</v>
      </c>
      <c r="C243" s="181" t="s">
        <v>666</v>
      </c>
      <c r="D243" s="1179" t="s">
        <v>517</v>
      </c>
      <c r="E243" s="181">
        <v>95000000</v>
      </c>
      <c r="F243" s="181">
        <v>95000000</v>
      </c>
      <c r="G243" s="181">
        <v>4019909623.2199998</v>
      </c>
      <c r="H243" s="181">
        <v>13375517.73</v>
      </c>
      <c r="I243" s="181">
        <v>4006534105.4899998</v>
      </c>
      <c r="J243" s="181">
        <v>4019909623.2199998</v>
      </c>
      <c r="K243" s="181">
        <v>13375517.73</v>
      </c>
      <c r="L243" s="181">
        <v>4101534105.4899998</v>
      </c>
      <c r="M243" s="181">
        <v>0</v>
      </c>
      <c r="N243" s="181">
        <v>0</v>
      </c>
      <c r="O243" s="181">
        <v>0</v>
      </c>
      <c r="P243" s="181">
        <v>0</v>
      </c>
      <c r="Q243" s="181">
        <v>0</v>
      </c>
      <c r="R243" s="181">
        <v>0</v>
      </c>
      <c r="S243" s="181">
        <v>4435908359.2600002</v>
      </c>
      <c r="T243" s="181">
        <v>237302514.36000001</v>
      </c>
      <c r="U243" s="181">
        <v>4198605844.9000001</v>
      </c>
      <c r="V243" s="181">
        <v>0</v>
      </c>
      <c r="W243" s="181">
        <v>0</v>
      </c>
      <c r="X243" s="181">
        <v>0</v>
      </c>
      <c r="Y243" s="181">
        <v>0</v>
      </c>
      <c r="Z243" s="181">
        <v>0</v>
      </c>
      <c r="AA243" s="181">
        <v>0</v>
      </c>
      <c r="AB243" s="181">
        <v>4435908359.2600002</v>
      </c>
      <c r="AC243" s="181">
        <v>237302514.36000001</v>
      </c>
      <c r="AD243" s="1180">
        <v>4198605844.9000001</v>
      </c>
      <c r="AE243" s="1180">
        <v>4198605844.9000001</v>
      </c>
      <c r="AF243" s="181">
        <v>3739253451.98</v>
      </c>
      <c r="AG243" s="181">
        <v>3739253451.98</v>
      </c>
      <c r="AH243" s="181">
        <v>657075295.07000005</v>
      </c>
      <c r="AI243" s="181">
        <v>693351257.54999995</v>
      </c>
      <c r="AJ243" s="181">
        <v>36275962.479999997</v>
      </c>
      <c r="AK243" s="181">
        <v>693351257.54999995</v>
      </c>
      <c r="AL243" s="181">
        <v>0</v>
      </c>
      <c r="AM243" s="181">
        <v>36275962.479999997</v>
      </c>
      <c r="AN243" s="181" t="s">
        <v>1709</v>
      </c>
      <c r="AS243" s="181"/>
    </row>
    <row r="244" spans="1:45" hidden="1" x14ac:dyDescent="0.25">
      <c r="A244" s="181">
        <v>314</v>
      </c>
      <c r="B244" s="181" t="s">
        <v>226</v>
      </c>
      <c r="C244" s="181" t="s">
        <v>667</v>
      </c>
      <c r="D244" s="1179" t="s">
        <v>529</v>
      </c>
      <c r="E244" s="181">
        <v>15000000</v>
      </c>
      <c r="F244" s="181">
        <v>15000000</v>
      </c>
      <c r="G244" s="181">
        <v>84496423.359999999</v>
      </c>
      <c r="H244" s="181">
        <v>10000000</v>
      </c>
      <c r="I244" s="181">
        <v>74496423.359999999</v>
      </c>
      <c r="J244" s="181">
        <v>84496423.359999999</v>
      </c>
      <c r="K244" s="181">
        <v>10000000</v>
      </c>
      <c r="L244" s="181">
        <v>89496423.359999999</v>
      </c>
      <c r="M244" s="181">
        <v>0</v>
      </c>
      <c r="N244" s="181">
        <v>0</v>
      </c>
      <c r="O244" s="181">
        <v>0</v>
      </c>
      <c r="P244" s="181">
        <v>0</v>
      </c>
      <c r="Q244" s="181">
        <v>0</v>
      </c>
      <c r="R244" s="181">
        <v>0</v>
      </c>
      <c r="S244" s="181">
        <v>274760680.25</v>
      </c>
      <c r="T244" s="181">
        <v>33030400.48</v>
      </c>
      <c r="U244" s="181">
        <v>241730279.77000001</v>
      </c>
      <c r="V244" s="181">
        <v>0</v>
      </c>
      <c r="W244" s="181">
        <v>0</v>
      </c>
      <c r="X244" s="181">
        <v>0</v>
      </c>
      <c r="Y244" s="181">
        <v>0</v>
      </c>
      <c r="Z244" s="181">
        <v>0</v>
      </c>
      <c r="AA244" s="181">
        <v>0</v>
      </c>
      <c r="AB244" s="181">
        <v>274760680.25</v>
      </c>
      <c r="AC244" s="181">
        <v>33030400.48</v>
      </c>
      <c r="AD244" s="1180">
        <v>241730279.77000001</v>
      </c>
      <c r="AE244" s="1180">
        <v>241730279.77000001</v>
      </c>
      <c r="AF244" s="181">
        <v>0</v>
      </c>
      <c r="AG244" s="181">
        <v>0</v>
      </c>
      <c r="AH244" s="181">
        <v>241730279.77000001</v>
      </c>
      <c r="AI244" s="181">
        <v>274760680.25</v>
      </c>
      <c r="AJ244" s="181">
        <v>33030400.48</v>
      </c>
      <c r="AK244" s="181">
        <v>274760680.25</v>
      </c>
      <c r="AL244" s="181">
        <v>0</v>
      </c>
      <c r="AM244" s="181">
        <v>33030400.48</v>
      </c>
      <c r="AN244" s="181" t="s">
        <v>1709</v>
      </c>
      <c r="AS244" s="181"/>
    </row>
    <row r="245" spans="1:45" hidden="1" x14ac:dyDescent="0.25">
      <c r="A245" s="181">
        <v>314</v>
      </c>
      <c r="B245" s="181" t="s">
        <v>226</v>
      </c>
      <c r="C245" s="181" t="s">
        <v>668</v>
      </c>
      <c r="D245" s="1179" t="s">
        <v>531</v>
      </c>
      <c r="E245" s="181">
        <v>15000000</v>
      </c>
      <c r="F245" s="181">
        <v>15000000</v>
      </c>
      <c r="G245" s="181">
        <v>84496423.359999999</v>
      </c>
      <c r="H245" s="181">
        <v>10000000</v>
      </c>
      <c r="I245" s="181">
        <v>74496423.359999999</v>
      </c>
      <c r="J245" s="181">
        <v>84496423.359999999</v>
      </c>
      <c r="K245" s="181">
        <v>10000000</v>
      </c>
      <c r="L245" s="181">
        <v>89496423.359999999</v>
      </c>
      <c r="M245" s="181">
        <v>0</v>
      </c>
      <c r="N245" s="181">
        <v>0</v>
      </c>
      <c r="O245" s="181">
        <v>0</v>
      </c>
      <c r="P245" s="181">
        <v>0</v>
      </c>
      <c r="Q245" s="181">
        <v>0</v>
      </c>
      <c r="R245" s="181">
        <v>0</v>
      </c>
      <c r="S245" s="181">
        <v>274760680.25</v>
      </c>
      <c r="T245" s="181">
        <v>33030400.48</v>
      </c>
      <c r="U245" s="181">
        <v>241730279.77000001</v>
      </c>
      <c r="V245" s="181">
        <v>0</v>
      </c>
      <c r="W245" s="181">
        <v>0</v>
      </c>
      <c r="X245" s="181">
        <v>0</v>
      </c>
      <c r="Y245" s="181">
        <v>0</v>
      </c>
      <c r="Z245" s="181">
        <v>0</v>
      </c>
      <c r="AA245" s="181">
        <v>0</v>
      </c>
      <c r="AB245" s="181">
        <v>274760680.25</v>
      </c>
      <c r="AC245" s="181">
        <v>33030400.48</v>
      </c>
      <c r="AD245" s="1180">
        <v>241730279.77000001</v>
      </c>
      <c r="AE245" s="1180">
        <v>241730279.77000001</v>
      </c>
      <c r="AF245" s="181">
        <v>0</v>
      </c>
      <c r="AG245" s="181">
        <v>0</v>
      </c>
      <c r="AH245" s="181">
        <v>241730279.77000001</v>
      </c>
      <c r="AI245" s="181">
        <v>274760680.25</v>
      </c>
      <c r="AJ245" s="181">
        <v>33030400.48</v>
      </c>
      <c r="AK245" s="181">
        <v>274760680.25</v>
      </c>
      <c r="AL245" s="181">
        <v>0</v>
      </c>
      <c r="AM245" s="181">
        <v>33030400.48</v>
      </c>
      <c r="AN245" s="181" t="s">
        <v>1709</v>
      </c>
      <c r="AS245" s="181"/>
    </row>
    <row r="246" spans="1:45" hidden="1" x14ac:dyDescent="0.25">
      <c r="A246" s="181">
        <v>314</v>
      </c>
      <c r="B246" s="181" t="s">
        <v>226</v>
      </c>
      <c r="C246" s="181" t="s">
        <v>669</v>
      </c>
      <c r="D246" s="1179" t="s">
        <v>228</v>
      </c>
      <c r="E246" s="181">
        <v>15000000</v>
      </c>
      <c r="F246" s="181">
        <v>15000000</v>
      </c>
      <c r="G246" s="181">
        <v>84496423.359999999</v>
      </c>
      <c r="H246" s="181">
        <v>10000000</v>
      </c>
      <c r="I246" s="181">
        <v>74496423.359999999</v>
      </c>
      <c r="J246" s="181">
        <v>84496423.359999999</v>
      </c>
      <c r="K246" s="181">
        <v>10000000</v>
      </c>
      <c r="L246" s="181">
        <v>89496423.359999999</v>
      </c>
      <c r="M246" s="181">
        <v>0</v>
      </c>
      <c r="N246" s="181">
        <v>0</v>
      </c>
      <c r="O246" s="181">
        <v>0</v>
      </c>
      <c r="P246" s="181">
        <v>0</v>
      </c>
      <c r="Q246" s="181">
        <v>0</v>
      </c>
      <c r="R246" s="181">
        <v>0</v>
      </c>
      <c r="S246" s="181">
        <v>274760680.25</v>
      </c>
      <c r="T246" s="181">
        <v>33030400.48</v>
      </c>
      <c r="U246" s="181">
        <v>241730279.77000001</v>
      </c>
      <c r="V246" s="181">
        <v>0</v>
      </c>
      <c r="W246" s="181">
        <v>0</v>
      </c>
      <c r="X246" s="181">
        <v>0</v>
      </c>
      <c r="Y246" s="181">
        <v>0</v>
      </c>
      <c r="Z246" s="181">
        <v>0</v>
      </c>
      <c r="AA246" s="181">
        <v>0</v>
      </c>
      <c r="AB246" s="181">
        <v>274760680.25</v>
      </c>
      <c r="AC246" s="181">
        <v>33030400.48</v>
      </c>
      <c r="AD246" s="1180">
        <v>241730279.77000001</v>
      </c>
      <c r="AE246" s="1180">
        <v>241730279.77000001</v>
      </c>
      <c r="AF246" s="181">
        <v>0</v>
      </c>
      <c r="AG246" s="181">
        <v>0</v>
      </c>
      <c r="AH246" s="181">
        <v>241730279.77000001</v>
      </c>
      <c r="AI246" s="181">
        <v>274760680.25</v>
      </c>
      <c r="AJ246" s="181">
        <v>33030400.48</v>
      </c>
      <c r="AK246" s="181">
        <v>274760680.25</v>
      </c>
      <c r="AL246" s="181">
        <v>0</v>
      </c>
      <c r="AM246" s="181">
        <v>33030400.48</v>
      </c>
      <c r="AN246" s="181" t="s">
        <v>1709</v>
      </c>
      <c r="AS246" s="181"/>
    </row>
    <row r="247" spans="1:45" hidden="1" x14ac:dyDescent="0.25">
      <c r="A247" s="181">
        <v>314</v>
      </c>
      <c r="B247" s="181" t="s">
        <v>226</v>
      </c>
      <c r="C247" s="181" t="s">
        <v>670</v>
      </c>
      <c r="D247" s="1179" t="s">
        <v>230</v>
      </c>
      <c r="E247" s="181">
        <v>15000000</v>
      </c>
      <c r="F247" s="181">
        <v>15000000</v>
      </c>
      <c r="G247" s="181">
        <v>84496423.359999999</v>
      </c>
      <c r="H247" s="181">
        <v>10000000</v>
      </c>
      <c r="I247" s="181">
        <v>74496423.359999999</v>
      </c>
      <c r="J247" s="181">
        <v>84496423.359999999</v>
      </c>
      <c r="K247" s="181">
        <v>10000000</v>
      </c>
      <c r="L247" s="181">
        <v>89496423.359999999</v>
      </c>
      <c r="M247" s="181">
        <v>0</v>
      </c>
      <c r="N247" s="181">
        <v>0</v>
      </c>
      <c r="O247" s="181">
        <v>0</v>
      </c>
      <c r="P247" s="181">
        <v>0</v>
      </c>
      <c r="Q247" s="181">
        <v>0</v>
      </c>
      <c r="R247" s="181">
        <v>0</v>
      </c>
      <c r="S247" s="181">
        <v>274760680.25</v>
      </c>
      <c r="T247" s="181">
        <v>33030400.48</v>
      </c>
      <c r="U247" s="181">
        <v>241730279.77000001</v>
      </c>
      <c r="V247" s="181">
        <v>0</v>
      </c>
      <c r="W247" s="181">
        <v>0</v>
      </c>
      <c r="X247" s="181">
        <v>0</v>
      </c>
      <c r="Y247" s="181">
        <v>0</v>
      </c>
      <c r="Z247" s="181">
        <v>0</v>
      </c>
      <c r="AA247" s="181">
        <v>0</v>
      </c>
      <c r="AB247" s="181">
        <v>274760680.25</v>
      </c>
      <c r="AC247" s="181">
        <v>33030400.48</v>
      </c>
      <c r="AD247" s="1180">
        <v>241730279.77000001</v>
      </c>
      <c r="AE247" s="1180">
        <v>241730279.77000001</v>
      </c>
      <c r="AF247" s="181">
        <v>0</v>
      </c>
      <c r="AG247" s="181">
        <v>0</v>
      </c>
      <c r="AH247" s="181">
        <v>241730279.77000001</v>
      </c>
      <c r="AI247" s="181">
        <v>274760680.25</v>
      </c>
      <c r="AJ247" s="181">
        <v>33030400.48</v>
      </c>
      <c r="AK247" s="181">
        <v>274760680.25</v>
      </c>
      <c r="AL247" s="181">
        <v>0</v>
      </c>
      <c r="AM247" s="181">
        <v>33030400.48</v>
      </c>
      <c r="AN247" s="181" t="s">
        <v>1709</v>
      </c>
      <c r="AS247" s="181"/>
    </row>
    <row r="248" spans="1:45" hidden="1" x14ac:dyDescent="0.25">
      <c r="A248" s="181">
        <v>314</v>
      </c>
      <c r="B248" s="181" t="s">
        <v>226</v>
      </c>
      <c r="C248" s="181" t="s">
        <v>671</v>
      </c>
      <c r="D248" s="1179" t="s">
        <v>311</v>
      </c>
      <c r="E248" s="181">
        <v>15000000</v>
      </c>
      <c r="F248" s="181">
        <v>15000000</v>
      </c>
      <c r="G248" s="181">
        <v>84496423.359999999</v>
      </c>
      <c r="H248" s="181">
        <v>10000000</v>
      </c>
      <c r="I248" s="181">
        <v>74496423.359999999</v>
      </c>
      <c r="J248" s="181">
        <v>84496423.359999999</v>
      </c>
      <c r="K248" s="181">
        <v>10000000</v>
      </c>
      <c r="L248" s="181">
        <v>89496423.359999999</v>
      </c>
      <c r="M248" s="181">
        <v>0</v>
      </c>
      <c r="N248" s="181">
        <v>0</v>
      </c>
      <c r="O248" s="181">
        <v>0</v>
      </c>
      <c r="P248" s="181">
        <v>0</v>
      </c>
      <c r="Q248" s="181">
        <v>0</v>
      </c>
      <c r="R248" s="181">
        <v>0</v>
      </c>
      <c r="S248" s="181">
        <v>274760680.25</v>
      </c>
      <c r="T248" s="181">
        <v>33030400.48</v>
      </c>
      <c r="U248" s="181">
        <v>241730279.77000001</v>
      </c>
      <c r="V248" s="181">
        <v>0</v>
      </c>
      <c r="W248" s="181">
        <v>0</v>
      </c>
      <c r="X248" s="181">
        <v>0</v>
      </c>
      <c r="Y248" s="181">
        <v>0</v>
      </c>
      <c r="Z248" s="181">
        <v>0</v>
      </c>
      <c r="AA248" s="181">
        <v>0</v>
      </c>
      <c r="AB248" s="181">
        <v>274760680.25</v>
      </c>
      <c r="AC248" s="181">
        <v>33030400.48</v>
      </c>
      <c r="AD248" s="1180">
        <v>241730279.77000001</v>
      </c>
      <c r="AE248" s="1180">
        <v>241730279.77000001</v>
      </c>
      <c r="AF248" s="181">
        <v>0</v>
      </c>
      <c r="AG248" s="181">
        <v>0</v>
      </c>
      <c r="AH248" s="181">
        <v>241730279.77000001</v>
      </c>
      <c r="AI248" s="181">
        <v>274760680.25</v>
      </c>
      <c r="AJ248" s="181">
        <v>33030400.48</v>
      </c>
      <c r="AK248" s="181">
        <v>274760680.25</v>
      </c>
      <c r="AL248" s="181">
        <v>0</v>
      </c>
      <c r="AM248" s="181">
        <v>33030400.48</v>
      </c>
      <c r="AN248" s="181" t="s">
        <v>1709</v>
      </c>
      <c r="AS248" s="181"/>
    </row>
    <row r="249" spans="1:45" hidden="1" x14ac:dyDescent="0.25">
      <c r="A249" s="181">
        <v>314</v>
      </c>
      <c r="B249" s="181" t="s">
        <v>226</v>
      </c>
      <c r="C249" s="181" t="s">
        <v>672</v>
      </c>
      <c r="D249" s="1179" t="s">
        <v>406</v>
      </c>
      <c r="E249" s="181">
        <v>15000000</v>
      </c>
      <c r="F249" s="181">
        <v>15000000</v>
      </c>
      <c r="G249" s="181">
        <v>84496423.359999999</v>
      </c>
      <c r="H249" s="181">
        <v>10000000</v>
      </c>
      <c r="I249" s="181">
        <v>74496423.359999999</v>
      </c>
      <c r="J249" s="181">
        <v>84496423.359999999</v>
      </c>
      <c r="K249" s="181">
        <v>10000000</v>
      </c>
      <c r="L249" s="181">
        <v>89496423.359999999</v>
      </c>
      <c r="M249" s="181">
        <v>0</v>
      </c>
      <c r="N249" s="181">
        <v>0</v>
      </c>
      <c r="O249" s="181">
        <v>0</v>
      </c>
      <c r="P249" s="181">
        <v>0</v>
      </c>
      <c r="Q249" s="181">
        <v>0</v>
      </c>
      <c r="R249" s="181">
        <v>0</v>
      </c>
      <c r="S249" s="181">
        <v>274760680.25</v>
      </c>
      <c r="T249" s="181">
        <v>33030400.48</v>
      </c>
      <c r="U249" s="181">
        <v>241730279.77000001</v>
      </c>
      <c r="V249" s="181">
        <v>0</v>
      </c>
      <c r="W249" s="181">
        <v>0</v>
      </c>
      <c r="X249" s="181">
        <v>0</v>
      </c>
      <c r="Y249" s="181">
        <v>0</v>
      </c>
      <c r="Z249" s="181">
        <v>0</v>
      </c>
      <c r="AA249" s="181">
        <v>0</v>
      </c>
      <c r="AB249" s="181">
        <v>274760680.25</v>
      </c>
      <c r="AC249" s="181">
        <v>33030400.48</v>
      </c>
      <c r="AD249" s="1180">
        <v>241730279.77000001</v>
      </c>
      <c r="AE249" s="1180">
        <v>241730279.77000001</v>
      </c>
      <c r="AF249" s="181">
        <v>0</v>
      </c>
      <c r="AG249" s="181">
        <v>0</v>
      </c>
      <c r="AH249" s="181">
        <v>241730279.77000001</v>
      </c>
      <c r="AI249" s="181">
        <v>274760680.25</v>
      </c>
      <c r="AJ249" s="181">
        <v>33030400.48</v>
      </c>
      <c r="AK249" s="181">
        <v>274760680.25</v>
      </c>
      <c r="AL249" s="181">
        <v>0</v>
      </c>
      <c r="AM249" s="181">
        <v>33030400.48</v>
      </c>
      <c r="AN249" s="181" t="s">
        <v>1709</v>
      </c>
      <c r="AS249" s="181"/>
    </row>
    <row r="250" spans="1:45" ht="30" hidden="1" x14ac:dyDescent="0.25">
      <c r="A250" s="181">
        <v>314</v>
      </c>
      <c r="B250" s="181" t="s">
        <v>226</v>
      </c>
      <c r="C250" s="181" t="s">
        <v>1578</v>
      </c>
      <c r="D250" s="1179" t="s">
        <v>408</v>
      </c>
      <c r="E250" s="181">
        <v>15000000</v>
      </c>
      <c r="F250" s="181">
        <v>15000000</v>
      </c>
      <c r="G250" s="181">
        <v>74496423.359999999</v>
      </c>
      <c r="H250" s="181">
        <v>10000000</v>
      </c>
      <c r="I250" s="181">
        <v>64496423.359999999</v>
      </c>
      <c r="J250" s="181">
        <v>74496423.359999999</v>
      </c>
      <c r="K250" s="181">
        <v>10000000</v>
      </c>
      <c r="L250" s="181">
        <v>79496423.359999999</v>
      </c>
      <c r="M250" s="181">
        <v>0</v>
      </c>
      <c r="N250" s="181">
        <v>0</v>
      </c>
      <c r="O250" s="181">
        <v>0</v>
      </c>
      <c r="P250" s="181">
        <v>0</v>
      </c>
      <c r="Q250" s="181">
        <v>0</v>
      </c>
      <c r="R250" s="181">
        <v>0</v>
      </c>
      <c r="S250" s="181">
        <v>266249398.25999999</v>
      </c>
      <c r="T250" s="181">
        <v>32138097.84</v>
      </c>
      <c r="U250" s="181">
        <v>234111300.41999999</v>
      </c>
      <c r="V250" s="181">
        <v>0</v>
      </c>
      <c r="W250" s="181">
        <v>0</v>
      </c>
      <c r="X250" s="181">
        <v>0</v>
      </c>
      <c r="Y250" s="181">
        <v>0</v>
      </c>
      <c r="Z250" s="181">
        <v>0</v>
      </c>
      <c r="AA250" s="181">
        <v>0</v>
      </c>
      <c r="AB250" s="181">
        <v>266249398.25999999</v>
      </c>
      <c r="AC250" s="181">
        <v>32138097.84</v>
      </c>
      <c r="AD250" s="1180">
        <v>234111300.41999999</v>
      </c>
      <c r="AE250" s="1180">
        <v>234111300.41999999</v>
      </c>
      <c r="AF250" s="181">
        <v>0</v>
      </c>
      <c r="AG250" s="181">
        <v>0</v>
      </c>
      <c r="AH250" s="181">
        <v>234111300.41999999</v>
      </c>
      <c r="AI250" s="181">
        <v>266249398.25999999</v>
      </c>
      <c r="AJ250" s="181">
        <v>32138097.84</v>
      </c>
      <c r="AK250" s="181">
        <v>266249398.25999999</v>
      </c>
      <c r="AL250" s="181">
        <v>0</v>
      </c>
      <c r="AM250" s="181">
        <v>32138097.84</v>
      </c>
      <c r="AN250" s="181" t="s">
        <v>1709</v>
      </c>
      <c r="AS250" s="181"/>
    </row>
    <row r="251" spans="1:45" ht="30" hidden="1" x14ac:dyDescent="0.25">
      <c r="A251" s="181">
        <v>314</v>
      </c>
      <c r="B251" s="181">
        <v>21</v>
      </c>
      <c r="C251" s="181" t="s">
        <v>1360</v>
      </c>
      <c r="D251" s="1179" t="s">
        <v>675</v>
      </c>
      <c r="E251" s="181">
        <v>5000000</v>
      </c>
      <c r="F251" s="181">
        <v>5000000</v>
      </c>
      <c r="G251" s="181">
        <v>74496423.359999999</v>
      </c>
      <c r="H251" s="181">
        <v>0</v>
      </c>
      <c r="I251" s="181">
        <v>74496423.359999999</v>
      </c>
      <c r="J251" s="181">
        <v>74496423.359999999</v>
      </c>
      <c r="K251" s="181">
        <v>0</v>
      </c>
      <c r="L251" s="181">
        <v>79496423.359999999</v>
      </c>
      <c r="M251" s="181">
        <v>0</v>
      </c>
      <c r="N251" s="181">
        <v>0</v>
      </c>
      <c r="O251" s="181">
        <v>0</v>
      </c>
      <c r="P251" s="181">
        <v>0</v>
      </c>
      <c r="Q251" s="181">
        <v>0</v>
      </c>
      <c r="R251" s="181">
        <v>0</v>
      </c>
      <c r="S251" s="181">
        <v>266249398.25999999</v>
      </c>
      <c r="T251" s="181">
        <v>32138097.84</v>
      </c>
      <c r="U251" s="181">
        <v>234111300.41999999</v>
      </c>
      <c r="V251" s="181">
        <v>0</v>
      </c>
      <c r="W251" s="181">
        <v>0</v>
      </c>
      <c r="X251" s="181">
        <v>0</v>
      </c>
      <c r="Y251" s="181">
        <v>0</v>
      </c>
      <c r="Z251" s="181">
        <v>0</v>
      </c>
      <c r="AA251" s="181">
        <v>0</v>
      </c>
      <c r="AB251" s="181">
        <v>266249398.25999999</v>
      </c>
      <c r="AC251" s="181">
        <v>32138097.84</v>
      </c>
      <c r="AD251" s="1180">
        <v>234111300.41999999</v>
      </c>
      <c r="AE251" s="1183">
        <v>234111300.41999999</v>
      </c>
      <c r="AF251" s="181">
        <v>0</v>
      </c>
      <c r="AG251" s="181">
        <v>0</v>
      </c>
      <c r="AH251" s="181">
        <v>234111300.41999999</v>
      </c>
      <c r="AI251" s="181">
        <v>266249398.25999999</v>
      </c>
      <c r="AJ251" s="181">
        <v>32138097.84</v>
      </c>
      <c r="AK251" s="181">
        <v>266249398.25999999</v>
      </c>
      <c r="AL251" s="181">
        <v>0</v>
      </c>
      <c r="AM251" s="181">
        <v>32138097.84</v>
      </c>
      <c r="AN251" s="181" t="s">
        <v>144</v>
      </c>
    </row>
    <row r="252" spans="1:45" hidden="1" x14ac:dyDescent="0.25">
      <c r="A252" s="181">
        <v>314</v>
      </c>
      <c r="B252" s="181">
        <v>81</v>
      </c>
      <c r="C252" s="181" t="s">
        <v>1361</v>
      </c>
      <c r="D252" s="1179" t="s">
        <v>677</v>
      </c>
      <c r="E252" s="181">
        <v>10000000</v>
      </c>
      <c r="F252" s="181">
        <v>10000000</v>
      </c>
      <c r="G252" s="181">
        <v>0</v>
      </c>
      <c r="H252" s="181">
        <v>10000000</v>
      </c>
      <c r="I252" s="181">
        <v>-10000000</v>
      </c>
      <c r="J252" s="181">
        <v>0</v>
      </c>
      <c r="K252" s="181">
        <v>10000000</v>
      </c>
      <c r="L252" s="181">
        <v>0</v>
      </c>
      <c r="M252" s="181">
        <v>0</v>
      </c>
      <c r="N252" s="181">
        <v>0</v>
      </c>
      <c r="O252" s="181">
        <v>0</v>
      </c>
      <c r="P252" s="181">
        <v>0</v>
      </c>
      <c r="Q252" s="181">
        <v>0</v>
      </c>
      <c r="R252" s="181">
        <v>0</v>
      </c>
      <c r="S252" s="181">
        <v>0</v>
      </c>
      <c r="T252" s="181">
        <v>0</v>
      </c>
      <c r="U252" s="181">
        <v>0</v>
      </c>
      <c r="V252" s="181">
        <v>0</v>
      </c>
      <c r="W252" s="181">
        <v>0</v>
      </c>
      <c r="X252" s="181">
        <v>0</v>
      </c>
      <c r="Y252" s="181">
        <v>0</v>
      </c>
      <c r="Z252" s="181">
        <v>0</v>
      </c>
      <c r="AA252" s="181">
        <v>0</v>
      </c>
      <c r="AB252" s="181">
        <v>0</v>
      </c>
      <c r="AC252" s="181">
        <v>0</v>
      </c>
      <c r="AD252" s="1180">
        <v>0</v>
      </c>
      <c r="AE252" s="1183">
        <v>0</v>
      </c>
      <c r="AF252" s="181">
        <v>0</v>
      </c>
      <c r="AG252" s="181">
        <v>0</v>
      </c>
      <c r="AH252" s="181">
        <v>0</v>
      </c>
      <c r="AI252" s="181">
        <v>0</v>
      </c>
      <c r="AJ252" s="181">
        <v>0</v>
      </c>
      <c r="AK252" s="181">
        <v>0</v>
      </c>
      <c r="AL252" s="181">
        <v>0</v>
      </c>
      <c r="AM252" s="181">
        <v>0</v>
      </c>
      <c r="AN252" s="181" t="s">
        <v>189</v>
      </c>
    </row>
    <row r="253" spans="1:45" ht="45" hidden="1" x14ac:dyDescent="0.25">
      <c r="A253" s="181">
        <v>314</v>
      </c>
      <c r="B253" s="181" t="s">
        <v>226</v>
      </c>
      <c r="C253" s="181" t="s">
        <v>1579</v>
      </c>
      <c r="D253" s="1179" t="s">
        <v>428</v>
      </c>
      <c r="E253" s="181">
        <v>0</v>
      </c>
      <c r="F253" s="181">
        <v>0</v>
      </c>
      <c r="G253" s="181">
        <v>10000000</v>
      </c>
      <c r="H253" s="181">
        <v>0</v>
      </c>
      <c r="I253" s="181">
        <v>10000000</v>
      </c>
      <c r="J253" s="181">
        <v>10000000</v>
      </c>
      <c r="K253" s="181">
        <v>0</v>
      </c>
      <c r="L253" s="181">
        <v>10000000</v>
      </c>
      <c r="M253" s="181">
        <v>0</v>
      </c>
      <c r="N253" s="181">
        <v>0</v>
      </c>
      <c r="O253" s="181">
        <v>0</v>
      </c>
      <c r="P253" s="181">
        <v>0</v>
      </c>
      <c r="Q253" s="181">
        <v>0</v>
      </c>
      <c r="R253" s="181">
        <v>0</v>
      </c>
      <c r="S253" s="181">
        <v>8511281.9900000002</v>
      </c>
      <c r="T253" s="181">
        <v>892302.64</v>
      </c>
      <c r="U253" s="181">
        <v>7618979.3499999996</v>
      </c>
      <c r="V253" s="181">
        <v>0</v>
      </c>
      <c r="W253" s="181">
        <v>0</v>
      </c>
      <c r="X253" s="181">
        <v>0</v>
      </c>
      <c r="Y253" s="181">
        <v>0</v>
      </c>
      <c r="Z253" s="181">
        <v>0</v>
      </c>
      <c r="AA253" s="181">
        <v>0</v>
      </c>
      <c r="AB253" s="181">
        <v>8511281.9900000002</v>
      </c>
      <c r="AC253" s="181">
        <v>892302.64</v>
      </c>
      <c r="AD253" s="1180">
        <v>7618979.3499999996</v>
      </c>
      <c r="AE253" s="1180">
        <v>7618979.3499999996</v>
      </c>
      <c r="AF253" s="181">
        <v>0</v>
      </c>
      <c r="AG253" s="181">
        <v>0</v>
      </c>
      <c r="AH253" s="181">
        <v>7618979.3499999996</v>
      </c>
      <c r="AI253" s="181">
        <v>8511281.9900000002</v>
      </c>
      <c r="AJ253" s="181">
        <v>892302.64</v>
      </c>
      <c r="AK253" s="181">
        <v>8511281.9900000002</v>
      </c>
      <c r="AL253" s="181">
        <v>0</v>
      </c>
      <c r="AM253" s="181">
        <v>892302.64</v>
      </c>
      <c r="AN253" s="181" t="s">
        <v>1709</v>
      </c>
      <c r="AS253" s="181"/>
    </row>
    <row r="254" spans="1:45" hidden="1" x14ac:dyDescent="0.25">
      <c r="A254" s="181">
        <v>314</v>
      </c>
      <c r="B254" s="181" t="s">
        <v>226</v>
      </c>
      <c r="C254" s="181" t="s">
        <v>679</v>
      </c>
      <c r="D254" s="1179" t="s">
        <v>680</v>
      </c>
      <c r="E254" s="181">
        <v>0</v>
      </c>
      <c r="F254" s="181">
        <v>0</v>
      </c>
      <c r="G254" s="181">
        <v>0</v>
      </c>
      <c r="H254" s="181">
        <v>0</v>
      </c>
      <c r="I254" s="181">
        <v>0</v>
      </c>
      <c r="J254" s="181">
        <v>0</v>
      </c>
      <c r="K254" s="181">
        <v>0</v>
      </c>
      <c r="L254" s="181">
        <v>0</v>
      </c>
      <c r="M254" s="181">
        <v>0</v>
      </c>
      <c r="N254" s="181">
        <v>0</v>
      </c>
      <c r="O254" s="181">
        <v>0</v>
      </c>
      <c r="P254" s="181">
        <v>0</v>
      </c>
      <c r="Q254" s="181">
        <v>0</v>
      </c>
      <c r="R254" s="181">
        <v>0</v>
      </c>
      <c r="S254" s="181">
        <v>187036.63</v>
      </c>
      <c r="T254" s="181">
        <v>0</v>
      </c>
      <c r="U254" s="181">
        <v>187036.63</v>
      </c>
      <c r="V254" s="181">
        <v>0</v>
      </c>
      <c r="W254" s="181">
        <v>0</v>
      </c>
      <c r="X254" s="181">
        <v>0</v>
      </c>
      <c r="Y254" s="181">
        <v>0</v>
      </c>
      <c r="Z254" s="181">
        <v>0</v>
      </c>
      <c r="AA254" s="181">
        <v>0</v>
      </c>
      <c r="AB254" s="181">
        <v>187036.63</v>
      </c>
      <c r="AC254" s="181">
        <v>0</v>
      </c>
      <c r="AD254" s="1180">
        <v>187036.63</v>
      </c>
      <c r="AE254" s="1180">
        <v>187036.63</v>
      </c>
      <c r="AF254" s="181">
        <v>0</v>
      </c>
      <c r="AG254" s="181">
        <v>0</v>
      </c>
      <c r="AH254" s="181">
        <v>187036.63</v>
      </c>
      <c r="AI254" s="181">
        <v>187036.63</v>
      </c>
      <c r="AJ254" s="181">
        <v>0</v>
      </c>
      <c r="AK254" s="181">
        <v>187036.63</v>
      </c>
      <c r="AL254" s="181">
        <v>0</v>
      </c>
      <c r="AM254" s="181">
        <v>0</v>
      </c>
      <c r="AN254" s="181" t="s">
        <v>1709</v>
      </c>
      <c r="AS254" s="181"/>
    </row>
    <row r="255" spans="1:45" ht="30" hidden="1" x14ac:dyDescent="0.25">
      <c r="A255" s="181">
        <v>314</v>
      </c>
      <c r="B255" s="181">
        <v>173</v>
      </c>
      <c r="C255" s="181" t="s">
        <v>681</v>
      </c>
      <c r="D255" s="1179" t="s">
        <v>682</v>
      </c>
      <c r="E255" s="181">
        <v>0</v>
      </c>
      <c r="F255" s="181">
        <v>0</v>
      </c>
      <c r="G255" s="181">
        <v>0</v>
      </c>
      <c r="H255" s="181">
        <v>0</v>
      </c>
      <c r="I255" s="181">
        <v>0</v>
      </c>
      <c r="J255" s="181">
        <v>0</v>
      </c>
      <c r="K255" s="181">
        <v>0</v>
      </c>
      <c r="L255" s="181">
        <v>0</v>
      </c>
      <c r="M255" s="181">
        <v>0</v>
      </c>
      <c r="N255" s="181">
        <v>0</v>
      </c>
      <c r="O255" s="181">
        <v>0</v>
      </c>
      <c r="P255" s="181">
        <v>0</v>
      </c>
      <c r="Q255" s="181">
        <v>0</v>
      </c>
      <c r="R255" s="181">
        <v>0</v>
      </c>
      <c r="S255" s="181">
        <v>187036.63</v>
      </c>
      <c r="T255" s="181">
        <v>0</v>
      </c>
      <c r="U255" s="181">
        <v>187036.63</v>
      </c>
      <c r="V255" s="181">
        <v>0</v>
      </c>
      <c r="W255" s="181">
        <v>0</v>
      </c>
      <c r="X255" s="181">
        <v>0</v>
      </c>
      <c r="Y255" s="181">
        <v>0</v>
      </c>
      <c r="Z255" s="181">
        <v>0</v>
      </c>
      <c r="AA255" s="181">
        <v>0</v>
      </c>
      <c r="AB255" s="181">
        <v>187036.63</v>
      </c>
      <c r="AC255" s="181">
        <v>0</v>
      </c>
      <c r="AD255" s="1180">
        <v>187036.63</v>
      </c>
      <c r="AE255" s="1180">
        <v>187036.63</v>
      </c>
      <c r="AF255" s="181">
        <v>0</v>
      </c>
      <c r="AG255" s="181">
        <v>0</v>
      </c>
      <c r="AH255" s="181">
        <v>187036.63</v>
      </c>
      <c r="AI255" s="181">
        <v>187036.63</v>
      </c>
      <c r="AJ255" s="181">
        <v>0</v>
      </c>
      <c r="AK255" s="181">
        <v>187036.63</v>
      </c>
      <c r="AL255" s="181">
        <v>0</v>
      </c>
      <c r="AM255" s="181">
        <v>0</v>
      </c>
      <c r="AN255" s="181" t="s">
        <v>90</v>
      </c>
      <c r="AS255" s="181"/>
    </row>
    <row r="256" spans="1:45" hidden="1" x14ac:dyDescent="0.25">
      <c r="A256" s="181">
        <v>314</v>
      </c>
      <c r="B256" s="181" t="s">
        <v>226</v>
      </c>
      <c r="C256" s="181" t="s">
        <v>1580</v>
      </c>
      <c r="D256" s="1179" t="s">
        <v>430</v>
      </c>
      <c r="E256" s="181">
        <v>0</v>
      </c>
      <c r="F256" s="181">
        <v>0</v>
      </c>
      <c r="G256" s="181">
        <v>10000000</v>
      </c>
      <c r="H256" s="181">
        <v>0</v>
      </c>
      <c r="I256" s="181">
        <v>10000000</v>
      </c>
      <c r="J256" s="181">
        <v>10000000</v>
      </c>
      <c r="K256" s="181">
        <v>0</v>
      </c>
      <c r="L256" s="181">
        <v>10000000</v>
      </c>
      <c r="M256" s="181">
        <v>0</v>
      </c>
      <c r="N256" s="181">
        <v>0</v>
      </c>
      <c r="O256" s="181">
        <v>0</v>
      </c>
      <c r="P256" s="181">
        <v>0</v>
      </c>
      <c r="Q256" s="181">
        <v>0</v>
      </c>
      <c r="R256" s="181">
        <v>0</v>
      </c>
      <c r="S256" s="181">
        <v>8324245.3600000003</v>
      </c>
      <c r="T256" s="181">
        <v>892302.64</v>
      </c>
      <c r="U256" s="181">
        <v>7431942.7199999997</v>
      </c>
      <c r="V256" s="181">
        <v>0</v>
      </c>
      <c r="W256" s="181">
        <v>0</v>
      </c>
      <c r="X256" s="181">
        <v>0</v>
      </c>
      <c r="Y256" s="181">
        <v>0</v>
      </c>
      <c r="Z256" s="181">
        <v>0</v>
      </c>
      <c r="AA256" s="181">
        <v>0</v>
      </c>
      <c r="AB256" s="181">
        <v>8324245.3600000003</v>
      </c>
      <c r="AC256" s="181">
        <v>892302.64</v>
      </c>
      <c r="AD256" s="1180">
        <v>7431942.7199999997</v>
      </c>
      <c r="AE256" s="1180">
        <v>7431942.7199999997</v>
      </c>
      <c r="AF256" s="181">
        <v>0</v>
      </c>
      <c r="AG256" s="181">
        <v>0</v>
      </c>
      <c r="AH256" s="181">
        <v>7431942.7199999997</v>
      </c>
      <c r="AI256" s="181">
        <v>8324245.3600000003</v>
      </c>
      <c r="AJ256" s="181">
        <v>892302.64</v>
      </c>
      <c r="AK256" s="181">
        <v>8324245.3600000003</v>
      </c>
      <c r="AL256" s="181">
        <v>0</v>
      </c>
      <c r="AM256" s="181">
        <v>892302.64</v>
      </c>
      <c r="AN256" s="181" t="s">
        <v>1709</v>
      </c>
      <c r="AS256" s="181"/>
    </row>
    <row r="257" spans="1:45" hidden="1" x14ac:dyDescent="0.25">
      <c r="A257" s="181">
        <v>314</v>
      </c>
      <c r="B257" s="181">
        <v>81</v>
      </c>
      <c r="C257" s="181" t="s">
        <v>684</v>
      </c>
      <c r="D257" s="1179" t="s">
        <v>685</v>
      </c>
      <c r="E257" s="181">
        <v>0</v>
      </c>
      <c r="F257" s="181">
        <v>0</v>
      </c>
      <c r="G257" s="181">
        <v>10000000</v>
      </c>
      <c r="H257" s="181">
        <v>0</v>
      </c>
      <c r="I257" s="181">
        <v>10000000</v>
      </c>
      <c r="J257" s="181">
        <v>10000000</v>
      </c>
      <c r="K257" s="181">
        <v>0</v>
      </c>
      <c r="L257" s="181">
        <v>10000000</v>
      </c>
      <c r="M257" s="181">
        <v>0</v>
      </c>
      <c r="N257" s="181">
        <v>0</v>
      </c>
      <c r="O257" s="181">
        <v>0</v>
      </c>
      <c r="P257" s="181">
        <v>0</v>
      </c>
      <c r="Q257" s="181">
        <v>0</v>
      </c>
      <c r="R257" s="181">
        <v>0</v>
      </c>
      <c r="S257" s="181">
        <v>8324245.3600000003</v>
      </c>
      <c r="T257" s="181">
        <v>892302.64</v>
      </c>
      <c r="U257" s="181">
        <v>7431942.7199999997</v>
      </c>
      <c r="V257" s="181">
        <v>0</v>
      </c>
      <c r="W257" s="181">
        <v>0</v>
      </c>
      <c r="X257" s="181">
        <v>0</v>
      </c>
      <c r="Y257" s="181">
        <v>0</v>
      </c>
      <c r="Z257" s="181">
        <v>0</v>
      </c>
      <c r="AA257" s="181">
        <v>0</v>
      </c>
      <c r="AB257" s="181">
        <v>8324245.3600000003</v>
      </c>
      <c r="AC257" s="181">
        <v>892302.64</v>
      </c>
      <c r="AD257" s="1180">
        <v>7431942.7199999997</v>
      </c>
      <c r="AE257" s="1180">
        <v>7431942.7199999997</v>
      </c>
      <c r="AF257" s="181">
        <v>0</v>
      </c>
      <c r="AG257" s="181">
        <v>0</v>
      </c>
      <c r="AH257" s="181">
        <v>7431942.7199999997</v>
      </c>
      <c r="AI257" s="181">
        <v>8324245.3600000003</v>
      </c>
      <c r="AJ257" s="181">
        <v>892302.64</v>
      </c>
      <c r="AK257" s="181">
        <v>8324245.3600000003</v>
      </c>
      <c r="AL257" s="181">
        <v>0</v>
      </c>
      <c r="AM257" s="181">
        <v>892302.64</v>
      </c>
      <c r="AN257" s="181" t="s">
        <v>189</v>
      </c>
      <c r="AS257" s="181"/>
    </row>
    <row r="258" spans="1:45" hidden="1" x14ac:dyDescent="0.25">
      <c r="A258" s="181">
        <v>314</v>
      </c>
      <c r="B258" s="181" t="s">
        <v>226</v>
      </c>
      <c r="C258" s="181" t="s">
        <v>1581</v>
      </c>
      <c r="D258" s="1179" t="s">
        <v>1123</v>
      </c>
      <c r="E258" s="181">
        <v>0</v>
      </c>
      <c r="F258" s="181">
        <v>0</v>
      </c>
      <c r="G258" s="181">
        <v>3935413199.8600001</v>
      </c>
      <c r="H258" s="181">
        <v>3375517.73</v>
      </c>
      <c r="I258" s="181">
        <v>3932037682.1300001</v>
      </c>
      <c r="J258" s="181">
        <v>3935413199.8600001</v>
      </c>
      <c r="K258" s="181">
        <v>3375517.73</v>
      </c>
      <c r="L258" s="181">
        <v>3932037682.1300001</v>
      </c>
      <c r="M258" s="181">
        <v>0</v>
      </c>
      <c r="N258" s="181">
        <v>0</v>
      </c>
      <c r="O258" s="181">
        <v>0</v>
      </c>
      <c r="P258" s="181">
        <v>0</v>
      </c>
      <c r="Q258" s="181">
        <v>0</v>
      </c>
      <c r="R258" s="181">
        <v>0</v>
      </c>
      <c r="S258" s="181">
        <v>3935341331.8600001</v>
      </c>
      <c r="T258" s="181">
        <v>3303649.73</v>
      </c>
      <c r="U258" s="181">
        <v>3932037682.1300001</v>
      </c>
      <c r="V258" s="181">
        <v>0</v>
      </c>
      <c r="W258" s="181">
        <v>0</v>
      </c>
      <c r="X258" s="181">
        <v>0</v>
      </c>
      <c r="Y258" s="181">
        <v>0</v>
      </c>
      <c r="Z258" s="181">
        <v>0</v>
      </c>
      <c r="AA258" s="181">
        <v>0</v>
      </c>
      <c r="AB258" s="181">
        <v>3935341331.8600001</v>
      </c>
      <c r="AC258" s="181">
        <v>3303649.73</v>
      </c>
      <c r="AD258" s="1180">
        <v>3932037682.1300001</v>
      </c>
      <c r="AE258" s="1180">
        <v>3932037682.1300001</v>
      </c>
      <c r="AF258" s="181">
        <v>3739253451.98</v>
      </c>
      <c r="AG258" s="181">
        <v>3739253451.98</v>
      </c>
      <c r="AH258" s="181">
        <v>192784230.15000001</v>
      </c>
      <c r="AI258" s="181">
        <v>192784230.15000001</v>
      </c>
      <c r="AJ258" s="181">
        <v>0</v>
      </c>
      <c r="AK258" s="181">
        <v>192784230.15000001</v>
      </c>
      <c r="AL258" s="181">
        <v>0</v>
      </c>
      <c r="AM258" s="181">
        <v>0</v>
      </c>
      <c r="AN258" s="181" t="s">
        <v>1709</v>
      </c>
      <c r="AS258" s="181"/>
    </row>
    <row r="259" spans="1:45" hidden="1" x14ac:dyDescent="0.25">
      <c r="A259" s="181">
        <v>314</v>
      </c>
      <c r="B259" s="181" t="s">
        <v>226</v>
      </c>
      <c r="C259" s="181" t="s">
        <v>1584</v>
      </c>
      <c r="D259" s="1179" t="s">
        <v>1551</v>
      </c>
      <c r="E259" s="181">
        <v>0</v>
      </c>
      <c r="F259" s="181">
        <v>0</v>
      </c>
      <c r="G259" s="181">
        <v>3935413199.8600001</v>
      </c>
      <c r="H259" s="181">
        <v>3375517.73</v>
      </c>
      <c r="I259" s="181">
        <v>3932037682.1300001</v>
      </c>
      <c r="J259" s="181">
        <v>3935413199.8600001</v>
      </c>
      <c r="K259" s="181">
        <v>3375517.73</v>
      </c>
      <c r="L259" s="181">
        <v>3932037682.1300001</v>
      </c>
      <c r="M259" s="181">
        <v>0</v>
      </c>
      <c r="N259" s="181">
        <v>0</v>
      </c>
      <c r="O259" s="181">
        <v>0</v>
      </c>
      <c r="P259" s="181">
        <v>0</v>
      </c>
      <c r="Q259" s="181">
        <v>0</v>
      </c>
      <c r="R259" s="181">
        <v>0</v>
      </c>
      <c r="S259" s="181">
        <v>3935341331.8600001</v>
      </c>
      <c r="T259" s="181">
        <v>3303649.73</v>
      </c>
      <c r="U259" s="181">
        <v>3932037682.1300001</v>
      </c>
      <c r="V259" s="181">
        <v>0</v>
      </c>
      <c r="W259" s="181">
        <v>0</v>
      </c>
      <c r="X259" s="181">
        <v>0</v>
      </c>
      <c r="Y259" s="181">
        <v>0</v>
      </c>
      <c r="Z259" s="181">
        <v>0</v>
      </c>
      <c r="AA259" s="181">
        <v>0</v>
      </c>
      <c r="AB259" s="181">
        <v>3935341331.8600001</v>
      </c>
      <c r="AC259" s="181">
        <v>3303649.73</v>
      </c>
      <c r="AD259" s="1180">
        <v>3932037682.1300001</v>
      </c>
      <c r="AE259" s="1180">
        <v>3932037682.1300001</v>
      </c>
      <c r="AF259" s="181">
        <v>3739253451.98</v>
      </c>
      <c r="AG259" s="181">
        <v>3739253451.98</v>
      </c>
      <c r="AH259" s="181">
        <v>192784230.15000001</v>
      </c>
      <c r="AI259" s="181">
        <v>192784230.15000001</v>
      </c>
      <c r="AJ259" s="181">
        <v>0</v>
      </c>
      <c r="AK259" s="181">
        <v>192784230.15000001</v>
      </c>
      <c r="AL259" s="181">
        <v>0</v>
      </c>
      <c r="AM259" s="181">
        <v>0</v>
      </c>
      <c r="AN259" s="181" t="s">
        <v>1709</v>
      </c>
      <c r="AS259" s="181"/>
    </row>
    <row r="260" spans="1:45" ht="30" hidden="1" x14ac:dyDescent="0.25">
      <c r="A260" s="181">
        <v>314</v>
      </c>
      <c r="B260" s="181" t="s">
        <v>226</v>
      </c>
      <c r="C260" s="181" t="s">
        <v>1587</v>
      </c>
      <c r="D260" s="1179" t="s">
        <v>1555</v>
      </c>
      <c r="E260" s="181">
        <v>0</v>
      </c>
      <c r="F260" s="181">
        <v>0</v>
      </c>
      <c r="G260" s="181">
        <v>3935413199.8600001</v>
      </c>
      <c r="H260" s="181">
        <v>3375517.73</v>
      </c>
      <c r="I260" s="181">
        <v>3932037682.1300001</v>
      </c>
      <c r="J260" s="181">
        <v>3935413199.8600001</v>
      </c>
      <c r="K260" s="181">
        <v>3375517.73</v>
      </c>
      <c r="L260" s="181">
        <v>3932037682.1300001</v>
      </c>
      <c r="M260" s="181">
        <v>0</v>
      </c>
      <c r="N260" s="181">
        <v>0</v>
      </c>
      <c r="O260" s="181">
        <v>0</v>
      </c>
      <c r="P260" s="181">
        <v>0</v>
      </c>
      <c r="Q260" s="181">
        <v>0</v>
      </c>
      <c r="R260" s="181">
        <v>0</v>
      </c>
      <c r="S260" s="181">
        <v>3935341331.8600001</v>
      </c>
      <c r="T260" s="181">
        <v>3303649.73</v>
      </c>
      <c r="U260" s="181">
        <v>3932037682.1300001</v>
      </c>
      <c r="V260" s="181">
        <v>0</v>
      </c>
      <c r="W260" s="181">
        <v>0</v>
      </c>
      <c r="X260" s="181">
        <v>0</v>
      </c>
      <c r="Y260" s="181">
        <v>0</v>
      </c>
      <c r="Z260" s="181">
        <v>0</v>
      </c>
      <c r="AA260" s="181">
        <v>0</v>
      </c>
      <c r="AB260" s="181">
        <v>3935341331.8600001</v>
      </c>
      <c r="AC260" s="181">
        <v>3303649.73</v>
      </c>
      <c r="AD260" s="1180">
        <v>3932037682.1300001</v>
      </c>
      <c r="AE260" s="1180">
        <v>3932037682.1300001</v>
      </c>
      <c r="AF260" s="181">
        <v>3739253451.98</v>
      </c>
      <c r="AG260" s="181">
        <v>3739253451.98</v>
      </c>
      <c r="AH260" s="181">
        <v>192784230.15000001</v>
      </c>
      <c r="AI260" s="181">
        <v>192784230.15000001</v>
      </c>
      <c r="AJ260" s="181">
        <v>0</v>
      </c>
      <c r="AK260" s="181">
        <v>192784230.15000001</v>
      </c>
      <c r="AL260" s="181">
        <v>0</v>
      </c>
      <c r="AM260" s="181">
        <v>0</v>
      </c>
      <c r="AN260" s="181" t="s">
        <v>1709</v>
      </c>
      <c r="AS260" s="181"/>
    </row>
    <row r="261" spans="1:45" hidden="1" x14ac:dyDescent="0.25">
      <c r="A261" s="181">
        <v>314</v>
      </c>
      <c r="B261" s="181">
        <v>9</v>
      </c>
      <c r="C261" s="181" t="s">
        <v>1362</v>
      </c>
      <c r="D261" s="1179" t="s">
        <v>1363</v>
      </c>
      <c r="E261" s="181">
        <v>0</v>
      </c>
      <c r="F261" s="181">
        <v>0</v>
      </c>
      <c r="G261" s="181">
        <v>1635757493.6700001</v>
      </c>
      <c r="H261" s="181">
        <v>3303649.73</v>
      </c>
      <c r="I261" s="181">
        <v>1632453843.9400001</v>
      </c>
      <c r="J261" s="181">
        <v>1635757493.6700001</v>
      </c>
      <c r="K261" s="181">
        <v>3303649.73</v>
      </c>
      <c r="L261" s="181">
        <v>1632453843.9400001</v>
      </c>
      <c r="M261" s="181">
        <v>0</v>
      </c>
      <c r="N261" s="181">
        <v>0</v>
      </c>
      <c r="O261" s="181">
        <v>0</v>
      </c>
      <c r="P261" s="181">
        <v>0</v>
      </c>
      <c r="Q261" s="181">
        <v>0</v>
      </c>
      <c r="R261" s="181">
        <v>0</v>
      </c>
      <c r="S261" s="181">
        <v>1635757493.6700001</v>
      </c>
      <c r="T261" s="181">
        <v>3303649.73</v>
      </c>
      <c r="U261" s="181">
        <v>1632453843.9400001</v>
      </c>
      <c r="V261" s="181">
        <v>0</v>
      </c>
      <c r="W261" s="181">
        <v>0</v>
      </c>
      <c r="X261" s="181">
        <v>0</v>
      </c>
      <c r="Y261" s="181">
        <v>0</v>
      </c>
      <c r="Z261" s="181">
        <v>0</v>
      </c>
      <c r="AA261" s="181">
        <v>0</v>
      </c>
      <c r="AB261" s="181">
        <v>1635757493.6700001</v>
      </c>
      <c r="AC261" s="181">
        <v>3303649.73</v>
      </c>
      <c r="AD261" s="1180">
        <v>1632453843.9400001</v>
      </c>
      <c r="AE261" s="1180">
        <v>1632453843.9400001</v>
      </c>
      <c r="AF261" s="181">
        <v>1444682285.79</v>
      </c>
      <c r="AG261" s="181">
        <v>1444682285.79</v>
      </c>
      <c r="AH261" s="181">
        <v>187771558.15000001</v>
      </c>
      <c r="AI261" s="181">
        <v>187771558.15000001</v>
      </c>
      <c r="AJ261" s="181">
        <v>0</v>
      </c>
      <c r="AK261" s="181">
        <v>187771558.15000001</v>
      </c>
      <c r="AL261" s="181">
        <v>0</v>
      </c>
      <c r="AM261" s="181">
        <v>0</v>
      </c>
      <c r="AN261" s="181" t="s">
        <v>40</v>
      </c>
      <c r="AS261" s="181"/>
    </row>
    <row r="262" spans="1:45" hidden="1" x14ac:dyDescent="0.25">
      <c r="A262" s="181">
        <v>314</v>
      </c>
      <c r="B262" s="181">
        <v>137</v>
      </c>
      <c r="C262" s="181" t="s">
        <v>1364</v>
      </c>
      <c r="D262" s="1179" t="s">
        <v>1365</v>
      </c>
      <c r="E262" s="181">
        <v>0</v>
      </c>
      <c r="F262" s="181">
        <v>0</v>
      </c>
      <c r="G262" s="181">
        <v>1454512150.53</v>
      </c>
      <c r="H262" s="181">
        <v>0</v>
      </c>
      <c r="I262" s="181">
        <v>1454512150.53</v>
      </c>
      <c r="J262" s="181">
        <v>1454512150.53</v>
      </c>
      <c r="K262" s="181">
        <v>0</v>
      </c>
      <c r="L262" s="181">
        <v>1454512150.53</v>
      </c>
      <c r="M262" s="181">
        <v>0</v>
      </c>
      <c r="N262" s="181">
        <v>0</v>
      </c>
      <c r="O262" s="181">
        <v>0</v>
      </c>
      <c r="P262" s="181">
        <v>0</v>
      </c>
      <c r="Q262" s="181">
        <v>0</v>
      </c>
      <c r="R262" s="181">
        <v>0</v>
      </c>
      <c r="S262" s="181">
        <v>1454512150.53</v>
      </c>
      <c r="T262" s="181">
        <v>0</v>
      </c>
      <c r="U262" s="181">
        <v>1454512150.53</v>
      </c>
      <c r="V262" s="181">
        <v>0</v>
      </c>
      <c r="W262" s="181">
        <v>0</v>
      </c>
      <c r="X262" s="181">
        <v>0</v>
      </c>
      <c r="Y262" s="181">
        <v>0</v>
      </c>
      <c r="Z262" s="181">
        <v>0</v>
      </c>
      <c r="AA262" s="181">
        <v>0</v>
      </c>
      <c r="AB262" s="181">
        <v>1454512150.53</v>
      </c>
      <c r="AC262" s="181">
        <v>0</v>
      </c>
      <c r="AD262" s="1180">
        <v>1454512150.53</v>
      </c>
      <c r="AE262" s="1180">
        <v>1454512150.53</v>
      </c>
      <c r="AF262" s="181">
        <v>1454512150.53</v>
      </c>
      <c r="AG262" s="181">
        <v>1454512150.53</v>
      </c>
      <c r="AH262" s="181">
        <v>0</v>
      </c>
      <c r="AI262" s="181">
        <v>0</v>
      </c>
      <c r="AJ262" s="181">
        <v>0</v>
      </c>
      <c r="AK262" s="181">
        <v>0</v>
      </c>
      <c r="AL262" s="181">
        <v>0</v>
      </c>
      <c r="AM262" s="181">
        <v>0</v>
      </c>
      <c r="AN262" s="181" t="s">
        <v>1735</v>
      </c>
      <c r="AS262" s="181"/>
    </row>
    <row r="263" spans="1:45" ht="30" hidden="1" x14ac:dyDescent="0.25">
      <c r="A263" s="181">
        <v>314</v>
      </c>
      <c r="B263" s="181">
        <v>183</v>
      </c>
      <c r="C263" s="181" t="s">
        <v>1366</v>
      </c>
      <c r="D263" s="1179" t="s">
        <v>1367</v>
      </c>
      <c r="E263" s="181">
        <v>0</v>
      </c>
      <c r="F263" s="181">
        <v>0</v>
      </c>
      <c r="G263" s="181">
        <v>433811595.39999998</v>
      </c>
      <c r="H263" s="181">
        <v>0</v>
      </c>
      <c r="I263" s="181">
        <v>433811595.39999998</v>
      </c>
      <c r="J263" s="181">
        <v>433811595.39999998</v>
      </c>
      <c r="K263" s="181">
        <v>0</v>
      </c>
      <c r="L263" s="181">
        <v>433811595.39999998</v>
      </c>
      <c r="M263" s="181">
        <v>0</v>
      </c>
      <c r="N263" s="181">
        <v>0</v>
      </c>
      <c r="O263" s="181">
        <v>0</v>
      </c>
      <c r="P263" s="181">
        <v>0</v>
      </c>
      <c r="Q263" s="181">
        <v>0</v>
      </c>
      <c r="R263" s="181">
        <v>0</v>
      </c>
      <c r="S263" s="181">
        <v>433811595.39999998</v>
      </c>
      <c r="T263" s="181">
        <v>0</v>
      </c>
      <c r="U263" s="181">
        <v>433811595.39999998</v>
      </c>
      <c r="V263" s="181">
        <v>0</v>
      </c>
      <c r="W263" s="181">
        <v>0</v>
      </c>
      <c r="X263" s="181">
        <v>0</v>
      </c>
      <c r="Y263" s="181">
        <v>0</v>
      </c>
      <c r="Z263" s="181">
        <v>0</v>
      </c>
      <c r="AA263" s="181">
        <v>0</v>
      </c>
      <c r="AB263" s="181">
        <v>433811595.39999998</v>
      </c>
      <c r="AC263" s="181">
        <v>0</v>
      </c>
      <c r="AD263" s="1180">
        <v>433811595.39999998</v>
      </c>
      <c r="AE263" s="1180">
        <v>433811595.39999998</v>
      </c>
      <c r="AF263" s="181">
        <v>433811595.39999998</v>
      </c>
      <c r="AG263" s="181">
        <v>433811595.39999998</v>
      </c>
      <c r="AH263" s="181">
        <v>0</v>
      </c>
      <c r="AI263" s="181">
        <v>0</v>
      </c>
      <c r="AJ263" s="181">
        <v>0</v>
      </c>
      <c r="AK263" s="181">
        <v>0</v>
      </c>
      <c r="AL263" s="181">
        <v>0</v>
      </c>
      <c r="AM263" s="181">
        <v>0</v>
      </c>
      <c r="AN263" s="181" t="s">
        <v>106</v>
      </c>
      <c r="AS263" s="181"/>
    </row>
    <row r="264" spans="1:45" ht="30" hidden="1" x14ac:dyDescent="0.25">
      <c r="A264" s="181">
        <v>314</v>
      </c>
      <c r="B264" s="181">
        <v>189</v>
      </c>
      <c r="C264" s="181" t="s">
        <v>1368</v>
      </c>
      <c r="D264" s="1179" t="s">
        <v>1369</v>
      </c>
      <c r="E264" s="181">
        <v>0</v>
      </c>
      <c r="F264" s="181">
        <v>0</v>
      </c>
      <c r="G264" s="181">
        <v>3303649.73</v>
      </c>
      <c r="H264" s="181">
        <v>0</v>
      </c>
      <c r="I264" s="181">
        <v>3303649.73</v>
      </c>
      <c r="J264" s="181">
        <v>3303649.73</v>
      </c>
      <c r="K264" s="181">
        <v>0</v>
      </c>
      <c r="L264" s="181">
        <v>3303649.73</v>
      </c>
      <c r="M264" s="181">
        <v>0</v>
      </c>
      <c r="N264" s="181">
        <v>0</v>
      </c>
      <c r="O264" s="181">
        <v>0</v>
      </c>
      <c r="P264" s="181">
        <v>0</v>
      </c>
      <c r="Q264" s="181">
        <v>0</v>
      </c>
      <c r="R264" s="181">
        <v>0</v>
      </c>
      <c r="S264" s="181">
        <v>3303649.73</v>
      </c>
      <c r="T264" s="181">
        <v>0</v>
      </c>
      <c r="U264" s="181">
        <v>3303649.73</v>
      </c>
      <c r="V264" s="181">
        <v>0</v>
      </c>
      <c r="W264" s="181">
        <v>0</v>
      </c>
      <c r="X264" s="181">
        <v>0</v>
      </c>
      <c r="Y264" s="181">
        <v>0</v>
      </c>
      <c r="Z264" s="181">
        <v>0</v>
      </c>
      <c r="AA264" s="181">
        <v>0</v>
      </c>
      <c r="AB264" s="181">
        <v>3303649.73</v>
      </c>
      <c r="AC264" s="181">
        <v>0</v>
      </c>
      <c r="AD264" s="1180">
        <v>3303649.73</v>
      </c>
      <c r="AE264" s="1180">
        <v>3303649.73</v>
      </c>
      <c r="AF264" s="181">
        <v>3303649.73</v>
      </c>
      <c r="AG264" s="181">
        <v>3303649.73</v>
      </c>
      <c r="AH264" s="181">
        <v>0</v>
      </c>
      <c r="AI264" s="181">
        <v>0</v>
      </c>
      <c r="AJ264" s="181">
        <v>0</v>
      </c>
      <c r="AK264" s="181">
        <v>0</v>
      </c>
      <c r="AL264" s="181">
        <v>0</v>
      </c>
      <c r="AM264" s="181">
        <v>0</v>
      </c>
      <c r="AN264" s="181" t="s">
        <v>118</v>
      </c>
      <c r="AS264" s="181"/>
    </row>
    <row r="265" spans="1:45" ht="30" hidden="1" x14ac:dyDescent="0.25">
      <c r="A265" s="181">
        <v>314</v>
      </c>
      <c r="B265" s="181">
        <v>187</v>
      </c>
      <c r="C265" s="181" t="s">
        <v>1370</v>
      </c>
      <c r="D265" s="1179" t="s">
        <v>1371</v>
      </c>
      <c r="E265" s="181">
        <v>0</v>
      </c>
      <c r="F265" s="181">
        <v>0</v>
      </c>
      <c r="G265" s="181">
        <v>318992344.52999997</v>
      </c>
      <c r="H265" s="181">
        <v>0</v>
      </c>
      <c r="I265" s="181">
        <v>318992344.52999997</v>
      </c>
      <c r="J265" s="181">
        <v>318992344.52999997</v>
      </c>
      <c r="K265" s="181">
        <v>0</v>
      </c>
      <c r="L265" s="181">
        <v>318992344.52999997</v>
      </c>
      <c r="M265" s="181">
        <v>0</v>
      </c>
      <c r="N265" s="181">
        <v>0</v>
      </c>
      <c r="O265" s="181">
        <v>0</v>
      </c>
      <c r="P265" s="181">
        <v>0</v>
      </c>
      <c r="Q265" s="181">
        <v>0</v>
      </c>
      <c r="R265" s="181">
        <v>0</v>
      </c>
      <c r="S265" s="181">
        <v>318992344.52999997</v>
      </c>
      <c r="T265" s="181">
        <v>0</v>
      </c>
      <c r="U265" s="181">
        <v>318992344.52999997</v>
      </c>
      <c r="V265" s="181">
        <v>0</v>
      </c>
      <c r="W265" s="181">
        <v>0</v>
      </c>
      <c r="X265" s="181">
        <v>0</v>
      </c>
      <c r="Y265" s="181">
        <v>0</v>
      </c>
      <c r="Z265" s="181">
        <v>0</v>
      </c>
      <c r="AA265" s="181">
        <v>0</v>
      </c>
      <c r="AB265" s="181">
        <v>318992344.52999997</v>
      </c>
      <c r="AC265" s="181">
        <v>0</v>
      </c>
      <c r="AD265" s="1180">
        <v>318992344.52999997</v>
      </c>
      <c r="AE265" s="1180">
        <v>318992344.52999997</v>
      </c>
      <c r="AF265" s="181">
        <v>318992344.52999997</v>
      </c>
      <c r="AG265" s="181">
        <v>318992344.52999997</v>
      </c>
      <c r="AH265" s="181">
        <v>0</v>
      </c>
      <c r="AI265" s="181">
        <v>0</v>
      </c>
      <c r="AJ265" s="181">
        <v>0</v>
      </c>
      <c r="AK265" s="181">
        <v>0</v>
      </c>
      <c r="AL265" s="181">
        <v>0</v>
      </c>
      <c r="AM265" s="181">
        <v>0</v>
      </c>
      <c r="AN265" s="181" t="s">
        <v>114</v>
      </c>
      <c r="AS265" s="181"/>
    </row>
    <row r="266" spans="1:45" ht="30" hidden="1" x14ac:dyDescent="0.25">
      <c r="A266" s="181">
        <v>314</v>
      </c>
      <c r="B266" s="181">
        <v>220</v>
      </c>
      <c r="C266" s="181" t="s">
        <v>1372</v>
      </c>
      <c r="D266" s="1179" t="s">
        <v>1373</v>
      </c>
      <c r="E266" s="181">
        <v>0</v>
      </c>
      <c r="F266" s="181">
        <v>0</v>
      </c>
      <c r="G266" s="181">
        <v>89035966</v>
      </c>
      <c r="H266" s="181">
        <v>71868</v>
      </c>
      <c r="I266" s="181">
        <v>88964098</v>
      </c>
      <c r="J266" s="181">
        <v>89035966</v>
      </c>
      <c r="K266" s="181">
        <v>71868</v>
      </c>
      <c r="L266" s="181">
        <v>88964098</v>
      </c>
      <c r="M266" s="181">
        <v>0</v>
      </c>
      <c r="N266" s="181">
        <v>0</v>
      </c>
      <c r="O266" s="181">
        <v>0</v>
      </c>
      <c r="P266" s="181">
        <v>0</v>
      </c>
      <c r="Q266" s="181">
        <v>0</v>
      </c>
      <c r="R266" s="181">
        <v>0</v>
      </c>
      <c r="S266" s="181">
        <v>88964098</v>
      </c>
      <c r="T266" s="181">
        <v>0</v>
      </c>
      <c r="U266" s="181">
        <v>88964098</v>
      </c>
      <c r="V266" s="181">
        <v>0</v>
      </c>
      <c r="W266" s="181">
        <v>0</v>
      </c>
      <c r="X266" s="181">
        <v>0</v>
      </c>
      <c r="Y266" s="181">
        <v>0</v>
      </c>
      <c r="Z266" s="181">
        <v>0</v>
      </c>
      <c r="AA266" s="181">
        <v>0</v>
      </c>
      <c r="AB266" s="181">
        <v>88964098</v>
      </c>
      <c r="AC266" s="181">
        <v>0</v>
      </c>
      <c r="AD266" s="1180">
        <v>88964098</v>
      </c>
      <c r="AE266" s="1180">
        <v>88964098</v>
      </c>
      <c r="AF266" s="181">
        <v>83951426</v>
      </c>
      <c r="AG266" s="181">
        <v>83951426</v>
      </c>
      <c r="AH266" s="181">
        <v>5012672</v>
      </c>
      <c r="AI266" s="181">
        <v>5012672</v>
      </c>
      <c r="AJ266" s="181">
        <v>0</v>
      </c>
      <c r="AK266" s="181">
        <v>5012672</v>
      </c>
      <c r="AL266" s="181">
        <v>0</v>
      </c>
      <c r="AM266" s="181">
        <v>0</v>
      </c>
      <c r="AN266" s="181" t="s">
        <v>1736</v>
      </c>
      <c r="AS266" s="181"/>
    </row>
    <row r="267" spans="1:45" ht="30" hidden="1" x14ac:dyDescent="0.25">
      <c r="A267" s="181">
        <v>314</v>
      </c>
      <c r="B267" s="181" t="s">
        <v>226</v>
      </c>
      <c r="C267" s="181" t="s">
        <v>686</v>
      </c>
      <c r="D267" s="1179" t="s">
        <v>623</v>
      </c>
      <c r="E267" s="181">
        <v>80000000</v>
      </c>
      <c r="F267" s="181">
        <v>80000000</v>
      </c>
      <c r="G267" s="181">
        <v>0</v>
      </c>
      <c r="H267" s="181">
        <v>0</v>
      </c>
      <c r="I267" s="181">
        <v>0</v>
      </c>
      <c r="J267" s="181">
        <v>0</v>
      </c>
      <c r="K267" s="181">
        <v>0</v>
      </c>
      <c r="L267" s="181">
        <v>80000000</v>
      </c>
      <c r="M267" s="181">
        <v>0</v>
      </c>
      <c r="N267" s="181">
        <v>0</v>
      </c>
      <c r="O267" s="181">
        <v>0</v>
      </c>
      <c r="P267" s="181">
        <v>0</v>
      </c>
      <c r="Q267" s="181">
        <v>0</v>
      </c>
      <c r="R267" s="181">
        <v>0</v>
      </c>
      <c r="S267" s="181">
        <v>225806347.15000001</v>
      </c>
      <c r="T267" s="181">
        <v>200968464.15000001</v>
      </c>
      <c r="U267" s="181">
        <v>24837883</v>
      </c>
      <c r="V267" s="181">
        <v>0</v>
      </c>
      <c r="W267" s="181">
        <v>0</v>
      </c>
      <c r="X267" s="181">
        <v>0</v>
      </c>
      <c r="Y267" s="181">
        <v>0</v>
      </c>
      <c r="Z267" s="181">
        <v>0</v>
      </c>
      <c r="AA267" s="181">
        <v>0</v>
      </c>
      <c r="AB267" s="181">
        <v>225806347.15000001</v>
      </c>
      <c r="AC267" s="181">
        <v>200968464.15000001</v>
      </c>
      <c r="AD267" s="1180">
        <v>24837883</v>
      </c>
      <c r="AE267" s="1180">
        <v>24837883</v>
      </c>
      <c r="AF267" s="181">
        <v>0</v>
      </c>
      <c r="AG267" s="181">
        <v>0</v>
      </c>
      <c r="AH267" s="181">
        <v>222560785.15000001</v>
      </c>
      <c r="AI267" s="181">
        <v>225806347.15000001</v>
      </c>
      <c r="AJ267" s="181">
        <v>3245562</v>
      </c>
      <c r="AK267" s="181">
        <v>225806347.15000001</v>
      </c>
      <c r="AL267" s="181">
        <v>0</v>
      </c>
      <c r="AM267" s="181">
        <v>3245562</v>
      </c>
      <c r="AN267" s="181" t="s">
        <v>1709</v>
      </c>
      <c r="AS267" s="181"/>
    </row>
    <row r="268" spans="1:45" hidden="1" x14ac:dyDescent="0.25">
      <c r="A268" s="181">
        <v>314</v>
      </c>
      <c r="B268" s="181">
        <v>204</v>
      </c>
      <c r="C268" s="181" t="s">
        <v>1374</v>
      </c>
      <c r="D268" s="1179" t="s">
        <v>606</v>
      </c>
      <c r="E268" s="181">
        <v>80000000</v>
      </c>
      <c r="F268" s="181">
        <v>80000000</v>
      </c>
      <c r="G268" s="181">
        <v>0</v>
      </c>
      <c r="H268" s="181">
        <v>0</v>
      </c>
      <c r="I268" s="181">
        <v>0</v>
      </c>
      <c r="J268" s="181">
        <v>0</v>
      </c>
      <c r="K268" s="181">
        <v>0</v>
      </c>
      <c r="L268" s="181">
        <v>80000000</v>
      </c>
      <c r="M268" s="181">
        <v>0</v>
      </c>
      <c r="N268" s="181">
        <v>0</v>
      </c>
      <c r="O268" s="181">
        <v>0</v>
      </c>
      <c r="P268" s="181">
        <v>0</v>
      </c>
      <c r="Q268" s="181">
        <v>0</v>
      </c>
      <c r="R268" s="181">
        <v>0</v>
      </c>
      <c r="S268" s="181">
        <v>29585193</v>
      </c>
      <c r="T268" s="181">
        <v>6502356</v>
      </c>
      <c r="U268" s="181">
        <v>23082837</v>
      </c>
      <c r="V268" s="181">
        <v>0</v>
      </c>
      <c r="W268" s="181">
        <v>0</v>
      </c>
      <c r="X268" s="181">
        <v>0</v>
      </c>
      <c r="Y268" s="181">
        <v>0</v>
      </c>
      <c r="Z268" s="181">
        <v>0</v>
      </c>
      <c r="AA268" s="181">
        <v>0</v>
      </c>
      <c r="AB268" s="181">
        <v>29585193</v>
      </c>
      <c r="AC268" s="181">
        <v>6502356</v>
      </c>
      <c r="AD268" s="1180">
        <v>23082837</v>
      </c>
      <c r="AE268" s="1183">
        <v>23082837</v>
      </c>
      <c r="AF268" s="181">
        <v>0</v>
      </c>
      <c r="AG268" s="181">
        <v>0</v>
      </c>
      <c r="AH268" s="181">
        <v>28058509</v>
      </c>
      <c r="AI268" s="181">
        <v>29585193</v>
      </c>
      <c r="AJ268" s="181">
        <v>1526684</v>
      </c>
      <c r="AK268" s="181">
        <v>29585193</v>
      </c>
      <c r="AL268" s="181">
        <v>0</v>
      </c>
      <c r="AM268" s="181">
        <v>1526684</v>
      </c>
      <c r="AN268" s="181" t="s">
        <v>1737</v>
      </c>
    </row>
    <row r="269" spans="1:45" hidden="1" x14ac:dyDescent="0.25">
      <c r="A269" s="181">
        <v>314</v>
      </c>
      <c r="B269" s="181">
        <v>220</v>
      </c>
      <c r="C269" s="181" t="s">
        <v>1375</v>
      </c>
      <c r="D269" s="1179" t="s">
        <v>606</v>
      </c>
      <c r="E269" s="181">
        <v>0</v>
      </c>
      <c r="F269" s="181">
        <v>0</v>
      </c>
      <c r="G269" s="181">
        <v>0</v>
      </c>
      <c r="H269" s="181">
        <v>0</v>
      </c>
      <c r="I269" s="181">
        <v>0</v>
      </c>
      <c r="J269" s="181">
        <v>0</v>
      </c>
      <c r="K269" s="181">
        <v>0</v>
      </c>
      <c r="L269" s="181">
        <v>0</v>
      </c>
      <c r="M269" s="181">
        <v>0</v>
      </c>
      <c r="N269" s="181">
        <v>0</v>
      </c>
      <c r="O269" s="181">
        <v>0</v>
      </c>
      <c r="P269" s="181">
        <v>0</v>
      </c>
      <c r="Q269" s="181">
        <v>0</v>
      </c>
      <c r="R269" s="181">
        <v>0</v>
      </c>
      <c r="S269" s="181">
        <v>4975672</v>
      </c>
      <c r="T269" s="181">
        <v>4975672</v>
      </c>
      <c r="U269" s="181">
        <v>0</v>
      </c>
      <c r="V269" s="181">
        <v>0</v>
      </c>
      <c r="W269" s="181">
        <v>0</v>
      </c>
      <c r="X269" s="181">
        <v>0</v>
      </c>
      <c r="Y269" s="181">
        <v>0</v>
      </c>
      <c r="Z269" s="181">
        <v>0</v>
      </c>
      <c r="AA269" s="181">
        <v>0</v>
      </c>
      <c r="AB269" s="181">
        <v>4975672</v>
      </c>
      <c r="AC269" s="181">
        <v>4975672</v>
      </c>
      <c r="AD269" s="1180">
        <v>0</v>
      </c>
      <c r="AE269" s="1180">
        <v>0</v>
      </c>
      <c r="AF269" s="181">
        <v>0</v>
      </c>
      <c r="AG269" s="181">
        <v>0</v>
      </c>
      <c r="AH269" s="181">
        <v>4975672</v>
      </c>
      <c r="AI269" s="181">
        <v>4975672</v>
      </c>
      <c r="AJ269" s="181">
        <v>0</v>
      </c>
      <c r="AK269" s="181">
        <v>4975672</v>
      </c>
      <c r="AL269" s="181">
        <v>0</v>
      </c>
      <c r="AM269" s="181">
        <v>0</v>
      </c>
      <c r="AN269" s="181" t="s">
        <v>1736</v>
      </c>
      <c r="AS269" s="181"/>
    </row>
    <row r="270" spans="1:45" hidden="1" x14ac:dyDescent="0.25">
      <c r="A270" s="181">
        <v>314</v>
      </c>
      <c r="B270" s="181">
        <v>223</v>
      </c>
      <c r="C270" s="181" t="s">
        <v>1376</v>
      </c>
      <c r="D270" s="1179" t="s">
        <v>606</v>
      </c>
      <c r="E270" s="181">
        <v>0</v>
      </c>
      <c r="F270" s="181">
        <v>0</v>
      </c>
      <c r="G270" s="181">
        <v>0</v>
      </c>
      <c r="H270" s="181">
        <v>0</v>
      </c>
      <c r="I270" s="181">
        <v>0</v>
      </c>
      <c r="J270" s="181">
        <v>0</v>
      </c>
      <c r="K270" s="181">
        <v>0</v>
      </c>
      <c r="L270" s="181">
        <v>0</v>
      </c>
      <c r="M270" s="181">
        <v>0</v>
      </c>
      <c r="N270" s="181">
        <v>0</v>
      </c>
      <c r="O270" s="181">
        <v>0</v>
      </c>
      <c r="P270" s="181">
        <v>0</v>
      </c>
      <c r="Q270" s="181">
        <v>0</v>
      </c>
      <c r="R270" s="181">
        <v>0</v>
      </c>
      <c r="S270" s="181">
        <v>189490436.15000001</v>
      </c>
      <c r="T270" s="181">
        <v>189490436.15000001</v>
      </c>
      <c r="U270" s="181">
        <v>0</v>
      </c>
      <c r="V270" s="181">
        <v>0</v>
      </c>
      <c r="W270" s="181">
        <v>0</v>
      </c>
      <c r="X270" s="181">
        <v>0</v>
      </c>
      <c r="Y270" s="181">
        <v>0</v>
      </c>
      <c r="Z270" s="181">
        <v>0</v>
      </c>
      <c r="AA270" s="181">
        <v>0</v>
      </c>
      <c r="AB270" s="181">
        <v>189490436.15000001</v>
      </c>
      <c r="AC270" s="181">
        <v>189490436.15000001</v>
      </c>
      <c r="AD270" s="1180">
        <v>0</v>
      </c>
      <c r="AE270" s="1180">
        <v>0</v>
      </c>
      <c r="AF270" s="181">
        <v>0</v>
      </c>
      <c r="AG270" s="181">
        <v>0</v>
      </c>
      <c r="AH270" s="181">
        <v>187771558.15000001</v>
      </c>
      <c r="AI270" s="181">
        <v>189490436.15000001</v>
      </c>
      <c r="AJ270" s="181">
        <v>1718878</v>
      </c>
      <c r="AK270" s="181">
        <v>189490436.15000001</v>
      </c>
      <c r="AL270" s="181">
        <v>0</v>
      </c>
      <c r="AM270" s="181">
        <v>1718878</v>
      </c>
      <c r="AN270" s="181" t="s">
        <v>1738</v>
      </c>
      <c r="AS270" s="181"/>
    </row>
    <row r="271" spans="1:45" hidden="1" x14ac:dyDescent="0.25">
      <c r="A271" s="181">
        <v>314</v>
      </c>
      <c r="B271" s="181">
        <v>227</v>
      </c>
      <c r="C271" s="181" t="s">
        <v>1377</v>
      </c>
      <c r="D271" s="1179" t="s">
        <v>606</v>
      </c>
      <c r="E271" s="181">
        <v>0</v>
      </c>
      <c r="F271" s="181">
        <v>0</v>
      </c>
      <c r="G271" s="181">
        <v>0</v>
      </c>
      <c r="H271" s="181">
        <v>0</v>
      </c>
      <c r="I271" s="181">
        <v>0</v>
      </c>
      <c r="J271" s="181">
        <v>0</v>
      </c>
      <c r="K271" s="181">
        <v>0</v>
      </c>
      <c r="L271" s="181">
        <v>0</v>
      </c>
      <c r="M271" s="181">
        <v>0</v>
      </c>
      <c r="N271" s="181">
        <v>0</v>
      </c>
      <c r="O271" s="181">
        <v>0</v>
      </c>
      <c r="P271" s="181">
        <v>0</v>
      </c>
      <c r="Q271" s="181">
        <v>0</v>
      </c>
      <c r="R271" s="181">
        <v>0</v>
      </c>
      <c r="S271" s="181">
        <v>58724</v>
      </c>
      <c r="T271" s="181">
        <v>0</v>
      </c>
      <c r="U271" s="181">
        <v>58724</v>
      </c>
      <c r="V271" s="181">
        <v>0</v>
      </c>
      <c r="W271" s="181">
        <v>0</v>
      </c>
      <c r="X271" s="181">
        <v>0</v>
      </c>
      <c r="Y271" s="181">
        <v>0</v>
      </c>
      <c r="Z271" s="181">
        <v>0</v>
      </c>
      <c r="AA271" s="181">
        <v>0</v>
      </c>
      <c r="AB271" s="181">
        <v>58724</v>
      </c>
      <c r="AC271" s="181">
        <v>0</v>
      </c>
      <c r="AD271" s="1180">
        <v>58724</v>
      </c>
      <c r="AE271" s="1180">
        <v>58724</v>
      </c>
      <c r="AF271" s="181">
        <v>0</v>
      </c>
      <c r="AG271" s="181">
        <v>0</v>
      </c>
      <c r="AH271" s="181">
        <v>58724</v>
      </c>
      <c r="AI271" s="181">
        <v>58724</v>
      </c>
      <c r="AJ271" s="181">
        <v>0</v>
      </c>
      <c r="AK271" s="181">
        <v>58724</v>
      </c>
      <c r="AL271" s="181">
        <v>0</v>
      </c>
      <c r="AM271" s="181">
        <v>0</v>
      </c>
      <c r="AN271" s="181" t="s">
        <v>1739</v>
      </c>
      <c r="AS271" s="181"/>
    </row>
    <row r="272" spans="1:45" hidden="1" x14ac:dyDescent="0.25">
      <c r="A272" s="181">
        <v>314</v>
      </c>
      <c r="B272" s="181">
        <v>228</v>
      </c>
      <c r="C272" s="181" t="s">
        <v>1378</v>
      </c>
      <c r="D272" s="1179" t="s">
        <v>606</v>
      </c>
      <c r="E272" s="181">
        <v>0</v>
      </c>
      <c r="F272" s="181">
        <v>0</v>
      </c>
      <c r="G272" s="181">
        <v>0</v>
      </c>
      <c r="H272" s="181">
        <v>0</v>
      </c>
      <c r="I272" s="181">
        <v>0</v>
      </c>
      <c r="J272" s="181">
        <v>0</v>
      </c>
      <c r="K272" s="181">
        <v>0</v>
      </c>
      <c r="L272" s="181">
        <v>0</v>
      </c>
      <c r="M272" s="181">
        <v>0</v>
      </c>
      <c r="N272" s="181">
        <v>0</v>
      </c>
      <c r="O272" s="181">
        <v>0</v>
      </c>
      <c r="P272" s="181">
        <v>0</v>
      </c>
      <c r="Q272" s="181">
        <v>0</v>
      </c>
      <c r="R272" s="181">
        <v>0</v>
      </c>
      <c r="S272" s="181">
        <v>1696322</v>
      </c>
      <c r="T272" s="181">
        <v>0</v>
      </c>
      <c r="U272" s="181">
        <v>1696322</v>
      </c>
      <c r="V272" s="181">
        <v>0</v>
      </c>
      <c r="W272" s="181">
        <v>0</v>
      </c>
      <c r="X272" s="181">
        <v>0</v>
      </c>
      <c r="Y272" s="181">
        <v>0</v>
      </c>
      <c r="Z272" s="181">
        <v>0</v>
      </c>
      <c r="AA272" s="181">
        <v>0</v>
      </c>
      <c r="AB272" s="181">
        <v>1696322</v>
      </c>
      <c r="AC272" s="181">
        <v>0</v>
      </c>
      <c r="AD272" s="1180">
        <v>1696322</v>
      </c>
      <c r="AE272" s="1180">
        <v>1696322</v>
      </c>
      <c r="AF272" s="181">
        <v>0</v>
      </c>
      <c r="AG272" s="181">
        <v>0</v>
      </c>
      <c r="AH272" s="181">
        <v>1696322</v>
      </c>
      <c r="AI272" s="181">
        <v>1696322</v>
      </c>
      <c r="AJ272" s="181">
        <v>0</v>
      </c>
      <c r="AK272" s="181">
        <v>1696322</v>
      </c>
      <c r="AL272" s="181">
        <v>0</v>
      </c>
      <c r="AM272" s="181">
        <v>0</v>
      </c>
      <c r="AN272" s="181" t="s">
        <v>1740</v>
      </c>
      <c r="AS272" s="181"/>
    </row>
    <row r="273" spans="1:45" hidden="1" x14ac:dyDescent="0.25">
      <c r="A273" s="181">
        <v>318</v>
      </c>
      <c r="B273" s="181" t="s">
        <v>226</v>
      </c>
      <c r="C273" s="181" t="s">
        <v>688</v>
      </c>
      <c r="D273" s="1179" t="s">
        <v>228</v>
      </c>
      <c r="E273" s="181">
        <v>47036328956</v>
      </c>
      <c r="F273" s="181">
        <v>47036328956</v>
      </c>
      <c r="G273" s="181">
        <v>33052337304.220001</v>
      </c>
      <c r="H273" s="181">
        <v>291752893</v>
      </c>
      <c r="I273" s="181">
        <v>32760584411.220001</v>
      </c>
      <c r="J273" s="181">
        <v>33052337304.220001</v>
      </c>
      <c r="K273" s="181">
        <v>291752893</v>
      </c>
      <c r="L273" s="181">
        <v>79796913367.220001</v>
      </c>
      <c r="M273" s="181">
        <v>391134685.36000001</v>
      </c>
      <c r="N273" s="181">
        <v>5858570.0999999996</v>
      </c>
      <c r="O273" s="181">
        <v>385276115.25999999</v>
      </c>
      <c r="P273" s="181">
        <v>0</v>
      </c>
      <c r="Q273" s="181">
        <v>0</v>
      </c>
      <c r="R273" s="181">
        <v>0</v>
      </c>
      <c r="S273" s="181">
        <v>83365371688.360001</v>
      </c>
      <c r="T273" s="181">
        <v>2053888952.8199999</v>
      </c>
      <c r="U273" s="181">
        <v>81311482735.539993</v>
      </c>
      <c r="V273" s="181">
        <v>391134685.36000001</v>
      </c>
      <c r="W273" s="181">
        <v>5858570.0999999996</v>
      </c>
      <c r="X273" s="181">
        <v>385276115.25999999</v>
      </c>
      <c r="Y273" s="181">
        <v>0</v>
      </c>
      <c r="Z273" s="181">
        <v>0</v>
      </c>
      <c r="AA273" s="181">
        <v>0</v>
      </c>
      <c r="AB273" s="181">
        <v>83365371688.360001</v>
      </c>
      <c r="AC273" s="181">
        <v>2053888952.8199999</v>
      </c>
      <c r="AD273" s="1180">
        <v>81311482735.539993</v>
      </c>
      <c r="AE273" s="1180">
        <v>81311482735.539993</v>
      </c>
      <c r="AF273" s="181">
        <v>29644014615.93</v>
      </c>
      <c r="AG273" s="181">
        <v>29644014615.93</v>
      </c>
      <c r="AH273" s="181">
        <v>51667468119.610001</v>
      </c>
      <c r="AI273" s="181">
        <v>52887939473.959999</v>
      </c>
      <c r="AJ273" s="181">
        <v>1220471354.3499999</v>
      </c>
      <c r="AK273" s="181">
        <v>52887939473.959999</v>
      </c>
      <c r="AL273" s="181">
        <v>0</v>
      </c>
      <c r="AM273" s="181">
        <v>1220471354.3499999</v>
      </c>
      <c r="AN273" s="181" t="s">
        <v>1709</v>
      </c>
      <c r="AS273" s="181"/>
    </row>
    <row r="274" spans="1:45" hidden="1" x14ac:dyDescent="0.25">
      <c r="A274" s="181">
        <v>318</v>
      </c>
      <c r="B274" s="181" t="s">
        <v>226</v>
      </c>
      <c r="C274" s="181" t="s">
        <v>689</v>
      </c>
      <c r="D274" s="1179" t="s">
        <v>230</v>
      </c>
      <c r="E274" s="181">
        <v>46635613520</v>
      </c>
      <c r="F274" s="181">
        <v>46635613520</v>
      </c>
      <c r="G274" s="181">
        <v>22636683828.02</v>
      </c>
      <c r="H274" s="181">
        <v>282689985</v>
      </c>
      <c r="I274" s="181">
        <v>22353993843.02</v>
      </c>
      <c r="J274" s="181">
        <v>22636683828.02</v>
      </c>
      <c r="K274" s="181">
        <v>282689985</v>
      </c>
      <c r="L274" s="181">
        <v>68989607363.020004</v>
      </c>
      <c r="M274" s="181">
        <v>391134685.36000001</v>
      </c>
      <c r="N274" s="181">
        <v>5858570.0999999996</v>
      </c>
      <c r="O274" s="181">
        <v>385276115.25999999</v>
      </c>
      <c r="P274" s="181">
        <v>0</v>
      </c>
      <c r="Q274" s="181">
        <v>0</v>
      </c>
      <c r="R274" s="181">
        <v>0</v>
      </c>
      <c r="S274" s="181">
        <v>71299447225.949997</v>
      </c>
      <c r="T274" s="181">
        <v>2040458885.4200001</v>
      </c>
      <c r="U274" s="181">
        <v>69258988340.529999</v>
      </c>
      <c r="V274" s="181">
        <v>391134685.36000001</v>
      </c>
      <c r="W274" s="181">
        <v>5858570.0999999996</v>
      </c>
      <c r="X274" s="181">
        <v>385276115.25999999</v>
      </c>
      <c r="Y274" s="181">
        <v>0</v>
      </c>
      <c r="Z274" s="181">
        <v>0</v>
      </c>
      <c r="AA274" s="181">
        <v>0</v>
      </c>
      <c r="AB274" s="181">
        <v>71299447225.949997</v>
      </c>
      <c r="AC274" s="181">
        <v>2040458885.4200001</v>
      </c>
      <c r="AD274" s="1180">
        <v>69258988340.529999</v>
      </c>
      <c r="AE274" s="1180">
        <v>69258988340.529999</v>
      </c>
      <c r="AF274" s="181">
        <v>17814916911.41</v>
      </c>
      <c r="AG274" s="181">
        <v>17814916911.41</v>
      </c>
      <c r="AH274" s="181">
        <v>51444071429.120003</v>
      </c>
      <c r="AI274" s="181">
        <v>52651112716.07</v>
      </c>
      <c r="AJ274" s="181">
        <v>1207041286.95</v>
      </c>
      <c r="AK274" s="181">
        <v>52651112716.07</v>
      </c>
      <c r="AL274" s="181">
        <v>0</v>
      </c>
      <c r="AM274" s="181">
        <v>1207041286.95</v>
      </c>
      <c r="AN274" s="181" t="s">
        <v>1709</v>
      </c>
      <c r="AS274" s="181"/>
    </row>
    <row r="275" spans="1:45" hidden="1" x14ac:dyDescent="0.25">
      <c r="A275" s="181">
        <v>318</v>
      </c>
      <c r="B275" s="181" t="s">
        <v>226</v>
      </c>
      <c r="C275" s="181" t="s">
        <v>690</v>
      </c>
      <c r="D275" s="1179" t="s">
        <v>232</v>
      </c>
      <c r="E275" s="181">
        <v>20627049272.790001</v>
      </c>
      <c r="F275" s="181">
        <v>20627049272.790001</v>
      </c>
      <c r="G275" s="181">
        <v>12316844813.99</v>
      </c>
      <c r="H275" s="181">
        <v>0</v>
      </c>
      <c r="I275" s="181">
        <v>12316844813.99</v>
      </c>
      <c r="J275" s="181">
        <v>12316844813.99</v>
      </c>
      <c r="K275" s="181">
        <v>0</v>
      </c>
      <c r="L275" s="181">
        <v>32943894086.779999</v>
      </c>
      <c r="M275" s="181">
        <v>0</v>
      </c>
      <c r="N275" s="181">
        <v>0</v>
      </c>
      <c r="O275" s="181">
        <v>0</v>
      </c>
      <c r="P275" s="181">
        <v>0</v>
      </c>
      <c r="Q275" s="181">
        <v>0</v>
      </c>
      <c r="R275" s="181">
        <v>0</v>
      </c>
      <c r="S275" s="181">
        <v>30217313609.619999</v>
      </c>
      <c r="T275" s="181">
        <v>339489221.25</v>
      </c>
      <c r="U275" s="181">
        <v>29877824388.369999</v>
      </c>
      <c r="V275" s="181">
        <v>0</v>
      </c>
      <c r="W275" s="181">
        <v>0</v>
      </c>
      <c r="X275" s="181">
        <v>0</v>
      </c>
      <c r="Y275" s="181">
        <v>0</v>
      </c>
      <c r="Z275" s="181">
        <v>0</v>
      </c>
      <c r="AA275" s="181">
        <v>0</v>
      </c>
      <c r="AB275" s="181">
        <v>30217313609.619999</v>
      </c>
      <c r="AC275" s="181">
        <v>339489221.25</v>
      </c>
      <c r="AD275" s="1180">
        <v>29877824388.369999</v>
      </c>
      <c r="AE275" s="1180">
        <v>29877824388.369999</v>
      </c>
      <c r="AF275" s="181">
        <v>7851737463.75</v>
      </c>
      <c r="AG275" s="181">
        <v>7851737463.75</v>
      </c>
      <c r="AH275" s="181">
        <v>22026086924.619999</v>
      </c>
      <c r="AI275" s="181">
        <v>22365576145.869999</v>
      </c>
      <c r="AJ275" s="181">
        <v>339489221.25</v>
      </c>
      <c r="AK275" s="181">
        <v>22365576145.869999</v>
      </c>
      <c r="AL275" s="181">
        <v>0</v>
      </c>
      <c r="AM275" s="181">
        <v>339489221.25</v>
      </c>
      <c r="AN275" s="181" t="s">
        <v>1709</v>
      </c>
      <c r="AS275" s="181"/>
    </row>
    <row r="276" spans="1:45" hidden="1" x14ac:dyDescent="0.25">
      <c r="A276" s="181">
        <v>318</v>
      </c>
      <c r="B276" s="181" t="s">
        <v>226</v>
      </c>
      <c r="C276" s="181" t="s">
        <v>691</v>
      </c>
      <c r="D276" s="1179" t="s">
        <v>234</v>
      </c>
      <c r="E276" s="181">
        <v>1092098811.71</v>
      </c>
      <c r="F276" s="181">
        <v>1092098811.71</v>
      </c>
      <c r="G276" s="181">
        <v>3411272927.25</v>
      </c>
      <c r="H276" s="181">
        <v>0</v>
      </c>
      <c r="I276" s="181">
        <v>3411272927.25</v>
      </c>
      <c r="J276" s="181">
        <v>3411272927.25</v>
      </c>
      <c r="K276" s="181">
        <v>0</v>
      </c>
      <c r="L276" s="181">
        <v>4503371738.96</v>
      </c>
      <c r="M276" s="181">
        <v>0</v>
      </c>
      <c r="N276" s="181">
        <v>0</v>
      </c>
      <c r="O276" s="181">
        <v>0</v>
      </c>
      <c r="P276" s="181">
        <v>0</v>
      </c>
      <c r="Q276" s="181">
        <v>0</v>
      </c>
      <c r="R276" s="181">
        <v>0</v>
      </c>
      <c r="S276" s="181">
        <v>875511590</v>
      </c>
      <c r="T276" s="181">
        <v>15206760</v>
      </c>
      <c r="U276" s="181">
        <v>860304830</v>
      </c>
      <c r="V276" s="181">
        <v>0</v>
      </c>
      <c r="W276" s="181">
        <v>0</v>
      </c>
      <c r="X276" s="181">
        <v>0</v>
      </c>
      <c r="Y276" s="181">
        <v>0</v>
      </c>
      <c r="Z276" s="181">
        <v>0</v>
      </c>
      <c r="AA276" s="181">
        <v>0</v>
      </c>
      <c r="AB276" s="181">
        <v>875511590</v>
      </c>
      <c r="AC276" s="181">
        <v>15206760</v>
      </c>
      <c r="AD276" s="1180">
        <v>860304830</v>
      </c>
      <c r="AE276" s="1180">
        <v>860304830</v>
      </c>
      <c r="AF276" s="181">
        <v>645227871</v>
      </c>
      <c r="AG276" s="181">
        <v>645227871</v>
      </c>
      <c r="AH276" s="181">
        <v>215076959</v>
      </c>
      <c r="AI276" s="181">
        <v>230283719</v>
      </c>
      <c r="AJ276" s="181">
        <v>15206760</v>
      </c>
      <c r="AK276" s="181">
        <v>230283719</v>
      </c>
      <c r="AL276" s="181">
        <v>0</v>
      </c>
      <c r="AM276" s="181">
        <v>15206760</v>
      </c>
      <c r="AN276" s="181" t="s">
        <v>1709</v>
      </c>
      <c r="AS276" s="181"/>
    </row>
    <row r="277" spans="1:45" ht="45" hidden="1" x14ac:dyDescent="0.25">
      <c r="A277" s="181">
        <v>318</v>
      </c>
      <c r="B277" s="181" t="s">
        <v>226</v>
      </c>
      <c r="C277" s="181" t="s">
        <v>692</v>
      </c>
      <c r="D277" s="1179" t="s">
        <v>693</v>
      </c>
      <c r="E277" s="181">
        <v>1092098811.71</v>
      </c>
      <c r="F277" s="181">
        <v>1092098811.71</v>
      </c>
      <c r="G277" s="181">
        <v>3411272927.25</v>
      </c>
      <c r="H277" s="181">
        <v>0</v>
      </c>
      <c r="I277" s="181">
        <v>3411272927.25</v>
      </c>
      <c r="J277" s="181">
        <v>3411272927.25</v>
      </c>
      <c r="K277" s="181">
        <v>0</v>
      </c>
      <c r="L277" s="181">
        <v>4503371738.96</v>
      </c>
      <c r="M277" s="181">
        <v>0</v>
      </c>
      <c r="N277" s="181">
        <v>0</v>
      </c>
      <c r="O277" s="181">
        <v>0</v>
      </c>
      <c r="P277" s="181">
        <v>0</v>
      </c>
      <c r="Q277" s="181">
        <v>0</v>
      </c>
      <c r="R277" s="181">
        <v>0</v>
      </c>
      <c r="S277" s="181">
        <v>875511590</v>
      </c>
      <c r="T277" s="181">
        <v>15206760</v>
      </c>
      <c r="U277" s="181">
        <v>860304830</v>
      </c>
      <c r="V277" s="181">
        <v>0</v>
      </c>
      <c r="W277" s="181">
        <v>0</v>
      </c>
      <c r="X277" s="181">
        <v>0</v>
      </c>
      <c r="Y277" s="181">
        <v>0</v>
      </c>
      <c r="Z277" s="181">
        <v>0</v>
      </c>
      <c r="AA277" s="181">
        <v>0</v>
      </c>
      <c r="AB277" s="181">
        <v>875511590</v>
      </c>
      <c r="AC277" s="181">
        <v>15206760</v>
      </c>
      <c r="AD277" s="1180">
        <v>860304830</v>
      </c>
      <c r="AE277" s="1180">
        <v>860304830</v>
      </c>
      <c r="AF277" s="181">
        <v>645227871</v>
      </c>
      <c r="AG277" s="181">
        <v>645227871</v>
      </c>
      <c r="AH277" s="181">
        <v>215076959</v>
      </c>
      <c r="AI277" s="181">
        <v>230283719</v>
      </c>
      <c r="AJ277" s="181">
        <v>15206760</v>
      </c>
      <c r="AK277" s="181">
        <v>230283719</v>
      </c>
      <c r="AL277" s="181">
        <v>0</v>
      </c>
      <c r="AM277" s="181">
        <v>15206760</v>
      </c>
      <c r="AN277" s="181" t="s">
        <v>1709</v>
      </c>
      <c r="AS277" s="181"/>
    </row>
    <row r="278" spans="1:45" ht="30" x14ac:dyDescent="0.25">
      <c r="A278" s="181">
        <v>318</v>
      </c>
      <c r="B278" s="181">
        <v>154</v>
      </c>
      <c r="C278" s="181" t="s">
        <v>694</v>
      </c>
      <c r="D278" s="1179" t="s">
        <v>695</v>
      </c>
      <c r="E278" s="181">
        <v>76446916.340000004</v>
      </c>
      <c r="F278" s="181">
        <v>76446916.340000004</v>
      </c>
      <c r="G278" s="181">
        <v>1930160572.4000001</v>
      </c>
      <c r="H278" s="181">
        <v>0</v>
      </c>
      <c r="I278" s="181">
        <v>1930160572.4000001</v>
      </c>
      <c r="J278" s="181">
        <v>1930160572.4000001</v>
      </c>
      <c r="K278" s="181">
        <v>0</v>
      </c>
      <c r="L278" s="181">
        <v>2006607488.74</v>
      </c>
      <c r="M278" s="181">
        <v>0</v>
      </c>
      <c r="N278" s="181">
        <v>0</v>
      </c>
      <c r="O278" s="181">
        <v>0</v>
      </c>
      <c r="P278" s="181">
        <v>0</v>
      </c>
      <c r="Q278" s="181">
        <v>0</v>
      </c>
      <c r="R278" s="181">
        <v>0</v>
      </c>
      <c r="S278" s="181">
        <v>84814710</v>
      </c>
      <c r="T278" s="181">
        <v>0</v>
      </c>
      <c r="U278" s="181">
        <v>84814710</v>
      </c>
      <c r="V278" s="181">
        <v>0</v>
      </c>
      <c r="W278" s="181">
        <v>0</v>
      </c>
      <c r="X278" s="181">
        <v>0</v>
      </c>
      <c r="Y278" s="181">
        <v>0</v>
      </c>
      <c r="Z278" s="181">
        <v>0</v>
      </c>
      <c r="AA278" s="181">
        <v>0</v>
      </c>
      <c r="AB278" s="181">
        <v>84814710</v>
      </c>
      <c r="AC278" s="181">
        <v>0</v>
      </c>
      <c r="AD278" s="1180">
        <v>84814710</v>
      </c>
      <c r="AE278" s="1183">
        <v>84814710</v>
      </c>
      <c r="AF278" s="181">
        <v>84814710</v>
      </c>
      <c r="AG278" s="181">
        <v>84814710</v>
      </c>
      <c r="AH278" s="181">
        <v>0</v>
      </c>
      <c r="AI278" s="181">
        <v>0</v>
      </c>
      <c r="AJ278" s="181">
        <v>0</v>
      </c>
      <c r="AK278" s="181">
        <v>0</v>
      </c>
      <c r="AL278" s="181">
        <v>0</v>
      </c>
      <c r="AM278" s="181">
        <v>0</v>
      </c>
      <c r="AN278" s="181" t="s">
        <v>74</v>
      </c>
    </row>
    <row r="279" spans="1:45" ht="30" x14ac:dyDescent="0.25">
      <c r="A279" s="181">
        <v>318</v>
      </c>
      <c r="B279" s="181">
        <v>154</v>
      </c>
      <c r="C279" s="181" t="s">
        <v>696</v>
      </c>
      <c r="D279" s="1179" t="s">
        <v>697</v>
      </c>
      <c r="E279" s="181">
        <v>666180276.49000001</v>
      </c>
      <c r="F279" s="181">
        <v>666180276.49000001</v>
      </c>
      <c r="G279" s="181">
        <v>1481112354.8499999</v>
      </c>
      <c r="H279" s="181">
        <v>0</v>
      </c>
      <c r="I279" s="181">
        <v>1481112354.8499999</v>
      </c>
      <c r="J279" s="181">
        <v>1481112354.8499999</v>
      </c>
      <c r="K279" s="181">
        <v>0</v>
      </c>
      <c r="L279" s="181">
        <v>2147292631.3399999</v>
      </c>
      <c r="M279" s="181">
        <v>0</v>
      </c>
      <c r="N279" s="181">
        <v>0</v>
      </c>
      <c r="O279" s="181">
        <v>0</v>
      </c>
      <c r="P279" s="181">
        <v>0</v>
      </c>
      <c r="Q279" s="181">
        <v>0</v>
      </c>
      <c r="R279" s="181">
        <v>0</v>
      </c>
      <c r="S279" s="181">
        <v>500194613</v>
      </c>
      <c r="T279" s="181">
        <v>0</v>
      </c>
      <c r="U279" s="181">
        <v>500194613</v>
      </c>
      <c r="V279" s="181">
        <v>0</v>
      </c>
      <c r="W279" s="181">
        <v>0</v>
      </c>
      <c r="X279" s="181">
        <v>0</v>
      </c>
      <c r="Y279" s="181">
        <v>0</v>
      </c>
      <c r="Z279" s="181">
        <v>0</v>
      </c>
      <c r="AA279" s="181">
        <v>0</v>
      </c>
      <c r="AB279" s="181">
        <v>500194613</v>
      </c>
      <c r="AC279" s="181">
        <v>0</v>
      </c>
      <c r="AD279" s="1180">
        <v>500194613</v>
      </c>
      <c r="AE279" s="1183">
        <v>500194613</v>
      </c>
      <c r="AF279" s="181">
        <v>500194613</v>
      </c>
      <c r="AG279" s="181">
        <v>500194613</v>
      </c>
      <c r="AH279" s="181">
        <v>0</v>
      </c>
      <c r="AI279" s="181">
        <v>0</v>
      </c>
      <c r="AJ279" s="181">
        <v>0</v>
      </c>
      <c r="AK279" s="181">
        <v>0</v>
      </c>
      <c r="AL279" s="181">
        <v>0</v>
      </c>
      <c r="AM279" s="181">
        <v>0</v>
      </c>
      <c r="AN279" s="181" t="s">
        <v>74</v>
      </c>
    </row>
    <row r="280" spans="1:45" ht="30" x14ac:dyDescent="0.25">
      <c r="A280" s="181">
        <v>318</v>
      </c>
      <c r="B280" s="181">
        <v>72</v>
      </c>
      <c r="C280" s="181" t="s">
        <v>698</v>
      </c>
      <c r="D280" s="1179" t="s">
        <v>699</v>
      </c>
      <c r="E280" s="181">
        <v>32762964.27</v>
      </c>
      <c r="F280" s="181">
        <v>32762964.27</v>
      </c>
      <c r="G280" s="181">
        <v>0</v>
      </c>
      <c r="H280" s="181">
        <v>0</v>
      </c>
      <c r="I280" s="181">
        <v>0</v>
      </c>
      <c r="J280" s="181">
        <v>0</v>
      </c>
      <c r="K280" s="181">
        <v>0</v>
      </c>
      <c r="L280" s="181">
        <v>32762964.27</v>
      </c>
      <c r="M280" s="181">
        <v>0</v>
      </c>
      <c r="N280" s="181">
        <v>0</v>
      </c>
      <c r="O280" s="181">
        <v>0</v>
      </c>
      <c r="P280" s="181">
        <v>0</v>
      </c>
      <c r="Q280" s="181">
        <v>0</v>
      </c>
      <c r="R280" s="181">
        <v>0</v>
      </c>
      <c r="S280" s="181">
        <v>31181881</v>
      </c>
      <c r="T280" s="181">
        <v>0</v>
      </c>
      <c r="U280" s="181">
        <v>31181881</v>
      </c>
      <c r="V280" s="181">
        <v>0</v>
      </c>
      <c r="W280" s="181">
        <v>0</v>
      </c>
      <c r="X280" s="181">
        <v>0</v>
      </c>
      <c r="Y280" s="181">
        <v>0</v>
      </c>
      <c r="Z280" s="181">
        <v>0</v>
      </c>
      <c r="AA280" s="181">
        <v>0</v>
      </c>
      <c r="AB280" s="181">
        <v>31181881</v>
      </c>
      <c r="AC280" s="181">
        <v>0</v>
      </c>
      <c r="AD280" s="1180">
        <v>31181881</v>
      </c>
      <c r="AE280" s="1183">
        <v>31181881</v>
      </c>
      <c r="AF280" s="181">
        <v>0</v>
      </c>
      <c r="AG280" s="181">
        <v>0</v>
      </c>
      <c r="AH280" s="181">
        <v>31181881</v>
      </c>
      <c r="AI280" s="181">
        <v>31181881</v>
      </c>
      <c r="AJ280" s="181">
        <v>0</v>
      </c>
      <c r="AK280" s="181">
        <v>31181881</v>
      </c>
      <c r="AL280" s="181">
        <v>0</v>
      </c>
      <c r="AM280" s="181">
        <v>0</v>
      </c>
      <c r="AN280" s="181" t="s">
        <v>187</v>
      </c>
    </row>
    <row r="281" spans="1:45" ht="30" x14ac:dyDescent="0.25">
      <c r="A281" s="181">
        <v>318</v>
      </c>
      <c r="B281" s="181">
        <v>72</v>
      </c>
      <c r="C281" s="181" t="s">
        <v>700</v>
      </c>
      <c r="D281" s="1179" t="s">
        <v>701</v>
      </c>
      <c r="E281" s="181">
        <v>240261737.97999999</v>
      </c>
      <c r="F281" s="181">
        <v>240261737.97999999</v>
      </c>
      <c r="G281" s="181">
        <v>0</v>
      </c>
      <c r="H281" s="181">
        <v>0</v>
      </c>
      <c r="I281" s="181">
        <v>0</v>
      </c>
      <c r="J281" s="181">
        <v>0</v>
      </c>
      <c r="K281" s="181">
        <v>0</v>
      </c>
      <c r="L281" s="181">
        <v>240261737.97999999</v>
      </c>
      <c r="M281" s="181">
        <v>0</v>
      </c>
      <c r="N281" s="181">
        <v>0</v>
      </c>
      <c r="O281" s="181">
        <v>0</v>
      </c>
      <c r="P281" s="181">
        <v>0</v>
      </c>
      <c r="Q281" s="181">
        <v>0</v>
      </c>
      <c r="R281" s="181">
        <v>0</v>
      </c>
      <c r="S281" s="181">
        <v>199101838</v>
      </c>
      <c r="T281" s="181">
        <v>15206760</v>
      </c>
      <c r="U281" s="181">
        <v>183895078</v>
      </c>
      <c r="V281" s="181">
        <v>0</v>
      </c>
      <c r="W281" s="181">
        <v>0</v>
      </c>
      <c r="X281" s="181">
        <v>0</v>
      </c>
      <c r="Y281" s="181">
        <v>0</v>
      </c>
      <c r="Z281" s="181">
        <v>0</v>
      </c>
      <c r="AA281" s="181">
        <v>0</v>
      </c>
      <c r="AB281" s="181">
        <v>199101838</v>
      </c>
      <c r="AC281" s="181">
        <v>15206760</v>
      </c>
      <c r="AD281" s="1180">
        <v>183895078</v>
      </c>
      <c r="AE281" s="1183">
        <v>183895078</v>
      </c>
      <c r="AF281" s="181">
        <v>0</v>
      </c>
      <c r="AG281" s="181">
        <v>0</v>
      </c>
      <c r="AH281" s="181">
        <v>183895078</v>
      </c>
      <c r="AI281" s="181">
        <v>199101838</v>
      </c>
      <c r="AJ281" s="181">
        <v>15206760</v>
      </c>
      <c r="AK281" s="181">
        <v>199101838</v>
      </c>
      <c r="AL281" s="181">
        <v>0</v>
      </c>
      <c r="AM281" s="181">
        <v>15206760</v>
      </c>
      <c r="AN281" s="181" t="s">
        <v>187</v>
      </c>
    </row>
    <row r="282" spans="1:45" ht="45" x14ac:dyDescent="0.25">
      <c r="A282" s="181">
        <v>318</v>
      </c>
      <c r="B282" s="181">
        <v>181</v>
      </c>
      <c r="C282" s="181" t="s">
        <v>702</v>
      </c>
      <c r="D282" s="1179" t="s">
        <v>703</v>
      </c>
      <c r="E282" s="181">
        <v>10920988.09</v>
      </c>
      <c r="F282" s="181">
        <v>10920988.09</v>
      </c>
      <c r="G282" s="181">
        <v>0</v>
      </c>
      <c r="H282" s="181">
        <v>0</v>
      </c>
      <c r="I282" s="181">
        <v>0</v>
      </c>
      <c r="J282" s="181">
        <v>0</v>
      </c>
      <c r="K282" s="181">
        <v>0</v>
      </c>
      <c r="L282" s="181">
        <v>10920988.09</v>
      </c>
      <c r="M282" s="181">
        <v>0</v>
      </c>
      <c r="N282" s="181">
        <v>0</v>
      </c>
      <c r="O282" s="181">
        <v>0</v>
      </c>
      <c r="P282" s="181">
        <v>0</v>
      </c>
      <c r="Q282" s="181">
        <v>0</v>
      </c>
      <c r="R282" s="181">
        <v>0</v>
      </c>
      <c r="S282" s="181">
        <v>8730925</v>
      </c>
      <c r="T282" s="181">
        <v>0</v>
      </c>
      <c r="U282" s="181">
        <v>8730925</v>
      </c>
      <c r="V282" s="181">
        <v>0</v>
      </c>
      <c r="W282" s="181">
        <v>0</v>
      </c>
      <c r="X282" s="181">
        <v>0</v>
      </c>
      <c r="Y282" s="181">
        <v>0</v>
      </c>
      <c r="Z282" s="181">
        <v>0</v>
      </c>
      <c r="AA282" s="181">
        <v>0</v>
      </c>
      <c r="AB282" s="181">
        <v>8730925</v>
      </c>
      <c r="AC282" s="181">
        <v>0</v>
      </c>
      <c r="AD282" s="1180">
        <v>8730925</v>
      </c>
      <c r="AE282" s="1183">
        <v>8730925</v>
      </c>
      <c r="AF282" s="181">
        <v>8730925</v>
      </c>
      <c r="AG282" s="181">
        <v>8730925</v>
      </c>
      <c r="AH282" s="181">
        <v>0</v>
      </c>
      <c r="AI282" s="181">
        <v>0</v>
      </c>
      <c r="AJ282" s="181">
        <v>0</v>
      </c>
      <c r="AK282" s="181">
        <v>0</v>
      </c>
      <c r="AL282" s="181">
        <v>0</v>
      </c>
      <c r="AM282" s="181">
        <v>0</v>
      </c>
      <c r="AN282" s="181" t="s">
        <v>102</v>
      </c>
    </row>
    <row r="283" spans="1:45" ht="30" x14ac:dyDescent="0.25">
      <c r="A283" s="181">
        <v>318</v>
      </c>
      <c r="B283" s="181">
        <v>181</v>
      </c>
      <c r="C283" s="181" t="s">
        <v>704</v>
      </c>
      <c r="D283" s="1179" t="s">
        <v>705</v>
      </c>
      <c r="E283" s="181">
        <v>65525928.539999999</v>
      </c>
      <c r="F283" s="181">
        <v>65525928.539999999</v>
      </c>
      <c r="G283" s="181">
        <v>0</v>
      </c>
      <c r="H283" s="181">
        <v>0</v>
      </c>
      <c r="I283" s="181">
        <v>0</v>
      </c>
      <c r="J283" s="181">
        <v>0</v>
      </c>
      <c r="K283" s="181">
        <v>0</v>
      </c>
      <c r="L283" s="181">
        <v>65525928.539999999</v>
      </c>
      <c r="M283" s="181">
        <v>0</v>
      </c>
      <c r="N283" s="181">
        <v>0</v>
      </c>
      <c r="O283" s="181">
        <v>0</v>
      </c>
      <c r="P283" s="181">
        <v>0</v>
      </c>
      <c r="Q283" s="181">
        <v>0</v>
      </c>
      <c r="R283" s="181">
        <v>0</v>
      </c>
      <c r="S283" s="181">
        <v>51487623</v>
      </c>
      <c r="T283" s="181">
        <v>0</v>
      </c>
      <c r="U283" s="181">
        <v>51487623</v>
      </c>
      <c r="V283" s="181">
        <v>0</v>
      </c>
      <c r="W283" s="181">
        <v>0</v>
      </c>
      <c r="X283" s="181">
        <v>0</v>
      </c>
      <c r="Y283" s="181">
        <v>0</v>
      </c>
      <c r="Z283" s="181">
        <v>0</v>
      </c>
      <c r="AA283" s="181">
        <v>0</v>
      </c>
      <c r="AB283" s="181">
        <v>51487623</v>
      </c>
      <c r="AC283" s="181">
        <v>0</v>
      </c>
      <c r="AD283" s="1180">
        <v>51487623</v>
      </c>
      <c r="AE283" s="1183">
        <v>51487623</v>
      </c>
      <c r="AF283" s="181">
        <v>51487623</v>
      </c>
      <c r="AG283" s="181">
        <v>51487623</v>
      </c>
      <c r="AH283" s="181">
        <v>0</v>
      </c>
      <c r="AI283" s="181">
        <v>0</v>
      </c>
      <c r="AJ283" s="181">
        <v>0</v>
      </c>
      <c r="AK283" s="181">
        <v>0</v>
      </c>
      <c r="AL283" s="181">
        <v>0</v>
      </c>
      <c r="AM283" s="181">
        <v>0</v>
      </c>
      <c r="AN283" s="181" t="s">
        <v>102</v>
      </c>
    </row>
    <row r="284" spans="1:45" hidden="1" x14ac:dyDescent="0.25">
      <c r="A284" s="181">
        <v>318</v>
      </c>
      <c r="B284" s="181" t="s">
        <v>226</v>
      </c>
      <c r="C284" s="181" t="s">
        <v>706</v>
      </c>
      <c r="D284" s="1179" t="s">
        <v>241</v>
      </c>
      <c r="E284" s="181">
        <v>19534950461.080002</v>
      </c>
      <c r="F284" s="181">
        <v>19534950461.080002</v>
      </c>
      <c r="G284" s="181">
        <v>8905571886.7399998</v>
      </c>
      <c r="H284" s="181">
        <v>0</v>
      </c>
      <c r="I284" s="181">
        <v>8905571886.7399998</v>
      </c>
      <c r="J284" s="181">
        <v>8905571886.7399998</v>
      </c>
      <c r="K284" s="181">
        <v>0</v>
      </c>
      <c r="L284" s="181">
        <v>28440522347.82</v>
      </c>
      <c r="M284" s="181">
        <v>0</v>
      </c>
      <c r="N284" s="181">
        <v>0</v>
      </c>
      <c r="O284" s="181">
        <v>0</v>
      </c>
      <c r="P284" s="181">
        <v>0</v>
      </c>
      <c r="Q284" s="181">
        <v>0</v>
      </c>
      <c r="R284" s="181">
        <v>0</v>
      </c>
      <c r="S284" s="181">
        <v>29341802019.619999</v>
      </c>
      <c r="T284" s="181">
        <v>324282461.25</v>
      </c>
      <c r="U284" s="181">
        <v>29017519558.369999</v>
      </c>
      <c r="V284" s="181">
        <v>0</v>
      </c>
      <c r="W284" s="181">
        <v>0</v>
      </c>
      <c r="X284" s="181">
        <v>0</v>
      </c>
      <c r="Y284" s="181">
        <v>0</v>
      </c>
      <c r="Z284" s="181">
        <v>0</v>
      </c>
      <c r="AA284" s="181">
        <v>0</v>
      </c>
      <c r="AB284" s="181">
        <v>29341802019.619999</v>
      </c>
      <c r="AC284" s="181">
        <v>324282461.25</v>
      </c>
      <c r="AD284" s="1180">
        <v>29017519558.369999</v>
      </c>
      <c r="AE284" s="1180">
        <v>29017519558.369999</v>
      </c>
      <c r="AF284" s="181">
        <v>7206509592.75</v>
      </c>
      <c r="AG284" s="181">
        <v>7206509592.75</v>
      </c>
      <c r="AH284" s="181">
        <v>21811009965.619999</v>
      </c>
      <c r="AI284" s="181">
        <v>22135292426.869999</v>
      </c>
      <c r="AJ284" s="181">
        <v>324282461.25</v>
      </c>
      <c r="AK284" s="181">
        <v>22135292426.869999</v>
      </c>
      <c r="AL284" s="181">
        <v>0</v>
      </c>
      <c r="AM284" s="181">
        <v>324282461.25</v>
      </c>
      <c r="AN284" s="181" t="s">
        <v>1709</v>
      </c>
      <c r="AS284" s="181"/>
    </row>
    <row r="285" spans="1:45" hidden="1" x14ac:dyDescent="0.25">
      <c r="A285" s="181">
        <v>318</v>
      </c>
      <c r="B285" s="181" t="s">
        <v>226</v>
      </c>
      <c r="C285" s="181" t="s">
        <v>707</v>
      </c>
      <c r="D285" s="1179" t="s">
        <v>708</v>
      </c>
      <c r="E285" s="181">
        <v>625919989.35000002</v>
      </c>
      <c r="F285" s="181">
        <v>625919989.35000002</v>
      </c>
      <c r="G285" s="181">
        <v>516305477</v>
      </c>
      <c r="H285" s="181">
        <v>0</v>
      </c>
      <c r="I285" s="181">
        <v>516305477</v>
      </c>
      <c r="J285" s="181">
        <v>516305477</v>
      </c>
      <c r="K285" s="181">
        <v>0</v>
      </c>
      <c r="L285" s="181">
        <v>1142225466.3499999</v>
      </c>
      <c r="M285" s="181">
        <v>0</v>
      </c>
      <c r="N285" s="181">
        <v>0</v>
      </c>
      <c r="O285" s="181">
        <v>0</v>
      </c>
      <c r="P285" s="181">
        <v>0</v>
      </c>
      <c r="Q285" s="181">
        <v>0</v>
      </c>
      <c r="R285" s="181">
        <v>0</v>
      </c>
      <c r="S285" s="181">
        <v>987760613.75</v>
      </c>
      <c r="T285" s="181">
        <v>151371753.25</v>
      </c>
      <c r="U285" s="181">
        <v>836388860.5</v>
      </c>
      <c r="V285" s="181">
        <v>0</v>
      </c>
      <c r="W285" s="181">
        <v>0</v>
      </c>
      <c r="X285" s="181">
        <v>0</v>
      </c>
      <c r="Y285" s="181">
        <v>0</v>
      </c>
      <c r="Z285" s="181">
        <v>0</v>
      </c>
      <c r="AA285" s="181">
        <v>0</v>
      </c>
      <c r="AB285" s="181">
        <v>987760613.75</v>
      </c>
      <c r="AC285" s="181">
        <v>151371753.25</v>
      </c>
      <c r="AD285" s="1180">
        <v>836388860.5</v>
      </c>
      <c r="AE285" s="1180">
        <v>836388860.5</v>
      </c>
      <c r="AF285" s="181">
        <v>619548507.75</v>
      </c>
      <c r="AG285" s="181">
        <v>619548507.75</v>
      </c>
      <c r="AH285" s="181">
        <v>216840352.75</v>
      </c>
      <c r="AI285" s="181">
        <v>368212106</v>
      </c>
      <c r="AJ285" s="181">
        <v>151371753.25</v>
      </c>
      <c r="AK285" s="181">
        <v>368212106</v>
      </c>
      <c r="AL285" s="181">
        <v>0</v>
      </c>
      <c r="AM285" s="181">
        <v>151371753.25</v>
      </c>
      <c r="AN285" s="181" t="s">
        <v>1709</v>
      </c>
      <c r="AS285" s="181"/>
    </row>
    <row r="286" spans="1:45" x14ac:dyDescent="0.25">
      <c r="A286" s="181">
        <v>318</v>
      </c>
      <c r="B286" s="181">
        <v>154</v>
      </c>
      <c r="C286" s="181" t="s">
        <v>709</v>
      </c>
      <c r="D286" s="1179" t="s">
        <v>710</v>
      </c>
      <c r="E286" s="181">
        <v>425625593.19999999</v>
      </c>
      <c r="F286" s="181">
        <v>425625593.19999999</v>
      </c>
      <c r="G286" s="181">
        <v>516305477</v>
      </c>
      <c r="H286" s="181">
        <v>0</v>
      </c>
      <c r="I286" s="181">
        <v>516305477</v>
      </c>
      <c r="J286" s="181">
        <v>516305477</v>
      </c>
      <c r="K286" s="181">
        <v>0</v>
      </c>
      <c r="L286" s="181">
        <v>941931070.20000005</v>
      </c>
      <c r="M286" s="181">
        <v>0</v>
      </c>
      <c r="N286" s="181">
        <v>0</v>
      </c>
      <c r="O286" s="181">
        <v>0</v>
      </c>
      <c r="P286" s="181">
        <v>0</v>
      </c>
      <c r="Q286" s="181">
        <v>0</v>
      </c>
      <c r="R286" s="181">
        <v>0</v>
      </c>
      <c r="S286" s="181">
        <v>569216914.48000002</v>
      </c>
      <c r="T286" s="181">
        <v>0</v>
      </c>
      <c r="U286" s="181">
        <v>569216914.48000002</v>
      </c>
      <c r="V286" s="181">
        <v>0</v>
      </c>
      <c r="W286" s="181">
        <v>0</v>
      </c>
      <c r="X286" s="181">
        <v>0</v>
      </c>
      <c r="Y286" s="181">
        <v>0</v>
      </c>
      <c r="Z286" s="181">
        <v>0</v>
      </c>
      <c r="AA286" s="181">
        <v>0</v>
      </c>
      <c r="AB286" s="181">
        <v>569216914.48000002</v>
      </c>
      <c r="AC286" s="181">
        <v>0</v>
      </c>
      <c r="AD286" s="1180">
        <v>569216914.48000002</v>
      </c>
      <c r="AE286" s="1183">
        <v>569216914.48000002</v>
      </c>
      <c r="AF286" s="181">
        <v>569216914.48000002</v>
      </c>
      <c r="AG286" s="181">
        <v>569216914.48000002</v>
      </c>
      <c r="AH286" s="181">
        <v>0</v>
      </c>
      <c r="AI286" s="181">
        <v>0</v>
      </c>
      <c r="AJ286" s="181">
        <v>0</v>
      </c>
      <c r="AK286" s="181">
        <v>0</v>
      </c>
      <c r="AL286" s="181">
        <v>0</v>
      </c>
      <c r="AM286" s="181">
        <v>0</v>
      </c>
      <c r="AN286" s="181" t="s">
        <v>74</v>
      </c>
    </row>
    <row r="287" spans="1:45" x14ac:dyDescent="0.25">
      <c r="A287" s="181">
        <v>318</v>
      </c>
      <c r="B287" s="181">
        <v>72</v>
      </c>
      <c r="C287" s="181" t="s">
        <v>711</v>
      </c>
      <c r="D287" s="1179" t="s">
        <v>712</v>
      </c>
      <c r="E287" s="181">
        <v>156479997.5</v>
      </c>
      <c r="F287" s="181">
        <v>156479997.5</v>
      </c>
      <c r="G287" s="181">
        <v>0</v>
      </c>
      <c r="H287" s="181">
        <v>0</v>
      </c>
      <c r="I287" s="181">
        <v>0</v>
      </c>
      <c r="J287" s="181">
        <v>0</v>
      </c>
      <c r="K287" s="181">
        <v>0</v>
      </c>
      <c r="L287" s="181">
        <v>156479997.5</v>
      </c>
      <c r="M287" s="181">
        <v>0</v>
      </c>
      <c r="N287" s="181">
        <v>0</v>
      </c>
      <c r="O287" s="181">
        <v>0</v>
      </c>
      <c r="P287" s="181">
        <v>0</v>
      </c>
      <c r="Q287" s="181">
        <v>0</v>
      </c>
      <c r="R287" s="181">
        <v>0</v>
      </c>
      <c r="S287" s="181">
        <v>359492624</v>
      </c>
      <c r="T287" s="181">
        <v>150950916.75</v>
      </c>
      <c r="U287" s="181">
        <v>208541707.25</v>
      </c>
      <c r="V287" s="181">
        <v>0</v>
      </c>
      <c r="W287" s="181">
        <v>0</v>
      </c>
      <c r="X287" s="181">
        <v>0</v>
      </c>
      <c r="Y287" s="181">
        <v>0</v>
      </c>
      <c r="Z287" s="181">
        <v>0</v>
      </c>
      <c r="AA287" s="181">
        <v>0</v>
      </c>
      <c r="AB287" s="181">
        <v>359492624</v>
      </c>
      <c r="AC287" s="181">
        <v>150950916.75</v>
      </c>
      <c r="AD287" s="1180">
        <v>208541707.25</v>
      </c>
      <c r="AE287" s="1183">
        <v>208541707.25</v>
      </c>
      <c r="AF287" s="181">
        <v>0</v>
      </c>
      <c r="AG287" s="181">
        <v>0</v>
      </c>
      <c r="AH287" s="181">
        <v>208541707.25</v>
      </c>
      <c r="AI287" s="181">
        <v>359492624</v>
      </c>
      <c r="AJ287" s="181">
        <v>150950916.75</v>
      </c>
      <c r="AK287" s="181">
        <v>359492624</v>
      </c>
      <c r="AL287" s="181">
        <v>0</v>
      </c>
      <c r="AM287" s="181">
        <v>150950916.75</v>
      </c>
      <c r="AN287" s="181" t="s">
        <v>187</v>
      </c>
    </row>
    <row r="288" spans="1:45" ht="30" x14ac:dyDescent="0.25">
      <c r="A288" s="181">
        <v>318</v>
      </c>
      <c r="B288" s="181">
        <v>181</v>
      </c>
      <c r="C288" s="181" t="s">
        <v>713</v>
      </c>
      <c r="D288" s="1179" t="s">
        <v>714</v>
      </c>
      <c r="E288" s="181">
        <v>25036799.649999999</v>
      </c>
      <c r="F288" s="181">
        <v>25036799.649999999</v>
      </c>
      <c r="G288" s="181">
        <v>0</v>
      </c>
      <c r="H288" s="181">
        <v>0</v>
      </c>
      <c r="I288" s="181">
        <v>0</v>
      </c>
      <c r="J288" s="181">
        <v>0</v>
      </c>
      <c r="K288" s="181">
        <v>0</v>
      </c>
      <c r="L288" s="181">
        <v>25036799.649999999</v>
      </c>
      <c r="M288" s="181">
        <v>0</v>
      </c>
      <c r="N288" s="181">
        <v>0</v>
      </c>
      <c r="O288" s="181">
        <v>0</v>
      </c>
      <c r="P288" s="181">
        <v>0</v>
      </c>
      <c r="Q288" s="181">
        <v>0</v>
      </c>
      <c r="R288" s="181">
        <v>0</v>
      </c>
      <c r="S288" s="181">
        <v>50331593.270000003</v>
      </c>
      <c r="T288" s="181">
        <v>0</v>
      </c>
      <c r="U288" s="181">
        <v>50331593.270000003</v>
      </c>
      <c r="V288" s="181">
        <v>0</v>
      </c>
      <c r="W288" s="181">
        <v>0</v>
      </c>
      <c r="X288" s="181">
        <v>0</v>
      </c>
      <c r="Y288" s="181">
        <v>0</v>
      </c>
      <c r="Z288" s="181">
        <v>0</v>
      </c>
      <c r="AA288" s="181">
        <v>0</v>
      </c>
      <c r="AB288" s="181">
        <v>50331593.270000003</v>
      </c>
      <c r="AC288" s="181">
        <v>0</v>
      </c>
      <c r="AD288" s="1180">
        <v>50331593.270000003</v>
      </c>
      <c r="AE288" s="1183">
        <v>50331593.270000003</v>
      </c>
      <c r="AF288" s="181">
        <v>50331593.270000003</v>
      </c>
      <c r="AG288" s="181">
        <v>50331593.270000003</v>
      </c>
      <c r="AH288" s="181">
        <v>0</v>
      </c>
      <c r="AI288" s="181">
        <v>0</v>
      </c>
      <c r="AJ288" s="181">
        <v>0</v>
      </c>
      <c r="AK288" s="181">
        <v>0</v>
      </c>
      <c r="AL288" s="181">
        <v>0</v>
      </c>
      <c r="AM288" s="181">
        <v>0</v>
      </c>
      <c r="AN288" s="181" t="s">
        <v>102</v>
      </c>
    </row>
    <row r="289" spans="1:45" ht="30" x14ac:dyDescent="0.25">
      <c r="A289" s="181">
        <v>318</v>
      </c>
      <c r="B289" s="181">
        <v>182</v>
      </c>
      <c r="C289" s="181" t="s">
        <v>715</v>
      </c>
      <c r="D289" s="1179" t="s">
        <v>714</v>
      </c>
      <c r="E289" s="181">
        <v>18777599</v>
      </c>
      <c r="F289" s="181">
        <v>18777599</v>
      </c>
      <c r="G289" s="181">
        <v>0</v>
      </c>
      <c r="H289" s="181">
        <v>0</v>
      </c>
      <c r="I289" s="181">
        <v>0</v>
      </c>
      <c r="J289" s="181">
        <v>0</v>
      </c>
      <c r="K289" s="181">
        <v>0</v>
      </c>
      <c r="L289" s="181">
        <v>18777599</v>
      </c>
      <c r="M289" s="181">
        <v>0</v>
      </c>
      <c r="N289" s="181">
        <v>0</v>
      </c>
      <c r="O289" s="181">
        <v>0</v>
      </c>
      <c r="P289" s="181">
        <v>0</v>
      </c>
      <c r="Q289" s="181">
        <v>0</v>
      </c>
      <c r="R289" s="181">
        <v>0</v>
      </c>
      <c r="S289" s="181">
        <v>8719482</v>
      </c>
      <c r="T289" s="181">
        <v>420836.5</v>
      </c>
      <c r="U289" s="181">
        <v>8298645.5</v>
      </c>
      <c r="V289" s="181">
        <v>0</v>
      </c>
      <c r="W289" s="181">
        <v>0</v>
      </c>
      <c r="X289" s="181">
        <v>0</v>
      </c>
      <c r="Y289" s="181">
        <v>0</v>
      </c>
      <c r="Z289" s="181">
        <v>0</v>
      </c>
      <c r="AA289" s="181">
        <v>0</v>
      </c>
      <c r="AB289" s="181">
        <v>8719482</v>
      </c>
      <c r="AC289" s="181">
        <v>420836.5</v>
      </c>
      <c r="AD289" s="1180">
        <v>8298645.5</v>
      </c>
      <c r="AE289" s="1183">
        <v>8298645.5</v>
      </c>
      <c r="AF289" s="181">
        <v>0</v>
      </c>
      <c r="AG289" s="181">
        <v>0</v>
      </c>
      <c r="AH289" s="181">
        <v>8298645.5</v>
      </c>
      <c r="AI289" s="181">
        <v>8719482</v>
      </c>
      <c r="AJ289" s="181">
        <v>420836.5</v>
      </c>
      <c r="AK289" s="181">
        <v>8719482</v>
      </c>
      <c r="AL289" s="181">
        <v>0</v>
      </c>
      <c r="AM289" s="181">
        <v>420836.5</v>
      </c>
      <c r="AN289" s="181" t="s">
        <v>104</v>
      </c>
    </row>
    <row r="290" spans="1:45" ht="45" hidden="1" x14ac:dyDescent="0.25">
      <c r="A290" s="181">
        <v>318</v>
      </c>
      <c r="B290" s="181" t="s">
        <v>226</v>
      </c>
      <c r="C290" s="181" t="s">
        <v>716</v>
      </c>
      <c r="D290" s="1179" t="s">
        <v>259</v>
      </c>
      <c r="E290" s="181">
        <v>1362067804</v>
      </c>
      <c r="F290" s="181">
        <v>1362067804</v>
      </c>
      <c r="G290" s="181">
        <v>665464334.32000005</v>
      </c>
      <c r="H290" s="181">
        <v>0</v>
      </c>
      <c r="I290" s="181">
        <v>665464334.32000005</v>
      </c>
      <c r="J290" s="181">
        <v>665464334.32000005</v>
      </c>
      <c r="K290" s="181">
        <v>0</v>
      </c>
      <c r="L290" s="181">
        <v>2027532138.3199999</v>
      </c>
      <c r="M290" s="181">
        <v>0</v>
      </c>
      <c r="N290" s="181">
        <v>0</v>
      </c>
      <c r="O290" s="181">
        <v>0</v>
      </c>
      <c r="P290" s="181">
        <v>0</v>
      </c>
      <c r="Q290" s="181">
        <v>0</v>
      </c>
      <c r="R290" s="181">
        <v>0</v>
      </c>
      <c r="S290" s="181">
        <v>1218762618</v>
      </c>
      <c r="T290" s="181">
        <v>0</v>
      </c>
      <c r="U290" s="181">
        <v>1218762618</v>
      </c>
      <c r="V290" s="181">
        <v>0</v>
      </c>
      <c r="W290" s="181">
        <v>0</v>
      </c>
      <c r="X290" s="181">
        <v>0</v>
      </c>
      <c r="Y290" s="181">
        <v>0</v>
      </c>
      <c r="Z290" s="181">
        <v>0</v>
      </c>
      <c r="AA290" s="181">
        <v>0</v>
      </c>
      <c r="AB290" s="181">
        <v>1218762618</v>
      </c>
      <c r="AC290" s="181">
        <v>0</v>
      </c>
      <c r="AD290" s="1180">
        <v>1218762618</v>
      </c>
      <c r="AE290" s="1180">
        <v>1218762618</v>
      </c>
      <c r="AF290" s="181">
        <v>914071964</v>
      </c>
      <c r="AG290" s="181">
        <v>914071964</v>
      </c>
      <c r="AH290" s="181">
        <v>304690654</v>
      </c>
      <c r="AI290" s="181">
        <v>304690654</v>
      </c>
      <c r="AJ290" s="181">
        <v>0</v>
      </c>
      <c r="AK290" s="181">
        <v>304690654</v>
      </c>
      <c r="AL290" s="181">
        <v>0</v>
      </c>
      <c r="AM290" s="181">
        <v>0</v>
      </c>
      <c r="AN290" s="181" t="s">
        <v>1709</v>
      </c>
      <c r="AS290" s="181"/>
    </row>
    <row r="291" spans="1:45" ht="45" hidden="1" x14ac:dyDescent="0.25">
      <c r="A291" s="181">
        <v>318</v>
      </c>
      <c r="B291" s="181" t="s">
        <v>226</v>
      </c>
      <c r="C291" s="181" t="s">
        <v>717</v>
      </c>
      <c r="D291" s="1179" t="s">
        <v>259</v>
      </c>
      <c r="E291" s="181">
        <v>1362067804</v>
      </c>
      <c r="F291" s="181">
        <v>1362067804</v>
      </c>
      <c r="G291" s="181">
        <v>665464334.32000005</v>
      </c>
      <c r="H291" s="181">
        <v>0</v>
      </c>
      <c r="I291" s="181">
        <v>665464334.32000005</v>
      </c>
      <c r="J291" s="181">
        <v>665464334.32000005</v>
      </c>
      <c r="K291" s="181">
        <v>0</v>
      </c>
      <c r="L291" s="181">
        <v>2027532138.3199999</v>
      </c>
      <c r="M291" s="181">
        <v>0</v>
      </c>
      <c r="N291" s="181">
        <v>0</v>
      </c>
      <c r="O291" s="181">
        <v>0</v>
      </c>
      <c r="P291" s="181">
        <v>0</v>
      </c>
      <c r="Q291" s="181">
        <v>0</v>
      </c>
      <c r="R291" s="181">
        <v>0</v>
      </c>
      <c r="S291" s="181">
        <v>1218762618</v>
      </c>
      <c r="T291" s="181">
        <v>0</v>
      </c>
      <c r="U291" s="181">
        <v>1218762618</v>
      </c>
      <c r="V291" s="181">
        <v>0</v>
      </c>
      <c r="W291" s="181">
        <v>0</v>
      </c>
      <c r="X291" s="181">
        <v>0</v>
      </c>
      <c r="Y291" s="181">
        <v>0</v>
      </c>
      <c r="Z291" s="181">
        <v>0</v>
      </c>
      <c r="AA291" s="181">
        <v>0</v>
      </c>
      <c r="AB291" s="181">
        <v>1218762618</v>
      </c>
      <c r="AC291" s="181">
        <v>0</v>
      </c>
      <c r="AD291" s="1180">
        <v>1218762618</v>
      </c>
      <c r="AE291" s="1180">
        <v>1218762618</v>
      </c>
      <c r="AF291" s="181">
        <v>914071964</v>
      </c>
      <c r="AG291" s="181">
        <v>914071964</v>
      </c>
      <c r="AH291" s="181">
        <v>304690654</v>
      </c>
      <c r="AI291" s="181">
        <v>304690654</v>
      </c>
      <c r="AJ291" s="181">
        <v>0</v>
      </c>
      <c r="AK291" s="181">
        <v>304690654</v>
      </c>
      <c r="AL291" s="181">
        <v>0</v>
      </c>
      <c r="AM291" s="181">
        <v>0</v>
      </c>
      <c r="AN291" s="181" t="s">
        <v>1709</v>
      </c>
      <c r="AS291" s="181"/>
    </row>
    <row r="292" spans="1:45" ht="45" x14ac:dyDescent="0.25">
      <c r="A292" s="181">
        <v>318</v>
      </c>
      <c r="B292" s="181">
        <v>154</v>
      </c>
      <c r="C292" s="181" t="s">
        <v>718</v>
      </c>
      <c r="D292" s="1179" t="s">
        <v>259</v>
      </c>
      <c r="E292" s="181">
        <v>1362067804</v>
      </c>
      <c r="F292" s="181">
        <v>1362067804</v>
      </c>
      <c r="G292" s="181">
        <v>360773680.31999999</v>
      </c>
      <c r="H292" s="181">
        <v>0</v>
      </c>
      <c r="I292" s="181">
        <v>360773680.31999999</v>
      </c>
      <c r="J292" s="181">
        <v>360773680.31999999</v>
      </c>
      <c r="K292" s="181">
        <v>0</v>
      </c>
      <c r="L292" s="181">
        <v>1722841484.3199999</v>
      </c>
      <c r="M292" s="181">
        <v>0</v>
      </c>
      <c r="N292" s="181">
        <v>0</v>
      </c>
      <c r="O292" s="181">
        <v>0</v>
      </c>
      <c r="P292" s="181">
        <v>0</v>
      </c>
      <c r="Q292" s="181">
        <v>0</v>
      </c>
      <c r="R292" s="181">
        <v>0</v>
      </c>
      <c r="S292" s="181">
        <v>914071964</v>
      </c>
      <c r="T292" s="181">
        <v>0</v>
      </c>
      <c r="U292" s="181">
        <v>914071964</v>
      </c>
      <c r="V292" s="181">
        <v>0</v>
      </c>
      <c r="W292" s="181">
        <v>0</v>
      </c>
      <c r="X292" s="181">
        <v>0</v>
      </c>
      <c r="Y292" s="181">
        <v>0</v>
      </c>
      <c r="Z292" s="181">
        <v>0</v>
      </c>
      <c r="AA292" s="181">
        <v>0</v>
      </c>
      <c r="AB292" s="181">
        <v>914071964</v>
      </c>
      <c r="AC292" s="181">
        <v>0</v>
      </c>
      <c r="AD292" s="1180">
        <v>914071964</v>
      </c>
      <c r="AE292" s="1183">
        <v>914071964</v>
      </c>
      <c r="AF292" s="181">
        <v>914071964</v>
      </c>
      <c r="AG292" s="181">
        <v>914071964</v>
      </c>
      <c r="AH292" s="181">
        <v>0</v>
      </c>
      <c r="AI292" s="181">
        <v>0</v>
      </c>
      <c r="AJ292" s="181">
        <v>0</v>
      </c>
      <c r="AK292" s="181">
        <v>0</v>
      </c>
      <c r="AL292" s="181">
        <v>0</v>
      </c>
      <c r="AM292" s="181">
        <v>0</v>
      </c>
      <c r="AN292" s="181" t="s">
        <v>74</v>
      </c>
    </row>
    <row r="293" spans="1:45" ht="45" hidden="1" x14ac:dyDescent="0.25">
      <c r="A293" s="181">
        <v>318</v>
      </c>
      <c r="B293" s="181">
        <v>155</v>
      </c>
      <c r="C293" s="181" t="s">
        <v>719</v>
      </c>
      <c r="D293" s="1179" t="s">
        <v>259</v>
      </c>
      <c r="E293" s="181">
        <v>0</v>
      </c>
      <c r="F293" s="181">
        <v>0</v>
      </c>
      <c r="G293" s="181">
        <v>304690654</v>
      </c>
      <c r="H293" s="181">
        <v>0</v>
      </c>
      <c r="I293" s="181">
        <v>304690654</v>
      </c>
      <c r="J293" s="181">
        <v>304690654</v>
      </c>
      <c r="K293" s="181">
        <v>0</v>
      </c>
      <c r="L293" s="181">
        <v>304690654</v>
      </c>
      <c r="M293" s="181">
        <v>0</v>
      </c>
      <c r="N293" s="181">
        <v>0</v>
      </c>
      <c r="O293" s="181">
        <v>0</v>
      </c>
      <c r="P293" s="181">
        <v>0</v>
      </c>
      <c r="Q293" s="181">
        <v>0</v>
      </c>
      <c r="R293" s="181">
        <v>0</v>
      </c>
      <c r="S293" s="181">
        <v>304690654</v>
      </c>
      <c r="T293" s="181">
        <v>0</v>
      </c>
      <c r="U293" s="181">
        <v>304690654</v>
      </c>
      <c r="V293" s="181">
        <v>0</v>
      </c>
      <c r="W293" s="181">
        <v>0</v>
      </c>
      <c r="X293" s="181">
        <v>0</v>
      </c>
      <c r="Y293" s="181">
        <v>0</v>
      </c>
      <c r="Z293" s="181">
        <v>0</v>
      </c>
      <c r="AA293" s="181">
        <v>0</v>
      </c>
      <c r="AB293" s="181">
        <v>304690654</v>
      </c>
      <c r="AC293" s="181">
        <v>0</v>
      </c>
      <c r="AD293" s="1180">
        <v>304690654</v>
      </c>
      <c r="AE293" s="1180">
        <v>304690654</v>
      </c>
      <c r="AF293" s="181">
        <v>0</v>
      </c>
      <c r="AG293" s="181">
        <v>0</v>
      </c>
      <c r="AH293" s="181">
        <v>304690654</v>
      </c>
      <c r="AI293" s="181">
        <v>304690654</v>
      </c>
      <c r="AJ293" s="181">
        <v>0</v>
      </c>
      <c r="AK293" s="181">
        <v>304690654</v>
      </c>
      <c r="AL293" s="181">
        <v>0</v>
      </c>
      <c r="AM293" s="181">
        <v>0</v>
      </c>
      <c r="AN293" s="181" t="s">
        <v>76</v>
      </c>
      <c r="AS293" s="181"/>
    </row>
    <row r="294" spans="1:45" ht="45" hidden="1" x14ac:dyDescent="0.25">
      <c r="A294" s="181">
        <v>318</v>
      </c>
      <c r="B294" s="181" t="s">
        <v>226</v>
      </c>
      <c r="C294" s="181" t="s">
        <v>720</v>
      </c>
      <c r="D294" s="1179" t="s">
        <v>264</v>
      </c>
      <c r="E294" s="181">
        <v>3280528487.1599998</v>
      </c>
      <c r="F294" s="181">
        <v>3280528487.1599998</v>
      </c>
      <c r="G294" s="181">
        <v>533723136.81999999</v>
      </c>
      <c r="H294" s="181">
        <v>0</v>
      </c>
      <c r="I294" s="181">
        <v>533723136.81999999</v>
      </c>
      <c r="J294" s="181">
        <v>533723136.81999999</v>
      </c>
      <c r="K294" s="181">
        <v>0</v>
      </c>
      <c r="L294" s="181">
        <v>3814251623.98</v>
      </c>
      <c r="M294" s="181">
        <v>0</v>
      </c>
      <c r="N294" s="181">
        <v>0</v>
      </c>
      <c r="O294" s="181">
        <v>0</v>
      </c>
      <c r="P294" s="181">
        <v>0</v>
      </c>
      <c r="Q294" s="181">
        <v>0</v>
      </c>
      <c r="R294" s="181">
        <v>0</v>
      </c>
      <c r="S294" s="181">
        <v>2413431582.8699999</v>
      </c>
      <c r="T294" s="181">
        <v>19281708</v>
      </c>
      <c r="U294" s="181">
        <v>2394149874.8699999</v>
      </c>
      <c r="V294" s="181">
        <v>0</v>
      </c>
      <c r="W294" s="181">
        <v>0</v>
      </c>
      <c r="X294" s="181">
        <v>0</v>
      </c>
      <c r="Y294" s="181">
        <v>0</v>
      </c>
      <c r="Z294" s="181">
        <v>0</v>
      </c>
      <c r="AA294" s="181">
        <v>0</v>
      </c>
      <c r="AB294" s="181">
        <v>2413431582.8699999</v>
      </c>
      <c r="AC294" s="181">
        <v>19281708</v>
      </c>
      <c r="AD294" s="1180">
        <v>2394149874.8699999</v>
      </c>
      <c r="AE294" s="1180">
        <v>2394149874.8699999</v>
      </c>
      <c r="AF294" s="181">
        <v>837987913</v>
      </c>
      <c r="AG294" s="181">
        <v>837987913</v>
      </c>
      <c r="AH294" s="181">
        <v>1556161961.8699999</v>
      </c>
      <c r="AI294" s="181">
        <v>1575443669.8699999</v>
      </c>
      <c r="AJ294" s="181">
        <v>19281708</v>
      </c>
      <c r="AK294" s="181">
        <v>1575443669.8699999</v>
      </c>
      <c r="AL294" s="181">
        <v>0</v>
      </c>
      <c r="AM294" s="181">
        <v>19281708</v>
      </c>
      <c r="AN294" s="181" t="s">
        <v>1709</v>
      </c>
      <c r="AS294" s="181"/>
    </row>
    <row r="295" spans="1:45" ht="30" hidden="1" x14ac:dyDescent="0.25">
      <c r="A295" s="181">
        <v>318</v>
      </c>
      <c r="B295" s="181" t="s">
        <v>226</v>
      </c>
      <c r="C295" s="181" t="s">
        <v>721</v>
      </c>
      <c r="D295" s="1179" t="s">
        <v>272</v>
      </c>
      <c r="E295" s="181">
        <v>3280528487.1599998</v>
      </c>
      <c r="F295" s="181">
        <v>3280528487.1599998</v>
      </c>
      <c r="G295" s="181">
        <v>533723136.81999999</v>
      </c>
      <c r="H295" s="181">
        <v>0</v>
      </c>
      <c r="I295" s="181">
        <v>533723136.81999999</v>
      </c>
      <c r="J295" s="181">
        <v>533723136.81999999</v>
      </c>
      <c r="K295" s="181">
        <v>0</v>
      </c>
      <c r="L295" s="181">
        <v>3814251623.98</v>
      </c>
      <c r="M295" s="181">
        <v>0</v>
      </c>
      <c r="N295" s="181">
        <v>0</v>
      </c>
      <c r="O295" s="181">
        <v>0</v>
      </c>
      <c r="P295" s="181">
        <v>0</v>
      </c>
      <c r="Q295" s="181">
        <v>0</v>
      </c>
      <c r="R295" s="181">
        <v>0</v>
      </c>
      <c r="S295" s="181">
        <v>2413431582.8699999</v>
      </c>
      <c r="T295" s="181">
        <v>19281708</v>
      </c>
      <c r="U295" s="181">
        <v>2394149874.8699999</v>
      </c>
      <c r="V295" s="181">
        <v>0</v>
      </c>
      <c r="W295" s="181">
        <v>0</v>
      </c>
      <c r="X295" s="181">
        <v>0</v>
      </c>
      <c r="Y295" s="181">
        <v>0</v>
      </c>
      <c r="Z295" s="181">
        <v>0</v>
      </c>
      <c r="AA295" s="181">
        <v>0</v>
      </c>
      <c r="AB295" s="181">
        <v>2413431582.8699999</v>
      </c>
      <c r="AC295" s="181">
        <v>19281708</v>
      </c>
      <c r="AD295" s="1180">
        <v>2394149874.8699999</v>
      </c>
      <c r="AE295" s="1180">
        <v>2394149874.8699999</v>
      </c>
      <c r="AF295" s="181">
        <v>837987913</v>
      </c>
      <c r="AG295" s="181">
        <v>837987913</v>
      </c>
      <c r="AH295" s="181">
        <v>1556161961.8699999</v>
      </c>
      <c r="AI295" s="181">
        <v>1575443669.8699999</v>
      </c>
      <c r="AJ295" s="181">
        <v>19281708</v>
      </c>
      <c r="AK295" s="181">
        <v>1575443669.8699999</v>
      </c>
      <c r="AL295" s="181">
        <v>0</v>
      </c>
      <c r="AM295" s="181">
        <v>19281708</v>
      </c>
      <c r="AN295" s="181" t="s">
        <v>1709</v>
      </c>
      <c r="AS295" s="181"/>
    </row>
    <row r="296" spans="1:45" ht="45" x14ac:dyDescent="0.25">
      <c r="A296" s="181">
        <v>318</v>
      </c>
      <c r="B296" s="181">
        <v>154</v>
      </c>
      <c r="C296" s="181" t="s">
        <v>1379</v>
      </c>
      <c r="D296" s="1179" t="s">
        <v>274</v>
      </c>
      <c r="E296" s="181">
        <v>836534763.75999999</v>
      </c>
      <c r="F296" s="181">
        <v>836534763.75999999</v>
      </c>
      <c r="G296" s="181">
        <v>322432661</v>
      </c>
      <c r="H296" s="181">
        <v>0</v>
      </c>
      <c r="I296" s="181">
        <v>322432661</v>
      </c>
      <c r="J296" s="181">
        <v>322432661</v>
      </c>
      <c r="K296" s="181">
        <v>0</v>
      </c>
      <c r="L296" s="181">
        <v>1158967424.76</v>
      </c>
      <c r="M296" s="181">
        <v>0</v>
      </c>
      <c r="N296" s="181">
        <v>0</v>
      </c>
      <c r="O296" s="181">
        <v>0</v>
      </c>
      <c r="P296" s="181">
        <v>0</v>
      </c>
      <c r="Q296" s="181">
        <v>0</v>
      </c>
      <c r="R296" s="181">
        <v>0</v>
      </c>
      <c r="S296" s="181">
        <v>317984430.94</v>
      </c>
      <c r="T296" s="181">
        <v>9470854</v>
      </c>
      <c r="U296" s="181">
        <v>308513576.94</v>
      </c>
      <c r="V296" s="181">
        <v>0</v>
      </c>
      <c r="W296" s="181">
        <v>0</v>
      </c>
      <c r="X296" s="181">
        <v>0</v>
      </c>
      <c r="Y296" s="181">
        <v>0</v>
      </c>
      <c r="Z296" s="181">
        <v>0</v>
      </c>
      <c r="AA296" s="181">
        <v>0</v>
      </c>
      <c r="AB296" s="181">
        <v>317984430.94</v>
      </c>
      <c r="AC296" s="181">
        <v>9470854</v>
      </c>
      <c r="AD296" s="1180">
        <v>308513576.94</v>
      </c>
      <c r="AE296" s="1183">
        <v>308513576.94</v>
      </c>
      <c r="AF296" s="181">
        <v>0</v>
      </c>
      <c r="AG296" s="181">
        <v>0</v>
      </c>
      <c r="AH296" s="181">
        <v>308513576.94</v>
      </c>
      <c r="AI296" s="181">
        <v>317984430.94</v>
      </c>
      <c r="AJ296" s="181">
        <v>9470854</v>
      </c>
      <c r="AK296" s="181">
        <v>317984430.94</v>
      </c>
      <c r="AL296" s="181">
        <v>0</v>
      </c>
      <c r="AM296" s="181">
        <v>9470854</v>
      </c>
      <c r="AN296" s="181" t="s">
        <v>74</v>
      </c>
    </row>
    <row r="297" spans="1:45" ht="45" x14ac:dyDescent="0.25">
      <c r="A297" s="181">
        <v>318</v>
      </c>
      <c r="B297" s="181">
        <v>58</v>
      </c>
      <c r="C297" s="181" t="s">
        <v>1380</v>
      </c>
      <c r="D297" s="1179" t="s">
        <v>274</v>
      </c>
      <c r="E297" s="181">
        <v>418267382.52999997</v>
      </c>
      <c r="F297" s="181">
        <v>418267382.52999997</v>
      </c>
      <c r="G297" s="181">
        <v>0</v>
      </c>
      <c r="H297" s="181">
        <v>0</v>
      </c>
      <c r="I297" s="181">
        <v>0</v>
      </c>
      <c r="J297" s="181">
        <v>0</v>
      </c>
      <c r="K297" s="181">
        <v>0</v>
      </c>
      <c r="L297" s="181">
        <v>418267382.52999997</v>
      </c>
      <c r="M297" s="181">
        <v>0</v>
      </c>
      <c r="N297" s="181">
        <v>0</v>
      </c>
      <c r="O297" s="181">
        <v>0</v>
      </c>
      <c r="P297" s="181">
        <v>0</v>
      </c>
      <c r="Q297" s="181">
        <v>0</v>
      </c>
      <c r="R297" s="181">
        <v>0</v>
      </c>
      <c r="S297" s="181">
        <v>159162214.47</v>
      </c>
      <c r="T297" s="181">
        <v>4905427</v>
      </c>
      <c r="U297" s="181">
        <v>154256787.47</v>
      </c>
      <c r="V297" s="181">
        <v>0</v>
      </c>
      <c r="W297" s="181">
        <v>0</v>
      </c>
      <c r="X297" s="181">
        <v>0</v>
      </c>
      <c r="Y297" s="181">
        <v>0</v>
      </c>
      <c r="Z297" s="181">
        <v>0</v>
      </c>
      <c r="AA297" s="181">
        <v>0</v>
      </c>
      <c r="AB297" s="181">
        <v>159162214.47</v>
      </c>
      <c r="AC297" s="181">
        <v>4905427</v>
      </c>
      <c r="AD297" s="1180">
        <v>154256787.47</v>
      </c>
      <c r="AE297" s="1183">
        <v>154256787.47</v>
      </c>
      <c r="AF297" s="181">
        <v>0</v>
      </c>
      <c r="AG297" s="181">
        <v>0</v>
      </c>
      <c r="AH297" s="181">
        <v>154256787.47</v>
      </c>
      <c r="AI297" s="181">
        <v>159162214.47</v>
      </c>
      <c r="AJ297" s="181">
        <v>4905427</v>
      </c>
      <c r="AK297" s="181">
        <v>159162214.47</v>
      </c>
      <c r="AL297" s="181">
        <v>0</v>
      </c>
      <c r="AM297" s="181">
        <v>4905427</v>
      </c>
      <c r="AN297" s="181" t="s">
        <v>175</v>
      </c>
    </row>
    <row r="298" spans="1:45" ht="45" x14ac:dyDescent="0.25">
      <c r="A298" s="181">
        <v>318</v>
      </c>
      <c r="B298" s="181">
        <v>72</v>
      </c>
      <c r="C298" s="181" t="s">
        <v>1381</v>
      </c>
      <c r="D298" s="1179" t="s">
        <v>274</v>
      </c>
      <c r="E298" s="181">
        <v>418267382.23000002</v>
      </c>
      <c r="F298" s="181">
        <v>418267382.23000002</v>
      </c>
      <c r="G298" s="181">
        <v>0</v>
      </c>
      <c r="H298" s="181">
        <v>0</v>
      </c>
      <c r="I298" s="181">
        <v>0</v>
      </c>
      <c r="J298" s="181">
        <v>0</v>
      </c>
      <c r="K298" s="181">
        <v>0</v>
      </c>
      <c r="L298" s="181">
        <v>418267382.23000002</v>
      </c>
      <c r="M298" s="181">
        <v>0</v>
      </c>
      <c r="N298" s="181">
        <v>0</v>
      </c>
      <c r="O298" s="181">
        <v>0</v>
      </c>
      <c r="P298" s="181">
        <v>0</v>
      </c>
      <c r="Q298" s="181">
        <v>0</v>
      </c>
      <c r="R298" s="181">
        <v>0</v>
      </c>
      <c r="S298" s="181">
        <v>159162214.46000001</v>
      </c>
      <c r="T298" s="181">
        <v>4905427</v>
      </c>
      <c r="U298" s="181">
        <v>154256787.46000001</v>
      </c>
      <c r="V298" s="181">
        <v>0</v>
      </c>
      <c r="W298" s="181">
        <v>0</v>
      </c>
      <c r="X298" s="181">
        <v>0</v>
      </c>
      <c r="Y298" s="181">
        <v>0</v>
      </c>
      <c r="Z298" s="181">
        <v>0</v>
      </c>
      <c r="AA298" s="181">
        <v>0</v>
      </c>
      <c r="AB298" s="181">
        <v>159162214.46000001</v>
      </c>
      <c r="AC298" s="181">
        <v>4905427</v>
      </c>
      <c r="AD298" s="1180">
        <v>154256787.46000001</v>
      </c>
      <c r="AE298" s="1183">
        <v>154256787.46000001</v>
      </c>
      <c r="AF298" s="181">
        <v>0</v>
      </c>
      <c r="AG298" s="181">
        <v>0</v>
      </c>
      <c r="AH298" s="181">
        <v>154256787.46000001</v>
      </c>
      <c r="AI298" s="181">
        <v>159162214.46000001</v>
      </c>
      <c r="AJ298" s="181">
        <v>4905427</v>
      </c>
      <c r="AK298" s="181">
        <v>159162214.46000001</v>
      </c>
      <c r="AL298" s="181">
        <v>0</v>
      </c>
      <c r="AM298" s="181">
        <v>4905427</v>
      </c>
      <c r="AN298" s="181" t="s">
        <v>187</v>
      </c>
    </row>
    <row r="299" spans="1:45" ht="45" x14ac:dyDescent="0.25">
      <c r="A299" s="181">
        <v>318</v>
      </c>
      <c r="B299" s="181">
        <v>154</v>
      </c>
      <c r="C299" s="181" t="s">
        <v>1382</v>
      </c>
      <c r="D299" s="1179" t="s">
        <v>276</v>
      </c>
      <c r="E299" s="181">
        <v>803729479.05999994</v>
      </c>
      <c r="F299" s="181">
        <v>803729479.05999994</v>
      </c>
      <c r="G299" s="181">
        <v>211290475.81999999</v>
      </c>
      <c r="H299" s="181">
        <v>0</v>
      </c>
      <c r="I299" s="181">
        <v>211290475.81999999</v>
      </c>
      <c r="J299" s="181">
        <v>211290475.81999999</v>
      </c>
      <c r="K299" s="181">
        <v>0</v>
      </c>
      <c r="L299" s="181">
        <v>1015019954.88</v>
      </c>
      <c r="M299" s="181">
        <v>0</v>
      </c>
      <c r="N299" s="181">
        <v>0</v>
      </c>
      <c r="O299" s="181">
        <v>0</v>
      </c>
      <c r="P299" s="181">
        <v>0</v>
      </c>
      <c r="Q299" s="181">
        <v>0</v>
      </c>
      <c r="R299" s="181">
        <v>0</v>
      </c>
      <c r="S299" s="181">
        <v>837987913</v>
      </c>
      <c r="T299" s="181">
        <v>0</v>
      </c>
      <c r="U299" s="181">
        <v>837987913</v>
      </c>
      <c r="V299" s="181">
        <v>0</v>
      </c>
      <c r="W299" s="181">
        <v>0</v>
      </c>
      <c r="X299" s="181">
        <v>0</v>
      </c>
      <c r="Y299" s="181">
        <v>0</v>
      </c>
      <c r="Z299" s="181">
        <v>0</v>
      </c>
      <c r="AA299" s="181">
        <v>0</v>
      </c>
      <c r="AB299" s="181">
        <v>837987913</v>
      </c>
      <c r="AC299" s="181">
        <v>0</v>
      </c>
      <c r="AD299" s="1180">
        <v>837987913</v>
      </c>
      <c r="AE299" s="1183">
        <v>837987913</v>
      </c>
      <c r="AF299" s="181">
        <v>837987913</v>
      </c>
      <c r="AG299" s="181">
        <v>837987913</v>
      </c>
      <c r="AH299" s="181">
        <v>0</v>
      </c>
      <c r="AI299" s="181">
        <v>0</v>
      </c>
      <c r="AJ299" s="181">
        <v>0</v>
      </c>
      <c r="AK299" s="181">
        <v>0</v>
      </c>
      <c r="AL299" s="181">
        <v>0</v>
      </c>
      <c r="AM299" s="181">
        <v>0</v>
      </c>
      <c r="AN299" s="181" t="s">
        <v>74</v>
      </c>
    </row>
    <row r="300" spans="1:45" ht="45" x14ac:dyDescent="0.25">
      <c r="A300" s="181">
        <v>318</v>
      </c>
      <c r="B300" s="181">
        <v>58</v>
      </c>
      <c r="C300" s="181" t="s">
        <v>1383</v>
      </c>
      <c r="D300" s="1179" t="s">
        <v>276</v>
      </c>
      <c r="E300" s="181">
        <v>401864739.79000002</v>
      </c>
      <c r="F300" s="181">
        <v>401864739.79000002</v>
      </c>
      <c r="G300" s="181">
        <v>0</v>
      </c>
      <c r="H300" s="181">
        <v>0</v>
      </c>
      <c r="I300" s="181">
        <v>0</v>
      </c>
      <c r="J300" s="181">
        <v>0</v>
      </c>
      <c r="K300" s="181">
        <v>0</v>
      </c>
      <c r="L300" s="181">
        <v>401864739.79000002</v>
      </c>
      <c r="M300" s="181">
        <v>0</v>
      </c>
      <c r="N300" s="181">
        <v>0</v>
      </c>
      <c r="O300" s="181">
        <v>0</v>
      </c>
      <c r="P300" s="181">
        <v>0</v>
      </c>
      <c r="Q300" s="181">
        <v>0</v>
      </c>
      <c r="R300" s="181">
        <v>0</v>
      </c>
      <c r="S300" s="181">
        <v>469567405</v>
      </c>
      <c r="T300" s="181">
        <v>0</v>
      </c>
      <c r="U300" s="181">
        <v>469567405</v>
      </c>
      <c r="V300" s="181">
        <v>0</v>
      </c>
      <c r="W300" s="181">
        <v>0</v>
      </c>
      <c r="X300" s="181">
        <v>0</v>
      </c>
      <c r="Y300" s="181">
        <v>0</v>
      </c>
      <c r="Z300" s="181">
        <v>0</v>
      </c>
      <c r="AA300" s="181">
        <v>0</v>
      </c>
      <c r="AB300" s="181">
        <v>469567405</v>
      </c>
      <c r="AC300" s="181">
        <v>0</v>
      </c>
      <c r="AD300" s="1180">
        <v>469567405</v>
      </c>
      <c r="AE300" s="1183">
        <v>469567405</v>
      </c>
      <c r="AF300" s="181">
        <v>0</v>
      </c>
      <c r="AG300" s="181">
        <v>0</v>
      </c>
      <c r="AH300" s="181">
        <v>469567405</v>
      </c>
      <c r="AI300" s="181">
        <v>469567405</v>
      </c>
      <c r="AJ300" s="181">
        <v>0</v>
      </c>
      <c r="AK300" s="181">
        <v>469567405</v>
      </c>
      <c r="AL300" s="181">
        <v>0</v>
      </c>
      <c r="AM300" s="181">
        <v>0</v>
      </c>
      <c r="AN300" s="181" t="s">
        <v>175</v>
      </c>
    </row>
    <row r="301" spans="1:45" ht="45" x14ac:dyDescent="0.25">
      <c r="A301" s="181">
        <v>318</v>
      </c>
      <c r="B301" s="181">
        <v>72</v>
      </c>
      <c r="C301" s="181" t="s">
        <v>1384</v>
      </c>
      <c r="D301" s="1179" t="s">
        <v>276</v>
      </c>
      <c r="E301" s="181">
        <v>401864739.79000002</v>
      </c>
      <c r="F301" s="181">
        <v>401864739.79000002</v>
      </c>
      <c r="G301" s="181">
        <v>0</v>
      </c>
      <c r="H301" s="181">
        <v>0</v>
      </c>
      <c r="I301" s="181">
        <v>0</v>
      </c>
      <c r="J301" s="181">
        <v>0</v>
      </c>
      <c r="K301" s="181">
        <v>0</v>
      </c>
      <c r="L301" s="181">
        <v>401864739.79000002</v>
      </c>
      <c r="M301" s="181">
        <v>0</v>
      </c>
      <c r="N301" s="181">
        <v>0</v>
      </c>
      <c r="O301" s="181">
        <v>0</v>
      </c>
      <c r="P301" s="181">
        <v>0</v>
      </c>
      <c r="Q301" s="181">
        <v>0</v>
      </c>
      <c r="R301" s="181">
        <v>0</v>
      </c>
      <c r="S301" s="181">
        <v>469567405</v>
      </c>
      <c r="T301" s="181">
        <v>0</v>
      </c>
      <c r="U301" s="181">
        <v>469567405</v>
      </c>
      <c r="V301" s="181">
        <v>0</v>
      </c>
      <c r="W301" s="181">
        <v>0</v>
      </c>
      <c r="X301" s="181">
        <v>0</v>
      </c>
      <c r="Y301" s="181">
        <v>0</v>
      </c>
      <c r="Z301" s="181">
        <v>0</v>
      </c>
      <c r="AA301" s="181">
        <v>0</v>
      </c>
      <c r="AB301" s="181">
        <v>469567405</v>
      </c>
      <c r="AC301" s="181">
        <v>0</v>
      </c>
      <c r="AD301" s="1180">
        <v>469567405</v>
      </c>
      <c r="AE301" s="1183">
        <v>469567405</v>
      </c>
      <c r="AF301" s="181">
        <v>0</v>
      </c>
      <c r="AG301" s="181">
        <v>0</v>
      </c>
      <c r="AH301" s="181">
        <v>469567405</v>
      </c>
      <c r="AI301" s="181">
        <v>469567405</v>
      </c>
      <c r="AJ301" s="181">
        <v>0</v>
      </c>
      <c r="AK301" s="181">
        <v>469567405</v>
      </c>
      <c r="AL301" s="181">
        <v>0</v>
      </c>
      <c r="AM301" s="181">
        <v>0</v>
      </c>
      <c r="AN301" s="181" t="s">
        <v>187</v>
      </c>
    </row>
    <row r="302" spans="1:45" ht="45" hidden="1" x14ac:dyDescent="0.25">
      <c r="A302" s="181">
        <v>318</v>
      </c>
      <c r="B302" s="181" t="s">
        <v>226</v>
      </c>
      <c r="C302" s="181" t="s">
        <v>732</v>
      </c>
      <c r="D302" s="1179" t="s">
        <v>278</v>
      </c>
      <c r="E302" s="181">
        <v>3359643356.5700002</v>
      </c>
      <c r="F302" s="181">
        <v>3359643356.5700002</v>
      </c>
      <c r="G302" s="181">
        <v>139116507.28</v>
      </c>
      <c r="H302" s="181">
        <v>0</v>
      </c>
      <c r="I302" s="181">
        <v>139116507.28</v>
      </c>
      <c r="J302" s="181">
        <v>139116507.28</v>
      </c>
      <c r="K302" s="181">
        <v>0</v>
      </c>
      <c r="L302" s="181">
        <v>3498759863.8499999</v>
      </c>
      <c r="M302" s="181">
        <v>0</v>
      </c>
      <c r="N302" s="181">
        <v>0</v>
      </c>
      <c r="O302" s="181">
        <v>0</v>
      </c>
      <c r="P302" s="181">
        <v>0</v>
      </c>
      <c r="Q302" s="181">
        <v>0</v>
      </c>
      <c r="R302" s="181">
        <v>0</v>
      </c>
      <c r="S302" s="181">
        <v>3925195243</v>
      </c>
      <c r="T302" s="181">
        <v>153629000</v>
      </c>
      <c r="U302" s="181">
        <v>3771566243</v>
      </c>
      <c r="V302" s="181">
        <v>0</v>
      </c>
      <c r="W302" s="181">
        <v>0</v>
      </c>
      <c r="X302" s="181">
        <v>0</v>
      </c>
      <c r="Y302" s="181">
        <v>0</v>
      </c>
      <c r="Z302" s="181">
        <v>0</v>
      </c>
      <c r="AA302" s="181">
        <v>0</v>
      </c>
      <c r="AB302" s="181">
        <v>3925195243</v>
      </c>
      <c r="AC302" s="181">
        <v>153629000</v>
      </c>
      <c r="AD302" s="1180">
        <v>3771566243</v>
      </c>
      <c r="AE302" s="1180">
        <v>3771566243</v>
      </c>
      <c r="AF302" s="181">
        <v>18609243</v>
      </c>
      <c r="AG302" s="181">
        <v>18609243</v>
      </c>
      <c r="AH302" s="181">
        <v>3752957000</v>
      </c>
      <c r="AI302" s="181">
        <v>3906586000</v>
      </c>
      <c r="AJ302" s="181">
        <v>153629000</v>
      </c>
      <c r="AK302" s="181">
        <v>3906586000</v>
      </c>
      <c r="AL302" s="181">
        <v>0</v>
      </c>
      <c r="AM302" s="181">
        <v>153629000</v>
      </c>
      <c r="AN302" s="181" t="s">
        <v>1709</v>
      </c>
      <c r="AS302" s="181"/>
    </row>
    <row r="303" spans="1:45" ht="45" x14ac:dyDescent="0.25">
      <c r="A303" s="181">
        <v>318</v>
      </c>
      <c r="B303" s="181">
        <v>154</v>
      </c>
      <c r="C303" s="181" t="s">
        <v>1385</v>
      </c>
      <c r="D303" s="1179" t="s">
        <v>280</v>
      </c>
      <c r="E303" s="181">
        <v>1612628811.45</v>
      </c>
      <c r="F303" s="181">
        <v>1612628811.45</v>
      </c>
      <c r="G303" s="181">
        <v>95308114</v>
      </c>
      <c r="H303" s="181">
        <v>0</v>
      </c>
      <c r="I303" s="181">
        <v>95308114</v>
      </c>
      <c r="J303" s="181">
        <v>95308114</v>
      </c>
      <c r="K303" s="181">
        <v>0</v>
      </c>
      <c r="L303" s="181">
        <v>1707936925.45</v>
      </c>
      <c r="M303" s="181">
        <v>0</v>
      </c>
      <c r="N303" s="181">
        <v>0</v>
      </c>
      <c r="O303" s="181">
        <v>0</v>
      </c>
      <c r="P303" s="181">
        <v>0</v>
      </c>
      <c r="Q303" s="181">
        <v>0</v>
      </c>
      <c r="R303" s="181">
        <v>0</v>
      </c>
      <c r="S303" s="181">
        <v>1943516000</v>
      </c>
      <c r="T303" s="181">
        <v>76814500</v>
      </c>
      <c r="U303" s="181">
        <v>1866701500</v>
      </c>
      <c r="V303" s="181">
        <v>0</v>
      </c>
      <c r="W303" s="181">
        <v>0</v>
      </c>
      <c r="X303" s="181">
        <v>0</v>
      </c>
      <c r="Y303" s="181">
        <v>0</v>
      </c>
      <c r="Z303" s="181">
        <v>0</v>
      </c>
      <c r="AA303" s="181">
        <v>0</v>
      </c>
      <c r="AB303" s="181">
        <v>1943516000</v>
      </c>
      <c r="AC303" s="181">
        <v>76814500</v>
      </c>
      <c r="AD303" s="1180">
        <v>1866701500</v>
      </c>
      <c r="AE303" s="1183">
        <v>1866701500</v>
      </c>
      <c r="AF303" s="181">
        <v>0</v>
      </c>
      <c r="AG303" s="181">
        <v>0</v>
      </c>
      <c r="AH303" s="181">
        <v>1866701500</v>
      </c>
      <c r="AI303" s="181">
        <v>1943516000</v>
      </c>
      <c r="AJ303" s="181">
        <v>76814500</v>
      </c>
      <c r="AK303" s="181">
        <v>1943516000</v>
      </c>
      <c r="AL303" s="181">
        <v>0</v>
      </c>
      <c r="AM303" s="181">
        <v>76814500</v>
      </c>
      <c r="AN303" s="181" t="s">
        <v>74</v>
      </c>
    </row>
    <row r="304" spans="1:45" ht="45" x14ac:dyDescent="0.25">
      <c r="A304" s="181">
        <v>318</v>
      </c>
      <c r="B304" s="181">
        <v>58</v>
      </c>
      <c r="C304" s="181" t="s">
        <v>1386</v>
      </c>
      <c r="D304" s="1179" t="s">
        <v>280</v>
      </c>
      <c r="E304" s="181">
        <v>806314405.44000006</v>
      </c>
      <c r="F304" s="181">
        <v>806314405.44000006</v>
      </c>
      <c r="G304" s="181">
        <v>0</v>
      </c>
      <c r="H304" s="181">
        <v>0</v>
      </c>
      <c r="I304" s="181">
        <v>0</v>
      </c>
      <c r="J304" s="181">
        <v>0</v>
      </c>
      <c r="K304" s="181">
        <v>0</v>
      </c>
      <c r="L304" s="181">
        <v>806314405.44000006</v>
      </c>
      <c r="M304" s="181">
        <v>0</v>
      </c>
      <c r="N304" s="181">
        <v>0</v>
      </c>
      <c r="O304" s="181">
        <v>0</v>
      </c>
      <c r="P304" s="181">
        <v>0</v>
      </c>
      <c r="Q304" s="181">
        <v>0</v>
      </c>
      <c r="R304" s="181">
        <v>0</v>
      </c>
      <c r="S304" s="181">
        <v>971758000</v>
      </c>
      <c r="T304" s="181">
        <v>38407250</v>
      </c>
      <c r="U304" s="181">
        <v>933350750</v>
      </c>
      <c r="V304" s="181">
        <v>0</v>
      </c>
      <c r="W304" s="181">
        <v>0</v>
      </c>
      <c r="X304" s="181">
        <v>0</v>
      </c>
      <c r="Y304" s="181">
        <v>0</v>
      </c>
      <c r="Z304" s="181">
        <v>0</v>
      </c>
      <c r="AA304" s="181">
        <v>0</v>
      </c>
      <c r="AB304" s="181">
        <v>971758000</v>
      </c>
      <c r="AC304" s="181">
        <v>38407250</v>
      </c>
      <c r="AD304" s="1180">
        <v>933350750</v>
      </c>
      <c r="AE304" s="1183">
        <v>933350750</v>
      </c>
      <c r="AF304" s="181">
        <v>0</v>
      </c>
      <c r="AG304" s="181">
        <v>0</v>
      </c>
      <c r="AH304" s="181">
        <v>933350750</v>
      </c>
      <c r="AI304" s="181">
        <v>971758000</v>
      </c>
      <c r="AJ304" s="181">
        <v>38407250</v>
      </c>
      <c r="AK304" s="181">
        <v>971758000</v>
      </c>
      <c r="AL304" s="181">
        <v>0</v>
      </c>
      <c r="AM304" s="181">
        <v>38407250</v>
      </c>
      <c r="AN304" s="181" t="s">
        <v>175</v>
      </c>
    </row>
    <row r="305" spans="1:45" ht="45" x14ac:dyDescent="0.25">
      <c r="A305" s="181">
        <v>318</v>
      </c>
      <c r="B305" s="181">
        <v>72</v>
      </c>
      <c r="C305" s="181" t="s">
        <v>1387</v>
      </c>
      <c r="D305" s="1179" t="s">
        <v>280</v>
      </c>
      <c r="E305" s="181">
        <v>806314405.44000006</v>
      </c>
      <c r="F305" s="181">
        <v>806314405.44000006</v>
      </c>
      <c r="G305" s="181">
        <v>0</v>
      </c>
      <c r="H305" s="181">
        <v>0</v>
      </c>
      <c r="I305" s="181">
        <v>0</v>
      </c>
      <c r="J305" s="181">
        <v>0</v>
      </c>
      <c r="K305" s="181">
        <v>0</v>
      </c>
      <c r="L305" s="181">
        <v>806314405.44000006</v>
      </c>
      <c r="M305" s="181">
        <v>0</v>
      </c>
      <c r="N305" s="181">
        <v>0</v>
      </c>
      <c r="O305" s="181">
        <v>0</v>
      </c>
      <c r="P305" s="181">
        <v>0</v>
      </c>
      <c r="Q305" s="181">
        <v>0</v>
      </c>
      <c r="R305" s="181">
        <v>0</v>
      </c>
      <c r="S305" s="181">
        <v>971758000</v>
      </c>
      <c r="T305" s="181">
        <v>38407250</v>
      </c>
      <c r="U305" s="181">
        <v>933350750</v>
      </c>
      <c r="V305" s="181">
        <v>0</v>
      </c>
      <c r="W305" s="181">
        <v>0</v>
      </c>
      <c r="X305" s="181">
        <v>0</v>
      </c>
      <c r="Y305" s="181">
        <v>0</v>
      </c>
      <c r="Z305" s="181">
        <v>0</v>
      </c>
      <c r="AA305" s="181">
        <v>0</v>
      </c>
      <c r="AB305" s="181">
        <v>971758000</v>
      </c>
      <c r="AC305" s="181">
        <v>38407250</v>
      </c>
      <c r="AD305" s="1180">
        <v>933350750</v>
      </c>
      <c r="AE305" s="1183">
        <v>933350750</v>
      </c>
      <c r="AF305" s="181">
        <v>0</v>
      </c>
      <c r="AG305" s="181">
        <v>0</v>
      </c>
      <c r="AH305" s="181">
        <v>933350750</v>
      </c>
      <c r="AI305" s="181">
        <v>971758000</v>
      </c>
      <c r="AJ305" s="181">
        <v>38407250</v>
      </c>
      <c r="AK305" s="181">
        <v>971758000</v>
      </c>
      <c r="AL305" s="181">
        <v>0</v>
      </c>
      <c r="AM305" s="181">
        <v>38407250</v>
      </c>
      <c r="AN305" s="181" t="s">
        <v>187</v>
      </c>
    </row>
    <row r="306" spans="1:45" ht="45" x14ac:dyDescent="0.25">
      <c r="A306" s="181">
        <v>318</v>
      </c>
      <c r="B306" s="181">
        <v>154</v>
      </c>
      <c r="C306" s="181" t="s">
        <v>1388</v>
      </c>
      <c r="D306" s="1179" t="s">
        <v>282</v>
      </c>
      <c r="E306" s="181">
        <v>67192867.120000005</v>
      </c>
      <c r="F306" s="181">
        <v>67192867.120000005</v>
      </c>
      <c r="G306" s="181">
        <v>43808393.280000001</v>
      </c>
      <c r="H306" s="181">
        <v>0</v>
      </c>
      <c r="I306" s="181">
        <v>43808393.280000001</v>
      </c>
      <c r="J306" s="181">
        <v>43808393.280000001</v>
      </c>
      <c r="K306" s="181">
        <v>0</v>
      </c>
      <c r="L306" s="181">
        <v>111001260.40000001</v>
      </c>
      <c r="M306" s="181">
        <v>0</v>
      </c>
      <c r="N306" s="181">
        <v>0</v>
      </c>
      <c r="O306" s="181">
        <v>0</v>
      </c>
      <c r="P306" s="181">
        <v>0</v>
      </c>
      <c r="Q306" s="181">
        <v>0</v>
      </c>
      <c r="R306" s="181">
        <v>0</v>
      </c>
      <c r="S306" s="181">
        <v>18609243</v>
      </c>
      <c r="T306" s="181">
        <v>0</v>
      </c>
      <c r="U306" s="181">
        <v>18609243</v>
      </c>
      <c r="V306" s="181">
        <v>0</v>
      </c>
      <c r="W306" s="181">
        <v>0</v>
      </c>
      <c r="X306" s="181">
        <v>0</v>
      </c>
      <c r="Y306" s="181">
        <v>0</v>
      </c>
      <c r="Z306" s="181">
        <v>0</v>
      </c>
      <c r="AA306" s="181">
        <v>0</v>
      </c>
      <c r="AB306" s="181">
        <v>18609243</v>
      </c>
      <c r="AC306" s="181">
        <v>0</v>
      </c>
      <c r="AD306" s="1180">
        <v>18609243</v>
      </c>
      <c r="AE306" s="1183">
        <v>18609243</v>
      </c>
      <c r="AF306" s="181">
        <v>18609243</v>
      </c>
      <c r="AG306" s="181">
        <v>18609243</v>
      </c>
      <c r="AH306" s="181">
        <v>0</v>
      </c>
      <c r="AI306" s="181">
        <v>0</v>
      </c>
      <c r="AJ306" s="181">
        <v>0</v>
      </c>
      <c r="AK306" s="181">
        <v>0</v>
      </c>
      <c r="AL306" s="181">
        <v>0</v>
      </c>
      <c r="AM306" s="181">
        <v>0</v>
      </c>
      <c r="AN306" s="181" t="s">
        <v>74</v>
      </c>
    </row>
    <row r="307" spans="1:45" ht="45" x14ac:dyDescent="0.25">
      <c r="A307" s="181">
        <v>318</v>
      </c>
      <c r="B307" s="181">
        <v>58</v>
      </c>
      <c r="C307" s="181" t="s">
        <v>1389</v>
      </c>
      <c r="D307" s="1179" t="s">
        <v>282</v>
      </c>
      <c r="E307" s="181">
        <v>33596433.560000002</v>
      </c>
      <c r="F307" s="181">
        <v>33596433.560000002</v>
      </c>
      <c r="G307" s="181">
        <v>0</v>
      </c>
      <c r="H307" s="181">
        <v>0</v>
      </c>
      <c r="I307" s="181">
        <v>0</v>
      </c>
      <c r="J307" s="181">
        <v>0</v>
      </c>
      <c r="K307" s="181">
        <v>0</v>
      </c>
      <c r="L307" s="181">
        <v>33596433.560000002</v>
      </c>
      <c r="M307" s="181">
        <v>0</v>
      </c>
      <c r="N307" s="181">
        <v>0</v>
      </c>
      <c r="O307" s="181">
        <v>0</v>
      </c>
      <c r="P307" s="181">
        <v>0</v>
      </c>
      <c r="Q307" s="181">
        <v>0</v>
      </c>
      <c r="R307" s="181">
        <v>0</v>
      </c>
      <c r="S307" s="181">
        <v>9777000</v>
      </c>
      <c r="T307" s="181">
        <v>0</v>
      </c>
      <c r="U307" s="181">
        <v>9777000</v>
      </c>
      <c r="V307" s="181">
        <v>0</v>
      </c>
      <c r="W307" s="181">
        <v>0</v>
      </c>
      <c r="X307" s="181">
        <v>0</v>
      </c>
      <c r="Y307" s="181">
        <v>0</v>
      </c>
      <c r="Z307" s="181">
        <v>0</v>
      </c>
      <c r="AA307" s="181">
        <v>0</v>
      </c>
      <c r="AB307" s="181">
        <v>9777000</v>
      </c>
      <c r="AC307" s="181">
        <v>0</v>
      </c>
      <c r="AD307" s="1180">
        <v>9777000</v>
      </c>
      <c r="AE307" s="1183">
        <v>9777000</v>
      </c>
      <c r="AF307" s="181">
        <v>0</v>
      </c>
      <c r="AG307" s="181">
        <v>0</v>
      </c>
      <c r="AH307" s="181">
        <v>9777000</v>
      </c>
      <c r="AI307" s="181">
        <v>9777000</v>
      </c>
      <c r="AJ307" s="181">
        <v>0</v>
      </c>
      <c r="AK307" s="181">
        <v>9777000</v>
      </c>
      <c r="AL307" s="181">
        <v>0</v>
      </c>
      <c r="AM307" s="181">
        <v>0</v>
      </c>
      <c r="AN307" s="181" t="s">
        <v>175</v>
      </c>
    </row>
    <row r="308" spans="1:45" ht="45" x14ac:dyDescent="0.25">
      <c r="A308" s="181">
        <v>318</v>
      </c>
      <c r="B308" s="181">
        <v>72</v>
      </c>
      <c r="C308" s="181" t="s">
        <v>1390</v>
      </c>
      <c r="D308" s="1179" t="s">
        <v>282</v>
      </c>
      <c r="E308" s="181">
        <v>33596433.560000002</v>
      </c>
      <c r="F308" s="181">
        <v>33596433.560000002</v>
      </c>
      <c r="G308" s="181">
        <v>0</v>
      </c>
      <c r="H308" s="181">
        <v>0</v>
      </c>
      <c r="I308" s="181">
        <v>0</v>
      </c>
      <c r="J308" s="181">
        <v>0</v>
      </c>
      <c r="K308" s="181">
        <v>0</v>
      </c>
      <c r="L308" s="181">
        <v>33596433.560000002</v>
      </c>
      <c r="M308" s="181">
        <v>0</v>
      </c>
      <c r="N308" s="181">
        <v>0</v>
      </c>
      <c r="O308" s="181">
        <v>0</v>
      </c>
      <c r="P308" s="181">
        <v>0</v>
      </c>
      <c r="Q308" s="181">
        <v>0</v>
      </c>
      <c r="R308" s="181">
        <v>0</v>
      </c>
      <c r="S308" s="181">
        <v>9777000</v>
      </c>
      <c r="T308" s="181">
        <v>0</v>
      </c>
      <c r="U308" s="181">
        <v>9777000</v>
      </c>
      <c r="V308" s="181">
        <v>0</v>
      </c>
      <c r="W308" s="181">
        <v>0</v>
      </c>
      <c r="X308" s="181">
        <v>0</v>
      </c>
      <c r="Y308" s="181">
        <v>0</v>
      </c>
      <c r="Z308" s="181">
        <v>0</v>
      </c>
      <c r="AA308" s="181">
        <v>0</v>
      </c>
      <c r="AB308" s="181">
        <v>9777000</v>
      </c>
      <c r="AC308" s="181">
        <v>0</v>
      </c>
      <c r="AD308" s="1180">
        <v>9777000</v>
      </c>
      <c r="AE308" s="1183">
        <v>9777000</v>
      </c>
      <c r="AF308" s="181">
        <v>0</v>
      </c>
      <c r="AG308" s="181">
        <v>0</v>
      </c>
      <c r="AH308" s="181">
        <v>9777000</v>
      </c>
      <c r="AI308" s="181">
        <v>9777000</v>
      </c>
      <c r="AJ308" s="181">
        <v>0</v>
      </c>
      <c r="AK308" s="181">
        <v>9777000</v>
      </c>
      <c r="AL308" s="181">
        <v>0</v>
      </c>
      <c r="AM308" s="181">
        <v>0</v>
      </c>
      <c r="AN308" s="181" t="s">
        <v>187</v>
      </c>
    </row>
    <row r="309" spans="1:45" ht="30" hidden="1" x14ac:dyDescent="0.25">
      <c r="A309" s="181">
        <v>318</v>
      </c>
      <c r="B309" s="181" t="s">
        <v>226</v>
      </c>
      <c r="C309" s="181" t="s">
        <v>743</v>
      </c>
      <c r="D309" s="1179" t="s">
        <v>284</v>
      </c>
      <c r="E309" s="181">
        <v>10906790824</v>
      </c>
      <c r="F309" s="181">
        <v>10906790824</v>
      </c>
      <c r="G309" s="181">
        <v>7050962431.3199997</v>
      </c>
      <c r="H309" s="181">
        <v>0</v>
      </c>
      <c r="I309" s="181">
        <v>7050962431.3199997</v>
      </c>
      <c r="J309" s="181">
        <v>7050962431.3199997</v>
      </c>
      <c r="K309" s="181">
        <v>0</v>
      </c>
      <c r="L309" s="181">
        <v>17957753255.32</v>
      </c>
      <c r="M309" s="181">
        <v>0</v>
      </c>
      <c r="N309" s="181">
        <v>0</v>
      </c>
      <c r="O309" s="181">
        <v>0</v>
      </c>
      <c r="P309" s="181">
        <v>0</v>
      </c>
      <c r="Q309" s="181">
        <v>0</v>
      </c>
      <c r="R309" s="181">
        <v>0</v>
      </c>
      <c r="S309" s="181">
        <v>20796651962</v>
      </c>
      <c r="T309" s="181">
        <v>0</v>
      </c>
      <c r="U309" s="181">
        <v>20796651962</v>
      </c>
      <c r="V309" s="181">
        <v>0</v>
      </c>
      <c r="W309" s="181">
        <v>0</v>
      </c>
      <c r="X309" s="181">
        <v>0</v>
      </c>
      <c r="Y309" s="181">
        <v>0</v>
      </c>
      <c r="Z309" s="181">
        <v>0</v>
      </c>
      <c r="AA309" s="181">
        <v>0</v>
      </c>
      <c r="AB309" s="181">
        <v>20796651962</v>
      </c>
      <c r="AC309" s="181">
        <v>0</v>
      </c>
      <c r="AD309" s="1180">
        <v>20796651962</v>
      </c>
      <c r="AE309" s="1180">
        <v>20796651962</v>
      </c>
      <c r="AF309" s="181">
        <v>4816291965</v>
      </c>
      <c r="AG309" s="181">
        <v>4816291965</v>
      </c>
      <c r="AH309" s="181">
        <v>15980359997</v>
      </c>
      <c r="AI309" s="181">
        <v>15980359997</v>
      </c>
      <c r="AJ309" s="181">
        <v>0</v>
      </c>
      <c r="AK309" s="181">
        <v>15980359997</v>
      </c>
      <c r="AL309" s="181">
        <v>0</v>
      </c>
      <c r="AM309" s="181">
        <v>0</v>
      </c>
      <c r="AN309" s="181" t="s">
        <v>1709</v>
      </c>
      <c r="AS309" s="181"/>
    </row>
    <row r="310" spans="1:45" ht="45" hidden="1" x14ac:dyDescent="0.25">
      <c r="A310" s="181">
        <v>318</v>
      </c>
      <c r="B310" s="181" t="s">
        <v>226</v>
      </c>
      <c r="C310" s="181" t="s">
        <v>744</v>
      </c>
      <c r="D310" s="1179" t="s">
        <v>286</v>
      </c>
      <c r="E310" s="181">
        <v>3749209145</v>
      </c>
      <c r="F310" s="181">
        <v>3749209145</v>
      </c>
      <c r="G310" s="181">
        <v>7036899274.2700005</v>
      </c>
      <c r="H310" s="181">
        <v>0</v>
      </c>
      <c r="I310" s="181">
        <v>7036899274.2700005</v>
      </c>
      <c r="J310" s="181">
        <v>7036899274.2700005</v>
      </c>
      <c r="K310" s="181">
        <v>0</v>
      </c>
      <c r="L310" s="181">
        <v>10786108419.27</v>
      </c>
      <c r="M310" s="181">
        <v>0</v>
      </c>
      <c r="N310" s="181">
        <v>0</v>
      </c>
      <c r="O310" s="181">
        <v>0</v>
      </c>
      <c r="P310" s="181">
        <v>0</v>
      </c>
      <c r="Q310" s="181">
        <v>0</v>
      </c>
      <c r="R310" s="181">
        <v>0</v>
      </c>
      <c r="S310" s="181">
        <v>15980359997</v>
      </c>
      <c r="T310" s="181">
        <v>0</v>
      </c>
      <c r="U310" s="181">
        <v>15980359997</v>
      </c>
      <c r="V310" s="181">
        <v>0</v>
      </c>
      <c r="W310" s="181">
        <v>0</v>
      </c>
      <c r="X310" s="181">
        <v>0</v>
      </c>
      <c r="Y310" s="181">
        <v>0</v>
      </c>
      <c r="Z310" s="181">
        <v>0</v>
      </c>
      <c r="AA310" s="181">
        <v>0</v>
      </c>
      <c r="AB310" s="181">
        <v>15980359997</v>
      </c>
      <c r="AC310" s="181">
        <v>0</v>
      </c>
      <c r="AD310" s="1180">
        <v>15980359997</v>
      </c>
      <c r="AE310" s="1180">
        <v>15980359997</v>
      </c>
      <c r="AF310" s="181">
        <v>0</v>
      </c>
      <c r="AG310" s="181">
        <v>0</v>
      </c>
      <c r="AH310" s="181">
        <v>15980359997</v>
      </c>
      <c r="AI310" s="181">
        <v>15980359997</v>
      </c>
      <c r="AJ310" s="181">
        <v>0</v>
      </c>
      <c r="AK310" s="181">
        <v>15980359997</v>
      </c>
      <c r="AL310" s="181">
        <v>0</v>
      </c>
      <c r="AM310" s="181">
        <v>0</v>
      </c>
      <c r="AN310" s="181" t="s">
        <v>1709</v>
      </c>
      <c r="AS310" s="181"/>
    </row>
    <row r="311" spans="1:45" ht="60" x14ac:dyDescent="0.25">
      <c r="A311" s="181">
        <v>318</v>
      </c>
      <c r="B311" s="181">
        <v>154</v>
      </c>
      <c r="C311" s="181" t="s">
        <v>745</v>
      </c>
      <c r="D311" s="1179" t="s">
        <v>288</v>
      </c>
      <c r="E311" s="181">
        <v>3749209145</v>
      </c>
      <c r="F311" s="181">
        <v>3749209145</v>
      </c>
      <c r="G311" s="181">
        <v>7036899274.2700005</v>
      </c>
      <c r="H311" s="181">
        <v>0</v>
      </c>
      <c r="I311" s="181">
        <v>7036899274.2700005</v>
      </c>
      <c r="J311" s="181">
        <v>7036899274.2700005</v>
      </c>
      <c r="K311" s="181">
        <v>0</v>
      </c>
      <c r="L311" s="181">
        <v>10786108419.27</v>
      </c>
      <c r="M311" s="181">
        <v>0</v>
      </c>
      <c r="N311" s="181">
        <v>0</v>
      </c>
      <c r="O311" s="181">
        <v>0</v>
      </c>
      <c r="P311" s="181">
        <v>0</v>
      </c>
      <c r="Q311" s="181">
        <v>0</v>
      </c>
      <c r="R311" s="181">
        <v>0</v>
      </c>
      <c r="S311" s="181">
        <v>15980359997</v>
      </c>
      <c r="T311" s="181">
        <v>0</v>
      </c>
      <c r="U311" s="181">
        <v>15980359997</v>
      </c>
      <c r="V311" s="181">
        <v>0</v>
      </c>
      <c r="W311" s="181">
        <v>0</v>
      </c>
      <c r="X311" s="181">
        <v>0</v>
      </c>
      <c r="Y311" s="181">
        <v>0</v>
      </c>
      <c r="Z311" s="181">
        <v>0</v>
      </c>
      <c r="AA311" s="181">
        <v>0</v>
      </c>
      <c r="AB311" s="181">
        <v>15980359997</v>
      </c>
      <c r="AC311" s="181">
        <v>0</v>
      </c>
      <c r="AD311" s="1180">
        <v>15980359997</v>
      </c>
      <c r="AE311" s="1183">
        <v>15980359997</v>
      </c>
      <c r="AF311" s="181">
        <v>0</v>
      </c>
      <c r="AG311" s="181">
        <v>0</v>
      </c>
      <c r="AH311" s="181">
        <v>15980359997</v>
      </c>
      <c r="AI311" s="181">
        <v>15980359997</v>
      </c>
      <c r="AJ311" s="181">
        <v>0</v>
      </c>
      <c r="AK311" s="181">
        <v>15980359997</v>
      </c>
      <c r="AL311" s="181">
        <v>0</v>
      </c>
      <c r="AM311" s="181">
        <v>0</v>
      </c>
      <c r="AN311" s="181" t="s">
        <v>74</v>
      </c>
    </row>
    <row r="312" spans="1:45" ht="45" hidden="1" x14ac:dyDescent="0.25">
      <c r="A312" s="181">
        <v>318</v>
      </c>
      <c r="B312" s="181" t="s">
        <v>226</v>
      </c>
      <c r="C312" s="181" t="s">
        <v>746</v>
      </c>
      <c r="D312" s="1179" t="s">
        <v>747</v>
      </c>
      <c r="E312" s="181">
        <v>7157581679</v>
      </c>
      <c r="F312" s="181">
        <v>7157581679</v>
      </c>
      <c r="G312" s="181">
        <v>14063157.050000001</v>
      </c>
      <c r="H312" s="181">
        <v>0</v>
      </c>
      <c r="I312" s="181">
        <v>14063157.050000001</v>
      </c>
      <c r="J312" s="181">
        <v>14063157.050000001</v>
      </c>
      <c r="K312" s="181">
        <v>0</v>
      </c>
      <c r="L312" s="181">
        <v>7171644836.0500002</v>
      </c>
      <c r="M312" s="181">
        <v>0</v>
      </c>
      <c r="N312" s="181">
        <v>0</v>
      </c>
      <c r="O312" s="181">
        <v>0</v>
      </c>
      <c r="P312" s="181">
        <v>0</v>
      </c>
      <c r="Q312" s="181">
        <v>0</v>
      </c>
      <c r="R312" s="181">
        <v>0</v>
      </c>
      <c r="S312" s="181">
        <v>4816291965</v>
      </c>
      <c r="T312" s="181">
        <v>0</v>
      </c>
      <c r="U312" s="181">
        <v>4816291965</v>
      </c>
      <c r="V312" s="181">
        <v>0</v>
      </c>
      <c r="W312" s="181">
        <v>0</v>
      </c>
      <c r="X312" s="181">
        <v>0</v>
      </c>
      <c r="Y312" s="181">
        <v>0</v>
      </c>
      <c r="Z312" s="181">
        <v>0</v>
      </c>
      <c r="AA312" s="181">
        <v>0</v>
      </c>
      <c r="AB312" s="181">
        <v>4816291965</v>
      </c>
      <c r="AC312" s="181">
        <v>0</v>
      </c>
      <c r="AD312" s="1180">
        <v>4816291965</v>
      </c>
      <c r="AE312" s="1180">
        <v>4816291965</v>
      </c>
      <c r="AF312" s="181">
        <v>4816291965</v>
      </c>
      <c r="AG312" s="181">
        <v>4816291965</v>
      </c>
      <c r="AH312" s="181">
        <v>0</v>
      </c>
      <c r="AI312" s="181">
        <v>0</v>
      </c>
      <c r="AJ312" s="181">
        <v>0</v>
      </c>
      <c r="AK312" s="181">
        <v>0</v>
      </c>
      <c r="AL312" s="181">
        <v>0</v>
      </c>
      <c r="AM312" s="181">
        <v>0</v>
      </c>
      <c r="AN312" s="181" t="s">
        <v>1709</v>
      </c>
      <c r="AS312" s="181"/>
    </row>
    <row r="313" spans="1:45" ht="60" x14ac:dyDescent="0.25">
      <c r="A313" s="181">
        <v>318</v>
      </c>
      <c r="B313" s="181">
        <v>154</v>
      </c>
      <c r="C313" s="181" t="s">
        <v>748</v>
      </c>
      <c r="D313" s="1179" t="s">
        <v>749</v>
      </c>
      <c r="E313" s="181">
        <v>7157581679</v>
      </c>
      <c r="F313" s="181">
        <v>7157581679</v>
      </c>
      <c r="G313" s="181">
        <v>14063157.050000001</v>
      </c>
      <c r="H313" s="181">
        <v>0</v>
      </c>
      <c r="I313" s="181">
        <v>14063157.050000001</v>
      </c>
      <c r="J313" s="181">
        <v>14063157.050000001</v>
      </c>
      <c r="K313" s="181">
        <v>0</v>
      </c>
      <c r="L313" s="181">
        <v>7171644836.0500002</v>
      </c>
      <c r="M313" s="181">
        <v>0</v>
      </c>
      <c r="N313" s="181">
        <v>0</v>
      </c>
      <c r="O313" s="181">
        <v>0</v>
      </c>
      <c r="P313" s="181">
        <v>0</v>
      </c>
      <c r="Q313" s="181">
        <v>0</v>
      </c>
      <c r="R313" s="181">
        <v>0</v>
      </c>
      <c r="S313" s="181">
        <v>4816291965</v>
      </c>
      <c r="T313" s="181">
        <v>0</v>
      </c>
      <c r="U313" s="181">
        <v>4816291965</v>
      </c>
      <c r="V313" s="181">
        <v>0</v>
      </c>
      <c r="W313" s="181">
        <v>0</v>
      </c>
      <c r="X313" s="181">
        <v>0</v>
      </c>
      <c r="Y313" s="181">
        <v>0</v>
      </c>
      <c r="Z313" s="181">
        <v>0</v>
      </c>
      <c r="AA313" s="181">
        <v>0</v>
      </c>
      <c r="AB313" s="181">
        <v>4816291965</v>
      </c>
      <c r="AC313" s="181">
        <v>0</v>
      </c>
      <c r="AD313" s="1180">
        <v>4816291965</v>
      </c>
      <c r="AE313" s="1183">
        <v>4816291965</v>
      </c>
      <c r="AF313" s="181">
        <v>4816291965</v>
      </c>
      <c r="AG313" s="181">
        <v>4816291965</v>
      </c>
      <c r="AH313" s="181">
        <v>0</v>
      </c>
      <c r="AI313" s="181">
        <v>0</v>
      </c>
      <c r="AJ313" s="181">
        <v>0</v>
      </c>
      <c r="AK313" s="181">
        <v>0</v>
      </c>
      <c r="AL313" s="181">
        <v>0</v>
      </c>
      <c r="AM313" s="181">
        <v>0</v>
      </c>
      <c r="AN313" s="181" t="s">
        <v>74</v>
      </c>
    </row>
    <row r="314" spans="1:45" hidden="1" x14ac:dyDescent="0.25">
      <c r="A314" s="181">
        <v>318</v>
      </c>
      <c r="B314" s="181" t="s">
        <v>226</v>
      </c>
      <c r="C314" s="181" t="s">
        <v>750</v>
      </c>
      <c r="D314" s="1179" t="s">
        <v>311</v>
      </c>
      <c r="E314" s="181">
        <v>26008564247.209999</v>
      </c>
      <c r="F314" s="181">
        <v>26008564247.209999</v>
      </c>
      <c r="G314" s="181">
        <v>10319839014.030001</v>
      </c>
      <c r="H314" s="181">
        <v>282689985</v>
      </c>
      <c r="I314" s="181">
        <v>10037149029.030001</v>
      </c>
      <c r="J314" s="181">
        <v>10319839014.030001</v>
      </c>
      <c r="K314" s="181">
        <v>282689985</v>
      </c>
      <c r="L314" s="181">
        <v>36045713276.239998</v>
      </c>
      <c r="M314" s="181">
        <v>391134685.36000001</v>
      </c>
      <c r="N314" s="181">
        <v>5858570.0999999996</v>
      </c>
      <c r="O314" s="181">
        <v>385276115.25999999</v>
      </c>
      <c r="P314" s="181">
        <v>0</v>
      </c>
      <c r="Q314" s="181">
        <v>0</v>
      </c>
      <c r="R314" s="181">
        <v>0</v>
      </c>
      <c r="S314" s="181">
        <v>41082133616.330002</v>
      </c>
      <c r="T314" s="181">
        <v>1700969664.1700001</v>
      </c>
      <c r="U314" s="181">
        <v>39381163952.160004</v>
      </c>
      <c r="V314" s="181">
        <v>391134685.36000001</v>
      </c>
      <c r="W314" s="181">
        <v>5858570.0999999996</v>
      </c>
      <c r="X314" s="181">
        <v>385276115.25999999</v>
      </c>
      <c r="Y314" s="181">
        <v>0</v>
      </c>
      <c r="Z314" s="181">
        <v>0</v>
      </c>
      <c r="AA314" s="181">
        <v>0</v>
      </c>
      <c r="AB314" s="181">
        <v>41082133616.330002</v>
      </c>
      <c r="AC314" s="181">
        <v>1700969664.1700001</v>
      </c>
      <c r="AD314" s="1180">
        <v>39381163952.160004</v>
      </c>
      <c r="AE314" s="1180">
        <v>39381163952.160004</v>
      </c>
      <c r="AF314" s="181">
        <v>9963179447.6599998</v>
      </c>
      <c r="AG314" s="181">
        <v>9963179447.6599998</v>
      </c>
      <c r="AH314" s="181">
        <v>29417984504.5</v>
      </c>
      <c r="AI314" s="181">
        <v>30285536570.200001</v>
      </c>
      <c r="AJ314" s="181">
        <v>867552065.70000005</v>
      </c>
      <c r="AK314" s="181">
        <v>30285536570.200001</v>
      </c>
      <c r="AL314" s="181">
        <v>0</v>
      </c>
      <c r="AM314" s="181">
        <v>867552065.70000005</v>
      </c>
      <c r="AN314" s="181" t="s">
        <v>1709</v>
      </c>
      <c r="AS314" s="181"/>
    </row>
    <row r="315" spans="1:45" ht="30" hidden="1" x14ac:dyDescent="0.25">
      <c r="A315" s="181">
        <v>318</v>
      </c>
      <c r="B315" s="181" t="s">
        <v>226</v>
      </c>
      <c r="C315" s="181" t="s">
        <v>751</v>
      </c>
      <c r="D315" s="1179" t="s">
        <v>341</v>
      </c>
      <c r="E315" s="181">
        <v>960000000</v>
      </c>
      <c r="F315" s="181">
        <v>960000000</v>
      </c>
      <c r="G315" s="181">
        <v>0</v>
      </c>
      <c r="H315" s="181">
        <v>0</v>
      </c>
      <c r="I315" s="181">
        <v>0</v>
      </c>
      <c r="J315" s="181">
        <v>0</v>
      </c>
      <c r="K315" s="181">
        <v>0</v>
      </c>
      <c r="L315" s="181">
        <v>960000000</v>
      </c>
      <c r="M315" s="181">
        <v>391134685.36000001</v>
      </c>
      <c r="N315" s="181">
        <v>5858570.0999999996</v>
      </c>
      <c r="O315" s="181">
        <v>385276115.25999999</v>
      </c>
      <c r="P315" s="181">
        <v>0</v>
      </c>
      <c r="Q315" s="181">
        <v>0</v>
      </c>
      <c r="R315" s="181">
        <v>0</v>
      </c>
      <c r="S315" s="181">
        <v>406420711.36000001</v>
      </c>
      <c r="T315" s="181">
        <v>21144593.699999999</v>
      </c>
      <c r="U315" s="181">
        <v>385276117.66000003</v>
      </c>
      <c r="V315" s="181">
        <v>391134685.36000001</v>
      </c>
      <c r="W315" s="181">
        <v>5858570.0999999996</v>
      </c>
      <c r="X315" s="181">
        <v>385276115.25999999</v>
      </c>
      <c r="Y315" s="181">
        <v>0</v>
      </c>
      <c r="Z315" s="181">
        <v>0</v>
      </c>
      <c r="AA315" s="181">
        <v>0</v>
      </c>
      <c r="AB315" s="181">
        <v>406420711.36000001</v>
      </c>
      <c r="AC315" s="181">
        <v>21144593.699999999</v>
      </c>
      <c r="AD315" s="1180">
        <v>385276117.66000003</v>
      </c>
      <c r="AE315" s="1180">
        <v>385276117.66000003</v>
      </c>
      <c r="AF315" s="181">
        <v>0</v>
      </c>
      <c r="AG315" s="181">
        <v>0</v>
      </c>
      <c r="AH315" s="181">
        <v>385276117.66000003</v>
      </c>
      <c r="AI315" s="181">
        <v>406420711.36000001</v>
      </c>
      <c r="AJ315" s="181">
        <v>21144593.699999999</v>
      </c>
      <c r="AK315" s="181">
        <v>406420711.36000001</v>
      </c>
      <c r="AL315" s="181">
        <v>0</v>
      </c>
      <c r="AM315" s="181">
        <v>21144593.699999999</v>
      </c>
      <c r="AN315" s="181" t="s">
        <v>1709</v>
      </c>
      <c r="AS315" s="181"/>
    </row>
    <row r="316" spans="1:45" ht="45" hidden="1" x14ac:dyDescent="0.25">
      <c r="A316" s="181">
        <v>318</v>
      </c>
      <c r="B316" s="181" t="s">
        <v>226</v>
      </c>
      <c r="C316" s="181" t="s">
        <v>752</v>
      </c>
      <c r="D316" s="1179" t="s">
        <v>343</v>
      </c>
      <c r="E316" s="181">
        <v>960000000</v>
      </c>
      <c r="F316" s="181">
        <v>960000000</v>
      </c>
      <c r="G316" s="181">
        <v>0</v>
      </c>
      <c r="H316" s="181">
        <v>0</v>
      </c>
      <c r="I316" s="181">
        <v>0</v>
      </c>
      <c r="J316" s="181">
        <v>0</v>
      </c>
      <c r="K316" s="181">
        <v>0</v>
      </c>
      <c r="L316" s="181">
        <v>960000000</v>
      </c>
      <c r="M316" s="181">
        <v>391134685.36000001</v>
      </c>
      <c r="N316" s="181">
        <v>5858570.0999999996</v>
      </c>
      <c r="O316" s="181">
        <v>385276115.25999999</v>
      </c>
      <c r="P316" s="181">
        <v>0</v>
      </c>
      <c r="Q316" s="181">
        <v>0</v>
      </c>
      <c r="R316" s="181">
        <v>0</v>
      </c>
      <c r="S316" s="181">
        <v>406420711.36000001</v>
      </c>
      <c r="T316" s="181">
        <v>21144593.699999999</v>
      </c>
      <c r="U316" s="181">
        <v>385276117.66000003</v>
      </c>
      <c r="V316" s="181">
        <v>391134685.36000001</v>
      </c>
      <c r="W316" s="181">
        <v>5858570.0999999996</v>
      </c>
      <c r="X316" s="181">
        <v>385276115.25999999</v>
      </c>
      <c r="Y316" s="181">
        <v>0</v>
      </c>
      <c r="Z316" s="181">
        <v>0</v>
      </c>
      <c r="AA316" s="181">
        <v>0</v>
      </c>
      <c r="AB316" s="181">
        <v>406420711.36000001</v>
      </c>
      <c r="AC316" s="181">
        <v>21144593.699999999</v>
      </c>
      <c r="AD316" s="1180">
        <v>385276117.66000003</v>
      </c>
      <c r="AE316" s="1180">
        <v>385276117.66000003</v>
      </c>
      <c r="AF316" s="181">
        <v>0</v>
      </c>
      <c r="AG316" s="181">
        <v>0</v>
      </c>
      <c r="AH316" s="181">
        <v>385276117.66000003</v>
      </c>
      <c r="AI316" s="181">
        <v>406420711.36000001</v>
      </c>
      <c r="AJ316" s="181">
        <v>21144593.699999999</v>
      </c>
      <c r="AK316" s="181">
        <v>406420711.36000001</v>
      </c>
      <c r="AL316" s="181">
        <v>0</v>
      </c>
      <c r="AM316" s="181">
        <v>21144593.699999999</v>
      </c>
      <c r="AN316" s="181" t="s">
        <v>1709</v>
      </c>
      <c r="AS316" s="181"/>
    </row>
    <row r="317" spans="1:45" ht="30" x14ac:dyDescent="0.25">
      <c r="A317" s="181">
        <v>318</v>
      </c>
      <c r="B317" s="181">
        <v>63</v>
      </c>
      <c r="C317" s="181" t="s">
        <v>753</v>
      </c>
      <c r="D317" s="1179" t="s">
        <v>754</v>
      </c>
      <c r="E317" s="181">
        <v>19200000</v>
      </c>
      <c r="F317" s="181">
        <v>19200000</v>
      </c>
      <c r="G317" s="181">
        <v>0</v>
      </c>
      <c r="H317" s="181">
        <v>0</v>
      </c>
      <c r="I317" s="181">
        <v>0</v>
      </c>
      <c r="J317" s="181">
        <v>0</v>
      </c>
      <c r="K317" s="181">
        <v>0</v>
      </c>
      <c r="L317" s="181">
        <v>19200000</v>
      </c>
      <c r="M317" s="181">
        <v>29535000</v>
      </c>
      <c r="N317" s="181">
        <v>561000</v>
      </c>
      <c r="O317" s="181">
        <v>28974000</v>
      </c>
      <c r="P317" s="181">
        <v>0</v>
      </c>
      <c r="Q317" s="181">
        <v>0</v>
      </c>
      <c r="R317" s="181">
        <v>0</v>
      </c>
      <c r="S317" s="181">
        <v>29370000</v>
      </c>
      <c r="T317" s="181">
        <v>396000</v>
      </c>
      <c r="U317" s="181">
        <v>28974000</v>
      </c>
      <c r="V317" s="181">
        <v>29535000</v>
      </c>
      <c r="W317" s="181">
        <v>561000</v>
      </c>
      <c r="X317" s="181">
        <v>28974000</v>
      </c>
      <c r="Y317" s="181">
        <v>0</v>
      </c>
      <c r="Z317" s="181">
        <v>0</v>
      </c>
      <c r="AA317" s="181">
        <v>0</v>
      </c>
      <c r="AB317" s="181">
        <v>29370000</v>
      </c>
      <c r="AC317" s="181">
        <v>396000</v>
      </c>
      <c r="AD317" s="1180">
        <v>28974000</v>
      </c>
      <c r="AE317" s="1183">
        <v>28974000</v>
      </c>
      <c r="AF317" s="181">
        <v>0</v>
      </c>
      <c r="AG317" s="181">
        <v>0</v>
      </c>
      <c r="AH317" s="181">
        <v>28974000</v>
      </c>
      <c r="AI317" s="181">
        <v>29370000</v>
      </c>
      <c r="AJ317" s="181">
        <v>396000</v>
      </c>
      <c r="AK317" s="181">
        <v>29370000</v>
      </c>
      <c r="AL317" s="181">
        <v>0</v>
      </c>
      <c r="AM317" s="181">
        <v>396000</v>
      </c>
      <c r="AN317" s="181" t="s">
        <v>181</v>
      </c>
    </row>
    <row r="318" spans="1:45" ht="45" x14ac:dyDescent="0.25">
      <c r="A318" s="181">
        <v>318</v>
      </c>
      <c r="B318" s="181">
        <v>63</v>
      </c>
      <c r="C318" s="181" t="s">
        <v>755</v>
      </c>
      <c r="D318" s="1179" t="s">
        <v>756</v>
      </c>
      <c r="E318" s="181">
        <v>9600000</v>
      </c>
      <c r="F318" s="181">
        <v>9600000</v>
      </c>
      <c r="G318" s="181">
        <v>0</v>
      </c>
      <c r="H318" s="181">
        <v>0</v>
      </c>
      <c r="I318" s="181">
        <v>0</v>
      </c>
      <c r="J318" s="181">
        <v>0</v>
      </c>
      <c r="K318" s="181">
        <v>0</v>
      </c>
      <c r="L318" s="181">
        <v>9600000</v>
      </c>
      <c r="M318" s="181">
        <v>2467900</v>
      </c>
      <c r="N318" s="181">
        <v>66700</v>
      </c>
      <c r="O318" s="181">
        <v>2401200</v>
      </c>
      <c r="P318" s="181">
        <v>0</v>
      </c>
      <c r="Q318" s="181">
        <v>0</v>
      </c>
      <c r="R318" s="181">
        <v>0</v>
      </c>
      <c r="S318" s="181">
        <v>2401200</v>
      </c>
      <c r="T318" s="181">
        <v>0</v>
      </c>
      <c r="U318" s="181">
        <v>2401200</v>
      </c>
      <c r="V318" s="181">
        <v>2467900</v>
      </c>
      <c r="W318" s="181">
        <v>66700</v>
      </c>
      <c r="X318" s="181">
        <v>2401200</v>
      </c>
      <c r="Y318" s="181">
        <v>0</v>
      </c>
      <c r="Z318" s="181">
        <v>0</v>
      </c>
      <c r="AA318" s="181">
        <v>0</v>
      </c>
      <c r="AB318" s="181">
        <v>2401200</v>
      </c>
      <c r="AC318" s="181">
        <v>0</v>
      </c>
      <c r="AD318" s="1180">
        <v>2401200</v>
      </c>
      <c r="AE318" s="1183">
        <v>2401200</v>
      </c>
      <c r="AF318" s="181">
        <v>0</v>
      </c>
      <c r="AG318" s="181">
        <v>0</v>
      </c>
      <c r="AH318" s="181">
        <v>2401200</v>
      </c>
      <c r="AI318" s="181">
        <v>2401200</v>
      </c>
      <c r="AJ318" s="181">
        <v>0</v>
      </c>
      <c r="AK318" s="181">
        <v>2401200</v>
      </c>
      <c r="AL318" s="181">
        <v>0</v>
      </c>
      <c r="AM318" s="181">
        <v>0</v>
      </c>
      <c r="AN318" s="181" t="s">
        <v>181</v>
      </c>
    </row>
    <row r="319" spans="1:45" x14ac:dyDescent="0.25">
      <c r="A319" s="181">
        <v>318</v>
      </c>
      <c r="B319" s="181">
        <v>63</v>
      </c>
      <c r="C319" s="181" t="s">
        <v>757</v>
      </c>
      <c r="D319" s="1179" t="s">
        <v>758</v>
      </c>
      <c r="E319" s="181">
        <v>931200000</v>
      </c>
      <c r="F319" s="181">
        <v>931200000</v>
      </c>
      <c r="G319" s="181">
        <v>0</v>
      </c>
      <c r="H319" s="181">
        <v>0</v>
      </c>
      <c r="I319" s="181">
        <v>0</v>
      </c>
      <c r="J319" s="181">
        <v>0</v>
      </c>
      <c r="K319" s="181">
        <v>0</v>
      </c>
      <c r="L319" s="181">
        <v>931200000</v>
      </c>
      <c r="M319" s="181">
        <v>359131785.36000001</v>
      </c>
      <c r="N319" s="181">
        <v>5230870.0999999996</v>
      </c>
      <c r="O319" s="181">
        <v>353900915.25999999</v>
      </c>
      <c r="P319" s="181">
        <v>0</v>
      </c>
      <c r="Q319" s="181">
        <v>0</v>
      </c>
      <c r="R319" s="181">
        <v>0</v>
      </c>
      <c r="S319" s="181">
        <v>374649511.36000001</v>
      </c>
      <c r="T319" s="181">
        <v>20748593.699999999</v>
      </c>
      <c r="U319" s="181">
        <v>353900917.66000003</v>
      </c>
      <c r="V319" s="181">
        <v>359131785.36000001</v>
      </c>
      <c r="W319" s="181">
        <v>5230870.0999999996</v>
      </c>
      <c r="X319" s="181">
        <v>353900915.25999999</v>
      </c>
      <c r="Y319" s="181">
        <v>0</v>
      </c>
      <c r="Z319" s="181">
        <v>0</v>
      </c>
      <c r="AA319" s="181">
        <v>0</v>
      </c>
      <c r="AB319" s="181">
        <v>374649511.36000001</v>
      </c>
      <c r="AC319" s="181">
        <v>20748593.699999999</v>
      </c>
      <c r="AD319" s="1180">
        <v>353900917.66000003</v>
      </c>
      <c r="AE319" s="1183">
        <v>353900917.66000003</v>
      </c>
      <c r="AF319" s="181">
        <v>0</v>
      </c>
      <c r="AG319" s="181">
        <v>0</v>
      </c>
      <c r="AH319" s="181">
        <v>353900917.66000003</v>
      </c>
      <c r="AI319" s="181">
        <v>374649511.36000001</v>
      </c>
      <c r="AJ319" s="181">
        <v>20748593.699999999</v>
      </c>
      <c r="AK319" s="181">
        <v>374649511.36000001</v>
      </c>
      <c r="AL319" s="181">
        <v>0</v>
      </c>
      <c r="AM319" s="181">
        <v>20748593.699999999</v>
      </c>
      <c r="AN319" s="181" t="s">
        <v>181</v>
      </c>
    </row>
    <row r="320" spans="1:45" hidden="1" x14ac:dyDescent="0.25">
      <c r="A320" s="181">
        <v>318</v>
      </c>
      <c r="B320" s="181" t="s">
        <v>226</v>
      </c>
      <c r="C320" s="181" t="s">
        <v>759</v>
      </c>
      <c r="D320" s="1179" t="s">
        <v>406</v>
      </c>
      <c r="E320" s="181">
        <v>8120930287</v>
      </c>
      <c r="F320" s="181">
        <v>8120930287</v>
      </c>
      <c r="G320" s="181">
        <v>8212430335</v>
      </c>
      <c r="H320" s="181">
        <v>282689985</v>
      </c>
      <c r="I320" s="181">
        <v>7929740350</v>
      </c>
      <c r="J320" s="181">
        <v>8212430335</v>
      </c>
      <c r="K320" s="181">
        <v>282689985</v>
      </c>
      <c r="L320" s="181">
        <v>16050670637</v>
      </c>
      <c r="M320" s="181">
        <v>0</v>
      </c>
      <c r="N320" s="181">
        <v>0</v>
      </c>
      <c r="O320" s="181">
        <v>0</v>
      </c>
      <c r="P320" s="181">
        <v>0</v>
      </c>
      <c r="Q320" s="181">
        <v>0</v>
      </c>
      <c r="R320" s="181">
        <v>0</v>
      </c>
      <c r="S320" s="181">
        <v>17121168915</v>
      </c>
      <c r="T320" s="181">
        <v>1123187778</v>
      </c>
      <c r="U320" s="181">
        <v>15997981137</v>
      </c>
      <c r="V320" s="181">
        <v>0</v>
      </c>
      <c r="W320" s="181">
        <v>0</v>
      </c>
      <c r="X320" s="181">
        <v>0</v>
      </c>
      <c r="Y320" s="181">
        <v>0</v>
      </c>
      <c r="Z320" s="181">
        <v>0</v>
      </c>
      <c r="AA320" s="181">
        <v>0</v>
      </c>
      <c r="AB320" s="181">
        <v>17121168915</v>
      </c>
      <c r="AC320" s="181">
        <v>1123187778</v>
      </c>
      <c r="AD320" s="1180">
        <v>15997981137</v>
      </c>
      <c r="AE320" s="1180">
        <v>15997981137</v>
      </c>
      <c r="AF320" s="181">
        <v>332594127</v>
      </c>
      <c r="AG320" s="181">
        <v>332594127</v>
      </c>
      <c r="AH320" s="181">
        <v>15665387010</v>
      </c>
      <c r="AI320" s="181">
        <v>16367834868</v>
      </c>
      <c r="AJ320" s="181">
        <v>702447858</v>
      </c>
      <c r="AK320" s="181">
        <v>16367834868</v>
      </c>
      <c r="AL320" s="181">
        <v>0</v>
      </c>
      <c r="AM320" s="181">
        <v>702447858</v>
      </c>
      <c r="AN320" s="181" t="s">
        <v>1709</v>
      </c>
      <c r="AS320" s="181"/>
    </row>
    <row r="321" spans="1:45" ht="30" hidden="1" x14ac:dyDescent="0.25">
      <c r="A321" s="181">
        <v>318</v>
      </c>
      <c r="B321" s="181" t="s">
        <v>226</v>
      </c>
      <c r="C321" s="181" t="s">
        <v>760</v>
      </c>
      <c r="D321" s="1179" t="s">
        <v>408</v>
      </c>
      <c r="E321" s="181">
        <v>5999240891</v>
      </c>
      <c r="F321" s="181">
        <v>5999240891</v>
      </c>
      <c r="G321" s="181">
        <v>373648879</v>
      </c>
      <c r="H321" s="181">
        <v>55810500</v>
      </c>
      <c r="I321" s="181">
        <v>317838379</v>
      </c>
      <c r="J321" s="181">
        <v>373648879</v>
      </c>
      <c r="K321" s="181">
        <v>55810500</v>
      </c>
      <c r="L321" s="181">
        <v>6317079270</v>
      </c>
      <c r="M321" s="181">
        <v>0</v>
      </c>
      <c r="N321" s="181">
        <v>0</v>
      </c>
      <c r="O321" s="181">
        <v>0</v>
      </c>
      <c r="P321" s="181">
        <v>0</v>
      </c>
      <c r="Q321" s="181">
        <v>0</v>
      </c>
      <c r="R321" s="181">
        <v>0</v>
      </c>
      <c r="S321" s="181">
        <v>6765189490</v>
      </c>
      <c r="T321" s="181">
        <v>535703088</v>
      </c>
      <c r="U321" s="181">
        <v>6229486402</v>
      </c>
      <c r="V321" s="181">
        <v>0</v>
      </c>
      <c r="W321" s="181">
        <v>0</v>
      </c>
      <c r="X321" s="181">
        <v>0</v>
      </c>
      <c r="Y321" s="181">
        <v>0</v>
      </c>
      <c r="Z321" s="181">
        <v>0</v>
      </c>
      <c r="AA321" s="181">
        <v>0</v>
      </c>
      <c r="AB321" s="181">
        <v>6765189490</v>
      </c>
      <c r="AC321" s="181">
        <v>535703088</v>
      </c>
      <c r="AD321" s="1180">
        <v>6229486402</v>
      </c>
      <c r="AE321" s="1180">
        <v>6229486402</v>
      </c>
      <c r="AF321" s="181">
        <v>0</v>
      </c>
      <c r="AG321" s="181">
        <v>0</v>
      </c>
      <c r="AH321" s="181">
        <v>6229486402</v>
      </c>
      <c r="AI321" s="181">
        <v>6765189490</v>
      </c>
      <c r="AJ321" s="181">
        <v>535703088</v>
      </c>
      <c r="AK321" s="181">
        <v>6765189490</v>
      </c>
      <c r="AL321" s="181">
        <v>0</v>
      </c>
      <c r="AM321" s="181">
        <v>535703088</v>
      </c>
      <c r="AN321" s="181" t="s">
        <v>1709</v>
      </c>
      <c r="AS321" s="181"/>
    </row>
    <row r="322" spans="1:45" hidden="1" x14ac:dyDescent="0.25">
      <c r="A322" s="181">
        <v>318</v>
      </c>
      <c r="B322" s="181" t="s">
        <v>226</v>
      </c>
      <c r="C322" s="181" t="s">
        <v>761</v>
      </c>
      <c r="D322" s="1179" t="s">
        <v>762</v>
      </c>
      <c r="E322" s="181">
        <v>5999240891</v>
      </c>
      <c r="F322" s="181">
        <v>5999240891</v>
      </c>
      <c r="G322" s="181">
        <v>373648879</v>
      </c>
      <c r="H322" s="181">
        <v>55810500</v>
      </c>
      <c r="I322" s="181">
        <v>317838379</v>
      </c>
      <c r="J322" s="181">
        <v>373648879</v>
      </c>
      <c r="K322" s="181">
        <v>55810500</v>
      </c>
      <c r="L322" s="181">
        <v>6317079270</v>
      </c>
      <c r="M322" s="181">
        <v>0</v>
      </c>
      <c r="N322" s="181">
        <v>0</v>
      </c>
      <c r="O322" s="181">
        <v>0</v>
      </c>
      <c r="P322" s="181">
        <v>0</v>
      </c>
      <c r="Q322" s="181">
        <v>0</v>
      </c>
      <c r="R322" s="181">
        <v>0</v>
      </c>
      <c r="S322" s="181">
        <v>6765189490</v>
      </c>
      <c r="T322" s="181">
        <v>535703088</v>
      </c>
      <c r="U322" s="181">
        <v>6229486402</v>
      </c>
      <c r="V322" s="181">
        <v>0</v>
      </c>
      <c r="W322" s="181">
        <v>0</v>
      </c>
      <c r="X322" s="181">
        <v>0</v>
      </c>
      <c r="Y322" s="181">
        <v>0</v>
      </c>
      <c r="Z322" s="181">
        <v>0</v>
      </c>
      <c r="AA322" s="181">
        <v>0</v>
      </c>
      <c r="AB322" s="181">
        <v>6765189490</v>
      </c>
      <c r="AC322" s="181">
        <v>535703088</v>
      </c>
      <c r="AD322" s="1180">
        <v>6229486402</v>
      </c>
      <c r="AE322" s="1180">
        <v>6229486402</v>
      </c>
      <c r="AF322" s="181">
        <v>0</v>
      </c>
      <c r="AG322" s="181">
        <v>0</v>
      </c>
      <c r="AH322" s="181">
        <v>6229486402</v>
      </c>
      <c r="AI322" s="181">
        <v>6765189490</v>
      </c>
      <c r="AJ322" s="181">
        <v>535703088</v>
      </c>
      <c r="AK322" s="181">
        <v>6765189490</v>
      </c>
      <c r="AL322" s="181">
        <v>0</v>
      </c>
      <c r="AM322" s="181">
        <v>535703088</v>
      </c>
      <c r="AN322" s="181" t="s">
        <v>1709</v>
      </c>
      <c r="AS322" s="181"/>
    </row>
    <row r="323" spans="1:45" x14ac:dyDescent="0.25">
      <c r="A323" s="181">
        <v>318</v>
      </c>
      <c r="B323" s="181">
        <v>61</v>
      </c>
      <c r="C323" s="181" t="s">
        <v>763</v>
      </c>
      <c r="D323" s="1179" t="s">
        <v>764</v>
      </c>
      <c r="E323" s="181">
        <v>4274847597</v>
      </c>
      <c r="F323" s="181">
        <v>4274847597</v>
      </c>
      <c r="G323" s="181">
        <v>341824883</v>
      </c>
      <c r="H323" s="181">
        <v>55810500</v>
      </c>
      <c r="I323" s="181">
        <v>286014383</v>
      </c>
      <c r="J323" s="181">
        <v>341824883</v>
      </c>
      <c r="K323" s="181">
        <v>55810500</v>
      </c>
      <c r="L323" s="181">
        <v>4560861980</v>
      </c>
      <c r="M323" s="181">
        <v>0</v>
      </c>
      <c r="N323" s="181">
        <v>0</v>
      </c>
      <c r="O323" s="181">
        <v>0</v>
      </c>
      <c r="P323" s="181">
        <v>0</v>
      </c>
      <c r="Q323" s="181">
        <v>0</v>
      </c>
      <c r="R323" s="181">
        <v>0</v>
      </c>
      <c r="S323" s="181">
        <v>5155375568</v>
      </c>
      <c r="T323" s="181">
        <v>535703088</v>
      </c>
      <c r="U323" s="181">
        <v>4619672480</v>
      </c>
      <c r="V323" s="181">
        <v>0</v>
      </c>
      <c r="W323" s="181">
        <v>0</v>
      </c>
      <c r="X323" s="181">
        <v>0</v>
      </c>
      <c r="Y323" s="181">
        <v>0</v>
      </c>
      <c r="Z323" s="181">
        <v>0</v>
      </c>
      <c r="AA323" s="181">
        <v>0</v>
      </c>
      <c r="AB323" s="181">
        <v>5155375568</v>
      </c>
      <c r="AC323" s="181">
        <v>535703088</v>
      </c>
      <c r="AD323" s="1180">
        <v>4619672480</v>
      </c>
      <c r="AE323" s="1183">
        <v>4619672480</v>
      </c>
      <c r="AF323" s="181">
        <v>0</v>
      </c>
      <c r="AG323" s="181">
        <v>0</v>
      </c>
      <c r="AH323" s="181">
        <v>4619672480</v>
      </c>
      <c r="AI323" s="181">
        <v>5155375568</v>
      </c>
      <c r="AJ323" s="181">
        <v>535703088</v>
      </c>
      <c r="AK323" s="181">
        <v>5155375568</v>
      </c>
      <c r="AL323" s="181">
        <v>0</v>
      </c>
      <c r="AM323" s="181">
        <v>535703088</v>
      </c>
      <c r="AN323" s="181" t="s">
        <v>179</v>
      </c>
    </row>
    <row r="324" spans="1:45" x14ac:dyDescent="0.25">
      <c r="A324" s="181">
        <v>318</v>
      </c>
      <c r="B324" s="181">
        <v>171</v>
      </c>
      <c r="C324" s="181" t="s">
        <v>765</v>
      </c>
      <c r="D324" s="1179" t="s">
        <v>766</v>
      </c>
      <c r="E324" s="181">
        <v>1724393294</v>
      </c>
      <c r="F324" s="181">
        <v>1724393294</v>
      </c>
      <c r="G324" s="181">
        <v>31823996</v>
      </c>
      <c r="H324" s="181">
        <v>0</v>
      </c>
      <c r="I324" s="181">
        <v>31823996</v>
      </c>
      <c r="J324" s="181">
        <v>31823996</v>
      </c>
      <c r="K324" s="181">
        <v>0</v>
      </c>
      <c r="L324" s="181">
        <v>1756217290</v>
      </c>
      <c r="M324" s="181">
        <v>0</v>
      </c>
      <c r="N324" s="181">
        <v>0</v>
      </c>
      <c r="O324" s="181">
        <v>0</v>
      </c>
      <c r="P324" s="181">
        <v>0</v>
      </c>
      <c r="Q324" s="181">
        <v>0</v>
      </c>
      <c r="R324" s="181">
        <v>0</v>
      </c>
      <c r="S324" s="181">
        <v>1609813922</v>
      </c>
      <c r="T324" s="181">
        <v>0</v>
      </c>
      <c r="U324" s="181">
        <v>1609813922</v>
      </c>
      <c r="V324" s="181">
        <v>0</v>
      </c>
      <c r="W324" s="181">
        <v>0</v>
      </c>
      <c r="X324" s="181">
        <v>0</v>
      </c>
      <c r="Y324" s="181">
        <v>0</v>
      </c>
      <c r="Z324" s="181">
        <v>0</v>
      </c>
      <c r="AA324" s="181">
        <v>0</v>
      </c>
      <c r="AB324" s="181">
        <v>1609813922</v>
      </c>
      <c r="AC324" s="181">
        <v>0</v>
      </c>
      <c r="AD324" s="1180">
        <v>1609813922</v>
      </c>
      <c r="AE324" s="1183">
        <v>1609813922</v>
      </c>
      <c r="AF324" s="181">
        <v>0</v>
      </c>
      <c r="AG324" s="181">
        <v>0</v>
      </c>
      <c r="AH324" s="181">
        <v>1609813922</v>
      </c>
      <c r="AI324" s="181">
        <v>1609813922</v>
      </c>
      <c r="AJ324" s="181">
        <v>0</v>
      </c>
      <c r="AK324" s="181">
        <v>1609813922</v>
      </c>
      <c r="AL324" s="181">
        <v>0</v>
      </c>
      <c r="AM324" s="181">
        <v>0</v>
      </c>
      <c r="AN324" s="181" t="s">
        <v>86</v>
      </c>
    </row>
    <row r="325" spans="1:45" ht="45" hidden="1" x14ac:dyDescent="0.25">
      <c r="A325" s="181">
        <v>318</v>
      </c>
      <c r="B325" s="181" t="s">
        <v>226</v>
      </c>
      <c r="C325" s="181" t="s">
        <v>767</v>
      </c>
      <c r="D325" s="1179" t="s">
        <v>428</v>
      </c>
      <c r="E325" s="181">
        <v>2121689396</v>
      </c>
      <c r="F325" s="181">
        <v>2121689396</v>
      </c>
      <c r="G325" s="181">
        <v>7838781456</v>
      </c>
      <c r="H325" s="181">
        <v>226879485</v>
      </c>
      <c r="I325" s="181">
        <v>7611901971</v>
      </c>
      <c r="J325" s="181">
        <v>7838781456</v>
      </c>
      <c r="K325" s="181">
        <v>226879485</v>
      </c>
      <c r="L325" s="181">
        <v>9733591367</v>
      </c>
      <c r="M325" s="181">
        <v>0</v>
      </c>
      <c r="N325" s="181">
        <v>0</v>
      </c>
      <c r="O325" s="181">
        <v>0</v>
      </c>
      <c r="P325" s="181">
        <v>0</v>
      </c>
      <c r="Q325" s="181">
        <v>0</v>
      </c>
      <c r="R325" s="181">
        <v>0</v>
      </c>
      <c r="S325" s="181">
        <v>10355979425</v>
      </c>
      <c r="T325" s="181">
        <v>587484690</v>
      </c>
      <c r="U325" s="181">
        <v>9768494735</v>
      </c>
      <c r="V325" s="181">
        <v>0</v>
      </c>
      <c r="W325" s="181">
        <v>0</v>
      </c>
      <c r="X325" s="181">
        <v>0</v>
      </c>
      <c r="Y325" s="181">
        <v>0</v>
      </c>
      <c r="Z325" s="181">
        <v>0</v>
      </c>
      <c r="AA325" s="181">
        <v>0</v>
      </c>
      <c r="AB325" s="181">
        <v>10355979425</v>
      </c>
      <c r="AC325" s="181">
        <v>587484690</v>
      </c>
      <c r="AD325" s="1180">
        <v>9768494735</v>
      </c>
      <c r="AE325" s="1180">
        <v>9768494735</v>
      </c>
      <c r="AF325" s="181">
        <v>332594127</v>
      </c>
      <c r="AG325" s="181">
        <v>332594127</v>
      </c>
      <c r="AH325" s="181">
        <v>9435900608</v>
      </c>
      <c r="AI325" s="181">
        <v>9602645378</v>
      </c>
      <c r="AJ325" s="181">
        <v>166744770</v>
      </c>
      <c r="AK325" s="181">
        <v>9602645378</v>
      </c>
      <c r="AL325" s="181">
        <v>0</v>
      </c>
      <c r="AM325" s="181">
        <v>166744770</v>
      </c>
      <c r="AN325" s="181" t="s">
        <v>1709</v>
      </c>
      <c r="AS325" s="181"/>
    </row>
    <row r="326" spans="1:45" hidden="1" x14ac:dyDescent="0.25">
      <c r="A326" s="181">
        <v>318</v>
      </c>
      <c r="B326" s="181" t="s">
        <v>226</v>
      </c>
      <c r="C326" s="181" t="s">
        <v>768</v>
      </c>
      <c r="D326" s="1179" t="s">
        <v>680</v>
      </c>
      <c r="E326" s="181">
        <v>2121689396</v>
      </c>
      <c r="F326" s="181">
        <v>2121689396</v>
      </c>
      <c r="G326" s="181">
        <v>7838781456</v>
      </c>
      <c r="H326" s="181">
        <v>226879485</v>
      </c>
      <c r="I326" s="181">
        <v>7611901971</v>
      </c>
      <c r="J326" s="181">
        <v>7838781456</v>
      </c>
      <c r="K326" s="181">
        <v>226879485</v>
      </c>
      <c r="L326" s="181">
        <v>9733591367</v>
      </c>
      <c r="M326" s="181">
        <v>0</v>
      </c>
      <c r="N326" s="181">
        <v>0</v>
      </c>
      <c r="O326" s="181">
        <v>0</v>
      </c>
      <c r="P326" s="181">
        <v>0</v>
      </c>
      <c r="Q326" s="181">
        <v>0</v>
      </c>
      <c r="R326" s="181">
        <v>0</v>
      </c>
      <c r="S326" s="181">
        <v>10355979425</v>
      </c>
      <c r="T326" s="181">
        <v>587484690</v>
      </c>
      <c r="U326" s="181">
        <v>9768494735</v>
      </c>
      <c r="V326" s="181">
        <v>0</v>
      </c>
      <c r="W326" s="181">
        <v>0</v>
      </c>
      <c r="X326" s="181">
        <v>0</v>
      </c>
      <c r="Y326" s="181">
        <v>0</v>
      </c>
      <c r="Z326" s="181">
        <v>0</v>
      </c>
      <c r="AA326" s="181">
        <v>0</v>
      </c>
      <c r="AB326" s="181">
        <v>10355979425</v>
      </c>
      <c r="AC326" s="181">
        <v>587484690</v>
      </c>
      <c r="AD326" s="1180">
        <v>9768494735</v>
      </c>
      <c r="AE326" s="1180">
        <v>9768494735</v>
      </c>
      <c r="AF326" s="181">
        <v>332594127</v>
      </c>
      <c r="AG326" s="181">
        <v>332594127</v>
      </c>
      <c r="AH326" s="181">
        <v>9435900608</v>
      </c>
      <c r="AI326" s="181">
        <v>9602645378</v>
      </c>
      <c r="AJ326" s="181">
        <v>166744770</v>
      </c>
      <c r="AK326" s="181">
        <v>9602645378</v>
      </c>
      <c r="AL326" s="181">
        <v>0</v>
      </c>
      <c r="AM326" s="181">
        <v>166744770</v>
      </c>
      <c r="AN326" s="181" t="s">
        <v>1709</v>
      </c>
      <c r="AS326" s="181"/>
    </row>
    <row r="327" spans="1:45" ht="30" x14ac:dyDescent="0.25">
      <c r="A327" s="181">
        <v>318</v>
      </c>
      <c r="B327" s="181">
        <v>110</v>
      </c>
      <c r="C327" s="181" t="s">
        <v>769</v>
      </c>
      <c r="D327" s="1179" t="s">
        <v>770</v>
      </c>
      <c r="E327" s="181">
        <v>1485182578</v>
      </c>
      <c r="F327" s="181">
        <v>1485182578</v>
      </c>
      <c r="G327" s="181">
        <v>417055422</v>
      </c>
      <c r="H327" s="181">
        <v>0</v>
      </c>
      <c r="I327" s="181">
        <v>417055422</v>
      </c>
      <c r="J327" s="181">
        <v>417055422</v>
      </c>
      <c r="K327" s="181">
        <v>0</v>
      </c>
      <c r="L327" s="181">
        <v>1902238000</v>
      </c>
      <c r="M327" s="181">
        <v>0</v>
      </c>
      <c r="N327" s="181">
        <v>0</v>
      </c>
      <c r="O327" s="181">
        <v>0</v>
      </c>
      <c r="P327" s="181">
        <v>0</v>
      </c>
      <c r="Q327" s="181">
        <v>0</v>
      </c>
      <c r="R327" s="181">
        <v>0</v>
      </c>
      <c r="S327" s="181">
        <v>2617784653</v>
      </c>
      <c r="T327" s="181">
        <v>568143285</v>
      </c>
      <c r="U327" s="181">
        <v>2049641368</v>
      </c>
      <c r="V327" s="181">
        <v>0</v>
      </c>
      <c r="W327" s="181">
        <v>0</v>
      </c>
      <c r="X327" s="181">
        <v>0</v>
      </c>
      <c r="Y327" s="181">
        <v>0</v>
      </c>
      <c r="Z327" s="181">
        <v>0</v>
      </c>
      <c r="AA327" s="181">
        <v>0</v>
      </c>
      <c r="AB327" s="181">
        <v>2617784653</v>
      </c>
      <c r="AC327" s="181">
        <v>568143285</v>
      </c>
      <c r="AD327" s="1180">
        <v>2049641368</v>
      </c>
      <c r="AE327" s="1183">
        <v>2049641368</v>
      </c>
      <c r="AF327" s="181">
        <v>-420739920</v>
      </c>
      <c r="AG327" s="181">
        <v>-420739920</v>
      </c>
      <c r="AH327" s="181">
        <v>2470381288</v>
      </c>
      <c r="AI327" s="181">
        <v>2617784653</v>
      </c>
      <c r="AJ327" s="181">
        <v>147403365</v>
      </c>
      <c r="AK327" s="181">
        <v>2617784653</v>
      </c>
      <c r="AL327" s="181">
        <v>0</v>
      </c>
      <c r="AM327" s="181">
        <v>147403365</v>
      </c>
      <c r="AN327" s="181" t="s">
        <v>1741</v>
      </c>
    </row>
    <row r="328" spans="1:45" ht="45" x14ac:dyDescent="0.25">
      <c r="A328" s="181">
        <v>318</v>
      </c>
      <c r="B328" s="181">
        <v>111</v>
      </c>
      <c r="C328" s="181" t="s">
        <v>771</v>
      </c>
      <c r="D328" s="1179" t="s">
        <v>772</v>
      </c>
      <c r="E328" s="181">
        <v>318253409</v>
      </c>
      <c r="F328" s="181">
        <v>318253409</v>
      </c>
      <c r="G328" s="181">
        <v>0</v>
      </c>
      <c r="H328" s="181">
        <v>86156549</v>
      </c>
      <c r="I328" s="181">
        <v>-86156549</v>
      </c>
      <c r="J328" s="181">
        <v>0</v>
      </c>
      <c r="K328" s="181">
        <v>86156549</v>
      </c>
      <c r="L328" s="181">
        <v>232096860</v>
      </c>
      <c r="M328" s="181">
        <v>0</v>
      </c>
      <c r="N328" s="181">
        <v>0</v>
      </c>
      <c r="O328" s="181">
        <v>0</v>
      </c>
      <c r="P328" s="181">
        <v>0</v>
      </c>
      <c r="Q328" s="181">
        <v>0</v>
      </c>
      <c r="R328" s="181">
        <v>0</v>
      </c>
      <c r="S328" s="181">
        <v>251438265</v>
      </c>
      <c r="T328" s="181">
        <v>19341405</v>
      </c>
      <c r="U328" s="181">
        <v>232096860</v>
      </c>
      <c r="V328" s="181">
        <v>0</v>
      </c>
      <c r="W328" s="181">
        <v>0</v>
      </c>
      <c r="X328" s="181">
        <v>0</v>
      </c>
      <c r="Y328" s="181">
        <v>0</v>
      </c>
      <c r="Z328" s="181">
        <v>0</v>
      </c>
      <c r="AA328" s="181">
        <v>0</v>
      </c>
      <c r="AB328" s="181">
        <v>251438265</v>
      </c>
      <c r="AC328" s="181">
        <v>19341405</v>
      </c>
      <c r="AD328" s="1180">
        <v>232096860</v>
      </c>
      <c r="AE328" s="1183">
        <v>232096860</v>
      </c>
      <c r="AF328" s="181">
        <v>0</v>
      </c>
      <c r="AG328" s="181">
        <v>0</v>
      </c>
      <c r="AH328" s="181">
        <v>232096860</v>
      </c>
      <c r="AI328" s="181">
        <v>251438265</v>
      </c>
      <c r="AJ328" s="181">
        <v>19341405</v>
      </c>
      <c r="AK328" s="181">
        <v>251438265</v>
      </c>
      <c r="AL328" s="181">
        <v>0</v>
      </c>
      <c r="AM328" s="181">
        <v>19341405</v>
      </c>
      <c r="AN328" s="181" t="s">
        <v>1742</v>
      </c>
    </row>
    <row r="329" spans="1:45" ht="45" x14ac:dyDescent="0.25">
      <c r="A329" s="181">
        <v>318</v>
      </c>
      <c r="B329" s="181">
        <v>113</v>
      </c>
      <c r="C329" s="181" t="s">
        <v>773</v>
      </c>
      <c r="D329" s="1179" t="s">
        <v>774</v>
      </c>
      <c r="E329" s="181">
        <v>212168939.59999999</v>
      </c>
      <c r="F329" s="181">
        <v>212168939.59999999</v>
      </c>
      <c r="G329" s="181">
        <v>0</v>
      </c>
      <c r="H329" s="181">
        <v>59798499.600000001</v>
      </c>
      <c r="I329" s="181">
        <v>-59798499.600000001</v>
      </c>
      <c r="J329" s="181">
        <v>0</v>
      </c>
      <c r="K329" s="181">
        <v>59798499.600000001</v>
      </c>
      <c r="L329" s="181">
        <v>152370440</v>
      </c>
      <c r="M329" s="181">
        <v>0</v>
      </c>
      <c r="N329" s="181">
        <v>0</v>
      </c>
      <c r="O329" s="181">
        <v>0</v>
      </c>
      <c r="P329" s="181">
        <v>0</v>
      </c>
      <c r="Q329" s="181">
        <v>0</v>
      </c>
      <c r="R329" s="181">
        <v>0</v>
      </c>
      <c r="S329" s="181">
        <v>152370440</v>
      </c>
      <c r="T329" s="181">
        <v>0</v>
      </c>
      <c r="U329" s="181">
        <v>152370440</v>
      </c>
      <c r="V329" s="181">
        <v>0</v>
      </c>
      <c r="W329" s="181">
        <v>0</v>
      </c>
      <c r="X329" s="181">
        <v>0</v>
      </c>
      <c r="Y329" s="181">
        <v>0</v>
      </c>
      <c r="Z329" s="181">
        <v>0</v>
      </c>
      <c r="AA329" s="181">
        <v>0</v>
      </c>
      <c r="AB329" s="181">
        <v>152370440</v>
      </c>
      <c r="AC329" s="181">
        <v>0</v>
      </c>
      <c r="AD329" s="1180">
        <v>152370440</v>
      </c>
      <c r="AE329" s="1183">
        <v>152370440</v>
      </c>
      <c r="AF329" s="181">
        <v>0</v>
      </c>
      <c r="AG329" s="181">
        <v>0</v>
      </c>
      <c r="AH329" s="181">
        <v>152370440</v>
      </c>
      <c r="AI329" s="181">
        <v>152370440</v>
      </c>
      <c r="AJ329" s="181">
        <v>0</v>
      </c>
      <c r="AK329" s="181">
        <v>152370440</v>
      </c>
      <c r="AL329" s="181">
        <v>0</v>
      </c>
      <c r="AM329" s="181">
        <v>0</v>
      </c>
      <c r="AN329" s="181" t="s">
        <v>1743</v>
      </c>
    </row>
    <row r="330" spans="1:45" ht="30" x14ac:dyDescent="0.25">
      <c r="A330" s="181">
        <v>318</v>
      </c>
      <c r="B330" s="181">
        <v>114</v>
      </c>
      <c r="C330" s="181" t="s">
        <v>775</v>
      </c>
      <c r="D330" s="1179" t="s">
        <v>776</v>
      </c>
      <c r="E330" s="181">
        <v>106084469.40000001</v>
      </c>
      <c r="F330" s="181">
        <v>106084469.40000001</v>
      </c>
      <c r="G330" s="181">
        <v>0</v>
      </c>
      <c r="H330" s="181">
        <v>80924436.400000006</v>
      </c>
      <c r="I330" s="181">
        <v>-80924436.400000006</v>
      </c>
      <c r="J330" s="181">
        <v>0</v>
      </c>
      <c r="K330" s="181">
        <v>80924436.400000006</v>
      </c>
      <c r="L330" s="181">
        <v>25160033</v>
      </c>
      <c r="M330" s="181">
        <v>0</v>
      </c>
      <c r="N330" s="181">
        <v>0</v>
      </c>
      <c r="O330" s="181">
        <v>0</v>
      </c>
      <c r="P330" s="181">
        <v>0</v>
      </c>
      <c r="Q330" s="181">
        <v>0</v>
      </c>
      <c r="R330" s="181">
        <v>0</v>
      </c>
      <c r="S330" s="181">
        <v>25160033</v>
      </c>
      <c r="T330" s="181">
        <v>0</v>
      </c>
      <c r="U330" s="181">
        <v>25160033</v>
      </c>
      <c r="V330" s="181">
        <v>0</v>
      </c>
      <c r="W330" s="181">
        <v>0</v>
      </c>
      <c r="X330" s="181">
        <v>0</v>
      </c>
      <c r="Y330" s="181">
        <v>0</v>
      </c>
      <c r="Z330" s="181">
        <v>0</v>
      </c>
      <c r="AA330" s="181">
        <v>0</v>
      </c>
      <c r="AB330" s="181">
        <v>25160033</v>
      </c>
      <c r="AC330" s="181">
        <v>0</v>
      </c>
      <c r="AD330" s="1180">
        <v>25160033</v>
      </c>
      <c r="AE330" s="1183">
        <v>25160033</v>
      </c>
      <c r="AF330" s="181">
        <v>0</v>
      </c>
      <c r="AG330" s="181">
        <v>0</v>
      </c>
      <c r="AH330" s="181">
        <v>25160033</v>
      </c>
      <c r="AI330" s="181">
        <v>25160033</v>
      </c>
      <c r="AJ330" s="181">
        <v>0</v>
      </c>
      <c r="AK330" s="181">
        <v>25160033</v>
      </c>
      <c r="AL330" s="181">
        <v>0</v>
      </c>
      <c r="AM330" s="181">
        <v>0</v>
      </c>
      <c r="AN330" s="181" t="s">
        <v>1744</v>
      </c>
    </row>
    <row r="331" spans="1:45" ht="30" hidden="1" x14ac:dyDescent="0.25">
      <c r="A331" s="181">
        <v>318</v>
      </c>
      <c r="B331" s="181">
        <v>174</v>
      </c>
      <c r="C331" s="181" t="s">
        <v>1391</v>
      </c>
      <c r="D331" s="1179" t="s">
        <v>1392</v>
      </c>
      <c r="E331" s="181">
        <v>0</v>
      </c>
      <c r="F331" s="181">
        <v>0</v>
      </c>
      <c r="G331" s="181">
        <v>6443391987</v>
      </c>
      <c r="H331" s="181">
        <v>0</v>
      </c>
      <c r="I331" s="181">
        <v>6443391987</v>
      </c>
      <c r="J331" s="181">
        <v>6443391987</v>
      </c>
      <c r="K331" s="181">
        <v>0</v>
      </c>
      <c r="L331" s="181">
        <v>6443391987</v>
      </c>
      <c r="M331" s="181">
        <v>0</v>
      </c>
      <c r="N331" s="181">
        <v>0</v>
      </c>
      <c r="O331" s="181">
        <v>0</v>
      </c>
      <c r="P331" s="181">
        <v>0</v>
      </c>
      <c r="Q331" s="181">
        <v>0</v>
      </c>
      <c r="R331" s="181">
        <v>0</v>
      </c>
      <c r="S331" s="181">
        <v>6443391987</v>
      </c>
      <c r="T331" s="181">
        <v>0</v>
      </c>
      <c r="U331" s="181">
        <v>6443391987</v>
      </c>
      <c r="V331" s="181">
        <v>0</v>
      </c>
      <c r="W331" s="181">
        <v>0</v>
      </c>
      <c r="X331" s="181">
        <v>0</v>
      </c>
      <c r="Y331" s="181">
        <v>0</v>
      </c>
      <c r="Z331" s="181">
        <v>0</v>
      </c>
      <c r="AA331" s="181">
        <v>0</v>
      </c>
      <c r="AB331" s="181">
        <v>6443391987</v>
      </c>
      <c r="AC331" s="181">
        <v>0</v>
      </c>
      <c r="AD331" s="1180">
        <v>6443391987</v>
      </c>
      <c r="AE331" s="1180">
        <v>6443391987</v>
      </c>
      <c r="AF331" s="181">
        <v>0</v>
      </c>
      <c r="AG331" s="181">
        <v>0</v>
      </c>
      <c r="AH331" s="181">
        <v>6443391987</v>
      </c>
      <c r="AI331" s="181">
        <v>6443391987</v>
      </c>
      <c r="AJ331" s="181">
        <v>0</v>
      </c>
      <c r="AK331" s="181">
        <v>6443391987</v>
      </c>
      <c r="AL331" s="181">
        <v>0</v>
      </c>
      <c r="AM331" s="181">
        <v>0</v>
      </c>
      <c r="AN331" s="181" t="s">
        <v>1745</v>
      </c>
      <c r="AS331" s="181"/>
    </row>
    <row r="332" spans="1:45" ht="30" hidden="1" x14ac:dyDescent="0.25">
      <c r="A332" s="181">
        <v>318</v>
      </c>
      <c r="B332" s="181">
        <v>222</v>
      </c>
      <c r="C332" s="181" t="s">
        <v>1393</v>
      </c>
      <c r="D332" s="1179" t="s">
        <v>1394</v>
      </c>
      <c r="E332" s="181">
        <v>0</v>
      </c>
      <c r="F332" s="181">
        <v>0</v>
      </c>
      <c r="G332" s="181">
        <v>225000000</v>
      </c>
      <c r="H332" s="181">
        <v>0</v>
      </c>
      <c r="I332" s="181">
        <v>225000000</v>
      </c>
      <c r="J332" s="181">
        <v>225000000</v>
      </c>
      <c r="K332" s="181">
        <v>0</v>
      </c>
      <c r="L332" s="181">
        <v>225000000</v>
      </c>
      <c r="M332" s="181">
        <v>0</v>
      </c>
      <c r="N332" s="181">
        <v>0</v>
      </c>
      <c r="O332" s="181">
        <v>0</v>
      </c>
      <c r="P332" s="181">
        <v>0</v>
      </c>
      <c r="Q332" s="181">
        <v>0</v>
      </c>
      <c r="R332" s="181">
        <v>0</v>
      </c>
      <c r="S332" s="181">
        <v>112500000</v>
      </c>
      <c r="T332" s="181">
        <v>0</v>
      </c>
      <c r="U332" s="181">
        <v>112500000</v>
      </c>
      <c r="V332" s="181">
        <v>0</v>
      </c>
      <c r="W332" s="181">
        <v>0</v>
      </c>
      <c r="X332" s="181">
        <v>0</v>
      </c>
      <c r="Y332" s="181">
        <v>0</v>
      </c>
      <c r="Z332" s="181">
        <v>0</v>
      </c>
      <c r="AA332" s="181">
        <v>0</v>
      </c>
      <c r="AB332" s="181">
        <v>112500000</v>
      </c>
      <c r="AC332" s="181">
        <v>0</v>
      </c>
      <c r="AD332" s="1180">
        <v>112500000</v>
      </c>
      <c r="AE332" s="1180">
        <v>112500000</v>
      </c>
      <c r="AF332" s="181">
        <v>0</v>
      </c>
      <c r="AG332" s="181">
        <v>0</v>
      </c>
      <c r="AH332" s="181">
        <v>112500000</v>
      </c>
      <c r="AI332" s="181">
        <v>112500000</v>
      </c>
      <c r="AJ332" s="181">
        <v>0</v>
      </c>
      <c r="AK332" s="181">
        <v>112500000</v>
      </c>
      <c r="AL332" s="181">
        <v>0</v>
      </c>
      <c r="AM332" s="181">
        <v>0</v>
      </c>
      <c r="AN332" s="181" t="s">
        <v>1746</v>
      </c>
      <c r="AS332" s="181"/>
    </row>
    <row r="333" spans="1:45" ht="45" hidden="1" x14ac:dyDescent="0.25">
      <c r="A333" s="181">
        <v>318</v>
      </c>
      <c r="B333" s="181">
        <v>224</v>
      </c>
      <c r="C333" s="181" t="s">
        <v>1395</v>
      </c>
      <c r="D333" s="1179" t="s">
        <v>1396</v>
      </c>
      <c r="E333" s="181">
        <v>0</v>
      </c>
      <c r="F333" s="181">
        <v>0</v>
      </c>
      <c r="G333" s="181">
        <v>332594127</v>
      </c>
      <c r="H333" s="181">
        <v>0</v>
      </c>
      <c r="I333" s="181">
        <v>332594127</v>
      </c>
      <c r="J333" s="181">
        <v>332594127</v>
      </c>
      <c r="K333" s="181">
        <v>0</v>
      </c>
      <c r="L333" s="181">
        <v>332594127</v>
      </c>
      <c r="M333" s="181">
        <v>0</v>
      </c>
      <c r="N333" s="181">
        <v>0</v>
      </c>
      <c r="O333" s="181">
        <v>0</v>
      </c>
      <c r="P333" s="181">
        <v>0</v>
      </c>
      <c r="Q333" s="181">
        <v>0</v>
      </c>
      <c r="R333" s="181">
        <v>0</v>
      </c>
      <c r="S333" s="181">
        <v>332594127</v>
      </c>
      <c r="T333" s="181">
        <v>0</v>
      </c>
      <c r="U333" s="181">
        <v>332594127</v>
      </c>
      <c r="V333" s="181">
        <v>0</v>
      </c>
      <c r="W333" s="181">
        <v>0</v>
      </c>
      <c r="X333" s="181">
        <v>0</v>
      </c>
      <c r="Y333" s="181">
        <v>0</v>
      </c>
      <c r="Z333" s="181">
        <v>0</v>
      </c>
      <c r="AA333" s="181">
        <v>0</v>
      </c>
      <c r="AB333" s="181">
        <v>332594127</v>
      </c>
      <c r="AC333" s="181">
        <v>0</v>
      </c>
      <c r="AD333" s="1180">
        <v>332594127</v>
      </c>
      <c r="AE333" s="1180">
        <v>332594127</v>
      </c>
      <c r="AF333" s="181">
        <v>332594127</v>
      </c>
      <c r="AG333" s="181">
        <v>332594127</v>
      </c>
      <c r="AH333" s="181">
        <v>0</v>
      </c>
      <c r="AI333" s="181">
        <v>0</v>
      </c>
      <c r="AJ333" s="181">
        <v>0</v>
      </c>
      <c r="AK333" s="181">
        <v>0</v>
      </c>
      <c r="AL333" s="181">
        <v>0</v>
      </c>
      <c r="AM333" s="181">
        <v>0</v>
      </c>
      <c r="AN333" s="181" t="s">
        <v>1747</v>
      </c>
      <c r="AS333" s="181"/>
    </row>
    <row r="334" spans="1:45" ht="60" hidden="1" x14ac:dyDescent="0.25">
      <c r="A334" s="181">
        <v>318</v>
      </c>
      <c r="B334" s="181">
        <v>180</v>
      </c>
      <c r="C334" s="181" t="s">
        <v>1397</v>
      </c>
      <c r="D334" s="1179" t="s">
        <v>1398</v>
      </c>
      <c r="E334" s="181">
        <v>0</v>
      </c>
      <c r="F334" s="181">
        <v>0</v>
      </c>
      <c r="G334" s="181">
        <v>420739920</v>
      </c>
      <c r="H334" s="181">
        <v>0</v>
      </c>
      <c r="I334" s="181">
        <v>420739920</v>
      </c>
      <c r="J334" s="181">
        <v>420739920</v>
      </c>
      <c r="K334" s="181">
        <v>0</v>
      </c>
      <c r="L334" s="181">
        <v>420739920</v>
      </c>
      <c r="M334" s="181">
        <v>0</v>
      </c>
      <c r="N334" s="181">
        <v>0</v>
      </c>
      <c r="O334" s="181">
        <v>0</v>
      </c>
      <c r="P334" s="181">
        <v>0</v>
      </c>
      <c r="Q334" s="181">
        <v>0</v>
      </c>
      <c r="R334" s="181">
        <v>0</v>
      </c>
      <c r="S334" s="181">
        <v>420739920</v>
      </c>
      <c r="T334" s="181">
        <v>0</v>
      </c>
      <c r="U334" s="181">
        <v>420739920</v>
      </c>
      <c r="V334" s="181">
        <v>0</v>
      </c>
      <c r="W334" s="181">
        <v>0</v>
      </c>
      <c r="X334" s="181">
        <v>0</v>
      </c>
      <c r="Y334" s="181">
        <v>0</v>
      </c>
      <c r="Z334" s="181">
        <v>0</v>
      </c>
      <c r="AA334" s="181">
        <v>0</v>
      </c>
      <c r="AB334" s="181">
        <v>420739920</v>
      </c>
      <c r="AC334" s="181">
        <v>0</v>
      </c>
      <c r="AD334" s="1180">
        <v>420739920</v>
      </c>
      <c r="AE334" s="1180">
        <v>420739920</v>
      </c>
      <c r="AF334" s="181">
        <v>420739920</v>
      </c>
      <c r="AG334" s="181">
        <v>420739920</v>
      </c>
      <c r="AH334" s="181">
        <v>0</v>
      </c>
      <c r="AI334" s="181">
        <v>0</v>
      </c>
      <c r="AJ334" s="181">
        <v>0</v>
      </c>
      <c r="AK334" s="181">
        <v>0</v>
      </c>
      <c r="AL334" s="181">
        <v>0</v>
      </c>
      <c r="AM334" s="181">
        <v>0</v>
      </c>
      <c r="AN334" s="181" t="s">
        <v>1748</v>
      </c>
      <c r="AS334" s="181"/>
    </row>
    <row r="335" spans="1:45" ht="30" hidden="1" x14ac:dyDescent="0.25">
      <c r="A335" s="181">
        <v>318</v>
      </c>
      <c r="B335" s="181" t="s">
        <v>226</v>
      </c>
      <c r="C335" s="181" t="s">
        <v>781</v>
      </c>
      <c r="D335" s="1179" t="s">
        <v>497</v>
      </c>
      <c r="E335" s="181">
        <v>16927633960.209999</v>
      </c>
      <c r="F335" s="181">
        <v>16927633960.209999</v>
      </c>
      <c r="G335" s="181">
        <v>2107408679.03</v>
      </c>
      <c r="H335" s="181">
        <v>0</v>
      </c>
      <c r="I335" s="181">
        <v>2107408679.03</v>
      </c>
      <c r="J335" s="181">
        <v>2107408679.03</v>
      </c>
      <c r="K335" s="181">
        <v>0</v>
      </c>
      <c r="L335" s="181">
        <v>19035042639.240002</v>
      </c>
      <c r="M335" s="181">
        <v>0</v>
      </c>
      <c r="N335" s="181">
        <v>0</v>
      </c>
      <c r="O335" s="181">
        <v>0</v>
      </c>
      <c r="P335" s="181">
        <v>0</v>
      </c>
      <c r="Q335" s="181">
        <v>0</v>
      </c>
      <c r="R335" s="181">
        <v>0</v>
      </c>
      <c r="S335" s="181">
        <v>23554543989.970001</v>
      </c>
      <c r="T335" s="181">
        <v>556637292.47000003</v>
      </c>
      <c r="U335" s="181">
        <v>22997906697.5</v>
      </c>
      <c r="V335" s="181">
        <v>0</v>
      </c>
      <c r="W335" s="181">
        <v>0</v>
      </c>
      <c r="X335" s="181">
        <v>0</v>
      </c>
      <c r="Y335" s="181">
        <v>0</v>
      </c>
      <c r="Z335" s="181">
        <v>0</v>
      </c>
      <c r="AA335" s="181">
        <v>0</v>
      </c>
      <c r="AB335" s="181">
        <v>23554543989.970001</v>
      </c>
      <c r="AC335" s="181">
        <v>556637292.47000003</v>
      </c>
      <c r="AD335" s="1180">
        <v>22997906697.5</v>
      </c>
      <c r="AE335" s="1180">
        <v>22997906697.5</v>
      </c>
      <c r="AF335" s="181">
        <v>9630585320.6599998</v>
      </c>
      <c r="AG335" s="181">
        <v>9630585320.6599998</v>
      </c>
      <c r="AH335" s="181">
        <v>13367321376.84</v>
      </c>
      <c r="AI335" s="181">
        <v>13511280990.84</v>
      </c>
      <c r="AJ335" s="181">
        <v>143959614</v>
      </c>
      <c r="AK335" s="181">
        <v>13511280990.84</v>
      </c>
      <c r="AL335" s="181">
        <v>0</v>
      </c>
      <c r="AM335" s="181">
        <v>143959614</v>
      </c>
      <c r="AN335" s="181" t="s">
        <v>1709</v>
      </c>
      <c r="AS335" s="181"/>
    </row>
    <row r="336" spans="1:45" ht="30" hidden="1" x14ac:dyDescent="0.25">
      <c r="A336" s="181">
        <v>318</v>
      </c>
      <c r="B336" s="181" t="s">
        <v>226</v>
      </c>
      <c r="C336" s="181" t="s">
        <v>782</v>
      </c>
      <c r="D336" s="1179" t="s">
        <v>783</v>
      </c>
      <c r="E336" s="181">
        <v>9069307195.9699993</v>
      </c>
      <c r="F336" s="181">
        <v>9069307195.9699993</v>
      </c>
      <c r="G336" s="181">
        <v>900495691.72000003</v>
      </c>
      <c r="H336" s="181">
        <v>0</v>
      </c>
      <c r="I336" s="181">
        <v>900495691.72000003</v>
      </c>
      <c r="J336" s="181">
        <v>900495691.72000003</v>
      </c>
      <c r="K336" s="181">
        <v>0</v>
      </c>
      <c r="L336" s="181">
        <v>9969802887.6900005</v>
      </c>
      <c r="M336" s="181">
        <v>0</v>
      </c>
      <c r="N336" s="181">
        <v>0</v>
      </c>
      <c r="O336" s="181">
        <v>0</v>
      </c>
      <c r="P336" s="181">
        <v>0</v>
      </c>
      <c r="Q336" s="181">
        <v>0</v>
      </c>
      <c r="R336" s="181">
        <v>0</v>
      </c>
      <c r="S336" s="181">
        <v>10898088996</v>
      </c>
      <c r="T336" s="181">
        <v>14684534</v>
      </c>
      <c r="U336" s="181">
        <v>10883404462</v>
      </c>
      <c r="V336" s="181">
        <v>0</v>
      </c>
      <c r="W336" s="181">
        <v>0</v>
      </c>
      <c r="X336" s="181">
        <v>0</v>
      </c>
      <c r="Y336" s="181">
        <v>0</v>
      </c>
      <c r="Z336" s="181">
        <v>0</v>
      </c>
      <c r="AA336" s="181">
        <v>0</v>
      </c>
      <c r="AB336" s="181">
        <v>10898088996</v>
      </c>
      <c r="AC336" s="181">
        <v>14684534</v>
      </c>
      <c r="AD336" s="1180">
        <v>10883404462</v>
      </c>
      <c r="AE336" s="1180">
        <v>10883404462</v>
      </c>
      <c r="AF336" s="181">
        <v>8162553346</v>
      </c>
      <c r="AG336" s="181">
        <v>8162553346</v>
      </c>
      <c r="AH336" s="181">
        <v>2720851116</v>
      </c>
      <c r="AI336" s="181">
        <v>2735535650</v>
      </c>
      <c r="AJ336" s="181">
        <v>14684534</v>
      </c>
      <c r="AK336" s="181">
        <v>2735535650</v>
      </c>
      <c r="AL336" s="181">
        <v>0</v>
      </c>
      <c r="AM336" s="181">
        <v>14684534</v>
      </c>
      <c r="AN336" s="181" t="s">
        <v>1709</v>
      </c>
      <c r="AS336" s="181"/>
    </row>
    <row r="337" spans="1:45" ht="45" hidden="1" x14ac:dyDescent="0.25">
      <c r="A337" s="181">
        <v>318</v>
      </c>
      <c r="B337" s="181" t="s">
        <v>226</v>
      </c>
      <c r="C337" s="181" t="s">
        <v>784</v>
      </c>
      <c r="D337" s="1179" t="s">
        <v>785</v>
      </c>
      <c r="E337" s="181">
        <v>1952280000</v>
      </c>
      <c r="F337" s="181">
        <v>1952280000</v>
      </c>
      <c r="G337" s="181">
        <v>889709002</v>
      </c>
      <c r="H337" s="181">
        <v>0</v>
      </c>
      <c r="I337" s="181">
        <v>889709002</v>
      </c>
      <c r="J337" s="181">
        <v>889709002</v>
      </c>
      <c r="K337" s="181">
        <v>0</v>
      </c>
      <c r="L337" s="181">
        <v>2841989002</v>
      </c>
      <c r="M337" s="181">
        <v>0</v>
      </c>
      <c r="N337" s="181">
        <v>0</v>
      </c>
      <c r="O337" s="181">
        <v>0</v>
      </c>
      <c r="P337" s="181">
        <v>0</v>
      </c>
      <c r="Q337" s="181">
        <v>0</v>
      </c>
      <c r="R337" s="181">
        <v>0</v>
      </c>
      <c r="S337" s="181">
        <v>2835367174</v>
      </c>
      <c r="T337" s="181">
        <v>14684534</v>
      </c>
      <c r="U337" s="181">
        <v>2820682640</v>
      </c>
      <c r="V337" s="181">
        <v>0</v>
      </c>
      <c r="W337" s="181">
        <v>0</v>
      </c>
      <c r="X337" s="181">
        <v>0</v>
      </c>
      <c r="Y337" s="181">
        <v>0</v>
      </c>
      <c r="Z337" s="181">
        <v>0</v>
      </c>
      <c r="AA337" s="181">
        <v>0</v>
      </c>
      <c r="AB337" s="181">
        <v>2835367174</v>
      </c>
      <c r="AC337" s="181">
        <v>14684534</v>
      </c>
      <c r="AD337" s="1180">
        <v>2820682640</v>
      </c>
      <c r="AE337" s="1180">
        <v>2820682640</v>
      </c>
      <c r="AF337" s="181">
        <v>2115511980</v>
      </c>
      <c r="AG337" s="181">
        <v>2115511980</v>
      </c>
      <c r="AH337" s="181">
        <v>705170660</v>
      </c>
      <c r="AI337" s="181">
        <v>719855194</v>
      </c>
      <c r="AJ337" s="181">
        <v>14684534</v>
      </c>
      <c r="AK337" s="181">
        <v>719855194</v>
      </c>
      <c r="AL337" s="181">
        <v>0</v>
      </c>
      <c r="AM337" s="181">
        <v>14684534</v>
      </c>
      <c r="AN337" s="181" t="s">
        <v>1709</v>
      </c>
      <c r="AS337" s="181"/>
    </row>
    <row r="338" spans="1:45" ht="30" x14ac:dyDescent="0.25">
      <c r="A338" s="181">
        <v>318</v>
      </c>
      <c r="B338" s="181">
        <v>154</v>
      </c>
      <c r="C338" s="181" t="s">
        <v>786</v>
      </c>
      <c r="D338" s="1179" t="s">
        <v>1399</v>
      </c>
      <c r="E338" s="181">
        <v>58568400</v>
      </c>
      <c r="F338" s="181">
        <v>58568400</v>
      </c>
      <c r="G338" s="181">
        <v>669877071</v>
      </c>
      <c r="H338" s="181">
        <v>0</v>
      </c>
      <c r="I338" s="181">
        <v>669877071</v>
      </c>
      <c r="J338" s="181">
        <v>669877071</v>
      </c>
      <c r="K338" s="181">
        <v>0</v>
      </c>
      <c r="L338" s="181">
        <v>728445471</v>
      </c>
      <c r="M338" s="181">
        <v>0</v>
      </c>
      <c r="N338" s="181">
        <v>0</v>
      </c>
      <c r="O338" s="181">
        <v>0</v>
      </c>
      <c r="P338" s="181">
        <v>0</v>
      </c>
      <c r="Q338" s="181">
        <v>0</v>
      </c>
      <c r="R338" s="181">
        <v>0</v>
      </c>
      <c r="S338" s="181">
        <v>1467366452</v>
      </c>
      <c r="T338" s="181">
        <v>0</v>
      </c>
      <c r="U338" s="181">
        <v>1467366452</v>
      </c>
      <c r="V338" s="181">
        <v>0</v>
      </c>
      <c r="W338" s="181">
        <v>0</v>
      </c>
      <c r="X338" s="181">
        <v>0</v>
      </c>
      <c r="Y338" s="181">
        <v>0</v>
      </c>
      <c r="Z338" s="181">
        <v>0</v>
      </c>
      <c r="AA338" s="181">
        <v>0</v>
      </c>
      <c r="AB338" s="181">
        <v>1467366452</v>
      </c>
      <c r="AC338" s="181">
        <v>0</v>
      </c>
      <c r="AD338" s="1180">
        <v>1467366452</v>
      </c>
      <c r="AE338" s="1183">
        <v>1467366452</v>
      </c>
      <c r="AF338" s="181">
        <v>1467366452</v>
      </c>
      <c r="AG338" s="181">
        <v>1467366452</v>
      </c>
      <c r="AH338" s="181">
        <v>0</v>
      </c>
      <c r="AI338" s="181">
        <v>0</v>
      </c>
      <c r="AJ338" s="181">
        <v>0</v>
      </c>
      <c r="AK338" s="181">
        <v>0</v>
      </c>
      <c r="AL338" s="181">
        <v>0</v>
      </c>
      <c r="AM338" s="181">
        <v>0</v>
      </c>
      <c r="AN338" s="181" t="s">
        <v>74</v>
      </c>
    </row>
    <row r="339" spans="1:45" ht="30" x14ac:dyDescent="0.25">
      <c r="A339" s="181">
        <v>318</v>
      </c>
      <c r="B339" s="181">
        <v>154</v>
      </c>
      <c r="C339" s="181" t="s">
        <v>787</v>
      </c>
      <c r="D339" s="1179" t="s">
        <v>788</v>
      </c>
      <c r="E339" s="181">
        <v>1268982000</v>
      </c>
      <c r="F339" s="181">
        <v>1268982000</v>
      </c>
      <c r="G339" s="181">
        <v>2067921</v>
      </c>
      <c r="H339" s="181">
        <v>0</v>
      </c>
      <c r="I339" s="181">
        <v>2067921</v>
      </c>
      <c r="J339" s="181">
        <v>2067921</v>
      </c>
      <c r="K339" s="181">
        <v>0</v>
      </c>
      <c r="L339" s="181">
        <v>1271049921</v>
      </c>
      <c r="M339" s="181">
        <v>0</v>
      </c>
      <c r="N339" s="181">
        <v>0</v>
      </c>
      <c r="O339" s="181">
        <v>0</v>
      </c>
      <c r="P339" s="181">
        <v>0</v>
      </c>
      <c r="Q339" s="181">
        <v>0</v>
      </c>
      <c r="R339" s="181">
        <v>0</v>
      </c>
      <c r="S339" s="181">
        <v>450697745</v>
      </c>
      <c r="T339" s="181">
        <v>0</v>
      </c>
      <c r="U339" s="181">
        <v>450697745</v>
      </c>
      <c r="V339" s="181">
        <v>0</v>
      </c>
      <c r="W339" s="181">
        <v>0</v>
      </c>
      <c r="X339" s="181">
        <v>0</v>
      </c>
      <c r="Y339" s="181">
        <v>0</v>
      </c>
      <c r="Z339" s="181">
        <v>0</v>
      </c>
      <c r="AA339" s="181">
        <v>0</v>
      </c>
      <c r="AB339" s="181">
        <v>450697745</v>
      </c>
      <c r="AC339" s="181">
        <v>0</v>
      </c>
      <c r="AD339" s="1180">
        <v>450697745</v>
      </c>
      <c r="AE339" s="1183">
        <v>450697745</v>
      </c>
      <c r="AF339" s="181">
        <v>450697745</v>
      </c>
      <c r="AG339" s="181">
        <v>450697745</v>
      </c>
      <c r="AH339" s="181">
        <v>0</v>
      </c>
      <c r="AI339" s="181">
        <v>0</v>
      </c>
      <c r="AJ339" s="181">
        <v>0</v>
      </c>
      <c r="AK339" s="181">
        <v>0</v>
      </c>
      <c r="AL339" s="181">
        <v>0</v>
      </c>
      <c r="AM339" s="181">
        <v>0</v>
      </c>
      <c r="AN339" s="181" t="s">
        <v>74</v>
      </c>
    </row>
    <row r="340" spans="1:45" ht="30" x14ac:dyDescent="0.25">
      <c r="A340" s="181">
        <v>318</v>
      </c>
      <c r="B340" s="181">
        <v>72</v>
      </c>
      <c r="C340" s="181" t="s">
        <v>789</v>
      </c>
      <c r="D340" s="1179" t="s">
        <v>790</v>
      </c>
      <c r="E340" s="181">
        <v>19522800</v>
      </c>
      <c r="F340" s="181">
        <v>19522800</v>
      </c>
      <c r="G340" s="181">
        <v>217764010</v>
      </c>
      <c r="H340" s="181">
        <v>0</v>
      </c>
      <c r="I340" s="181">
        <v>217764010</v>
      </c>
      <c r="J340" s="181">
        <v>217764010</v>
      </c>
      <c r="K340" s="181">
        <v>0</v>
      </c>
      <c r="L340" s="181">
        <v>237286810</v>
      </c>
      <c r="M340" s="181">
        <v>0</v>
      </c>
      <c r="N340" s="181">
        <v>0</v>
      </c>
      <c r="O340" s="181">
        <v>0</v>
      </c>
      <c r="P340" s="181">
        <v>0</v>
      </c>
      <c r="Q340" s="181">
        <v>0</v>
      </c>
      <c r="R340" s="181">
        <v>0</v>
      </c>
      <c r="S340" s="181">
        <v>165697700</v>
      </c>
      <c r="T340" s="181">
        <v>0</v>
      </c>
      <c r="U340" s="181">
        <v>165697700</v>
      </c>
      <c r="V340" s="181">
        <v>0</v>
      </c>
      <c r="W340" s="181">
        <v>0</v>
      </c>
      <c r="X340" s="181">
        <v>0</v>
      </c>
      <c r="Y340" s="181">
        <v>0</v>
      </c>
      <c r="Z340" s="181">
        <v>0</v>
      </c>
      <c r="AA340" s="181">
        <v>0</v>
      </c>
      <c r="AB340" s="181">
        <v>165697700</v>
      </c>
      <c r="AC340" s="181">
        <v>0</v>
      </c>
      <c r="AD340" s="1180">
        <v>165697700</v>
      </c>
      <c r="AE340" s="1183">
        <v>165697700</v>
      </c>
      <c r="AF340" s="181">
        <v>0</v>
      </c>
      <c r="AG340" s="181">
        <v>0</v>
      </c>
      <c r="AH340" s="181">
        <v>165697700</v>
      </c>
      <c r="AI340" s="181">
        <v>165697700</v>
      </c>
      <c r="AJ340" s="181">
        <v>0</v>
      </c>
      <c r="AK340" s="181">
        <v>165697700</v>
      </c>
      <c r="AL340" s="181">
        <v>0</v>
      </c>
      <c r="AM340" s="181">
        <v>0</v>
      </c>
      <c r="AN340" s="181" t="s">
        <v>187</v>
      </c>
    </row>
    <row r="341" spans="1:45" ht="30" x14ac:dyDescent="0.25">
      <c r="A341" s="181">
        <v>318</v>
      </c>
      <c r="B341" s="181">
        <v>72</v>
      </c>
      <c r="C341" s="181" t="s">
        <v>793</v>
      </c>
      <c r="D341" s="1179" t="s">
        <v>792</v>
      </c>
      <c r="E341" s="181">
        <v>468547200</v>
      </c>
      <c r="F341" s="181">
        <v>468547200</v>
      </c>
      <c r="G341" s="181">
        <v>0</v>
      </c>
      <c r="H341" s="181">
        <v>0</v>
      </c>
      <c r="I341" s="181">
        <v>0</v>
      </c>
      <c r="J341" s="181">
        <v>0</v>
      </c>
      <c r="K341" s="181">
        <v>0</v>
      </c>
      <c r="L341" s="181">
        <v>468547200</v>
      </c>
      <c r="M341" s="181">
        <v>0</v>
      </c>
      <c r="N341" s="181">
        <v>0</v>
      </c>
      <c r="O341" s="181">
        <v>0</v>
      </c>
      <c r="P341" s="181">
        <v>0</v>
      </c>
      <c r="Q341" s="181">
        <v>0</v>
      </c>
      <c r="R341" s="181">
        <v>0</v>
      </c>
      <c r="S341" s="181">
        <v>554157494</v>
      </c>
      <c r="T341" s="181">
        <v>14684534</v>
      </c>
      <c r="U341" s="181">
        <v>539472960</v>
      </c>
      <c r="V341" s="181">
        <v>0</v>
      </c>
      <c r="W341" s="181">
        <v>0</v>
      </c>
      <c r="X341" s="181">
        <v>0</v>
      </c>
      <c r="Y341" s="181">
        <v>0</v>
      </c>
      <c r="Z341" s="181">
        <v>0</v>
      </c>
      <c r="AA341" s="181">
        <v>0</v>
      </c>
      <c r="AB341" s="181">
        <v>554157494</v>
      </c>
      <c r="AC341" s="181">
        <v>14684534</v>
      </c>
      <c r="AD341" s="1180">
        <v>539472960</v>
      </c>
      <c r="AE341" s="1183">
        <v>539472960</v>
      </c>
      <c r="AF341" s="181">
        <v>0</v>
      </c>
      <c r="AG341" s="181">
        <v>0</v>
      </c>
      <c r="AH341" s="181">
        <v>539472960</v>
      </c>
      <c r="AI341" s="181">
        <v>554157494</v>
      </c>
      <c r="AJ341" s="181">
        <v>14684534</v>
      </c>
      <c r="AK341" s="181">
        <v>554157494</v>
      </c>
      <c r="AL341" s="181">
        <v>0</v>
      </c>
      <c r="AM341" s="181">
        <v>14684534</v>
      </c>
      <c r="AN341" s="181" t="s">
        <v>187</v>
      </c>
    </row>
    <row r="342" spans="1:45" ht="30" x14ac:dyDescent="0.25">
      <c r="A342" s="181">
        <v>318</v>
      </c>
      <c r="B342" s="181">
        <v>181</v>
      </c>
      <c r="C342" s="181" t="s">
        <v>794</v>
      </c>
      <c r="D342" s="1179" t="s">
        <v>795</v>
      </c>
      <c r="E342" s="181">
        <v>19522800</v>
      </c>
      <c r="F342" s="181">
        <v>19522800</v>
      </c>
      <c r="G342" s="181">
        <v>0</v>
      </c>
      <c r="H342" s="181">
        <v>0</v>
      </c>
      <c r="I342" s="181">
        <v>0</v>
      </c>
      <c r="J342" s="181">
        <v>0</v>
      </c>
      <c r="K342" s="181">
        <v>0</v>
      </c>
      <c r="L342" s="181">
        <v>19522800</v>
      </c>
      <c r="M342" s="181">
        <v>0</v>
      </c>
      <c r="N342" s="181">
        <v>0</v>
      </c>
      <c r="O342" s="181">
        <v>0</v>
      </c>
      <c r="P342" s="181">
        <v>0</v>
      </c>
      <c r="Q342" s="181">
        <v>0</v>
      </c>
      <c r="R342" s="181">
        <v>0</v>
      </c>
      <c r="S342" s="181">
        <v>46395355</v>
      </c>
      <c r="T342" s="181">
        <v>0</v>
      </c>
      <c r="U342" s="181">
        <v>46395355</v>
      </c>
      <c r="V342" s="181">
        <v>0</v>
      </c>
      <c r="W342" s="181">
        <v>0</v>
      </c>
      <c r="X342" s="181">
        <v>0</v>
      </c>
      <c r="Y342" s="181">
        <v>0</v>
      </c>
      <c r="Z342" s="181">
        <v>0</v>
      </c>
      <c r="AA342" s="181">
        <v>0</v>
      </c>
      <c r="AB342" s="181">
        <v>46395355</v>
      </c>
      <c r="AC342" s="181">
        <v>0</v>
      </c>
      <c r="AD342" s="1180">
        <v>46395355</v>
      </c>
      <c r="AE342" s="1183">
        <v>46395355</v>
      </c>
      <c r="AF342" s="181">
        <v>46395355</v>
      </c>
      <c r="AG342" s="181">
        <v>46395355</v>
      </c>
      <c r="AH342" s="181">
        <v>0</v>
      </c>
      <c r="AI342" s="181">
        <v>0</v>
      </c>
      <c r="AJ342" s="181">
        <v>0</v>
      </c>
      <c r="AK342" s="181">
        <v>0</v>
      </c>
      <c r="AL342" s="181">
        <v>0</v>
      </c>
      <c r="AM342" s="181">
        <v>0</v>
      </c>
      <c r="AN342" s="181" t="s">
        <v>102</v>
      </c>
    </row>
    <row r="343" spans="1:45" ht="30" x14ac:dyDescent="0.25">
      <c r="A343" s="181">
        <v>318</v>
      </c>
      <c r="B343" s="181">
        <v>181</v>
      </c>
      <c r="C343" s="181" t="s">
        <v>796</v>
      </c>
      <c r="D343" s="1179" t="s">
        <v>797</v>
      </c>
      <c r="E343" s="181">
        <v>117136800</v>
      </c>
      <c r="F343" s="181">
        <v>117136800</v>
      </c>
      <c r="G343" s="181">
        <v>0</v>
      </c>
      <c r="H343" s="181">
        <v>0</v>
      </c>
      <c r="I343" s="181">
        <v>0</v>
      </c>
      <c r="J343" s="181">
        <v>0</v>
      </c>
      <c r="K343" s="181">
        <v>0</v>
      </c>
      <c r="L343" s="181">
        <v>117136800</v>
      </c>
      <c r="M343" s="181">
        <v>0</v>
      </c>
      <c r="N343" s="181">
        <v>0</v>
      </c>
      <c r="O343" s="181">
        <v>0</v>
      </c>
      <c r="P343" s="181">
        <v>0</v>
      </c>
      <c r="Q343" s="181">
        <v>0</v>
      </c>
      <c r="R343" s="181">
        <v>0</v>
      </c>
      <c r="S343" s="181">
        <v>151052428</v>
      </c>
      <c r="T343" s="181">
        <v>0</v>
      </c>
      <c r="U343" s="181">
        <v>151052428</v>
      </c>
      <c r="V343" s="181">
        <v>0</v>
      </c>
      <c r="W343" s="181">
        <v>0</v>
      </c>
      <c r="X343" s="181">
        <v>0</v>
      </c>
      <c r="Y343" s="181">
        <v>0</v>
      </c>
      <c r="Z343" s="181">
        <v>0</v>
      </c>
      <c r="AA343" s="181">
        <v>0</v>
      </c>
      <c r="AB343" s="181">
        <v>151052428</v>
      </c>
      <c r="AC343" s="181">
        <v>0</v>
      </c>
      <c r="AD343" s="1180">
        <v>151052428</v>
      </c>
      <c r="AE343" s="1183">
        <v>151052428</v>
      </c>
      <c r="AF343" s="181">
        <v>151052428</v>
      </c>
      <c r="AG343" s="181">
        <v>151052428</v>
      </c>
      <c r="AH343" s="181">
        <v>0</v>
      </c>
      <c r="AI343" s="181">
        <v>0</v>
      </c>
      <c r="AJ343" s="181">
        <v>0</v>
      </c>
      <c r="AK343" s="181">
        <v>0</v>
      </c>
      <c r="AL343" s="181">
        <v>0</v>
      </c>
      <c r="AM343" s="181">
        <v>0</v>
      </c>
      <c r="AN343" s="181" t="s">
        <v>102</v>
      </c>
    </row>
    <row r="344" spans="1:45" ht="60" hidden="1" x14ac:dyDescent="0.25">
      <c r="A344" s="181">
        <v>318</v>
      </c>
      <c r="B344" s="181" t="s">
        <v>226</v>
      </c>
      <c r="C344" s="181" t="s">
        <v>798</v>
      </c>
      <c r="D344" s="1179" t="s">
        <v>799</v>
      </c>
      <c r="E344" s="181">
        <v>6177689520</v>
      </c>
      <c r="F344" s="181">
        <v>6177689520</v>
      </c>
      <c r="G344" s="181">
        <v>343541.66</v>
      </c>
      <c r="H344" s="181">
        <v>0</v>
      </c>
      <c r="I344" s="181">
        <v>343541.66</v>
      </c>
      <c r="J344" s="181">
        <v>343541.66</v>
      </c>
      <c r="K344" s="181">
        <v>0</v>
      </c>
      <c r="L344" s="181">
        <v>6178033061.6599998</v>
      </c>
      <c r="M344" s="181">
        <v>0</v>
      </c>
      <c r="N344" s="181">
        <v>0</v>
      </c>
      <c r="O344" s="181">
        <v>0</v>
      </c>
      <c r="P344" s="181">
        <v>0</v>
      </c>
      <c r="Q344" s="181">
        <v>0</v>
      </c>
      <c r="R344" s="181">
        <v>0</v>
      </c>
      <c r="S344" s="181">
        <v>7254547188</v>
      </c>
      <c r="T344" s="181">
        <v>0</v>
      </c>
      <c r="U344" s="181">
        <v>7254547188</v>
      </c>
      <c r="V344" s="181">
        <v>0</v>
      </c>
      <c r="W344" s="181">
        <v>0</v>
      </c>
      <c r="X344" s="181">
        <v>0</v>
      </c>
      <c r="Y344" s="181">
        <v>0</v>
      </c>
      <c r="Z344" s="181">
        <v>0</v>
      </c>
      <c r="AA344" s="181">
        <v>0</v>
      </c>
      <c r="AB344" s="181">
        <v>7254547188</v>
      </c>
      <c r="AC344" s="181">
        <v>0</v>
      </c>
      <c r="AD344" s="1180">
        <v>7254547188</v>
      </c>
      <c r="AE344" s="1180">
        <v>7254547188</v>
      </c>
      <c r="AF344" s="181">
        <v>5440910391</v>
      </c>
      <c r="AG344" s="181">
        <v>5440910391</v>
      </c>
      <c r="AH344" s="181">
        <v>1813636797</v>
      </c>
      <c r="AI344" s="181">
        <v>1813636797</v>
      </c>
      <c r="AJ344" s="181">
        <v>0</v>
      </c>
      <c r="AK344" s="181">
        <v>1813636797</v>
      </c>
      <c r="AL344" s="181">
        <v>0</v>
      </c>
      <c r="AM344" s="181">
        <v>0</v>
      </c>
      <c r="AN344" s="181" t="s">
        <v>1709</v>
      </c>
      <c r="AS344" s="181"/>
    </row>
    <row r="345" spans="1:45" ht="45" x14ac:dyDescent="0.25">
      <c r="A345" s="181">
        <v>318</v>
      </c>
      <c r="B345" s="181">
        <v>154</v>
      </c>
      <c r="C345" s="181" t="s">
        <v>800</v>
      </c>
      <c r="D345" s="1179" t="s">
        <v>801</v>
      </c>
      <c r="E345" s="181">
        <v>4200828873.5999999</v>
      </c>
      <c r="F345" s="181">
        <v>4200828873.5999999</v>
      </c>
      <c r="G345" s="181">
        <v>343541.66</v>
      </c>
      <c r="H345" s="181">
        <v>0</v>
      </c>
      <c r="I345" s="181">
        <v>343541.66</v>
      </c>
      <c r="J345" s="181">
        <v>343541.66</v>
      </c>
      <c r="K345" s="181">
        <v>0</v>
      </c>
      <c r="L345" s="181">
        <v>4201172415.2600002</v>
      </c>
      <c r="M345" s="181">
        <v>0</v>
      </c>
      <c r="N345" s="181">
        <v>0</v>
      </c>
      <c r="O345" s="181">
        <v>0</v>
      </c>
      <c r="P345" s="181">
        <v>0</v>
      </c>
      <c r="Q345" s="181">
        <v>0</v>
      </c>
      <c r="R345" s="181">
        <v>0</v>
      </c>
      <c r="S345" s="181">
        <v>4933092087</v>
      </c>
      <c r="T345" s="181">
        <v>0</v>
      </c>
      <c r="U345" s="181">
        <v>4933092087</v>
      </c>
      <c r="V345" s="181">
        <v>0</v>
      </c>
      <c r="W345" s="181">
        <v>0</v>
      </c>
      <c r="X345" s="181">
        <v>0</v>
      </c>
      <c r="Y345" s="181">
        <v>0</v>
      </c>
      <c r="Z345" s="181">
        <v>0</v>
      </c>
      <c r="AA345" s="181">
        <v>0</v>
      </c>
      <c r="AB345" s="181">
        <v>4933092087</v>
      </c>
      <c r="AC345" s="181">
        <v>0</v>
      </c>
      <c r="AD345" s="1180">
        <v>4933092087</v>
      </c>
      <c r="AE345" s="1183">
        <v>4933092087</v>
      </c>
      <c r="AF345" s="181">
        <v>4933092087</v>
      </c>
      <c r="AG345" s="181">
        <v>4933092087</v>
      </c>
      <c r="AH345" s="181">
        <v>0</v>
      </c>
      <c r="AI345" s="181">
        <v>0</v>
      </c>
      <c r="AJ345" s="181">
        <v>0</v>
      </c>
      <c r="AK345" s="181">
        <v>0</v>
      </c>
      <c r="AL345" s="181">
        <v>0</v>
      </c>
      <c r="AM345" s="181">
        <v>0</v>
      </c>
      <c r="AN345" s="181" t="s">
        <v>74</v>
      </c>
    </row>
    <row r="346" spans="1:45" ht="30" x14ac:dyDescent="0.25">
      <c r="A346" s="181">
        <v>318</v>
      </c>
      <c r="B346" s="181">
        <v>72</v>
      </c>
      <c r="C346" s="181" t="s">
        <v>802</v>
      </c>
      <c r="D346" s="1179" t="s">
        <v>803</v>
      </c>
      <c r="E346" s="181">
        <v>1544422380</v>
      </c>
      <c r="F346" s="181">
        <v>1544422380</v>
      </c>
      <c r="G346" s="181">
        <v>0</v>
      </c>
      <c r="H346" s="181">
        <v>0</v>
      </c>
      <c r="I346" s="181">
        <v>0</v>
      </c>
      <c r="J346" s="181">
        <v>0</v>
      </c>
      <c r="K346" s="181">
        <v>0</v>
      </c>
      <c r="L346" s="181">
        <v>1544422380</v>
      </c>
      <c r="M346" s="181">
        <v>0</v>
      </c>
      <c r="N346" s="181">
        <v>0</v>
      </c>
      <c r="O346" s="181">
        <v>0</v>
      </c>
      <c r="P346" s="181">
        <v>0</v>
      </c>
      <c r="Q346" s="181">
        <v>0</v>
      </c>
      <c r="R346" s="181">
        <v>0</v>
      </c>
      <c r="S346" s="181">
        <v>1813636797</v>
      </c>
      <c r="T346" s="181">
        <v>0</v>
      </c>
      <c r="U346" s="181">
        <v>1813636797</v>
      </c>
      <c r="V346" s="181">
        <v>0</v>
      </c>
      <c r="W346" s="181">
        <v>0</v>
      </c>
      <c r="X346" s="181">
        <v>0</v>
      </c>
      <c r="Y346" s="181">
        <v>0</v>
      </c>
      <c r="Z346" s="181">
        <v>0</v>
      </c>
      <c r="AA346" s="181">
        <v>0</v>
      </c>
      <c r="AB346" s="181">
        <v>1813636797</v>
      </c>
      <c r="AC346" s="181">
        <v>0</v>
      </c>
      <c r="AD346" s="1180">
        <v>1813636797</v>
      </c>
      <c r="AE346" s="1183">
        <v>1813636797</v>
      </c>
      <c r="AF346" s="181">
        <v>0</v>
      </c>
      <c r="AG346" s="181">
        <v>0</v>
      </c>
      <c r="AH346" s="181">
        <v>1813636797</v>
      </c>
      <c r="AI346" s="181">
        <v>1813636797</v>
      </c>
      <c r="AJ346" s="181">
        <v>0</v>
      </c>
      <c r="AK346" s="181">
        <v>1813636797</v>
      </c>
      <c r="AL346" s="181">
        <v>0</v>
      </c>
      <c r="AM346" s="181">
        <v>0</v>
      </c>
      <c r="AN346" s="181" t="s">
        <v>187</v>
      </c>
    </row>
    <row r="347" spans="1:45" ht="30" x14ac:dyDescent="0.25">
      <c r="A347" s="181">
        <v>318</v>
      </c>
      <c r="B347" s="181">
        <v>181</v>
      </c>
      <c r="C347" s="181" t="s">
        <v>804</v>
      </c>
      <c r="D347" s="1179" t="s">
        <v>805</v>
      </c>
      <c r="E347" s="181">
        <v>432438266.39999998</v>
      </c>
      <c r="F347" s="181">
        <v>432438266.39999998</v>
      </c>
      <c r="G347" s="181">
        <v>0</v>
      </c>
      <c r="H347" s="181">
        <v>0</v>
      </c>
      <c r="I347" s="181">
        <v>0</v>
      </c>
      <c r="J347" s="181">
        <v>0</v>
      </c>
      <c r="K347" s="181">
        <v>0</v>
      </c>
      <c r="L347" s="181">
        <v>432438266.39999998</v>
      </c>
      <c r="M347" s="181">
        <v>0</v>
      </c>
      <c r="N347" s="181">
        <v>0</v>
      </c>
      <c r="O347" s="181">
        <v>0</v>
      </c>
      <c r="P347" s="181">
        <v>0</v>
      </c>
      <c r="Q347" s="181">
        <v>0</v>
      </c>
      <c r="R347" s="181">
        <v>0</v>
      </c>
      <c r="S347" s="181">
        <v>507818304</v>
      </c>
      <c r="T347" s="181">
        <v>0</v>
      </c>
      <c r="U347" s="181">
        <v>507818304</v>
      </c>
      <c r="V347" s="181">
        <v>0</v>
      </c>
      <c r="W347" s="181">
        <v>0</v>
      </c>
      <c r="X347" s="181">
        <v>0</v>
      </c>
      <c r="Y347" s="181">
        <v>0</v>
      </c>
      <c r="Z347" s="181">
        <v>0</v>
      </c>
      <c r="AA347" s="181">
        <v>0</v>
      </c>
      <c r="AB347" s="181">
        <v>507818304</v>
      </c>
      <c r="AC347" s="181">
        <v>0</v>
      </c>
      <c r="AD347" s="1180">
        <v>507818304</v>
      </c>
      <c r="AE347" s="1183">
        <v>507818304</v>
      </c>
      <c r="AF347" s="181">
        <v>507818304</v>
      </c>
      <c r="AG347" s="181">
        <v>507818304</v>
      </c>
      <c r="AH347" s="181">
        <v>0</v>
      </c>
      <c r="AI347" s="181">
        <v>0</v>
      </c>
      <c r="AJ347" s="181">
        <v>0</v>
      </c>
      <c r="AK347" s="181">
        <v>0</v>
      </c>
      <c r="AL347" s="181">
        <v>0</v>
      </c>
      <c r="AM347" s="181">
        <v>0</v>
      </c>
      <c r="AN347" s="181" t="s">
        <v>102</v>
      </c>
    </row>
    <row r="348" spans="1:45" ht="30" hidden="1" x14ac:dyDescent="0.25">
      <c r="A348" s="181">
        <v>318</v>
      </c>
      <c r="B348" s="181" t="s">
        <v>226</v>
      </c>
      <c r="C348" s="181" t="s">
        <v>806</v>
      </c>
      <c r="D348" s="1179" t="s">
        <v>807</v>
      </c>
      <c r="E348" s="181">
        <v>20000000</v>
      </c>
      <c r="F348" s="181">
        <v>20000000</v>
      </c>
      <c r="G348" s="181">
        <v>0</v>
      </c>
      <c r="H348" s="181">
        <v>0</v>
      </c>
      <c r="I348" s="181">
        <v>0</v>
      </c>
      <c r="J348" s="181">
        <v>0</v>
      </c>
      <c r="K348" s="181">
        <v>0</v>
      </c>
      <c r="L348" s="181">
        <v>20000000</v>
      </c>
      <c r="M348" s="181">
        <v>0</v>
      </c>
      <c r="N348" s="181">
        <v>0</v>
      </c>
      <c r="O348" s="181">
        <v>0</v>
      </c>
      <c r="P348" s="181">
        <v>0</v>
      </c>
      <c r="Q348" s="181">
        <v>0</v>
      </c>
      <c r="R348" s="181">
        <v>0</v>
      </c>
      <c r="S348" s="181">
        <v>27241060</v>
      </c>
      <c r="T348" s="181">
        <v>0</v>
      </c>
      <c r="U348" s="181">
        <v>27241060</v>
      </c>
      <c r="V348" s="181">
        <v>0</v>
      </c>
      <c r="W348" s="181">
        <v>0</v>
      </c>
      <c r="X348" s="181">
        <v>0</v>
      </c>
      <c r="Y348" s="181">
        <v>0</v>
      </c>
      <c r="Z348" s="181">
        <v>0</v>
      </c>
      <c r="AA348" s="181">
        <v>0</v>
      </c>
      <c r="AB348" s="181">
        <v>27241060</v>
      </c>
      <c r="AC348" s="181">
        <v>0</v>
      </c>
      <c r="AD348" s="1180">
        <v>27241060</v>
      </c>
      <c r="AE348" s="1180">
        <v>27241060</v>
      </c>
      <c r="AF348" s="181">
        <v>20430795</v>
      </c>
      <c r="AG348" s="181">
        <v>20430795</v>
      </c>
      <c r="AH348" s="181">
        <v>6810265</v>
      </c>
      <c r="AI348" s="181">
        <v>6810265</v>
      </c>
      <c r="AJ348" s="181">
        <v>0</v>
      </c>
      <c r="AK348" s="181">
        <v>6810265</v>
      </c>
      <c r="AL348" s="181">
        <v>0</v>
      </c>
      <c r="AM348" s="181">
        <v>0</v>
      </c>
      <c r="AN348" s="181" t="s">
        <v>1709</v>
      </c>
      <c r="AS348" s="181"/>
    </row>
    <row r="349" spans="1:45" x14ac:dyDescent="0.25">
      <c r="A349" s="181">
        <v>318</v>
      </c>
      <c r="B349" s="181">
        <v>154</v>
      </c>
      <c r="C349" s="181" t="s">
        <v>808</v>
      </c>
      <c r="D349" s="1179" t="s">
        <v>809</v>
      </c>
      <c r="E349" s="181">
        <v>13600000</v>
      </c>
      <c r="F349" s="181">
        <v>13600000</v>
      </c>
      <c r="G349" s="181">
        <v>0</v>
      </c>
      <c r="H349" s="181">
        <v>0</v>
      </c>
      <c r="I349" s="181">
        <v>0</v>
      </c>
      <c r="J349" s="181">
        <v>0</v>
      </c>
      <c r="K349" s="181">
        <v>0</v>
      </c>
      <c r="L349" s="181">
        <v>13600000</v>
      </c>
      <c r="M349" s="181">
        <v>0</v>
      </c>
      <c r="N349" s="181">
        <v>0</v>
      </c>
      <c r="O349" s="181">
        <v>0</v>
      </c>
      <c r="P349" s="181">
        <v>0</v>
      </c>
      <c r="Q349" s="181">
        <v>0</v>
      </c>
      <c r="R349" s="181">
        <v>0</v>
      </c>
      <c r="S349" s="181">
        <v>18523921</v>
      </c>
      <c r="T349" s="181">
        <v>0</v>
      </c>
      <c r="U349" s="181">
        <v>18523921</v>
      </c>
      <c r="V349" s="181">
        <v>0</v>
      </c>
      <c r="W349" s="181">
        <v>0</v>
      </c>
      <c r="X349" s="181">
        <v>0</v>
      </c>
      <c r="Y349" s="181">
        <v>0</v>
      </c>
      <c r="Z349" s="181">
        <v>0</v>
      </c>
      <c r="AA349" s="181">
        <v>0</v>
      </c>
      <c r="AB349" s="181">
        <v>18523921</v>
      </c>
      <c r="AC349" s="181">
        <v>0</v>
      </c>
      <c r="AD349" s="1180">
        <v>18523921</v>
      </c>
      <c r="AE349" s="1183">
        <v>18523921</v>
      </c>
      <c r="AF349" s="181">
        <v>18523921</v>
      </c>
      <c r="AG349" s="181">
        <v>18523921</v>
      </c>
      <c r="AH349" s="181">
        <v>0</v>
      </c>
      <c r="AI349" s="181">
        <v>0</v>
      </c>
      <c r="AJ349" s="181">
        <v>0</v>
      </c>
      <c r="AK349" s="181">
        <v>0</v>
      </c>
      <c r="AL349" s="181">
        <v>0</v>
      </c>
      <c r="AM349" s="181">
        <v>0</v>
      </c>
      <c r="AN349" s="181" t="s">
        <v>74</v>
      </c>
    </row>
    <row r="350" spans="1:45" ht="30" x14ac:dyDescent="0.25">
      <c r="A350" s="181">
        <v>318</v>
      </c>
      <c r="B350" s="181">
        <v>72</v>
      </c>
      <c r="C350" s="181" t="s">
        <v>810</v>
      </c>
      <c r="D350" s="1179" t="s">
        <v>811</v>
      </c>
      <c r="E350" s="181">
        <v>5000000</v>
      </c>
      <c r="F350" s="181">
        <v>5000000</v>
      </c>
      <c r="G350" s="181">
        <v>0</v>
      </c>
      <c r="H350" s="181">
        <v>0</v>
      </c>
      <c r="I350" s="181">
        <v>0</v>
      </c>
      <c r="J350" s="181">
        <v>0</v>
      </c>
      <c r="K350" s="181">
        <v>0</v>
      </c>
      <c r="L350" s="181">
        <v>5000000</v>
      </c>
      <c r="M350" s="181">
        <v>0</v>
      </c>
      <c r="N350" s="181">
        <v>0</v>
      </c>
      <c r="O350" s="181">
        <v>0</v>
      </c>
      <c r="P350" s="181">
        <v>0</v>
      </c>
      <c r="Q350" s="181">
        <v>0</v>
      </c>
      <c r="R350" s="181">
        <v>0</v>
      </c>
      <c r="S350" s="181">
        <v>6810265</v>
      </c>
      <c r="T350" s="181">
        <v>0</v>
      </c>
      <c r="U350" s="181">
        <v>6810265</v>
      </c>
      <c r="V350" s="181">
        <v>0</v>
      </c>
      <c r="W350" s="181">
        <v>0</v>
      </c>
      <c r="X350" s="181">
        <v>0</v>
      </c>
      <c r="Y350" s="181">
        <v>0</v>
      </c>
      <c r="Z350" s="181">
        <v>0</v>
      </c>
      <c r="AA350" s="181">
        <v>0</v>
      </c>
      <c r="AB350" s="181">
        <v>6810265</v>
      </c>
      <c r="AC350" s="181">
        <v>0</v>
      </c>
      <c r="AD350" s="1180">
        <v>6810265</v>
      </c>
      <c r="AE350" s="1183">
        <v>6810265</v>
      </c>
      <c r="AF350" s="181">
        <v>0</v>
      </c>
      <c r="AG350" s="181">
        <v>0</v>
      </c>
      <c r="AH350" s="181">
        <v>6810265</v>
      </c>
      <c r="AI350" s="181">
        <v>6810265</v>
      </c>
      <c r="AJ350" s="181">
        <v>0</v>
      </c>
      <c r="AK350" s="181">
        <v>6810265</v>
      </c>
      <c r="AL350" s="181">
        <v>0</v>
      </c>
      <c r="AM350" s="181">
        <v>0</v>
      </c>
      <c r="AN350" s="181" t="s">
        <v>187</v>
      </c>
    </row>
    <row r="351" spans="1:45" ht="30" x14ac:dyDescent="0.25">
      <c r="A351" s="181">
        <v>318</v>
      </c>
      <c r="B351" s="181">
        <v>181</v>
      </c>
      <c r="C351" s="181" t="s">
        <v>812</v>
      </c>
      <c r="D351" s="1179" t="s">
        <v>813</v>
      </c>
      <c r="E351" s="181">
        <v>1400000</v>
      </c>
      <c r="F351" s="181">
        <v>1400000</v>
      </c>
      <c r="G351" s="181">
        <v>0</v>
      </c>
      <c r="H351" s="181">
        <v>0</v>
      </c>
      <c r="I351" s="181">
        <v>0</v>
      </c>
      <c r="J351" s="181">
        <v>0</v>
      </c>
      <c r="K351" s="181">
        <v>0</v>
      </c>
      <c r="L351" s="181">
        <v>1400000</v>
      </c>
      <c r="M351" s="181">
        <v>0</v>
      </c>
      <c r="N351" s="181">
        <v>0</v>
      </c>
      <c r="O351" s="181">
        <v>0</v>
      </c>
      <c r="P351" s="181">
        <v>0</v>
      </c>
      <c r="Q351" s="181">
        <v>0</v>
      </c>
      <c r="R351" s="181">
        <v>0</v>
      </c>
      <c r="S351" s="181">
        <v>1906874</v>
      </c>
      <c r="T351" s="181">
        <v>0</v>
      </c>
      <c r="U351" s="181">
        <v>1906874</v>
      </c>
      <c r="V351" s="181">
        <v>0</v>
      </c>
      <c r="W351" s="181">
        <v>0</v>
      </c>
      <c r="X351" s="181">
        <v>0</v>
      </c>
      <c r="Y351" s="181">
        <v>0</v>
      </c>
      <c r="Z351" s="181">
        <v>0</v>
      </c>
      <c r="AA351" s="181">
        <v>0</v>
      </c>
      <c r="AB351" s="181">
        <v>1906874</v>
      </c>
      <c r="AC351" s="181">
        <v>0</v>
      </c>
      <c r="AD351" s="1180">
        <v>1906874</v>
      </c>
      <c r="AE351" s="1183">
        <v>1906874</v>
      </c>
      <c r="AF351" s="181">
        <v>1906874</v>
      </c>
      <c r="AG351" s="181">
        <v>1906874</v>
      </c>
      <c r="AH351" s="181">
        <v>0</v>
      </c>
      <c r="AI351" s="181">
        <v>0</v>
      </c>
      <c r="AJ351" s="181">
        <v>0</v>
      </c>
      <c r="AK351" s="181">
        <v>0</v>
      </c>
      <c r="AL351" s="181">
        <v>0</v>
      </c>
      <c r="AM351" s="181">
        <v>0</v>
      </c>
      <c r="AN351" s="181" t="s">
        <v>102</v>
      </c>
    </row>
    <row r="352" spans="1:45" ht="45" hidden="1" x14ac:dyDescent="0.25">
      <c r="A352" s="181">
        <v>318</v>
      </c>
      <c r="B352" s="181" t="s">
        <v>226</v>
      </c>
      <c r="C352" s="181" t="s">
        <v>814</v>
      </c>
      <c r="D352" s="1179" t="s">
        <v>815</v>
      </c>
      <c r="E352" s="181">
        <v>919337675.97000003</v>
      </c>
      <c r="F352" s="181">
        <v>919337675.97000003</v>
      </c>
      <c r="G352" s="181">
        <v>10443148.060000001</v>
      </c>
      <c r="H352" s="181">
        <v>0</v>
      </c>
      <c r="I352" s="181">
        <v>10443148.060000001</v>
      </c>
      <c r="J352" s="181">
        <v>10443148.060000001</v>
      </c>
      <c r="K352" s="181">
        <v>0</v>
      </c>
      <c r="L352" s="181">
        <v>929780824.02999997</v>
      </c>
      <c r="M352" s="181">
        <v>0</v>
      </c>
      <c r="N352" s="181">
        <v>0</v>
      </c>
      <c r="O352" s="181">
        <v>0</v>
      </c>
      <c r="P352" s="181">
        <v>0</v>
      </c>
      <c r="Q352" s="181">
        <v>0</v>
      </c>
      <c r="R352" s="181">
        <v>0</v>
      </c>
      <c r="S352" s="181">
        <v>780933574</v>
      </c>
      <c r="T352" s="181">
        <v>0</v>
      </c>
      <c r="U352" s="181">
        <v>780933574</v>
      </c>
      <c r="V352" s="181">
        <v>0</v>
      </c>
      <c r="W352" s="181">
        <v>0</v>
      </c>
      <c r="X352" s="181">
        <v>0</v>
      </c>
      <c r="Y352" s="181">
        <v>0</v>
      </c>
      <c r="Z352" s="181">
        <v>0</v>
      </c>
      <c r="AA352" s="181">
        <v>0</v>
      </c>
      <c r="AB352" s="181">
        <v>780933574</v>
      </c>
      <c r="AC352" s="181">
        <v>0</v>
      </c>
      <c r="AD352" s="1180">
        <v>780933574</v>
      </c>
      <c r="AE352" s="1180">
        <v>780933574</v>
      </c>
      <c r="AF352" s="181">
        <v>585700180</v>
      </c>
      <c r="AG352" s="181">
        <v>585700180</v>
      </c>
      <c r="AH352" s="181">
        <v>195233394</v>
      </c>
      <c r="AI352" s="181">
        <v>195233394</v>
      </c>
      <c r="AJ352" s="181">
        <v>0</v>
      </c>
      <c r="AK352" s="181">
        <v>195233394</v>
      </c>
      <c r="AL352" s="181">
        <v>0</v>
      </c>
      <c r="AM352" s="181">
        <v>0</v>
      </c>
      <c r="AN352" s="181" t="s">
        <v>1709</v>
      </c>
      <c r="AS352" s="181"/>
    </row>
    <row r="353" spans="1:45" ht="30" x14ac:dyDescent="0.25">
      <c r="A353" s="181">
        <v>318</v>
      </c>
      <c r="B353" s="181">
        <v>154</v>
      </c>
      <c r="C353" s="181" t="s">
        <v>816</v>
      </c>
      <c r="D353" s="1179" t="s">
        <v>817</v>
      </c>
      <c r="E353" s="181">
        <v>514829098.56</v>
      </c>
      <c r="F353" s="181">
        <v>514829098.56</v>
      </c>
      <c r="G353" s="181">
        <v>0</v>
      </c>
      <c r="H353" s="181">
        <v>0</v>
      </c>
      <c r="I353" s="181">
        <v>0</v>
      </c>
      <c r="J353" s="181">
        <v>0</v>
      </c>
      <c r="K353" s="181">
        <v>0</v>
      </c>
      <c r="L353" s="181">
        <v>514829098.56</v>
      </c>
      <c r="M353" s="181">
        <v>0</v>
      </c>
      <c r="N353" s="181">
        <v>0</v>
      </c>
      <c r="O353" s="181">
        <v>0</v>
      </c>
      <c r="P353" s="181">
        <v>0</v>
      </c>
      <c r="Q353" s="181">
        <v>0</v>
      </c>
      <c r="R353" s="181">
        <v>0</v>
      </c>
      <c r="S353" s="181">
        <v>227792839</v>
      </c>
      <c r="T353" s="181">
        <v>0</v>
      </c>
      <c r="U353" s="181">
        <v>227792839</v>
      </c>
      <c r="V353" s="181">
        <v>0</v>
      </c>
      <c r="W353" s="181">
        <v>0</v>
      </c>
      <c r="X353" s="181">
        <v>0</v>
      </c>
      <c r="Y353" s="181">
        <v>0</v>
      </c>
      <c r="Z353" s="181">
        <v>0</v>
      </c>
      <c r="AA353" s="181">
        <v>0</v>
      </c>
      <c r="AB353" s="181">
        <v>227792839</v>
      </c>
      <c r="AC353" s="181">
        <v>0</v>
      </c>
      <c r="AD353" s="1180">
        <v>227792839</v>
      </c>
      <c r="AE353" s="1183">
        <v>227792839</v>
      </c>
      <c r="AF353" s="181">
        <v>227792839</v>
      </c>
      <c r="AG353" s="181">
        <v>227792839</v>
      </c>
      <c r="AH353" s="181">
        <v>0</v>
      </c>
      <c r="AI353" s="181">
        <v>0</v>
      </c>
      <c r="AJ353" s="181">
        <v>0</v>
      </c>
      <c r="AK353" s="181">
        <v>0</v>
      </c>
      <c r="AL353" s="181">
        <v>0</v>
      </c>
      <c r="AM353" s="181">
        <v>0</v>
      </c>
      <c r="AN353" s="181" t="s">
        <v>74</v>
      </c>
    </row>
    <row r="354" spans="1:45" x14ac:dyDescent="0.25">
      <c r="A354" s="181">
        <v>318</v>
      </c>
      <c r="B354" s="181">
        <v>154</v>
      </c>
      <c r="C354" s="181" t="s">
        <v>818</v>
      </c>
      <c r="D354" s="1179" t="s">
        <v>819</v>
      </c>
      <c r="E354" s="181">
        <v>110320521.12</v>
      </c>
      <c r="F354" s="181">
        <v>110320521.12</v>
      </c>
      <c r="G354" s="181">
        <v>10443148.060000001</v>
      </c>
      <c r="H354" s="181">
        <v>0</v>
      </c>
      <c r="I354" s="181">
        <v>10443148.060000001</v>
      </c>
      <c r="J354" s="181">
        <v>10443148.060000001</v>
      </c>
      <c r="K354" s="181">
        <v>0</v>
      </c>
      <c r="L354" s="181">
        <v>120763669.18000001</v>
      </c>
      <c r="M354" s="181">
        <v>0</v>
      </c>
      <c r="N354" s="181">
        <v>0</v>
      </c>
      <c r="O354" s="181">
        <v>0</v>
      </c>
      <c r="P354" s="181">
        <v>0</v>
      </c>
      <c r="Q354" s="181">
        <v>0</v>
      </c>
      <c r="R354" s="181">
        <v>0</v>
      </c>
      <c r="S354" s="181">
        <v>332054145</v>
      </c>
      <c r="T354" s="181">
        <v>0</v>
      </c>
      <c r="U354" s="181">
        <v>332054145</v>
      </c>
      <c r="V354" s="181">
        <v>0</v>
      </c>
      <c r="W354" s="181">
        <v>0</v>
      </c>
      <c r="X354" s="181">
        <v>0</v>
      </c>
      <c r="Y354" s="181">
        <v>0</v>
      </c>
      <c r="Z354" s="181">
        <v>0</v>
      </c>
      <c r="AA354" s="181">
        <v>0</v>
      </c>
      <c r="AB354" s="181">
        <v>332054145</v>
      </c>
      <c r="AC354" s="181">
        <v>0</v>
      </c>
      <c r="AD354" s="1180">
        <v>332054145</v>
      </c>
      <c r="AE354" s="1183">
        <v>332054145</v>
      </c>
      <c r="AF354" s="181">
        <v>332054145</v>
      </c>
      <c r="AG354" s="181">
        <v>332054145</v>
      </c>
      <c r="AH354" s="181">
        <v>0</v>
      </c>
      <c r="AI354" s="181">
        <v>0</v>
      </c>
      <c r="AJ354" s="181">
        <v>0</v>
      </c>
      <c r="AK354" s="181">
        <v>0</v>
      </c>
      <c r="AL354" s="181">
        <v>0</v>
      </c>
      <c r="AM354" s="181">
        <v>0</v>
      </c>
      <c r="AN354" s="181" t="s">
        <v>74</v>
      </c>
    </row>
    <row r="355" spans="1:45" ht="30" x14ac:dyDescent="0.25">
      <c r="A355" s="181">
        <v>318</v>
      </c>
      <c r="B355" s="181">
        <v>72</v>
      </c>
      <c r="C355" s="181" t="s">
        <v>820</v>
      </c>
      <c r="D355" s="1179" t="s">
        <v>821</v>
      </c>
      <c r="E355" s="181">
        <v>193060911.93000001</v>
      </c>
      <c r="F355" s="181">
        <v>193060911.93000001</v>
      </c>
      <c r="G355" s="181">
        <v>0</v>
      </c>
      <c r="H355" s="181">
        <v>0</v>
      </c>
      <c r="I355" s="181">
        <v>0</v>
      </c>
      <c r="J355" s="181">
        <v>0</v>
      </c>
      <c r="K355" s="181">
        <v>0</v>
      </c>
      <c r="L355" s="181">
        <v>193060911.93000001</v>
      </c>
      <c r="M355" s="181">
        <v>0</v>
      </c>
      <c r="N355" s="181">
        <v>0</v>
      </c>
      <c r="O355" s="181">
        <v>0</v>
      </c>
      <c r="P355" s="181">
        <v>0</v>
      </c>
      <c r="Q355" s="181">
        <v>0</v>
      </c>
      <c r="R355" s="181">
        <v>0</v>
      </c>
      <c r="S355" s="181">
        <v>79674715</v>
      </c>
      <c r="T355" s="181">
        <v>0</v>
      </c>
      <c r="U355" s="181">
        <v>79674715</v>
      </c>
      <c r="V355" s="181">
        <v>0</v>
      </c>
      <c r="W355" s="181">
        <v>0</v>
      </c>
      <c r="X355" s="181">
        <v>0</v>
      </c>
      <c r="Y355" s="181">
        <v>0</v>
      </c>
      <c r="Z355" s="181">
        <v>0</v>
      </c>
      <c r="AA355" s="181">
        <v>0</v>
      </c>
      <c r="AB355" s="181">
        <v>79674715</v>
      </c>
      <c r="AC355" s="181">
        <v>0</v>
      </c>
      <c r="AD355" s="1180">
        <v>79674715</v>
      </c>
      <c r="AE355" s="1183">
        <v>79674715</v>
      </c>
      <c r="AF355" s="181">
        <v>0</v>
      </c>
      <c r="AG355" s="181">
        <v>0</v>
      </c>
      <c r="AH355" s="181">
        <v>79674715</v>
      </c>
      <c r="AI355" s="181">
        <v>79674715</v>
      </c>
      <c r="AJ355" s="181">
        <v>0</v>
      </c>
      <c r="AK355" s="181">
        <v>79674715</v>
      </c>
      <c r="AL355" s="181">
        <v>0</v>
      </c>
      <c r="AM355" s="181">
        <v>0</v>
      </c>
      <c r="AN355" s="181" t="s">
        <v>187</v>
      </c>
    </row>
    <row r="356" spans="1:45" x14ac:dyDescent="0.25">
      <c r="A356" s="181">
        <v>318</v>
      </c>
      <c r="B356" s="181">
        <v>72</v>
      </c>
      <c r="C356" s="181" t="s">
        <v>822</v>
      </c>
      <c r="D356" s="1179" t="s">
        <v>823</v>
      </c>
      <c r="E356" s="181">
        <v>36773507.039999999</v>
      </c>
      <c r="F356" s="181">
        <v>36773507.039999999</v>
      </c>
      <c r="G356" s="181">
        <v>0</v>
      </c>
      <c r="H356" s="181">
        <v>0</v>
      </c>
      <c r="I356" s="181">
        <v>0</v>
      </c>
      <c r="J356" s="181">
        <v>0</v>
      </c>
      <c r="K356" s="181">
        <v>0</v>
      </c>
      <c r="L356" s="181">
        <v>36773507.039999999</v>
      </c>
      <c r="M356" s="181">
        <v>0</v>
      </c>
      <c r="N356" s="181">
        <v>0</v>
      </c>
      <c r="O356" s="181">
        <v>0</v>
      </c>
      <c r="P356" s="181">
        <v>0</v>
      </c>
      <c r="Q356" s="181">
        <v>0</v>
      </c>
      <c r="R356" s="181">
        <v>0</v>
      </c>
      <c r="S356" s="181">
        <v>115558679</v>
      </c>
      <c r="T356" s="181">
        <v>0</v>
      </c>
      <c r="U356" s="181">
        <v>115558679</v>
      </c>
      <c r="V356" s="181">
        <v>0</v>
      </c>
      <c r="W356" s="181">
        <v>0</v>
      </c>
      <c r="X356" s="181">
        <v>0</v>
      </c>
      <c r="Y356" s="181">
        <v>0</v>
      </c>
      <c r="Z356" s="181">
        <v>0</v>
      </c>
      <c r="AA356" s="181">
        <v>0</v>
      </c>
      <c r="AB356" s="181">
        <v>115558679</v>
      </c>
      <c r="AC356" s="181">
        <v>0</v>
      </c>
      <c r="AD356" s="1180">
        <v>115558679</v>
      </c>
      <c r="AE356" s="1183">
        <v>115558679</v>
      </c>
      <c r="AF356" s="181">
        <v>0</v>
      </c>
      <c r="AG356" s="181">
        <v>0</v>
      </c>
      <c r="AH356" s="181">
        <v>115558679</v>
      </c>
      <c r="AI356" s="181">
        <v>115558679</v>
      </c>
      <c r="AJ356" s="181">
        <v>0</v>
      </c>
      <c r="AK356" s="181">
        <v>115558679</v>
      </c>
      <c r="AL356" s="181">
        <v>0</v>
      </c>
      <c r="AM356" s="181">
        <v>0</v>
      </c>
      <c r="AN356" s="181" t="s">
        <v>187</v>
      </c>
    </row>
    <row r="357" spans="1:45" ht="30" x14ac:dyDescent="0.25">
      <c r="A357" s="181">
        <v>318</v>
      </c>
      <c r="B357" s="181">
        <v>181</v>
      </c>
      <c r="C357" s="181" t="s">
        <v>824</v>
      </c>
      <c r="D357" s="1179" t="s">
        <v>825</v>
      </c>
      <c r="E357" s="181">
        <v>55160260.560000002</v>
      </c>
      <c r="F357" s="181">
        <v>55160260.560000002</v>
      </c>
      <c r="G357" s="181">
        <v>0</v>
      </c>
      <c r="H357" s="181">
        <v>0</v>
      </c>
      <c r="I357" s="181">
        <v>0</v>
      </c>
      <c r="J357" s="181">
        <v>0</v>
      </c>
      <c r="K357" s="181">
        <v>0</v>
      </c>
      <c r="L357" s="181">
        <v>55160260.560000002</v>
      </c>
      <c r="M357" s="181">
        <v>0</v>
      </c>
      <c r="N357" s="181">
        <v>0</v>
      </c>
      <c r="O357" s="181">
        <v>0</v>
      </c>
      <c r="P357" s="181">
        <v>0</v>
      </c>
      <c r="Q357" s="181">
        <v>0</v>
      </c>
      <c r="R357" s="181">
        <v>0</v>
      </c>
      <c r="S357" s="181">
        <v>11231305</v>
      </c>
      <c r="T357" s="181">
        <v>0</v>
      </c>
      <c r="U357" s="181">
        <v>11231305</v>
      </c>
      <c r="V357" s="181">
        <v>0</v>
      </c>
      <c r="W357" s="181">
        <v>0</v>
      </c>
      <c r="X357" s="181">
        <v>0</v>
      </c>
      <c r="Y357" s="181">
        <v>0</v>
      </c>
      <c r="Z357" s="181">
        <v>0</v>
      </c>
      <c r="AA357" s="181">
        <v>0</v>
      </c>
      <c r="AB357" s="181">
        <v>11231305</v>
      </c>
      <c r="AC357" s="181">
        <v>0</v>
      </c>
      <c r="AD357" s="1180">
        <v>11231305</v>
      </c>
      <c r="AE357" s="1183">
        <v>11231305</v>
      </c>
      <c r="AF357" s="181">
        <v>11231305</v>
      </c>
      <c r="AG357" s="181">
        <v>11231305</v>
      </c>
      <c r="AH357" s="181">
        <v>0</v>
      </c>
      <c r="AI357" s="181">
        <v>0</v>
      </c>
      <c r="AJ357" s="181">
        <v>0</v>
      </c>
      <c r="AK357" s="181">
        <v>0</v>
      </c>
      <c r="AL357" s="181">
        <v>0</v>
      </c>
      <c r="AM357" s="181">
        <v>0</v>
      </c>
      <c r="AN357" s="181" t="s">
        <v>102</v>
      </c>
    </row>
    <row r="358" spans="1:45" ht="30" x14ac:dyDescent="0.25">
      <c r="A358" s="181">
        <v>318</v>
      </c>
      <c r="B358" s="181">
        <v>181</v>
      </c>
      <c r="C358" s="181" t="s">
        <v>826</v>
      </c>
      <c r="D358" s="1179" t="s">
        <v>827</v>
      </c>
      <c r="E358" s="181">
        <v>9193376.7599999998</v>
      </c>
      <c r="F358" s="181">
        <v>9193376.7599999998</v>
      </c>
      <c r="G358" s="181">
        <v>0</v>
      </c>
      <c r="H358" s="181">
        <v>0</v>
      </c>
      <c r="I358" s="181">
        <v>0</v>
      </c>
      <c r="J358" s="181">
        <v>0</v>
      </c>
      <c r="K358" s="181">
        <v>0</v>
      </c>
      <c r="L358" s="181">
        <v>9193376.7599999998</v>
      </c>
      <c r="M358" s="181">
        <v>0</v>
      </c>
      <c r="N358" s="181">
        <v>0</v>
      </c>
      <c r="O358" s="181">
        <v>0</v>
      </c>
      <c r="P358" s="181">
        <v>0</v>
      </c>
      <c r="Q358" s="181">
        <v>0</v>
      </c>
      <c r="R358" s="181">
        <v>0</v>
      </c>
      <c r="S358" s="181">
        <v>14621891</v>
      </c>
      <c r="T358" s="181">
        <v>0</v>
      </c>
      <c r="U358" s="181">
        <v>14621891</v>
      </c>
      <c r="V358" s="181">
        <v>0</v>
      </c>
      <c r="W358" s="181">
        <v>0</v>
      </c>
      <c r="X358" s="181">
        <v>0</v>
      </c>
      <c r="Y358" s="181">
        <v>0</v>
      </c>
      <c r="Z358" s="181">
        <v>0</v>
      </c>
      <c r="AA358" s="181">
        <v>0</v>
      </c>
      <c r="AB358" s="181">
        <v>14621891</v>
      </c>
      <c r="AC358" s="181">
        <v>0</v>
      </c>
      <c r="AD358" s="1180">
        <v>14621891</v>
      </c>
      <c r="AE358" s="1183">
        <v>14621891</v>
      </c>
      <c r="AF358" s="181">
        <v>14621891</v>
      </c>
      <c r="AG358" s="181">
        <v>14621891</v>
      </c>
      <c r="AH358" s="181">
        <v>0</v>
      </c>
      <c r="AI358" s="181">
        <v>0</v>
      </c>
      <c r="AJ358" s="181">
        <v>0</v>
      </c>
      <c r="AK358" s="181">
        <v>0</v>
      </c>
      <c r="AL358" s="181">
        <v>0</v>
      </c>
      <c r="AM358" s="181">
        <v>0</v>
      </c>
      <c r="AN358" s="181" t="s">
        <v>102</v>
      </c>
    </row>
    <row r="359" spans="1:45" ht="60" hidden="1" x14ac:dyDescent="0.25">
      <c r="A359" s="181">
        <v>318</v>
      </c>
      <c r="B359" s="181" t="s">
        <v>226</v>
      </c>
      <c r="C359" s="181" t="s">
        <v>828</v>
      </c>
      <c r="D359" s="1179" t="s">
        <v>499</v>
      </c>
      <c r="E359" s="181">
        <v>7858326764.2399998</v>
      </c>
      <c r="F359" s="181">
        <v>7858326764.2399998</v>
      </c>
      <c r="G359" s="181">
        <v>1206912987.3099999</v>
      </c>
      <c r="H359" s="181">
        <v>0</v>
      </c>
      <c r="I359" s="181">
        <v>1206912987.3099999</v>
      </c>
      <c r="J359" s="181">
        <v>1206912987.3099999</v>
      </c>
      <c r="K359" s="181">
        <v>0</v>
      </c>
      <c r="L359" s="181">
        <v>9065239751.5499992</v>
      </c>
      <c r="M359" s="181">
        <v>0</v>
      </c>
      <c r="N359" s="181">
        <v>0</v>
      </c>
      <c r="O359" s="181">
        <v>0</v>
      </c>
      <c r="P359" s="181">
        <v>0</v>
      </c>
      <c r="Q359" s="181">
        <v>0</v>
      </c>
      <c r="R359" s="181">
        <v>0</v>
      </c>
      <c r="S359" s="181">
        <v>12656454993.969999</v>
      </c>
      <c r="T359" s="181">
        <v>541952758.47000003</v>
      </c>
      <c r="U359" s="181">
        <v>12114502235.5</v>
      </c>
      <c r="V359" s="181">
        <v>0</v>
      </c>
      <c r="W359" s="181">
        <v>0</v>
      </c>
      <c r="X359" s="181">
        <v>0</v>
      </c>
      <c r="Y359" s="181">
        <v>0</v>
      </c>
      <c r="Z359" s="181">
        <v>0</v>
      </c>
      <c r="AA359" s="181">
        <v>0</v>
      </c>
      <c r="AB359" s="181">
        <v>12656454993.969999</v>
      </c>
      <c r="AC359" s="181">
        <v>541952758.47000003</v>
      </c>
      <c r="AD359" s="1180">
        <v>12114502235.5</v>
      </c>
      <c r="AE359" s="1180">
        <v>12114502235.5</v>
      </c>
      <c r="AF359" s="181">
        <v>1468031974.6600001</v>
      </c>
      <c r="AG359" s="181">
        <v>1468031974.6600001</v>
      </c>
      <c r="AH359" s="181">
        <v>10646470260.84</v>
      </c>
      <c r="AI359" s="181">
        <v>10775745340.84</v>
      </c>
      <c r="AJ359" s="181">
        <v>129275080</v>
      </c>
      <c r="AK359" s="181">
        <v>10775745340.84</v>
      </c>
      <c r="AL359" s="181">
        <v>0</v>
      </c>
      <c r="AM359" s="181">
        <v>129275080</v>
      </c>
      <c r="AN359" s="181" t="s">
        <v>1709</v>
      </c>
      <c r="AS359" s="181"/>
    </row>
    <row r="360" spans="1:45" ht="60" hidden="1" x14ac:dyDescent="0.25">
      <c r="A360" s="181">
        <v>318</v>
      </c>
      <c r="B360" s="181" t="s">
        <v>226</v>
      </c>
      <c r="C360" s="181" t="s">
        <v>829</v>
      </c>
      <c r="D360" s="1179" t="s">
        <v>501</v>
      </c>
      <c r="E360" s="181">
        <v>7858326764.2399998</v>
      </c>
      <c r="F360" s="181">
        <v>7858326764.2399998</v>
      </c>
      <c r="G360" s="181">
        <v>1206912987.3099999</v>
      </c>
      <c r="H360" s="181">
        <v>0</v>
      </c>
      <c r="I360" s="181">
        <v>1206912987.3099999</v>
      </c>
      <c r="J360" s="181">
        <v>1206912987.3099999</v>
      </c>
      <c r="K360" s="181">
        <v>0</v>
      </c>
      <c r="L360" s="181">
        <v>9065239751.5499992</v>
      </c>
      <c r="M360" s="181">
        <v>0</v>
      </c>
      <c r="N360" s="181">
        <v>0</v>
      </c>
      <c r="O360" s="181">
        <v>0</v>
      </c>
      <c r="P360" s="181">
        <v>0</v>
      </c>
      <c r="Q360" s="181">
        <v>0</v>
      </c>
      <c r="R360" s="181">
        <v>0</v>
      </c>
      <c r="S360" s="181">
        <v>12649238143.969999</v>
      </c>
      <c r="T360" s="181">
        <v>541952758.47000003</v>
      </c>
      <c r="U360" s="181">
        <v>12107285385.5</v>
      </c>
      <c r="V360" s="181">
        <v>0</v>
      </c>
      <c r="W360" s="181">
        <v>0</v>
      </c>
      <c r="X360" s="181">
        <v>0</v>
      </c>
      <c r="Y360" s="181">
        <v>0</v>
      </c>
      <c r="Z360" s="181">
        <v>0</v>
      </c>
      <c r="AA360" s="181">
        <v>0</v>
      </c>
      <c r="AB360" s="181">
        <v>12649238143.969999</v>
      </c>
      <c r="AC360" s="181">
        <v>541952758.47000003</v>
      </c>
      <c r="AD360" s="1180">
        <v>12107285385.5</v>
      </c>
      <c r="AE360" s="1180">
        <v>12107285385.5</v>
      </c>
      <c r="AF360" s="181">
        <v>1468031974.6600001</v>
      </c>
      <c r="AG360" s="181">
        <v>1468031974.6600001</v>
      </c>
      <c r="AH360" s="181">
        <v>10639253410.84</v>
      </c>
      <c r="AI360" s="181">
        <v>10768528490.84</v>
      </c>
      <c r="AJ360" s="181">
        <v>129275080</v>
      </c>
      <c r="AK360" s="181">
        <v>10768528490.84</v>
      </c>
      <c r="AL360" s="181">
        <v>0</v>
      </c>
      <c r="AM360" s="181">
        <v>129275080</v>
      </c>
      <c r="AN360" s="181" t="s">
        <v>1709</v>
      </c>
      <c r="AS360" s="181"/>
    </row>
    <row r="361" spans="1:45" ht="45" hidden="1" x14ac:dyDescent="0.25">
      <c r="A361" s="181">
        <v>318</v>
      </c>
      <c r="B361" s="181" t="s">
        <v>226</v>
      </c>
      <c r="C361" s="181" t="s">
        <v>830</v>
      </c>
      <c r="D361" s="1179" t="s">
        <v>503</v>
      </c>
      <c r="E361" s="181">
        <v>314175904.06999999</v>
      </c>
      <c r="F361" s="181">
        <v>314175904.06999999</v>
      </c>
      <c r="G361" s="181">
        <v>10598024.220000001</v>
      </c>
      <c r="H361" s="181">
        <v>0</v>
      </c>
      <c r="I361" s="181">
        <v>10598024.220000001</v>
      </c>
      <c r="J361" s="181">
        <v>10598024.220000001</v>
      </c>
      <c r="K361" s="181">
        <v>0</v>
      </c>
      <c r="L361" s="181">
        <v>324773928.29000002</v>
      </c>
      <c r="M361" s="181">
        <v>0</v>
      </c>
      <c r="N361" s="181">
        <v>0</v>
      </c>
      <c r="O361" s="181">
        <v>0</v>
      </c>
      <c r="P361" s="181">
        <v>0</v>
      </c>
      <c r="Q361" s="181">
        <v>0</v>
      </c>
      <c r="R361" s="181">
        <v>0</v>
      </c>
      <c r="S361" s="181">
        <v>792775628</v>
      </c>
      <c r="T361" s="181">
        <v>337133983.87</v>
      </c>
      <c r="U361" s="181">
        <v>455641644.13</v>
      </c>
      <c r="V361" s="181">
        <v>0</v>
      </c>
      <c r="W361" s="181">
        <v>0</v>
      </c>
      <c r="X361" s="181">
        <v>0</v>
      </c>
      <c r="Y361" s="181">
        <v>0</v>
      </c>
      <c r="Z361" s="181">
        <v>0</v>
      </c>
      <c r="AA361" s="181">
        <v>0</v>
      </c>
      <c r="AB361" s="181">
        <v>792775628</v>
      </c>
      <c r="AC361" s="181">
        <v>337133983.87</v>
      </c>
      <c r="AD361" s="1180">
        <v>455641644.13</v>
      </c>
      <c r="AE361" s="1180">
        <v>455641644.13</v>
      </c>
      <c r="AF361" s="181">
        <v>-8020508.8700000001</v>
      </c>
      <c r="AG361" s="181">
        <v>-8020508.8700000001</v>
      </c>
      <c r="AH361" s="181">
        <v>463662153</v>
      </c>
      <c r="AI361" s="181">
        <v>463664743</v>
      </c>
      <c r="AJ361" s="181">
        <v>2590</v>
      </c>
      <c r="AK361" s="181">
        <v>463664743</v>
      </c>
      <c r="AL361" s="181">
        <v>0</v>
      </c>
      <c r="AM361" s="181">
        <v>2590</v>
      </c>
      <c r="AN361" s="181" t="s">
        <v>1709</v>
      </c>
      <c r="AS361" s="181"/>
    </row>
    <row r="362" spans="1:45" ht="60" hidden="1" x14ac:dyDescent="0.25">
      <c r="A362" s="181">
        <v>318</v>
      </c>
      <c r="B362" s="181" t="s">
        <v>226</v>
      </c>
      <c r="C362" s="181" t="s">
        <v>831</v>
      </c>
      <c r="D362" s="1179" t="s">
        <v>505</v>
      </c>
      <c r="E362" s="181">
        <v>232490168.97999999</v>
      </c>
      <c r="F362" s="181">
        <v>232490168.97999999</v>
      </c>
      <c r="G362" s="181">
        <v>10598024.220000001</v>
      </c>
      <c r="H362" s="181">
        <v>0</v>
      </c>
      <c r="I362" s="181">
        <v>10598024.220000001</v>
      </c>
      <c r="J362" s="181">
        <v>10598024.220000001</v>
      </c>
      <c r="K362" s="181">
        <v>0</v>
      </c>
      <c r="L362" s="181">
        <v>243088193.19999999</v>
      </c>
      <c r="M362" s="181">
        <v>0</v>
      </c>
      <c r="N362" s="181">
        <v>0</v>
      </c>
      <c r="O362" s="181">
        <v>0</v>
      </c>
      <c r="P362" s="181">
        <v>0</v>
      </c>
      <c r="Q362" s="181">
        <v>0</v>
      </c>
      <c r="R362" s="181">
        <v>0</v>
      </c>
      <c r="S362" s="181">
        <v>405094390.5</v>
      </c>
      <c r="T362" s="181">
        <v>7707635.6600000001</v>
      </c>
      <c r="U362" s="181">
        <v>397386754.83999997</v>
      </c>
      <c r="V362" s="181">
        <v>0</v>
      </c>
      <c r="W362" s="181">
        <v>0</v>
      </c>
      <c r="X362" s="181">
        <v>0</v>
      </c>
      <c r="Y362" s="181">
        <v>0</v>
      </c>
      <c r="Z362" s="181">
        <v>0</v>
      </c>
      <c r="AA362" s="181">
        <v>0</v>
      </c>
      <c r="AB362" s="181">
        <v>405094390.5</v>
      </c>
      <c r="AC362" s="181">
        <v>7707635.6600000001</v>
      </c>
      <c r="AD362" s="1180">
        <v>397386754.83999997</v>
      </c>
      <c r="AE362" s="1180">
        <v>397386754.83999997</v>
      </c>
      <c r="AF362" s="181">
        <v>-7705693.1600000001</v>
      </c>
      <c r="AG362" s="181">
        <v>-7705693.1600000001</v>
      </c>
      <c r="AH362" s="181">
        <v>405092448</v>
      </c>
      <c r="AI362" s="181">
        <v>405094390.5</v>
      </c>
      <c r="AJ362" s="181">
        <v>1942.5</v>
      </c>
      <c r="AK362" s="181">
        <v>405094390.5</v>
      </c>
      <c r="AL362" s="181">
        <v>0</v>
      </c>
      <c r="AM362" s="181">
        <v>1942.5</v>
      </c>
      <c r="AN362" s="181" t="s">
        <v>1709</v>
      </c>
      <c r="AS362" s="181"/>
    </row>
    <row r="363" spans="1:45" ht="60" x14ac:dyDescent="0.25">
      <c r="A363" s="181">
        <v>318</v>
      </c>
      <c r="B363" s="181">
        <v>154</v>
      </c>
      <c r="C363" s="181" t="s">
        <v>1400</v>
      </c>
      <c r="D363" s="1179" t="s">
        <v>1241</v>
      </c>
      <c r="E363" s="181">
        <v>75402216.939999998</v>
      </c>
      <c r="F363" s="181">
        <v>75402216.939999998</v>
      </c>
      <c r="G363" s="181">
        <v>10598024.220000001</v>
      </c>
      <c r="H363" s="181">
        <v>0</v>
      </c>
      <c r="I363" s="181">
        <v>10598024.220000001</v>
      </c>
      <c r="J363" s="181">
        <v>10598024.220000001</v>
      </c>
      <c r="K363" s="181">
        <v>0</v>
      </c>
      <c r="L363" s="181">
        <v>86000241.159999996</v>
      </c>
      <c r="M363" s="181">
        <v>0</v>
      </c>
      <c r="N363" s="181">
        <v>0</v>
      </c>
      <c r="O363" s="181">
        <v>0</v>
      </c>
      <c r="P363" s="181">
        <v>0</v>
      </c>
      <c r="Q363" s="181">
        <v>0</v>
      </c>
      <c r="R363" s="181">
        <v>0</v>
      </c>
      <c r="S363" s="181">
        <v>173261371.5</v>
      </c>
      <c r="T363" s="181">
        <v>3695438.72</v>
      </c>
      <c r="U363" s="181">
        <v>169565932.78</v>
      </c>
      <c r="V363" s="181">
        <v>0</v>
      </c>
      <c r="W363" s="181">
        <v>0</v>
      </c>
      <c r="X363" s="181">
        <v>0</v>
      </c>
      <c r="Y363" s="181">
        <v>0</v>
      </c>
      <c r="Z363" s="181">
        <v>0</v>
      </c>
      <c r="AA363" s="181">
        <v>0</v>
      </c>
      <c r="AB363" s="181">
        <v>173261371.5</v>
      </c>
      <c r="AC363" s="181">
        <v>3695438.72</v>
      </c>
      <c r="AD363" s="1180">
        <v>169565932.78</v>
      </c>
      <c r="AE363" s="1183">
        <v>169565932.78</v>
      </c>
      <c r="AF363" s="181">
        <v>-3695438.72</v>
      </c>
      <c r="AG363" s="181">
        <v>-3695438.72</v>
      </c>
      <c r="AH363" s="181">
        <v>173261371.5</v>
      </c>
      <c r="AI363" s="181">
        <v>173261371.5</v>
      </c>
      <c r="AJ363" s="181">
        <v>0</v>
      </c>
      <c r="AK363" s="181">
        <v>173261371.5</v>
      </c>
      <c r="AL363" s="181">
        <v>0</v>
      </c>
      <c r="AM363" s="181">
        <v>0</v>
      </c>
      <c r="AN363" s="181" t="s">
        <v>74</v>
      </c>
    </row>
    <row r="364" spans="1:45" ht="60" x14ac:dyDescent="0.25">
      <c r="A364" s="181">
        <v>318</v>
      </c>
      <c r="B364" s="181">
        <v>58</v>
      </c>
      <c r="C364" s="181" t="s">
        <v>1401</v>
      </c>
      <c r="D364" s="1179" t="s">
        <v>1241</v>
      </c>
      <c r="E364" s="181">
        <v>37701108.469999999</v>
      </c>
      <c r="F364" s="181">
        <v>37701108.469999999</v>
      </c>
      <c r="G364" s="181">
        <v>0</v>
      </c>
      <c r="H364" s="181">
        <v>0</v>
      </c>
      <c r="I364" s="181">
        <v>0</v>
      </c>
      <c r="J364" s="181">
        <v>0</v>
      </c>
      <c r="K364" s="181">
        <v>0</v>
      </c>
      <c r="L364" s="181">
        <v>37701108.469999999</v>
      </c>
      <c r="M364" s="181">
        <v>0</v>
      </c>
      <c r="N364" s="181">
        <v>0</v>
      </c>
      <c r="O364" s="181">
        <v>0</v>
      </c>
      <c r="P364" s="181">
        <v>0</v>
      </c>
      <c r="Q364" s="181">
        <v>0</v>
      </c>
      <c r="R364" s="181">
        <v>0</v>
      </c>
      <c r="S364" s="181">
        <v>86630685.75</v>
      </c>
      <c r="T364" s="181">
        <v>1847719.36</v>
      </c>
      <c r="U364" s="181">
        <v>84782966.390000001</v>
      </c>
      <c r="V364" s="181">
        <v>0</v>
      </c>
      <c r="W364" s="181">
        <v>0</v>
      </c>
      <c r="X364" s="181">
        <v>0</v>
      </c>
      <c r="Y364" s="181">
        <v>0</v>
      </c>
      <c r="Z364" s="181">
        <v>0</v>
      </c>
      <c r="AA364" s="181">
        <v>0</v>
      </c>
      <c r="AB364" s="181">
        <v>86630685.75</v>
      </c>
      <c r="AC364" s="181">
        <v>1847719.36</v>
      </c>
      <c r="AD364" s="1180">
        <v>84782966.390000001</v>
      </c>
      <c r="AE364" s="1183">
        <v>84782966.390000001</v>
      </c>
      <c r="AF364" s="181">
        <v>-1847719.36</v>
      </c>
      <c r="AG364" s="181">
        <v>-1847719.36</v>
      </c>
      <c r="AH364" s="181">
        <v>86630685.75</v>
      </c>
      <c r="AI364" s="181">
        <v>86630685.75</v>
      </c>
      <c r="AJ364" s="181">
        <v>0</v>
      </c>
      <c r="AK364" s="181">
        <v>86630685.75</v>
      </c>
      <c r="AL364" s="181">
        <v>0</v>
      </c>
      <c r="AM364" s="181">
        <v>0</v>
      </c>
      <c r="AN364" s="181" t="s">
        <v>175</v>
      </c>
    </row>
    <row r="365" spans="1:45" ht="60" x14ac:dyDescent="0.25">
      <c r="A365" s="181">
        <v>318</v>
      </c>
      <c r="B365" s="181">
        <v>72</v>
      </c>
      <c r="C365" s="181" t="s">
        <v>1402</v>
      </c>
      <c r="D365" s="1179" t="s">
        <v>1241</v>
      </c>
      <c r="E365" s="181">
        <v>37701108.469999999</v>
      </c>
      <c r="F365" s="181">
        <v>37701108.469999999</v>
      </c>
      <c r="G365" s="181">
        <v>0</v>
      </c>
      <c r="H365" s="181">
        <v>0</v>
      </c>
      <c r="I365" s="181">
        <v>0</v>
      </c>
      <c r="J365" s="181">
        <v>0</v>
      </c>
      <c r="K365" s="181">
        <v>0</v>
      </c>
      <c r="L365" s="181">
        <v>37701108.469999999</v>
      </c>
      <c r="M365" s="181">
        <v>0</v>
      </c>
      <c r="N365" s="181">
        <v>0</v>
      </c>
      <c r="O365" s="181">
        <v>0</v>
      </c>
      <c r="P365" s="181">
        <v>0</v>
      </c>
      <c r="Q365" s="181">
        <v>0</v>
      </c>
      <c r="R365" s="181">
        <v>0</v>
      </c>
      <c r="S365" s="181">
        <v>86630685.75</v>
      </c>
      <c r="T365" s="181">
        <v>1847719.36</v>
      </c>
      <c r="U365" s="181">
        <v>84782966.390000001</v>
      </c>
      <c r="V365" s="181">
        <v>0</v>
      </c>
      <c r="W365" s="181">
        <v>0</v>
      </c>
      <c r="X365" s="181">
        <v>0</v>
      </c>
      <c r="Y365" s="181">
        <v>0</v>
      </c>
      <c r="Z365" s="181">
        <v>0</v>
      </c>
      <c r="AA365" s="181">
        <v>0</v>
      </c>
      <c r="AB365" s="181">
        <v>86630685.75</v>
      </c>
      <c r="AC365" s="181">
        <v>1847719.36</v>
      </c>
      <c r="AD365" s="1180">
        <v>84782966.390000001</v>
      </c>
      <c r="AE365" s="1183">
        <v>84782966.390000001</v>
      </c>
      <c r="AF365" s="181">
        <v>-1847719.36</v>
      </c>
      <c r="AG365" s="181">
        <v>-1847719.36</v>
      </c>
      <c r="AH365" s="181">
        <v>86630685.75</v>
      </c>
      <c r="AI365" s="181">
        <v>86630685.75</v>
      </c>
      <c r="AJ365" s="181">
        <v>0</v>
      </c>
      <c r="AK365" s="181">
        <v>86630685.75</v>
      </c>
      <c r="AL365" s="181">
        <v>0</v>
      </c>
      <c r="AM365" s="181">
        <v>0</v>
      </c>
      <c r="AN365" s="181" t="s">
        <v>187</v>
      </c>
    </row>
    <row r="366" spans="1:45" ht="60" hidden="1" x14ac:dyDescent="0.25">
      <c r="A366" s="181">
        <v>318</v>
      </c>
      <c r="B366" s="181">
        <v>154</v>
      </c>
      <c r="C366" s="181" t="s">
        <v>1403</v>
      </c>
      <c r="D366" s="1179" t="s">
        <v>1243</v>
      </c>
      <c r="E366" s="181">
        <v>0</v>
      </c>
      <c r="F366" s="181">
        <v>0</v>
      </c>
      <c r="G366" s="181">
        <v>0</v>
      </c>
      <c r="H366" s="181">
        <v>0</v>
      </c>
      <c r="I366" s="181">
        <v>0</v>
      </c>
      <c r="J366" s="181">
        <v>0</v>
      </c>
      <c r="K366" s="181">
        <v>0</v>
      </c>
      <c r="L366" s="181">
        <v>0</v>
      </c>
      <c r="M366" s="181">
        <v>0</v>
      </c>
      <c r="N366" s="181">
        <v>0</v>
      </c>
      <c r="O366" s="181">
        <v>0</v>
      </c>
      <c r="P366" s="181">
        <v>0</v>
      </c>
      <c r="Q366" s="181">
        <v>0</v>
      </c>
      <c r="R366" s="181">
        <v>0</v>
      </c>
      <c r="S366" s="181">
        <v>0</v>
      </c>
      <c r="T366" s="181">
        <v>0</v>
      </c>
      <c r="U366" s="181">
        <v>0</v>
      </c>
      <c r="V366" s="181">
        <v>0</v>
      </c>
      <c r="W366" s="181">
        <v>0</v>
      </c>
      <c r="X366" s="181">
        <v>0</v>
      </c>
      <c r="Y366" s="181">
        <v>0</v>
      </c>
      <c r="Z366" s="181">
        <v>0</v>
      </c>
      <c r="AA366" s="181">
        <v>0</v>
      </c>
      <c r="AB366" s="181">
        <v>0</v>
      </c>
      <c r="AC366" s="181">
        <v>0</v>
      </c>
      <c r="AD366" s="1180">
        <v>0</v>
      </c>
      <c r="AE366" s="1180">
        <v>0</v>
      </c>
      <c r="AF366" s="181">
        <v>0</v>
      </c>
      <c r="AG366" s="181">
        <v>0</v>
      </c>
      <c r="AH366" s="181">
        <v>0</v>
      </c>
      <c r="AI366" s="181">
        <v>0</v>
      </c>
      <c r="AJ366" s="181">
        <v>0</v>
      </c>
      <c r="AK366" s="181">
        <v>0</v>
      </c>
      <c r="AL366" s="181">
        <v>0</v>
      </c>
      <c r="AM366" s="181">
        <v>0</v>
      </c>
      <c r="AN366" s="181" t="s">
        <v>74</v>
      </c>
      <c r="AS366" s="181"/>
    </row>
    <row r="367" spans="1:45" ht="60" x14ac:dyDescent="0.25">
      <c r="A367" s="181">
        <v>318</v>
      </c>
      <c r="B367" s="181">
        <v>58</v>
      </c>
      <c r="C367" s="181" t="s">
        <v>1404</v>
      </c>
      <c r="D367" s="1179" t="s">
        <v>1243</v>
      </c>
      <c r="E367" s="181">
        <v>40842867.549999997</v>
      </c>
      <c r="F367" s="181">
        <v>40842867.549999997</v>
      </c>
      <c r="G367" s="181">
        <v>0</v>
      </c>
      <c r="H367" s="181">
        <v>0</v>
      </c>
      <c r="I367" s="181">
        <v>0</v>
      </c>
      <c r="J367" s="181">
        <v>0</v>
      </c>
      <c r="K367" s="181">
        <v>0</v>
      </c>
      <c r="L367" s="181">
        <v>40842867.549999997</v>
      </c>
      <c r="M367" s="181">
        <v>0</v>
      </c>
      <c r="N367" s="181">
        <v>0</v>
      </c>
      <c r="O367" s="181">
        <v>0</v>
      </c>
      <c r="P367" s="181">
        <v>0</v>
      </c>
      <c r="Q367" s="181">
        <v>0</v>
      </c>
      <c r="R367" s="181">
        <v>0</v>
      </c>
      <c r="S367" s="181">
        <v>29286147.5</v>
      </c>
      <c r="T367" s="181">
        <v>158702.85999999999</v>
      </c>
      <c r="U367" s="181">
        <v>29127444.640000001</v>
      </c>
      <c r="V367" s="181">
        <v>0</v>
      </c>
      <c r="W367" s="181">
        <v>0</v>
      </c>
      <c r="X367" s="181">
        <v>0</v>
      </c>
      <c r="Y367" s="181">
        <v>0</v>
      </c>
      <c r="Z367" s="181">
        <v>0</v>
      </c>
      <c r="AA367" s="181">
        <v>0</v>
      </c>
      <c r="AB367" s="181">
        <v>29286147.5</v>
      </c>
      <c r="AC367" s="181">
        <v>158702.85999999999</v>
      </c>
      <c r="AD367" s="1180">
        <v>29127444.640000001</v>
      </c>
      <c r="AE367" s="1183">
        <v>29127444.640000001</v>
      </c>
      <c r="AF367" s="181">
        <v>-157407.85999999999</v>
      </c>
      <c r="AG367" s="181">
        <v>-157407.85999999999</v>
      </c>
      <c r="AH367" s="181">
        <v>29284852.5</v>
      </c>
      <c r="AI367" s="181">
        <v>29286147.5</v>
      </c>
      <c r="AJ367" s="181">
        <v>1295</v>
      </c>
      <c r="AK367" s="181">
        <v>29286147.5</v>
      </c>
      <c r="AL367" s="181">
        <v>0</v>
      </c>
      <c r="AM367" s="181">
        <v>1295</v>
      </c>
      <c r="AN367" s="181" t="s">
        <v>175</v>
      </c>
    </row>
    <row r="368" spans="1:45" ht="60" x14ac:dyDescent="0.25">
      <c r="A368" s="181">
        <v>318</v>
      </c>
      <c r="B368" s="181">
        <v>72</v>
      </c>
      <c r="C368" s="181" t="s">
        <v>1405</v>
      </c>
      <c r="D368" s="1179" t="s">
        <v>1243</v>
      </c>
      <c r="E368" s="181">
        <v>40842867.549999997</v>
      </c>
      <c r="F368" s="181">
        <v>40842867.549999997</v>
      </c>
      <c r="G368" s="181">
        <v>0</v>
      </c>
      <c r="H368" s="181">
        <v>0</v>
      </c>
      <c r="I368" s="181">
        <v>0</v>
      </c>
      <c r="J368" s="181">
        <v>0</v>
      </c>
      <c r="K368" s="181">
        <v>0</v>
      </c>
      <c r="L368" s="181">
        <v>40842867.549999997</v>
      </c>
      <c r="M368" s="181">
        <v>0</v>
      </c>
      <c r="N368" s="181">
        <v>0</v>
      </c>
      <c r="O368" s="181">
        <v>0</v>
      </c>
      <c r="P368" s="181">
        <v>0</v>
      </c>
      <c r="Q368" s="181">
        <v>0</v>
      </c>
      <c r="R368" s="181">
        <v>0</v>
      </c>
      <c r="S368" s="181">
        <v>29285500</v>
      </c>
      <c r="T368" s="181">
        <v>158055.35999999999</v>
      </c>
      <c r="U368" s="181">
        <v>29127444.640000001</v>
      </c>
      <c r="V368" s="181">
        <v>0</v>
      </c>
      <c r="W368" s="181">
        <v>0</v>
      </c>
      <c r="X368" s="181">
        <v>0</v>
      </c>
      <c r="Y368" s="181">
        <v>0</v>
      </c>
      <c r="Z368" s="181">
        <v>0</v>
      </c>
      <c r="AA368" s="181">
        <v>0</v>
      </c>
      <c r="AB368" s="181">
        <v>29285500</v>
      </c>
      <c r="AC368" s="181">
        <v>158055.35999999999</v>
      </c>
      <c r="AD368" s="1180">
        <v>29127444.640000001</v>
      </c>
      <c r="AE368" s="1183">
        <v>29127444.640000001</v>
      </c>
      <c r="AF368" s="181">
        <v>-157407.85999999999</v>
      </c>
      <c r="AG368" s="181">
        <v>-157407.85999999999</v>
      </c>
      <c r="AH368" s="181">
        <v>29284852.5</v>
      </c>
      <c r="AI368" s="181">
        <v>29285500</v>
      </c>
      <c r="AJ368" s="181">
        <v>647.5</v>
      </c>
      <c r="AK368" s="181">
        <v>29285500</v>
      </c>
      <c r="AL368" s="181">
        <v>0</v>
      </c>
      <c r="AM368" s="181">
        <v>647.5</v>
      </c>
      <c r="AN368" s="181" t="s">
        <v>187</v>
      </c>
    </row>
    <row r="369" spans="1:45" ht="60" hidden="1" x14ac:dyDescent="0.25">
      <c r="A369" s="181">
        <v>318</v>
      </c>
      <c r="B369" s="181" t="s">
        <v>226</v>
      </c>
      <c r="C369" s="181" t="s">
        <v>1592</v>
      </c>
      <c r="D369" s="1179" t="s">
        <v>1248</v>
      </c>
      <c r="E369" s="181">
        <v>81685735.090000004</v>
      </c>
      <c r="F369" s="181">
        <v>81685735.090000004</v>
      </c>
      <c r="G369" s="181">
        <v>0</v>
      </c>
      <c r="H369" s="181">
        <v>0</v>
      </c>
      <c r="I369" s="181">
        <v>0</v>
      </c>
      <c r="J369" s="181">
        <v>0</v>
      </c>
      <c r="K369" s="181">
        <v>0</v>
      </c>
      <c r="L369" s="181">
        <v>81685735.090000004</v>
      </c>
      <c r="M369" s="181">
        <v>0</v>
      </c>
      <c r="N369" s="181">
        <v>0</v>
      </c>
      <c r="O369" s="181">
        <v>0</v>
      </c>
      <c r="P369" s="181">
        <v>0</v>
      </c>
      <c r="Q369" s="181">
        <v>0</v>
      </c>
      <c r="R369" s="181">
        <v>0</v>
      </c>
      <c r="S369" s="181">
        <v>387681237.5</v>
      </c>
      <c r="T369" s="181">
        <v>329426348.20999998</v>
      </c>
      <c r="U369" s="181">
        <v>58254889.289999999</v>
      </c>
      <c r="V369" s="181">
        <v>0</v>
      </c>
      <c r="W369" s="181">
        <v>0</v>
      </c>
      <c r="X369" s="181">
        <v>0</v>
      </c>
      <c r="Y369" s="181">
        <v>0</v>
      </c>
      <c r="Z369" s="181">
        <v>0</v>
      </c>
      <c r="AA369" s="181">
        <v>0</v>
      </c>
      <c r="AB369" s="181">
        <v>387681237.5</v>
      </c>
      <c r="AC369" s="181">
        <v>329426348.20999998</v>
      </c>
      <c r="AD369" s="1180">
        <v>58254889.289999999</v>
      </c>
      <c r="AE369" s="1180">
        <v>58254889.289999999</v>
      </c>
      <c r="AF369" s="181">
        <v>-314815.71000000002</v>
      </c>
      <c r="AG369" s="181">
        <v>-314815.71000000002</v>
      </c>
      <c r="AH369" s="181">
        <v>58569705</v>
      </c>
      <c r="AI369" s="181">
        <v>58570352.5</v>
      </c>
      <c r="AJ369" s="181">
        <v>647.5</v>
      </c>
      <c r="AK369" s="181">
        <v>58570352.5</v>
      </c>
      <c r="AL369" s="181">
        <v>0</v>
      </c>
      <c r="AM369" s="181">
        <v>647.5</v>
      </c>
      <c r="AN369" s="181" t="s">
        <v>1709</v>
      </c>
      <c r="AS369" s="181"/>
    </row>
    <row r="370" spans="1:45" ht="60" x14ac:dyDescent="0.25">
      <c r="A370" s="181">
        <v>318</v>
      </c>
      <c r="B370" s="181">
        <v>154</v>
      </c>
      <c r="C370" s="181" t="s">
        <v>1406</v>
      </c>
      <c r="D370" s="1179" t="s">
        <v>1248</v>
      </c>
      <c r="E370" s="181">
        <v>81685735.090000004</v>
      </c>
      <c r="F370" s="181">
        <v>81685735.090000004</v>
      </c>
      <c r="G370" s="181">
        <v>0</v>
      </c>
      <c r="H370" s="181">
        <v>0</v>
      </c>
      <c r="I370" s="181">
        <v>0</v>
      </c>
      <c r="J370" s="181">
        <v>0</v>
      </c>
      <c r="K370" s="181">
        <v>0</v>
      </c>
      <c r="L370" s="181">
        <v>81685735.090000004</v>
      </c>
      <c r="M370" s="181">
        <v>0</v>
      </c>
      <c r="N370" s="181">
        <v>0</v>
      </c>
      <c r="O370" s="181">
        <v>0</v>
      </c>
      <c r="P370" s="181">
        <v>0</v>
      </c>
      <c r="Q370" s="181">
        <v>0</v>
      </c>
      <c r="R370" s="181">
        <v>0</v>
      </c>
      <c r="S370" s="181">
        <v>387681237.5</v>
      </c>
      <c r="T370" s="181">
        <v>329426348.20999998</v>
      </c>
      <c r="U370" s="181">
        <v>58254889.289999999</v>
      </c>
      <c r="V370" s="181">
        <v>0</v>
      </c>
      <c r="W370" s="181">
        <v>0</v>
      </c>
      <c r="X370" s="181">
        <v>0</v>
      </c>
      <c r="Y370" s="181">
        <v>0</v>
      </c>
      <c r="Z370" s="181">
        <v>0</v>
      </c>
      <c r="AA370" s="181">
        <v>0</v>
      </c>
      <c r="AB370" s="181">
        <v>387681237.5</v>
      </c>
      <c r="AC370" s="181">
        <v>329426348.20999998</v>
      </c>
      <c r="AD370" s="1180">
        <v>58254889.289999999</v>
      </c>
      <c r="AE370" s="1183">
        <v>58254889.289999999</v>
      </c>
      <c r="AF370" s="181">
        <v>-314815.71000000002</v>
      </c>
      <c r="AG370" s="181">
        <v>-314815.71000000002</v>
      </c>
      <c r="AH370" s="181">
        <v>58569705</v>
      </c>
      <c r="AI370" s="181">
        <v>58570352.5</v>
      </c>
      <c r="AJ370" s="181">
        <v>647.5</v>
      </c>
      <c r="AK370" s="181">
        <v>58570352.5</v>
      </c>
      <c r="AL370" s="181">
        <v>0</v>
      </c>
      <c r="AM370" s="181">
        <v>647.5</v>
      </c>
      <c r="AN370" s="181" t="s">
        <v>74</v>
      </c>
    </row>
    <row r="371" spans="1:45" ht="60" hidden="1" x14ac:dyDescent="0.25">
      <c r="A371" s="181">
        <v>318</v>
      </c>
      <c r="B371" s="181">
        <v>58</v>
      </c>
      <c r="C371" s="181" t="s">
        <v>1407</v>
      </c>
      <c r="D371" s="1179" t="s">
        <v>1248</v>
      </c>
      <c r="E371" s="181">
        <v>0</v>
      </c>
      <c r="F371" s="181">
        <v>0</v>
      </c>
      <c r="G371" s="181">
        <v>0</v>
      </c>
      <c r="H371" s="181">
        <v>0</v>
      </c>
      <c r="I371" s="181">
        <v>0</v>
      </c>
      <c r="J371" s="181">
        <v>0</v>
      </c>
      <c r="K371" s="181">
        <v>0</v>
      </c>
      <c r="L371" s="181">
        <v>0</v>
      </c>
      <c r="M371" s="181">
        <v>0</v>
      </c>
      <c r="N371" s="181">
        <v>0</v>
      </c>
      <c r="O371" s="181">
        <v>0</v>
      </c>
      <c r="P371" s="181">
        <v>0</v>
      </c>
      <c r="Q371" s="181">
        <v>0</v>
      </c>
      <c r="R371" s="181">
        <v>0</v>
      </c>
      <c r="S371" s="181">
        <v>0</v>
      </c>
      <c r="T371" s="181">
        <v>0</v>
      </c>
      <c r="U371" s="181">
        <v>0</v>
      </c>
      <c r="V371" s="181">
        <v>0</v>
      </c>
      <c r="W371" s="181">
        <v>0</v>
      </c>
      <c r="X371" s="181">
        <v>0</v>
      </c>
      <c r="Y371" s="181">
        <v>0</v>
      </c>
      <c r="Z371" s="181">
        <v>0</v>
      </c>
      <c r="AA371" s="181">
        <v>0</v>
      </c>
      <c r="AB371" s="181">
        <v>0</v>
      </c>
      <c r="AC371" s="181">
        <v>0</v>
      </c>
      <c r="AD371" s="1180">
        <v>0</v>
      </c>
      <c r="AE371" s="1180">
        <v>0</v>
      </c>
      <c r="AF371" s="181">
        <v>0</v>
      </c>
      <c r="AG371" s="181">
        <v>0</v>
      </c>
      <c r="AH371" s="181">
        <v>0</v>
      </c>
      <c r="AI371" s="181">
        <v>0</v>
      </c>
      <c r="AJ371" s="181">
        <v>0</v>
      </c>
      <c r="AK371" s="181">
        <v>0</v>
      </c>
      <c r="AL371" s="181">
        <v>0</v>
      </c>
      <c r="AM371" s="181">
        <v>0</v>
      </c>
      <c r="AN371" s="181" t="s">
        <v>175</v>
      </c>
      <c r="AS371" s="181"/>
    </row>
    <row r="372" spans="1:45" ht="60" hidden="1" x14ac:dyDescent="0.25">
      <c r="A372" s="181">
        <v>318</v>
      </c>
      <c r="B372" s="181">
        <v>72</v>
      </c>
      <c r="C372" s="181" t="s">
        <v>1408</v>
      </c>
      <c r="D372" s="1179" t="s">
        <v>1248</v>
      </c>
      <c r="E372" s="181">
        <v>0</v>
      </c>
      <c r="F372" s="181">
        <v>0</v>
      </c>
      <c r="G372" s="181">
        <v>0</v>
      </c>
      <c r="H372" s="181">
        <v>0</v>
      </c>
      <c r="I372" s="181">
        <v>0</v>
      </c>
      <c r="J372" s="181">
        <v>0</v>
      </c>
      <c r="K372" s="181">
        <v>0</v>
      </c>
      <c r="L372" s="181">
        <v>0</v>
      </c>
      <c r="M372" s="181">
        <v>0</v>
      </c>
      <c r="N372" s="181">
        <v>0</v>
      </c>
      <c r="O372" s="181">
        <v>0</v>
      </c>
      <c r="P372" s="181">
        <v>0</v>
      </c>
      <c r="Q372" s="181">
        <v>0</v>
      </c>
      <c r="R372" s="181">
        <v>0</v>
      </c>
      <c r="S372" s="181">
        <v>0</v>
      </c>
      <c r="T372" s="181">
        <v>0</v>
      </c>
      <c r="U372" s="181">
        <v>0</v>
      </c>
      <c r="V372" s="181">
        <v>0</v>
      </c>
      <c r="W372" s="181">
        <v>0</v>
      </c>
      <c r="X372" s="181">
        <v>0</v>
      </c>
      <c r="Y372" s="181">
        <v>0</v>
      </c>
      <c r="Z372" s="181">
        <v>0</v>
      </c>
      <c r="AA372" s="181">
        <v>0</v>
      </c>
      <c r="AB372" s="181">
        <v>0</v>
      </c>
      <c r="AC372" s="181">
        <v>0</v>
      </c>
      <c r="AD372" s="1180">
        <v>0</v>
      </c>
      <c r="AE372" s="1180">
        <v>0</v>
      </c>
      <c r="AF372" s="181">
        <v>0</v>
      </c>
      <c r="AG372" s="181">
        <v>0</v>
      </c>
      <c r="AH372" s="181">
        <v>0</v>
      </c>
      <c r="AI372" s="181">
        <v>0</v>
      </c>
      <c r="AJ372" s="181">
        <v>0</v>
      </c>
      <c r="AK372" s="181">
        <v>0</v>
      </c>
      <c r="AL372" s="181">
        <v>0</v>
      </c>
      <c r="AM372" s="181">
        <v>0</v>
      </c>
      <c r="AN372" s="181" t="s">
        <v>187</v>
      </c>
      <c r="AS372" s="181"/>
    </row>
    <row r="373" spans="1:45" ht="30" hidden="1" x14ac:dyDescent="0.25">
      <c r="A373" s="181">
        <v>318</v>
      </c>
      <c r="B373" s="181" t="s">
        <v>226</v>
      </c>
      <c r="C373" s="181" t="s">
        <v>1593</v>
      </c>
      <c r="D373" s="1179" t="s">
        <v>508</v>
      </c>
      <c r="E373" s="181">
        <v>7544150860.1700001</v>
      </c>
      <c r="F373" s="181">
        <v>7544150860.1700001</v>
      </c>
      <c r="G373" s="181">
        <v>1196314963.0899999</v>
      </c>
      <c r="H373" s="181">
        <v>0</v>
      </c>
      <c r="I373" s="181">
        <v>1196314963.0899999</v>
      </c>
      <c r="J373" s="181">
        <v>1196314963.0899999</v>
      </c>
      <c r="K373" s="181">
        <v>0</v>
      </c>
      <c r="L373" s="181">
        <v>8740465823.2600002</v>
      </c>
      <c r="M373" s="181">
        <v>0</v>
      </c>
      <c r="N373" s="181">
        <v>0</v>
      </c>
      <c r="O373" s="181">
        <v>0</v>
      </c>
      <c r="P373" s="181">
        <v>0</v>
      </c>
      <c r="Q373" s="181">
        <v>0</v>
      </c>
      <c r="R373" s="181">
        <v>0</v>
      </c>
      <c r="S373" s="181">
        <v>11856462515.969999</v>
      </c>
      <c r="T373" s="181">
        <v>204818774.59999999</v>
      </c>
      <c r="U373" s="181">
        <v>11651643741.370001</v>
      </c>
      <c r="V373" s="181">
        <v>0</v>
      </c>
      <c r="W373" s="181">
        <v>0</v>
      </c>
      <c r="X373" s="181">
        <v>0</v>
      </c>
      <c r="Y373" s="181">
        <v>0</v>
      </c>
      <c r="Z373" s="181">
        <v>0</v>
      </c>
      <c r="AA373" s="181">
        <v>0</v>
      </c>
      <c r="AB373" s="181">
        <v>11856462515.969999</v>
      </c>
      <c r="AC373" s="181">
        <v>204818774.59999999</v>
      </c>
      <c r="AD373" s="1180">
        <v>11651643741.370001</v>
      </c>
      <c r="AE373" s="1180">
        <v>11651643741.370001</v>
      </c>
      <c r="AF373" s="181">
        <v>1476052483.53</v>
      </c>
      <c r="AG373" s="181">
        <v>1476052483.53</v>
      </c>
      <c r="AH373" s="181">
        <v>10175591257.84</v>
      </c>
      <c r="AI373" s="181">
        <v>10304863747.84</v>
      </c>
      <c r="AJ373" s="181">
        <v>129272490</v>
      </c>
      <c r="AK373" s="181">
        <v>10304863747.84</v>
      </c>
      <c r="AL373" s="181">
        <v>0</v>
      </c>
      <c r="AM373" s="181">
        <v>129272490</v>
      </c>
      <c r="AN373" s="181" t="s">
        <v>1709</v>
      </c>
      <c r="AS373" s="181"/>
    </row>
    <row r="374" spans="1:45" ht="45" hidden="1" x14ac:dyDescent="0.25">
      <c r="A374" s="181">
        <v>318</v>
      </c>
      <c r="B374" s="181" t="s">
        <v>226</v>
      </c>
      <c r="C374" s="181" t="s">
        <v>1594</v>
      </c>
      <c r="D374" s="1179" t="s">
        <v>510</v>
      </c>
      <c r="E374" s="181">
        <v>7544150860.1700001</v>
      </c>
      <c r="F374" s="181">
        <v>7544150860.1700001</v>
      </c>
      <c r="G374" s="181">
        <v>1196314963.0899999</v>
      </c>
      <c r="H374" s="181">
        <v>0</v>
      </c>
      <c r="I374" s="181">
        <v>1196314963.0899999</v>
      </c>
      <c r="J374" s="181">
        <v>1196314963.0899999</v>
      </c>
      <c r="K374" s="181">
        <v>0</v>
      </c>
      <c r="L374" s="181">
        <v>8740465823.2600002</v>
      </c>
      <c r="M374" s="181">
        <v>0</v>
      </c>
      <c r="N374" s="181">
        <v>0</v>
      </c>
      <c r="O374" s="181">
        <v>0</v>
      </c>
      <c r="P374" s="181">
        <v>0</v>
      </c>
      <c r="Q374" s="181">
        <v>0</v>
      </c>
      <c r="R374" s="181">
        <v>0</v>
      </c>
      <c r="S374" s="181">
        <v>11856462515.969999</v>
      </c>
      <c r="T374" s="181">
        <v>204818774.59999999</v>
      </c>
      <c r="U374" s="181">
        <v>11651643741.370001</v>
      </c>
      <c r="V374" s="181">
        <v>0</v>
      </c>
      <c r="W374" s="181">
        <v>0</v>
      </c>
      <c r="X374" s="181">
        <v>0</v>
      </c>
      <c r="Y374" s="181">
        <v>0</v>
      </c>
      <c r="Z374" s="181">
        <v>0</v>
      </c>
      <c r="AA374" s="181">
        <v>0</v>
      </c>
      <c r="AB374" s="181">
        <v>11856462515.969999</v>
      </c>
      <c r="AC374" s="181">
        <v>204818774.59999999</v>
      </c>
      <c r="AD374" s="1180">
        <v>11651643741.370001</v>
      </c>
      <c r="AE374" s="1180">
        <v>11651643741.370001</v>
      </c>
      <c r="AF374" s="181">
        <v>1476052483.53</v>
      </c>
      <c r="AG374" s="181">
        <v>1476052483.53</v>
      </c>
      <c r="AH374" s="181">
        <v>10175591257.84</v>
      </c>
      <c r="AI374" s="181">
        <v>10304863747.84</v>
      </c>
      <c r="AJ374" s="181">
        <v>129272490</v>
      </c>
      <c r="AK374" s="181">
        <v>10304863747.84</v>
      </c>
      <c r="AL374" s="181">
        <v>0</v>
      </c>
      <c r="AM374" s="181">
        <v>129272490</v>
      </c>
      <c r="AN374" s="181" t="s">
        <v>1709</v>
      </c>
      <c r="AS374" s="181"/>
    </row>
    <row r="375" spans="1:45" ht="60" x14ac:dyDescent="0.25">
      <c r="A375" s="181">
        <v>318</v>
      </c>
      <c r="B375" s="181">
        <v>154</v>
      </c>
      <c r="C375" s="181" t="s">
        <v>1409</v>
      </c>
      <c r="D375" s="1179" t="s">
        <v>512</v>
      </c>
      <c r="E375" s="181">
        <v>1395844720.4100001</v>
      </c>
      <c r="F375" s="181">
        <v>1395844720.4100001</v>
      </c>
      <c r="G375" s="181">
        <v>296314963.08999997</v>
      </c>
      <c r="H375" s="181">
        <v>0</v>
      </c>
      <c r="I375" s="181">
        <v>296314963.08999997</v>
      </c>
      <c r="J375" s="181">
        <v>296314963.08999997</v>
      </c>
      <c r="K375" s="181">
        <v>0</v>
      </c>
      <c r="L375" s="181">
        <v>1692159683.5</v>
      </c>
      <c r="M375" s="181">
        <v>0</v>
      </c>
      <c r="N375" s="181">
        <v>0</v>
      </c>
      <c r="O375" s="181">
        <v>0</v>
      </c>
      <c r="P375" s="181">
        <v>0</v>
      </c>
      <c r="Q375" s="181">
        <v>0</v>
      </c>
      <c r="R375" s="181">
        <v>0</v>
      </c>
      <c r="S375" s="181">
        <v>4547954409.9200001</v>
      </c>
      <c r="T375" s="181">
        <v>102389387.3</v>
      </c>
      <c r="U375" s="181">
        <v>4445565022.6199999</v>
      </c>
      <c r="V375" s="181">
        <v>0</v>
      </c>
      <c r="W375" s="181">
        <v>0</v>
      </c>
      <c r="X375" s="181">
        <v>0</v>
      </c>
      <c r="Y375" s="181">
        <v>0</v>
      </c>
      <c r="Z375" s="181">
        <v>0</v>
      </c>
      <c r="AA375" s="181">
        <v>0</v>
      </c>
      <c r="AB375" s="181">
        <v>4547954409.9200001</v>
      </c>
      <c r="AC375" s="181">
        <v>102389387.3</v>
      </c>
      <c r="AD375" s="1180">
        <v>4445565022.6199999</v>
      </c>
      <c r="AE375" s="1183">
        <v>4445565022.6199999</v>
      </c>
      <c r="AF375" s="181">
        <v>91088988.700000003</v>
      </c>
      <c r="AG375" s="181">
        <v>91088988.700000003</v>
      </c>
      <c r="AH375" s="181">
        <v>4354476033.9200001</v>
      </c>
      <c r="AI375" s="181">
        <v>4419092278.9200001</v>
      </c>
      <c r="AJ375" s="181">
        <v>64616245</v>
      </c>
      <c r="AK375" s="181">
        <v>4419092278.9200001</v>
      </c>
      <c r="AL375" s="181">
        <v>0</v>
      </c>
      <c r="AM375" s="181">
        <v>64616245</v>
      </c>
      <c r="AN375" s="181" t="s">
        <v>74</v>
      </c>
    </row>
    <row r="376" spans="1:45" ht="60" x14ac:dyDescent="0.25">
      <c r="A376" s="181">
        <v>318</v>
      </c>
      <c r="B376" s="181">
        <v>58</v>
      </c>
      <c r="C376" s="181" t="s">
        <v>1410</v>
      </c>
      <c r="D376" s="1179" t="s">
        <v>512</v>
      </c>
      <c r="E376" s="181">
        <v>697922360.19000006</v>
      </c>
      <c r="F376" s="181">
        <v>697922360.19000006</v>
      </c>
      <c r="G376" s="181">
        <v>0</v>
      </c>
      <c r="H376" s="181">
        <v>0</v>
      </c>
      <c r="I376" s="181">
        <v>0</v>
      </c>
      <c r="J376" s="181">
        <v>0</v>
      </c>
      <c r="K376" s="181">
        <v>0</v>
      </c>
      <c r="L376" s="181">
        <v>697922360.19000006</v>
      </c>
      <c r="M376" s="181">
        <v>0</v>
      </c>
      <c r="N376" s="181">
        <v>0</v>
      </c>
      <c r="O376" s="181">
        <v>0</v>
      </c>
      <c r="P376" s="181">
        <v>0</v>
      </c>
      <c r="Q376" s="181">
        <v>0</v>
      </c>
      <c r="R376" s="181">
        <v>0</v>
      </c>
      <c r="S376" s="181">
        <v>2209546139.46</v>
      </c>
      <c r="T376" s="181">
        <v>51194693.649999999</v>
      </c>
      <c r="U376" s="181">
        <v>2158351445.8099999</v>
      </c>
      <c r="V376" s="181">
        <v>0</v>
      </c>
      <c r="W376" s="181">
        <v>0</v>
      </c>
      <c r="X376" s="181">
        <v>0</v>
      </c>
      <c r="Y376" s="181">
        <v>0</v>
      </c>
      <c r="Z376" s="181">
        <v>0</v>
      </c>
      <c r="AA376" s="181">
        <v>0</v>
      </c>
      <c r="AB376" s="181">
        <v>2209546139.46</v>
      </c>
      <c r="AC376" s="181">
        <v>51194693.649999999</v>
      </c>
      <c r="AD376" s="1180">
        <v>2158351445.8099999</v>
      </c>
      <c r="AE376" s="1183">
        <v>2158351445.8099999</v>
      </c>
      <c r="AF376" s="181">
        <v>-18886571.149999999</v>
      </c>
      <c r="AG376" s="181">
        <v>-18886571.149999999</v>
      </c>
      <c r="AH376" s="181">
        <v>2177238016.96</v>
      </c>
      <c r="AI376" s="181">
        <v>2209546139.46</v>
      </c>
      <c r="AJ376" s="181">
        <v>32308122.5</v>
      </c>
      <c r="AK376" s="181">
        <v>2209546139.46</v>
      </c>
      <c r="AL376" s="181">
        <v>0</v>
      </c>
      <c r="AM376" s="181">
        <v>32308122.5</v>
      </c>
      <c r="AN376" s="181" t="s">
        <v>175</v>
      </c>
    </row>
    <row r="377" spans="1:45" ht="60" x14ac:dyDescent="0.25">
      <c r="A377" s="181">
        <v>318</v>
      </c>
      <c r="B377" s="181">
        <v>72</v>
      </c>
      <c r="C377" s="181" t="s">
        <v>1411</v>
      </c>
      <c r="D377" s="1179" t="s">
        <v>512</v>
      </c>
      <c r="E377" s="181">
        <v>697922360.20000005</v>
      </c>
      <c r="F377" s="181">
        <v>697922360.20000005</v>
      </c>
      <c r="G377" s="181">
        <v>900000000</v>
      </c>
      <c r="H377" s="181">
        <v>0</v>
      </c>
      <c r="I377" s="181">
        <v>900000000</v>
      </c>
      <c r="J377" s="181">
        <v>900000000</v>
      </c>
      <c r="K377" s="181">
        <v>0</v>
      </c>
      <c r="L377" s="181">
        <v>1597922360.2</v>
      </c>
      <c r="M377" s="181">
        <v>0</v>
      </c>
      <c r="N377" s="181">
        <v>0</v>
      </c>
      <c r="O377" s="181">
        <v>0</v>
      </c>
      <c r="P377" s="181">
        <v>0</v>
      </c>
      <c r="Q377" s="181">
        <v>0</v>
      </c>
      <c r="R377" s="181">
        <v>0</v>
      </c>
      <c r="S377" s="181">
        <v>2209586139.46</v>
      </c>
      <c r="T377" s="181">
        <v>51234693.649999999</v>
      </c>
      <c r="U377" s="181">
        <v>2158351445.8099999</v>
      </c>
      <c r="V377" s="181">
        <v>0</v>
      </c>
      <c r="W377" s="181">
        <v>0</v>
      </c>
      <c r="X377" s="181">
        <v>0</v>
      </c>
      <c r="Y377" s="181">
        <v>0</v>
      </c>
      <c r="Z377" s="181">
        <v>0</v>
      </c>
      <c r="AA377" s="181">
        <v>0</v>
      </c>
      <c r="AB377" s="181">
        <v>2209586139.46</v>
      </c>
      <c r="AC377" s="181">
        <v>51234693.649999999</v>
      </c>
      <c r="AD377" s="1180">
        <v>2158351445.8099999</v>
      </c>
      <c r="AE377" s="1183">
        <v>2158351445.8099999</v>
      </c>
      <c r="AF377" s="181">
        <v>-18886571.149999999</v>
      </c>
      <c r="AG377" s="181">
        <v>-18886571.149999999</v>
      </c>
      <c r="AH377" s="181">
        <v>2177238016.96</v>
      </c>
      <c r="AI377" s="181">
        <v>2209586139.46</v>
      </c>
      <c r="AJ377" s="181">
        <v>32348122.5</v>
      </c>
      <c r="AK377" s="181">
        <v>2209586139.46</v>
      </c>
      <c r="AL377" s="181">
        <v>0</v>
      </c>
      <c r="AM377" s="181">
        <v>32348122.5</v>
      </c>
      <c r="AN377" s="181" t="s">
        <v>187</v>
      </c>
    </row>
    <row r="378" spans="1:45" ht="60" hidden="1" x14ac:dyDescent="0.25">
      <c r="A378" s="181">
        <v>318</v>
      </c>
      <c r="B378" s="181" t="s">
        <v>226</v>
      </c>
      <c r="C378" s="181" t="s">
        <v>1595</v>
      </c>
      <c r="D378" s="1179" t="s">
        <v>1534</v>
      </c>
      <c r="E378" s="181">
        <v>4752461419.3699999</v>
      </c>
      <c r="F378" s="181">
        <v>4752461419.3699999</v>
      </c>
      <c r="G378" s="181">
        <v>0</v>
      </c>
      <c r="H378" s="181">
        <v>0</v>
      </c>
      <c r="I378" s="181">
        <v>0</v>
      </c>
      <c r="J378" s="181">
        <v>0</v>
      </c>
      <c r="K378" s="181">
        <v>0</v>
      </c>
      <c r="L378" s="181">
        <v>4752461419.3699999</v>
      </c>
      <c r="M378" s="181">
        <v>0</v>
      </c>
      <c r="N378" s="181">
        <v>0</v>
      </c>
      <c r="O378" s="181">
        <v>0</v>
      </c>
      <c r="P378" s="181">
        <v>0</v>
      </c>
      <c r="Q378" s="181">
        <v>0</v>
      </c>
      <c r="R378" s="181">
        <v>0</v>
      </c>
      <c r="S378" s="181">
        <v>2889375827.1300001</v>
      </c>
      <c r="T378" s="181">
        <v>0</v>
      </c>
      <c r="U378" s="181">
        <v>2889375827.1300001</v>
      </c>
      <c r="V378" s="181">
        <v>0</v>
      </c>
      <c r="W378" s="181">
        <v>0</v>
      </c>
      <c r="X378" s="181">
        <v>0</v>
      </c>
      <c r="Y378" s="181">
        <v>0</v>
      </c>
      <c r="Z378" s="181">
        <v>0</v>
      </c>
      <c r="AA378" s="181">
        <v>0</v>
      </c>
      <c r="AB378" s="181">
        <v>2889375827.1300001</v>
      </c>
      <c r="AC378" s="181">
        <v>0</v>
      </c>
      <c r="AD378" s="1180">
        <v>2889375827.1300001</v>
      </c>
      <c r="AE378" s="1180">
        <v>2889375827.1300001</v>
      </c>
      <c r="AF378" s="181">
        <v>1422736637.1300001</v>
      </c>
      <c r="AG378" s="181">
        <v>1422736637.1300001</v>
      </c>
      <c r="AH378" s="181">
        <v>1466639190</v>
      </c>
      <c r="AI378" s="181">
        <v>1466639190</v>
      </c>
      <c r="AJ378" s="181">
        <v>0</v>
      </c>
      <c r="AK378" s="181">
        <v>1466639190</v>
      </c>
      <c r="AL378" s="181">
        <v>0</v>
      </c>
      <c r="AM378" s="181">
        <v>0</v>
      </c>
      <c r="AN378" s="181" t="s">
        <v>1709</v>
      </c>
      <c r="AS378" s="181"/>
    </row>
    <row r="379" spans="1:45" ht="60" x14ac:dyDescent="0.25">
      <c r="A379" s="181">
        <v>318</v>
      </c>
      <c r="B379" s="181">
        <v>154</v>
      </c>
      <c r="C379" s="181" t="s">
        <v>1412</v>
      </c>
      <c r="D379" s="1179" t="s">
        <v>1251</v>
      </c>
      <c r="E379" s="181">
        <v>2376230709.8600001</v>
      </c>
      <c r="F379" s="181">
        <v>2376230709.8600001</v>
      </c>
      <c r="G379" s="181">
        <v>0</v>
      </c>
      <c r="H379" s="181">
        <v>0</v>
      </c>
      <c r="I379" s="181">
        <v>0</v>
      </c>
      <c r="J379" s="181">
        <v>0</v>
      </c>
      <c r="K379" s="181">
        <v>0</v>
      </c>
      <c r="L379" s="181">
        <v>2376230709.8600001</v>
      </c>
      <c r="M379" s="181">
        <v>0</v>
      </c>
      <c r="N379" s="181">
        <v>0</v>
      </c>
      <c r="O379" s="181">
        <v>0</v>
      </c>
      <c r="P379" s="181">
        <v>0</v>
      </c>
      <c r="Q379" s="181">
        <v>0</v>
      </c>
      <c r="R379" s="181">
        <v>0</v>
      </c>
      <c r="S379" s="181">
        <v>1402526572.0699999</v>
      </c>
      <c r="T379" s="181">
        <v>0</v>
      </c>
      <c r="U379" s="181">
        <v>1402526572.0699999</v>
      </c>
      <c r="V379" s="181">
        <v>0</v>
      </c>
      <c r="W379" s="181">
        <v>0</v>
      </c>
      <c r="X379" s="181">
        <v>0</v>
      </c>
      <c r="Y379" s="181">
        <v>0</v>
      </c>
      <c r="Z379" s="181">
        <v>0</v>
      </c>
      <c r="AA379" s="181">
        <v>0</v>
      </c>
      <c r="AB379" s="181">
        <v>1402526572.0699999</v>
      </c>
      <c r="AC379" s="181">
        <v>0</v>
      </c>
      <c r="AD379" s="1180">
        <v>1402526572.0699999</v>
      </c>
      <c r="AE379" s="1183">
        <v>1402526572.0699999</v>
      </c>
      <c r="AF379" s="181">
        <v>1402526572.0699999</v>
      </c>
      <c r="AG379" s="181">
        <v>1402526572.0699999</v>
      </c>
      <c r="AH379" s="181">
        <v>0</v>
      </c>
      <c r="AI379" s="181">
        <v>0</v>
      </c>
      <c r="AJ379" s="181">
        <v>0</v>
      </c>
      <c r="AK379" s="181">
        <v>0</v>
      </c>
      <c r="AL379" s="181">
        <v>0</v>
      </c>
      <c r="AM379" s="181">
        <v>0</v>
      </c>
      <c r="AN379" s="181" t="s">
        <v>74</v>
      </c>
    </row>
    <row r="380" spans="1:45" ht="60" x14ac:dyDescent="0.25">
      <c r="A380" s="181">
        <v>318</v>
      </c>
      <c r="B380" s="181">
        <v>58</v>
      </c>
      <c r="C380" s="181" t="s">
        <v>1413</v>
      </c>
      <c r="D380" s="1179" t="s">
        <v>1255</v>
      </c>
      <c r="E380" s="181">
        <v>1188115354.47</v>
      </c>
      <c r="F380" s="181">
        <v>1188115354.47</v>
      </c>
      <c r="G380" s="181">
        <v>0</v>
      </c>
      <c r="H380" s="181">
        <v>0</v>
      </c>
      <c r="I380" s="181">
        <v>0</v>
      </c>
      <c r="J380" s="181">
        <v>0</v>
      </c>
      <c r="K380" s="181">
        <v>0</v>
      </c>
      <c r="L380" s="181">
        <v>1188115354.47</v>
      </c>
      <c r="M380" s="181">
        <v>0</v>
      </c>
      <c r="N380" s="181">
        <v>0</v>
      </c>
      <c r="O380" s="181">
        <v>0</v>
      </c>
      <c r="P380" s="181">
        <v>0</v>
      </c>
      <c r="Q380" s="181">
        <v>0</v>
      </c>
      <c r="R380" s="181">
        <v>0</v>
      </c>
      <c r="S380" s="181">
        <v>743424627.52999997</v>
      </c>
      <c r="T380" s="181">
        <v>0</v>
      </c>
      <c r="U380" s="181">
        <v>743424627.52999997</v>
      </c>
      <c r="V380" s="181">
        <v>0</v>
      </c>
      <c r="W380" s="181">
        <v>0</v>
      </c>
      <c r="X380" s="181">
        <v>0</v>
      </c>
      <c r="Y380" s="181">
        <v>0</v>
      </c>
      <c r="Z380" s="181">
        <v>0</v>
      </c>
      <c r="AA380" s="181">
        <v>0</v>
      </c>
      <c r="AB380" s="181">
        <v>743424627.52999997</v>
      </c>
      <c r="AC380" s="181">
        <v>0</v>
      </c>
      <c r="AD380" s="1180">
        <v>743424627.52999997</v>
      </c>
      <c r="AE380" s="1183">
        <v>743424627.52999997</v>
      </c>
      <c r="AF380" s="181">
        <v>10105032.529999999</v>
      </c>
      <c r="AG380" s="181">
        <v>10105032.529999999</v>
      </c>
      <c r="AH380" s="181">
        <v>733319595</v>
      </c>
      <c r="AI380" s="181">
        <v>733319595</v>
      </c>
      <c r="AJ380" s="181">
        <v>0</v>
      </c>
      <c r="AK380" s="181">
        <v>733319595</v>
      </c>
      <c r="AL380" s="181">
        <v>0</v>
      </c>
      <c r="AM380" s="181">
        <v>0</v>
      </c>
      <c r="AN380" s="181" t="s">
        <v>175</v>
      </c>
    </row>
    <row r="381" spans="1:45" ht="60" x14ac:dyDescent="0.25">
      <c r="A381" s="181">
        <v>318</v>
      </c>
      <c r="B381" s="181">
        <v>72</v>
      </c>
      <c r="C381" s="181" t="s">
        <v>1414</v>
      </c>
      <c r="D381" s="1179" t="s">
        <v>1255</v>
      </c>
      <c r="E381" s="181">
        <v>1188115355.04</v>
      </c>
      <c r="F381" s="181">
        <v>1188115355.04</v>
      </c>
      <c r="G381" s="181">
        <v>0</v>
      </c>
      <c r="H381" s="181">
        <v>0</v>
      </c>
      <c r="I381" s="181">
        <v>0</v>
      </c>
      <c r="J381" s="181">
        <v>0</v>
      </c>
      <c r="K381" s="181">
        <v>0</v>
      </c>
      <c r="L381" s="181">
        <v>1188115355.04</v>
      </c>
      <c r="M381" s="181">
        <v>0</v>
      </c>
      <c r="N381" s="181">
        <v>0</v>
      </c>
      <c r="O381" s="181">
        <v>0</v>
      </c>
      <c r="P381" s="181">
        <v>0</v>
      </c>
      <c r="Q381" s="181">
        <v>0</v>
      </c>
      <c r="R381" s="181">
        <v>0</v>
      </c>
      <c r="S381" s="181">
        <v>743424627.52999997</v>
      </c>
      <c r="T381" s="181">
        <v>0</v>
      </c>
      <c r="U381" s="181">
        <v>743424627.52999997</v>
      </c>
      <c r="V381" s="181">
        <v>0</v>
      </c>
      <c r="W381" s="181">
        <v>0</v>
      </c>
      <c r="X381" s="181">
        <v>0</v>
      </c>
      <c r="Y381" s="181">
        <v>0</v>
      </c>
      <c r="Z381" s="181">
        <v>0</v>
      </c>
      <c r="AA381" s="181">
        <v>0</v>
      </c>
      <c r="AB381" s="181">
        <v>743424627.52999997</v>
      </c>
      <c r="AC381" s="181">
        <v>0</v>
      </c>
      <c r="AD381" s="1180">
        <v>743424627.52999997</v>
      </c>
      <c r="AE381" s="1183">
        <v>743424627.52999997</v>
      </c>
      <c r="AF381" s="181">
        <v>10105032.529999999</v>
      </c>
      <c r="AG381" s="181">
        <v>10105032.529999999</v>
      </c>
      <c r="AH381" s="181">
        <v>733319595</v>
      </c>
      <c r="AI381" s="181">
        <v>733319595</v>
      </c>
      <c r="AJ381" s="181">
        <v>0</v>
      </c>
      <c r="AK381" s="181">
        <v>733319595</v>
      </c>
      <c r="AL381" s="181">
        <v>0</v>
      </c>
      <c r="AM381" s="181">
        <v>0</v>
      </c>
      <c r="AN381" s="181" t="s">
        <v>187</v>
      </c>
    </row>
    <row r="382" spans="1:45" ht="45" hidden="1" x14ac:dyDescent="0.25">
      <c r="A382" s="181">
        <v>318</v>
      </c>
      <c r="B382" s="181" t="s">
        <v>226</v>
      </c>
      <c r="C382" s="181" t="s">
        <v>1597</v>
      </c>
      <c r="D382" s="1179" t="s">
        <v>1536</v>
      </c>
      <c r="E382" s="181">
        <v>0</v>
      </c>
      <c r="F382" s="181">
        <v>0</v>
      </c>
      <c r="G382" s="181">
        <v>0</v>
      </c>
      <c r="H382" s="181">
        <v>0</v>
      </c>
      <c r="I382" s="181">
        <v>0</v>
      </c>
      <c r="J382" s="181">
        <v>0</v>
      </c>
      <c r="K382" s="181">
        <v>0</v>
      </c>
      <c r="L382" s="181">
        <v>0</v>
      </c>
      <c r="M382" s="181">
        <v>0</v>
      </c>
      <c r="N382" s="181">
        <v>0</v>
      </c>
      <c r="O382" s="181">
        <v>0</v>
      </c>
      <c r="P382" s="181">
        <v>0</v>
      </c>
      <c r="Q382" s="181">
        <v>0</v>
      </c>
      <c r="R382" s="181">
        <v>0</v>
      </c>
      <c r="S382" s="181">
        <v>7216850</v>
      </c>
      <c r="T382" s="181">
        <v>0</v>
      </c>
      <c r="U382" s="181">
        <v>7216850</v>
      </c>
      <c r="V382" s="181">
        <v>0</v>
      </c>
      <c r="W382" s="181">
        <v>0</v>
      </c>
      <c r="X382" s="181">
        <v>0</v>
      </c>
      <c r="Y382" s="181">
        <v>0</v>
      </c>
      <c r="Z382" s="181">
        <v>0</v>
      </c>
      <c r="AA382" s="181">
        <v>0</v>
      </c>
      <c r="AB382" s="181">
        <v>7216850</v>
      </c>
      <c r="AC382" s="181">
        <v>0</v>
      </c>
      <c r="AD382" s="1180">
        <v>7216850</v>
      </c>
      <c r="AE382" s="1180">
        <v>7216850</v>
      </c>
      <c r="AF382" s="181">
        <v>0</v>
      </c>
      <c r="AG382" s="181">
        <v>0</v>
      </c>
      <c r="AH382" s="181">
        <v>7216850</v>
      </c>
      <c r="AI382" s="181">
        <v>7216850</v>
      </c>
      <c r="AJ382" s="181">
        <v>0</v>
      </c>
      <c r="AK382" s="181">
        <v>7216850</v>
      </c>
      <c r="AL382" s="181">
        <v>0</v>
      </c>
      <c r="AM382" s="181">
        <v>0</v>
      </c>
      <c r="AN382" s="181" t="s">
        <v>1709</v>
      </c>
      <c r="AS382" s="181"/>
    </row>
    <row r="383" spans="1:45" ht="30" hidden="1" x14ac:dyDescent="0.25">
      <c r="A383" s="181">
        <v>318</v>
      </c>
      <c r="B383" s="181">
        <v>154</v>
      </c>
      <c r="C383" s="181" t="s">
        <v>1415</v>
      </c>
      <c r="D383" s="1179" t="s">
        <v>1259</v>
      </c>
      <c r="E383" s="181">
        <v>0</v>
      </c>
      <c r="F383" s="181">
        <v>0</v>
      </c>
      <c r="G383" s="181">
        <v>0</v>
      </c>
      <c r="H383" s="181">
        <v>0</v>
      </c>
      <c r="I383" s="181">
        <v>0</v>
      </c>
      <c r="J383" s="181">
        <v>0</v>
      </c>
      <c r="K383" s="181">
        <v>0</v>
      </c>
      <c r="L383" s="181">
        <v>0</v>
      </c>
      <c r="M383" s="181">
        <v>0</v>
      </c>
      <c r="N383" s="181">
        <v>0</v>
      </c>
      <c r="O383" s="181">
        <v>0</v>
      </c>
      <c r="P383" s="181">
        <v>0</v>
      </c>
      <c r="Q383" s="181">
        <v>0</v>
      </c>
      <c r="R383" s="181">
        <v>0</v>
      </c>
      <c r="S383" s="181">
        <v>3608425</v>
      </c>
      <c r="T383" s="181">
        <v>0</v>
      </c>
      <c r="U383" s="181">
        <v>3608425</v>
      </c>
      <c r="V383" s="181">
        <v>0</v>
      </c>
      <c r="W383" s="181">
        <v>0</v>
      </c>
      <c r="X383" s="181">
        <v>0</v>
      </c>
      <c r="Y383" s="181">
        <v>0</v>
      </c>
      <c r="Z383" s="181">
        <v>0</v>
      </c>
      <c r="AA383" s="181">
        <v>0</v>
      </c>
      <c r="AB383" s="181">
        <v>3608425</v>
      </c>
      <c r="AC383" s="181">
        <v>0</v>
      </c>
      <c r="AD383" s="1180">
        <v>3608425</v>
      </c>
      <c r="AE383" s="1180">
        <v>3608425</v>
      </c>
      <c r="AF383" s="181">
        <v>0</v>
      </c>
      <c r="AG383" s="181">
        <v>0</v>
      </c>
      <c r="AH383" s="181">
        <v>3608425</v>
      </c>
      <c r="AI383" s="181">
        <v>3608425</v>
      </c>
      <c r="AJ383" s="181">
        <v>0</v>
      </c>
      <c r="AK383" s="181">
        <v>3608425</v>
      </c>
      <c r="AL383" s="181">
        <v>0</v>
      </c>
      <c r="AM383" s="181">
        <v>0</v>
      </c>
      <c r="AN383" s="181" t="s">
        <v>74</v>
      </c>
      <c r="AS383" s="181"/>
    </row>
    <row r="384" spans="1:45" ht="30" hidden="1" x14ac:dyDescent="0.25">
      <c r="A384" s="181">
        <v>318</v>
      </c>
      <c r="B384" s="181">
        <v>58</v>
      </c>
      <c r="C384" s="181" t="s">
        <v>1416</v>
      </c>
      <c r="D384" s="1179" t="s">
        <v>1259</v>
      </c>
      <c r="E384" s="181">
        <v>0</v>
      </c>
      <c r="F384" s="181">
        <v>0</v>
      </c>
      <c r="G384" s="181">
        <v>0</v>
      </c>
      <c r="H384" s="181">
        <v>0</v>
      </c>
      <c r="I384" s="181">
        <v>0</v>
      </c>
      <c r="J384" s="181">
        <v>0</v>
      </c>
      <c r="K384" s="181">
        <v>0</v>
      </c>
      <c r="L384" s="181">
        <v>0</v>
      </c>
      <c r="M384" s="181">
        <v>0</v>
      </c>
      <c r="N384" s="181">
        <v>0</v>
      </c>
      <c r="O384" s="181">
        <v>0</v>
      </c>
      <c r="P384" s="181">
        <v>0</v>
      </c>
      <c r="Q384" s="181">
        <v>0</v>
      </c>
      <c r="R384" s="181">
        <v>0</v>
      </c>
      <c r="S384" s="181">
        <v>1804212.5</v>
      </c>
      <c r="T384" s="181">
        <v>0</v>
      </c>
      <c r="U384" s="181">
        <v>1804212.5</v>
      </c>
      <c r="V384" s="181">
        <v>0</v>
      </c>
      <c r="W384" s="181">
        <v>0</v>
      </c>
      <c r="X384" s="181">
        <v>0</v>
      </c>
      <c r="Y384" s="181">
        <v>0</v>
      </c>
      <c r="Z384" s="181">
        <v>0</v>
      </c>
      <c r="AA384" s="181">
        <v>0</v>
      </c>
      <c r="AB384" s="181">
        <v>1804212.5</v>
      </c>
      <c r="AC384" s="181">
        <v>0</v>
      </c>
      <c r="AD384" s="1180">
        <v>1804212.5</v>
      </c>
      <c r="AE384" s="1180">
        <v>1804212.5</v>
      </c>
      <c r="AF384" s="181">
        <v>0</v>
      </c>
      <c r="AG384" s="181">
        <v>0</v>
      </c>
      <c r="AH384" s="181">
        <v>1804212.5</v>
      </c>
      <c r="AI384" s="181">
        <v>1804212.5</v>
      </c>
      <c r="AJ384" s="181">
        <v>0</v>
      </c>
      <c r="AK384" s="181">
        <v>1804212.5</v>
      </c>
      <c r="AL384" s="181">
        <v>0</v>
      </c>
      <c r="AM384" s="181">
        <v>0</v>
      </c>
      <c r="AN384" s="181" t="s">
        <v>175</v>
      </c>
      <c r="AS384" s="181"/>
    </row>
    <row r="385" spans="1:45" ht="30" hidden="1" x14ac:dyDescent="0.25">
      <c r="A385" s="181">
        <v>318</v>
      </c>
      <c r="B385" s="181">
        <v>72</v>
      </c>
      <c r="C385" s="181" t="s">
        <v>1417</v>
      </c>
      <c r="D385" s="1179" t="s">
        <v>1259</v>
      </c>
      <c r="E385" s="181">
        <v>0</v>
      </c>
      <c r="F385" s="181">
        <v>0</v>
      </c>
      <c r="G385" s="181">
        <v>0</v>
      </c>
      <c r="H385" s="181">
        <v>0</v>
      </c>
      <c r="I385" s="181">
        <v>0</v>
      </c>
      <c r="J385" s="181">
        <v>0</v>
      </c>
      <c r="K385" s="181">
        <v>0</v>
      </c>
      <c r="L385" s="181">
        <v>0</v>
      </c>
      <c r="M385" s="181">
        <v>0</v>
      </c>
      <c r="N385" s="181">
        <v>0</v>
      </c>
      <c r="O385" s="181">
        <v>0</v>
      </c>
      <c r="P385" s="181">
        <v>0</v>
      </c>
      <c r="Q385" s="181">
        <v>0</v>
      </c>
      <c r="R385" s="181">
        <v>0</v>
      </c>
      <c r="S385" s="181">
        <v>1804212.5</v>
      </c>
      <c r="T385" s="181">
        <v>0</v>
      </c>
      <c r="U385" s="181">
        <v>1804212.5</v>
      </c>
      <c r="V385" s="181">
        <v>0</v>
      </c>
      <c r="W385" s="181">
        <v>0</v>
      </c>
      <c r="X385" s="181">
        <v>0</v>
      </c>
      <c r="Y385" s="181">
        <v>0</v>
      </c>
      <c r="Z385" s="181">
        <v>0</v>
      </c>
      <c r="AA385" s="181">
        <v>0</v>
      </c>
      <c r="AB385" s="181">
        <v>1804212.5</v>
      </c>
      <c r="AC385" s="181">
        <v>0</v>
      </c>
      <c r="AD385" s="1180">
        <v>1804212.5</v>
      </c>
      <c r="AE385" s="1180">
        <v>1804212.5</v>
      </c>
      <c r="AF385" s="181">
        <v>0</v>
      </c>
      <c r="AG385" s="181">
        <v>0</v>
      </c>
      <c r="AH385" s="181">
        <v>1804212.5</v>
      </c>
      <c r="AI385" s="181">
        <v>1804212.5</v>
      </c>
      <c r="AJ385" s="181">
        <v>0</v>
      </c>
      <c r="AK385" s="181">
        <v>1804212.5</v>
      </c>
      <c r="AL385" s="181">
        <v>0</v>
      </c>
      <c r="AM385" s="181">
        <v>0</v>
      </c>
      <c r="AN385" s="181" t="s">
        <v>187</v>
      </c>
      <c r="AS385" s="181"/>
    </row>
    <row r="386" spans="1:45" hidden="1" x14ac:dyDescent="0.25">
      <c r="A386" s="181">
        <v>318</v>
      </c>
      <c r="B386" s="181" t="s">
        <v>226</v>
      </c>
      <c r="C386" s="181" t="s">
        <v>837</v>
      </c>
      <c r="D386" s="1179" t="s">
        <v>517</v>
      </c>
      <c r="E386" s="181">
        <v>400715436</v>
      </c>
      <c r="F386" s="181">
        <v>400715436</v>
      </c>
      <c r="G386" s="181">
        <v>10415653476.200001</v>
      </c>
      <c r="H386" s="181">
        <v>9062908</v>
      </c>
      <c r="I386" s="181">
        <v>10406590568.200001</v>
      </c>
      <c r="J386" s="181">
        <v>10415653476.200001</v>
      </c>
      <c r="K386" s="181">
        <v>9062908</v>
      </c>
      <c r="L386" s="181">
        <v>10807306004.200001</v>
      </c>
      <c r="M386" s="181">
        <v>0</v>
      </c>
      <c r="N386" s="181">
        <v>0</v>
      </c>
      <c r="O386" s="181">
        <v>0</v>
      </c>
      <c r="P386" s="181">
        <v>0</v>
      </c>
      <c r="Q386" s="181">
        <v>0</v>
      </c>
      <c r="R386" s="181">
        <v>0</v>
      </c>
      <c r="S386" s="181">
        <v>12065924462.41</v>
      </c>
      <c r="T386" s="181">
        <v>13430067.4</v>
      </c>
      <c r="U386" s="181">
        <v>12052494395.01</v>
      </c>
      <c r="V386" s="181">
        <v>0</v>
      </c>
      <c r="W386" s="181">
        <v>0</v>
      </c>
      <c r="X386" s="181">
        <v>0</v>
      </c>
      <c r="Y386" s="181">
        <v>0</v>
      </c>
      <c r="Z386" s="181">
        <v>0</v>
      </c>
      <c r="AA386" s="181">
        <v>0</v>
      </c>
      <c r="AB386" s="181">
        <v>12065924462.41</v>
      </c>
      <c r="AC386" s="181">
        <v>13430067.4</v>
      </c>
      <c r="AD386" s="1180">
        <v>12052494395.01</v>
      </c>
      <c r="AE386" s="1180">
        <v>12052494395.01</v>
      </c>
      <c r="AF386" s="181">
        <v>11829097704.52</v>
      </c>
      <c r="AG386" s="181">
        <v>11829097704.52</v>
      </c>
      <c r="AH386" s="181">
        <v>223396690.49000001</v>
      </c>
      <c r="AI386" s="181">
        <v>236826757.88999999</v>
      </c>
      <c r="AJ386" s="181">
        <v>13430067.4</v>
      </c>
      <c r="AK386" s="181">
        <v>236826757.88999999</v>
      </c>
      <c r="AL386" s="181">
        <v>0</v>
      </c>
      <c r="AM386" s="181">
        <v>13430067.4</v>
      </c>
      <c r="AN386" s="181" t="s">
        <v>1709</v>
      </c>
      <c r="AS386" s="181"/>
    </row>
    <row r="387" spans="1:45" hidden="1" x14ac:dyDescent="0.25">
      <c r="A387" s="181">
        <v>318</v>
      </c>
      <c r="B387" s="181" t="s">
        <v>226</v>
      </c>
      <c r="C387" s="181" t="s">
        <v>838</v>
      </c>
      <c r="D387" s="1179" t="s">
        <v>529</v>
      </c>
      <c r="E387" s="181">
        <v>7000000</v>
      </c>
      <c r="F387" s="181">
        <v>7000000</v>
      </c>
      <c r="G387" s="181">
        <v>0</v>
      </c>
      <c r="H387" s="181">
        <v>0</v>
      </c>
      <c r="I387" s="181">
        <v>0</v>
      </c>
      <c r="J387" s="181">
        <v>0</v>
      </c>
      <c r="K387" s="181">
        <v>0</v>
      </c>
      <c r="L387" s="181">
        <v>7000000</v>
      </c>
      <c r="M387" s="181">
        <v>0</v>
      </c>
      <c r="N387" s="181">
        <v>0</v>
      </c>
      <c r="O387" s="181">
        <v>0</v>
      </c>
      <c r="P387" s="181">
        <v>0</v>
      </c>
      <c r="Q387" s="181">
        <v>0</v>
      </c>
      <c r="R387" s="181">
        <v>0</v>
      </c>
      <c r="S387" s="181">
        <v>236826757.88999999</v>
      </c>
      <c r="T387" s="181">
        <v>13430067.4</v>
      </c>
      <c r="U387" s="181">
        <v>223396690.49000001</v>
      </c>
      <c r="V387" s="181">
        <v>0</v>
      </c>
      <c r="W387" s="181">
        <v>0</v>
      </c>
      <c r="X387" s="181">
        <v>0</v>
      </c>
      <c r="Y387" s="181">
        <v>0</v>
      </c>
      <c r="Z387" s="181">
        <v>0</v>
      </c>
      <c r="AA387" s="181">
        <v>0</v>
      </c>
      <c r="AB387" s="181">
        <v>236826757.88999999</v>
      </c>
      <c r="AC387" s="181">
        <v>13430067.4</v>
      </c>
      <c r="AD387" s="1180">
        <v>223396690.49000001</v>
      </c>
      <c r="AE387" s="1180">
        <v>223396690.49000001</v>
      </c>
      <c r="AF387" s="181">
        <v>0</v>
      </c>
      <c r="AG387" s="181">
        <v>0</v>
      </c>
      <c r="AH387" s="181">
        <v>223396690.49000001</v>
      </c>
      <c r="AI387" s="181">
        <v>236826757.88999999</v>
      </c>
      <c r="AJ387" s="181">
        <v>13430067.4</v>
      </c>
      <c r="AK387" s="181">
        <v>236826757.88999999</v>
      </c>
      <c r="AL387" s="181">
        <v>0</v>
      </c>
      <c r="AM387" s="181">
        <v>13430067.4</v>
      </c>
      <c r="AN387" s="181" t="s">
        <v>1709</v>
      </c>
      <c r="AS387" s="181"/>
    </row>
    <row r="388" spans="1:45" hidden="1" x14ac:dyDescent="0.25">
      <c r="A388" s="181">
        <v>318</v>
      </c>
      <c r="B388" s="181" t="s">
        <v>226</v>
      </c>
      <c r="C388" s="181" t="s">
        <v>839</v>
      </c>
      <c r="D388" s="1179" t="s">
        <v>531</v>
      </c>
      <c r="E388" s="181">
        <v>7000000</v>
      </c>
      <c r="F388" s="181">
        <v>7000000</v>
      </c>
      <c r="G388" s="181">
        <v>0</v>
      </c>
      <c r="H388" s="181">
        <v>0</v>
      </c>
      <c r="I388" s="181">
        <v>0</v>
      </c>
      <c r="J388" s="181">
        <v>0</v>
      </c>
      <c r="K388" s="181">
        <v>0</v>
      </c>
      <c r="L388" s="181">
        <v>7000000</v>
      </c>
      <c r="M388" s="181">
        <v>0</v>
      </c>
      <c r="N388" s="181">
        <v>0</v>
      </c>
      <c r="O388" s="181">
        <v>0</v>
      </c>
      <c r="P388" s="181">
        <v>0</v>
      </c>
      <c r="Q388" s="181">
        <v>0</v>
      </c>
      <c r="R388" s="181">
        <v>0</v>
      </c>
      <c r="S388" s="181">
        <v>236826757.88999999</v>
      </c>
      <c r="T388" s="181">
        <v>13430067.4</v>
      </c>
      <c r="U388" s="181">
        <v>223396690.49000001</v>
      </c>
      <c r="V388" s="181">
        <v>0</v>
      </c>
      <c r="W388" s="181">
        <v>0</v>
      </c>
      <c r="X388" s="181">
        <v>0</v>
      </c>
      <c r="Y388" s="181">
        <v>0</v>
      </c>
      <c r="Z388" s="181">
        <v>0</v>
      </c>
      <c r="AA388" s="181">
        <v>0</v>
      </c>
      <c r="AB388" s="181">
        <v>236826757.88999999</v>
      </c>
      <c r="AC388" s="181">
        <v>13430067.4</v>
      </c>
      <c r="AD388" s="1180">
        <v>223396690.49000001</v>
      </c>
      <c r="AE388" s="1180">
        <v>223396690.49000001</v>
      </c>
      <c r="AF388" s="181">
        <v>0</v>
      </c>
      <c r="AG388" s="181">
        <v>0</v>
      </c>
      <c r="AH388" s="181">
        <v>223396690.49000001</v>
      </c>
      <c r="AI388" s="181">
        <v>236826757.88999999</v>
      </c>
      <c r="AJ388" s="181">
        <v>13430067.4</v>
      </c>
      <c r="AK388" s="181">
        <v>236826757.88999999</v>
      </c>
      <c r="AL388" s="181">
        <v>0</v>
      </c>
      <c r="AM388" s="181">
        <v>13430067.4</v>
      </c>
      <c r="AN388" s="181" t="s">
        <v>1709</v>
      </c>
      <c r="AS388" s="181"/>
    </row>
    <row r="389" spans="1:45" ht="30" x14ac:dyDescent="0.25">
      <c r="A389" s="181">
        <v>318</v>
      </c>
      <c r="B389" s="181">
        <v>63</v>
      </c>
      <c r="C389" s="181" t="s">
        <v>1418</v>
      </c>
      <c r="D389" s="1179" t="s">
        <v>1419</v>
      </c>
      <c r="E389" s="181">
        <v>1000000</v>
      </c>
      <c r="F389" s="181">
        <v>1000000</v>
      </c>
      <c r="G389" s="181">
        <v>0</v>
      </c>
      <c r="H389" s="181">
        <v>0</v>
      </c>
      <c r="I389" s="181">
        <v>0</v>
      </c>
      <c r="J389" s="181">
        <v>0</v>
      </c>
      <c r="K389" s="181">
        <v>0</v>
      </c>
      <c r="L389" s="181">
        <v>1000000</v>
      </c>
      <c r="M389" s="181">
        <v>0</v>
      </c>
      <c r="N389" s="181">
        <v>0</v>
      </c>
      <c r="O389" s="181">
        <v>0</v>
      </c>
      <c r="P389" s="181">
        <v>0</v>
      </c>
      <c r="Q389" s="181">
        <v>0</v>
      </c>
      <c r="R389" s="181">
        <v>0</v>
      </c>
      <c r="S389" s="181">
        <v>1107493.71</v>
      </c>
      <c r="T389" s="181">
        <v>0</v>
      </c>
      <c r="U389" s="181">
        <v>1107493.71</v>
      </c>
      <c r="V389" s="181">
        <v>0</v>
      </c>
      <c r="W389" s="181">
        <v>0</v>
      </c>
      <c r="X389" s="181">
        <v>0</v>
      </c>
      <c r="Y389" s="181">
        <v>0</v>
      </c>
      <c r="Z389" s="181">
        <v>0</v>
      </c>
      <c r="AA389" s="181">
        <v>0</v>
      </c>
      <c r="AB389" s="181">
        <v>1107493.71</v>
      </c>
      <c r="AC389" s="181">
        <v>0</v>
      </c>
      <c r="AD389" s="1180">
        <v>1107493.71</v>
      </c>
      <c r="AE389" s="1183">
        <v>1107493.71</v>
      </c>
      <c r="AF389" s="181">
        <v>0</v>
      </c>
      <c r="AG389" s="181">
        <v>0</v>
      </c>
      <c r="AH389" s="181">
        <v>1107493.71</v>
      </c>
      <c r="AI389" s="181">
        <v>1107493.71</v>
      </c>
      <c r="AJ389" s="181">
        <v>0</v>
      </c>
      <c r="AK389" s="181">
        <v>1107493.71</v>
      </c>
      <c r="AL389" s="181">
        <v>0</v>
      </c>
      <c r="AM389" s="181">
        <v>0</v>
      </c>
      <c r="AN389" s="181" t="s">
        <v>181</v>
      </c>
    </row>
    <row r="390" spans="1:45" x14ac:dyDescent="0.25">
      <c r="A390" s="181">
        <v>318</v>
      </c>
      <c r="B390" s="181">
        <v>58</v>
      </c>
      <c r="C390" s="181" t="s">
        <v>1420</v>
      </c>
      <c r="D390" s="1179" t="s">
        <v>1421</v>
      </c>
      <c r="E390" s="181">
        <v>1000000</v>
      </c>
      <c r="F390" s="181">
        <v>1000000</v>
      </c>
      <c r="G390" s="181">
        <v>0</v>
      </c>
      <c r="H390" s="181">
        <v>0</v>
      </c>
      <c r="I390" s="181">
        <v>0</v>
      </c>
      <c r="J390" s="181">
        <v>0</v>
      </c>
      <c r="K390" s="181">
        <v>0</v>
      </c>
      <c r="L390" s="181">
        <v>1000000</v>
      </c>
      <c r="M390" s="181">
        <v>0</v>
      </c>
      <c r="N390" s="181">
        <v>0</v>
      </c>
      <c r="O390" s="181">
        <v>0</v>
      </c>
      <c r="P390" s="181">
        <v>0</v>
      </c>
      <c r="Q390" s="181">
        <v>0</v>
      </c>
      <c r="R390" s="181">
        <v>0</v>
      </c>
      <c r="S390" s="181">
        <v>81646374.129999995</v>
      </c>
      <c r="T390" s="181">
        <v>0</v>
      </c>
      <c r="U390" s="181">
        <v>81646374.129999995</v>
      </c>
      <c r="V390" s="181">
        <v>0</v>
      </c>
      <c r="W390" s="181">
        <v>0</v>
      </c>
      <c r="X390" s="181">
        <v>0</v>
      </c>
      <c r="Y390" s="181">
        <v>0</v>
      </c>
      <c r="Z390" s="181">
        <v>0</v>
      </c>
      <c r="AA390" s="181">
        <v>0</v>
      </c>
      <c r="AB390" s="181">
        <v>81646374.129999995</v>
      </c>
      <c r="AC390" s="181">
        <v>0</v>
      </c>
      <c r="AD390" s="1180">
        <v>81646374.129999995</v>
      </c>
      <c r="AE390" s="1183">
        <v>81646374.129999995</v>
      </c>
      <c r="AF390" s="181">
        <v>0</v>
      </c>
      <c r="AG390" s="181">
        <v>0</v>
      </c>
      <c r="AH390" s="181">
        <v>81646374.129999995</v>
      </c>
      <c r="AI390" s="181">
        <v>81646374.129999995</v>
      </c>
      <c r="AJ390" s="181">
        <v>0</v>
      </c>
      <c r="AK390" s="181">
        <v>81646374.129999995</v>
      </c>
      <c r="AL390" s="181">
        <v>0</v>
      </c>
      <c r="AM390" s="181">
        <v>0</v>
      </c>
      <c r="AN390" s="181" t="s">
        <v>175</v>
      </c>
    </row>
    <row r="391" spans="1:45" x14ac:dyDescent="0.25">
      <c r="A391" s="181">
        <v>318</v>
      </c>
      <c r="B391" s="181">
        <v>72</v>
      </c>
      <c r="C391" s="181" t="s">
        <v>1422</v>
      </c>
      <c r="D391" s="1179" t="s">
        <v>1421</v>
      </c>
      <c r="E391" s="181">
        <v>1000000</v>
      </c>
      <c r="F391" s="181">
        <v>1000000</v>
      </c>
      <c r="G391" s="181">
        <v>0</v>
      </c>
      <c r="H391" s="181">
        <v>0</v>
      </c>
      <c r="I391" s="181">
        <v>0</v>
      </c>
      <c r="J391" s="181">
        <v>0</v>
      </c>
      <c r="K391" s="181">
        <v>0</v>
      </c>
      <c r="L391" s="181">
        <v>1000000</v>
      </c>
      <c r="M391" s="181">
        <v>0</v>
      </c>
      <c r="N391" s="181">
        <v>0</v>
      </c>
      <c r="O391" s="181">
        <v>0</v>
      </c>
      <c r="P391" s="181">
        <v>0</v>
      </c>
      <c r="Q391" s="181">
        <v>0</v>
      </c>
      <c r="R391" s="181">
        <v>0</v>
      </c>
      <c r="S391" s="181">
        <v>5202126.55</v>
      </c>
      <c r="T391" s="181">
        <v>0</v>
      </c>
      <c r="U391" s="181">
        <v>5202126.55</v>
      </c>
      <c r="V391" s="181">
        <v>0</v>
      </c>
      <c r="W391" s="181">
        <v>0</v>
      </c>
      <c r="X391" s="181">
        <v>0</v>
      </c>
      <c r="Y391" s="181">
        <v>0</v>
      </c>
      <c r="Z391" s="181">
        <v>0</v>
      </c>
      <c r="AA391" s="181">
        <v>0</v>
      </c>
      <c r="AB391" s="181">
        <v>5202126.55</v>
      </c>
      <c r="AC391" s="181">
        <v>0</v>
      </c>
      <c r="AD391" s="1180">
        <v>5202126.55</v>
      </c>
      <c r="AE391" s="1183">
        <v>5202126.55</v>
      </c>
      <c r="AF391" s="181">
        <v>0</v>
      </c>
      <c r="AG391" s="181">
        <v>0</v>
      </c>
      <c r="AH391" s="181">
        <v>5202126.55</v>
      </c>
      <c r="AI391" s="181">
        <v>5202126.55</v>
      </c>
      <c r="AJ391" s="181">
        <v>0</v>
      </c>
      <c r="AK391" s="181">
        <v>5202126.55</v>
      </c>
      <c r="AL391" s="181">
        <v>0</v>
      </c>
      <c r="AM391" s="181">
        <v>0</v>
      </c>
      <c r="AN391" s="181" t="s">
        <v>187</v>
      </c>
    </row>
    <row r="392" spans="1:45" ht="30" x14ac:dyDescent="0.25">
      <c r="A392" s="181">
        <v>318</v>
      </c>
      <c r="B392" s="181">
        <v>171</v>
      </c>
      <c r="C392" s="181" t="s">
        <v>1423</v>
      </c>
      <c r="D392" s="1179" t="s">
        <v>1424</v>
      </c>
      <c r="E392" s="181">
        <v>1000000</v>
      </c>
      <c r="F392" s="181">
        <v>1000000</v>
      </c>
      <c r="G392" s="181">
        <v>0</v>
      </c>
      <c r="H392" s="181">
        <v>0</v>
      </c>
      <c r="I392" s="181">
        <v>0</v>
      </c>
      <c r="J392" s="181">
        <v>0</v>
      </c>
      <c r="K392" s="181">
        <v>0</v>
      </c>
      <c r="L392" s="181">
        <v>1000000</v>
      </c>
      <c r="M392" s="181">
        <v>0</v>
      </c>
      <c r="N392" s="181">
        <v>0</v>
      </c>
      <c r="O392" s="181">
        <v>0</v>
      </c>
      <c r="P392" s="181">
        <v>0</v>
      </c>
      <c r="Q392" s="181">
        <v>0</v>
      </c>
      <c r="R392" s="181">
        <v>0</v>
      </c>
      <c r="S392" s="181">
        <v>26830406.100000001</v>
      </c>
      <c r="T392" s="181">
        <v>0</v>
      </c>
      <c r="U392" s="181">
        <v>26830406.100000001</v>
      </c>
      <c r="V392" s="181">
        <v>0</v>
      </c>
      <c r="W392" s="181">
        <v>0</v>
      </c>
      <c r="X392" s="181">
        <v>0</v>
      </c>
      <c r="Y392" s="181">
        <v>0</v>
      </c>
      <c r="Z392" s="181">
        <v>0</v>
      </c>
      <c r="AA392" s="181">
        <v>0</v>
      </c>
      <c r="AB392" s="181">
        <v>26830406.100000001</v>
      </c>
      <c r="AC392" s="181">
        <v>0</v>
      </c>
      <c r="AD392" s="1180">
        <v>26830406.100000001</v>
      </c>
      <c r="AE392" s="1183">
        <v>26830406.100000001</v>
      </c>
      <c r="AF392" s="181">
        <v>0</v>
      </c>
      <c r="AG392" s="181">
        <v>0</v>
      </c>
      <c r="AH392" s="181">
        <v>26830406.100000001</v>
      </c>
      <c r="AI392" s="181">
        <v>26830406.100000001</v>
      </c>
      <c r="AJ392" s="181">
        <v>0</v>
      </c>
      <c r="AK392" s="181">
        <v>26830406.100000001</v>
      </c>
      <c r="AL392" s="181">
        <v>0</v>
      </c>
      <c r="AM392" s="181">
        <v>0</v>
      </c>
      <c r="AN392" s="181" t="s">
        <v>86</v>
      </c>
    </row>
    <row r="393" spans="1:45" x14ac:dyDescent="0.25">
      <c r="A393" s="181">
        <v>318</v>
      </c>
      <c r="B393" s="181">
        <v>61</v>
      </c>
      <c r="C393" s="181" t="s">
        <v>1425</v>
      </c>
      <c r="D393" s="1179" t="s">
        <v>1426</v>
      </c>
      <c r="E393" s="181">
        <v>3000000</v>
      </c>
      <c r="F393" s="181">
        <v>3000000</v>
      </c>
      <c r="G393" s="181">
        <v>0</v>
      </c>
      <c r="H393" s="181">
        <v>0</v>
      </c>
      <c r="I393" s="181">
        <v>0</v>
      </c>
      <c r="J393" s="181">
        <v>0</v>
      </c>
      <c r="K393" s="181">
        <v>0</v>
      </c>
      <c r="L393" s="181">
        <v>3000000</v>
      </c>
      <c r="M393" s="181">
        <v>0</v>
      </c>
      <c r="N393" s="181">
        <v>0</v>
      </c>
      <c r="O393" s="181">
        <v>0</v>
      </c>
      <c r="P393" s="181">
        <v>0</v>
      </c>
      <c r="Q393" s="181">
        <v>0</v>
      </c>
      <c r="R393" s="181">
        <v>0</v>
      </c>
      <c r="S393" s="181">
        <v>105629190.52</v>
      </c>
      <c r="T393" s="181">
        <v>13426062.92</v>
      </c>
      <c r="U393" s="181">
        <v>92203127.599999994</v>
      </c>
      <c r="V393" s="181">
        <v>0</v>
      </c>
      <c r="W393" s="181">
        <v>0</v>
      </c>
      <c r="X393" s="181">
        <v>0</v>
      </c>
      <c r="Y393" s="181">
        <v>0</v>
      </c>
      <c r="Z393" s="181">
        <v>0</v>
      </c>
      <c r="AA393" s="181">
        <v>0</v>
      </c>
      <c r="AB393" s="181">
        <v>105629190.52</v>
      </c>
      <c r="AC393" s="181">
        <v>13426062.92</v>
      </c>
      <c r="AD393" s="1180">
        <v>92203127.599999994</v>
      </c>
      <c r="AE393" s="1183">
        <v>92203127.599999994</v>
      </c>
      <c r="AF393" s="181">
        <v>0</v>
      </c>
      <c r="AG393" s="181">
        <v>0</v>
      </c>
      <c r="AH393" s="181">
        <v>92203127.599999994</v>
      </c>
      <c r="AI393" s="181">
        <v>105629190.52</v>
      </c>
      <c r="AJ393" s="181">
        <v>13426062.92</v>
      </c>
      <c r="AK393" s="181">
        <v>105629190.52</v>
      </c>
      <c r="AL393" s="181">
        <v>0</v>
      </c>
      <c r="AM393" s="181">
        <v>13426062.92</v>
      </c>
      <c r="AN393" s="181" t="s">
        <v>179</v>
      </c>
    </row>
    <row r="394" spans="1:45" ht="30" hidden="1" x14ac:dyDescent="0.25">
      <c r="A394" s="181">
        <v>318</v>
      </c>
      <c r="B394" s="181">
        <v>161</v>
      </c>
      <c r="C394" s="181" t="s">
        <v>1427</v>
      </c>
      <c r="D394" s="1179" t="s">
        <v>1428</v>
      </c>
      <c r="E394" s="181">
        <v>0</v>
      </c>
      <c r="F394" s="181">
        <v>0</v>
      </c>
      <c r="G394" s="181">
        <v>0</v>
      </c>
      <c r="H394" s="181">
        <v>0</v>
      </c>
      <c r="I394" s="181">
        <v>0</v>
      </c>
      <c r="J394" s="181">
        <v>0</v>
      </c>
      <c r="K394" s="181">
        <v>0</v>
      </c>
      <c r="L394" s="181">
        <v>0</v>
      </c>
      <c r="M394" s="181">
        <v>0</v>
      </c>
      <c r="N394" s="181">
        <v>0</v>
      </c>
      <c r="O394" s="181">
        <v>0</v>
      </c>
      <c r="P394" s="181">
        <v>0</v>
      </c>
      <c r="Q394" s="181">
        <v>0</v>
      </c>
      <c r="R394" s="181">
        <v>0</v>
      </c>
      <c r="S394" s="181">
        <v>21681.86</v>
      </c>
      <c r="T394" s="181">
        <v>2613.48</v>
      </c>
      <c r="U394" s="181">
        <v>19068.38</v>
      </c>
      <c r="V394" s="181">
        <v>0</v>
      </c>
      <c r="W394" s="181">
        <v>0</v>
      </c>
      <c r="X394" s="181">
        <v>0</v>
      </c>
      <c r="Y394" s="181">
        <v>0</v>
      </c>
      <c r="Z394" s="181">
        <v>0</v>
      </c>
      <c r="AA394" s="181">
        <v>0</v>
      </c>
      <c r="AB394" s="181">
        <v>21681.86</v>
      </c>
      <c r="AC394" s="181">
        <v>2613.48</v>
      </c>
      <c r="AD394" s="1180">
        <v>19068.38</v>
      </c>
      <c r="AE394" s="1180">
        <v>19068.38</v>
      </c>
      <c r="AF394" s="181">
        <v>0</v>
      </c>
      <c r="AG394" s="181">
        <v>0</v>
      </c>
      <c r="AH394" s="181">
        <v>19068.38</v>
      </c>
      <c r="AI394" s="181">
        <v>21681.86</v>
      </c>
      <c r="AJ394" s="181">
        <v>2613.48</v>
      </c>
      <c r="AK394" s="181">
        <v>21681.86</v>
      </c>
      <c r="AL394" s="181">
        <v>0</v>
      </c>
      <c r="AM394" s="181">
        <v>2613.48</v>
      </c>
      <c r="AN394" s="181" t="s">
        <v>1749</v>
      </c>
      <c r="AS394" s="181"/>
    </row>
    <row r="395" spans="1:45" ht="45" hidden="1" x14ac:dyDescent="0.25">
      <c r="A395" s="181">
        <v>318</v>
      </c>
      <c r="B395" s="181">
        <v>102</v>
      </c>
      <c r="C395" s="181" t="s">
        <v>1429</v>
      </c>
      <c r="D395" s="1179" t="s">
        <v>1430</v>
      </c>
      <c r="E395" s="181">
        <v>0</v>
      </c>
      <c r="F395" s="181">
        <v>0</v>
      </c>
      <c r="G395" s="181">
        <v>0</v>
      </c>
      <c r="H395" s="181">
        <v>0</v>
      </c>
      <c r="I395" s="181">
        <v>0</v>
      </c>
      <c r="J395" s="181">
        <v>0</v>
      </c>
      <c r="K395" s="181">
        <v>0</v>
      </c>
      <c r="L395" s="181">
        <v>0</v>
      </c>
      <c r="M395" s="181">
        <v>0</v>
      </c>
      <c r="N395" s="181">
        <v>0</v>
      </c>
      <c r="O395" s="181">
        <v>0</v>
      </c>
      <c r="P395" s="181">
        <v>0</v>
      </c>
      <c r="Q395" s="181">
        <v>0</v>
      </c>
      <c r="R395" s="181">
        <v>0</v>
      </c>
      <c r="S395" s="181">
        <v>1095.6300000000001</v>
      </c>
      <c r="T395" s="181">
        <v>0</v>
      </c>
      <c r="U395" s="181">
        <v>1095.6300000000001</v>
      </c>
      <c r="V395" s="181">
        <v>0</v>
      </c>
      <c r="W395" s="181">
        <v>0</v>
      </c>
      <c r="X395" s="181">
        <v>0</v>
      </c>
      <c r="Y395" s="181">
        <v>0</v>
      </c>
      <c r="Z395" s="181">
        <v>0</v>
      </c>
      <c r="AA395" s="181">
        <v>0</v>
      </c>
      <c r="AB395" s="181">
        <v>1095.6300000000001</v>
      </c>
      <c r="AC395" s="181">
        <v>0</v>
      </c>
      <c r="AD395" s="1180">
        <v>1095.6300000000001</v>
      </c>
      <c r="AE395" s="1180">
        <v>1095.6300000000001</v>
      </c>
      <c r="AF395" s="181">
        <v>0</v>
      </c>
      <c r="AG395" s="181">
        <v>0</v>
      </c>
      <c r="AH395" s="181">
        <v>1095.6300000000001</v>
      </c>
      <c r="AI395" s="181">
        <v>1095.6300000000001</v>
      </c>
      <c r="AJ395" s="181">
        <v>0</v>
      </c>
      <c r="AK395" s="181">
        <v>1095.6300000000001</v>
      </c>
      <c r="AL395" s="181">
        <v>0</v>
      </c>
      <c r="AM395" s="181">
        <v>0</v>
      </c>
      <c r="AN395" s="181" t="s">
        <v>1750</v>
      </c>
      <c r="AS395" s="181"/>
    </row>
    <row r="396" spans="1:45" ht="30" hidden="1" x14ac:dyDescent="0.25">
      <c r="A396" s="181">
        <v>318</v>
      </c>
      <c r="B396" s="181">
        <v>152</v>
      </c>
      <c r="C396" s="181" t="s">
        <v>1431</v>
      </c>
      <c r="D396" s="1179" t="s">
        <v>1432</v>
      </c>
      <c r="E396" s="181">
        <v>0</v>
      </c>
      <c r="F396" s="181">
        <v>0</v>
      </c>
      <c r="G396" s="181">
        <v>0</v>
      </c>
      <c r="H396" s="181">
        <v>0</v>
      </c>
      <c r="I396" s="181">
        <v>0</v>
      </c>
      <c r="J396" s="181">
        <v>0</v>
      </c>
      <c r="K396" s="181">
        <v>0</v>
      </c>
      <c r="L396" s="181">
        <v>0</v>
      </c>
      <c r="M396" s="181">
        <v>0</v>
      </c>
      <c r="N396" s="181">
        <v>0</v>
      </c>
      <c r="O396" s="181">
        <v>0</v>
      </c>
      <c r="P396" s="181">
        <v>0</v>
      </c>
      <c r="Q396" s="181">
        <v>0</v>
      </c>
      <c r="R396" s="181">
        <v>0</v>
      </c>
      <c r="S396" s="181">
        <v>364.09</v>
      </c>
      <c r="T396" s="181">
        <v>0</v>
      </c>
      <c r="U396" s="181">
        <v>364.09</v>
      </c>
      <c r="V396" s="181">
        <v>0</v>
      </c>
      <c r="W396" s="181">
        <v>0</v>
      </c>
      <c r="X396" s="181">
        <v>0</v>
      </c>
      <c r="Y396" s="181">
        <v>0</v>
      </c>
      <c r="Z396" s="181">
        <v>0</v>
      </c>
      <c r="AA396" s="181">
        <v>0</v>
      </c>
      <c r="AB396" s="181">
        <v>364.09</v>
      </c>
      <c r="AC396" s="181">
        <v>0</v>
      </c>
      <c r="AD396" s="1180">
        <v>364.09</v>
      </c>
      <c r="AE396" s="1180">
        <v>364.09</v>
      </c>
      <c r="AF396" s="181">
        <v>0</v>
      </c>
      <c r="AG396" s="181">
        <v>0</v>
      </c>
      <c r="AH396" s="181">
        <v>364.09</v>
      </c>
      <c r="AI396" s="181">
        <v>364.09</v>
      </c>
      <c r="AJ396" s="181">
        <v>0</v>
      </c>
      <c r="AK396" s="181">
        <v>364.09</v>
      </c>
      <c r="AL396" s="181">
        <v>0</v>
      </c>
      <c r="AM396" s="181">
        <v>0</v>
      </c>
      <c r="AN396" s="181" t="s">
        <v>72</v>
      </c>
      <c r="AS396" s="181"/>
    </row>
    <row r="397" spans="1:45" hidden="1" x14ac:dyDescent="0.25">
      <c r="A397" s="181">
        <v>318</v>
      </c>
      <c r="B397" s="181">
        <v>154</v>
      </c>
      <c r="C397" s="181" t="s">
        <v>1433</v>
      </c>
      <c r="D397" s="1179" t="s">
        <v>1434</v>
      </c>
      <c r="E397" s="181">
        <v>0</v>
      </c>
      <c r="F397" s="181">
        <v>0</v>
      </c>
      <c r="G397" s="181">
        <v>0</v>
      </c>
      <c r="H397" s="181">
        <v>0</v>
      </c>
      <c r="I397" s="181">
        <v>0</v>
      </c>
      <c r="J397" s="181">
        <v>0</v>
      </c>
      <c r="K397" s="181">
        <v>0</v>
      </c>
      <c r="L397" s="181">
        <v>0</v>
      </c>
      <c r="M397" s="181">
        <v>0</v>
      </c>
      <c r="N397" s="181">
        <v>0</v>
      </c>
      <c r="O397" s="181">
        <v>0</v>
      </c>
      <c r="P397" s="181">
        <v>0</v>
      </c>
      <c r="Q397" s="181">
        <v>0</v>
      </c>
      <c r="R397" s="181">
        <v>0</v>
      </c>
      <c r="S397" s="181">
        <v>14203750.43</v>
      </c>
      <c r="T397" s="181">
        <v>1391</v>
      </c>
      <c r="U397" s="181">
        <v>14202359.43</v>
      </c>
      <c r="V397" s="181">
        <v>0</v>
      </c>
      <c r="W397" s="181">
        <v>0</v>
      </c>
      <c r="X397" s="181">
        <v>0</v>
      </c>
      <c r="Y397" s="181">
        <v>0</v>
      </c>
      <c r="Z397" s="181">
        <v>0</v>
      </c>
      <c r="AA397" s="181">
        <v>0</v>
      </c>
      <c r="AB397" s="181">
        <v>14203750.43</v>
      </c>
      <c r="AC397" s="181">
        <v>1391</v>
      </c>
      <c r="AD397" s="1180">
        <v>14202359.43</v>
      </c>
      <c r="AE397" s="1180">
        <v>14202359.43</v>
      </c>
      <c r="AF397" s="181">
        <v>0</v>
      </c>
      <c r="AG397" s="181">
        <v>0</v>
      </c>
      <c r="AH397" s="181">
        <v>14202359.43</v>
      </c>
      <c r="AI397" s="181">
        <v>14203750.43</v>
      </c>
      <c r="AJ397" s="181">
        <v>1391</v>
      </c>
      <c r="AK397" s="181">
        <v>14203750.43</v>
      </c>
      <c r="AL397" s="181">
        <v>0</v>
      </c>
      <c r="AM397" s="181">
        <v>1391</v>
      </c>
      <c r="AN397" s="181" t="s">
        <v>74</v>
      </c>
      <c r="AS397" s="181"/>
    </row>
    <row r="398" spans="1:45" hidden="1" x14ac:dyDescent="0.25">
      <c r="A398" s="181">
        <v>318</v>
      </c>
      <c r="B398" s="181">
        <v>167</v>
      </c>
      <c r="C398" s="181" t="s">
        <v>1435</v>
      </c>
      <c r="D398" s="1179" t="s">
        <v>1434</v>
      </c>
      <c r="E398" s="181">
        <v>0</v>
      </c>
      <c r="F398" s="181">
        <v>0</v>
      </c>
      <c r="G398" s="181">
        <v>0</v>
      </c>
      <c r="H398" s="181">
        <v>0</v>
      </c>
      <c r="I398" s="181">
        <v>0</v>
      </c>
      <c r="J398" s="181">
        <v>0</v>
      </c>
      <c r="K398" s="181">
        <v>0</v>
      </c>
      <c r="L398" s="181">
        <v>0</v>
      </c>
      <c r="M398" s="181">
        <v>0</v>
      </c>
      <c r="N398" s="181">
        <v>0</v>
      </c>
      <c r="O398" s="181">
        <v>0</v>
      </c>
      <c r="P398" s="181">
        <v>0</v>
      </c>
      <c r="Q398" s="181">
        <v>0</v>
      </c>
      <c r="R398" s="181">
        <v>0</v>
      </c>
      <c r="S398" s="181">
        <v>132749.85999999999</v>
      </c>
      <c r="T398" s="181">
        <v>0</v>
      </c>
      <c r="U398" s="181">
        <v>132749.85999999999</v>
      </c>
      <c r="V398" s="181">
        <v>0</v>
      </c>
      <c r="W398" s="181">
        <v>0</v>
      </c>
      <c r="X398" s="181">
        <v>0</v>
      </c>
      <c r="Y398" s="181">
        <v>0</v>
      </c>
      <c r="Z398" s="181">
        <v>0</v>
      </c>
      <c r="AA398" s="181">
        <v>0</v>
      </c>
      <c r="AB398" s="181">
        <v>132749.85999999999</v>
      </c>
      <c r="AC398" s="181">
        <v>0</v>
      </c>
      <c r="AD398" s="1180">
        <v>132749.85999999999</v>
      </c>
      <c r="AE398" s="1180">
        <v>132749.85999999999</v>
      </c>
      <c r="AF398" s="181">
        <v>0</v>
      </c>
      <c r="AG398" s="181">
        <v>0</v>
      </c>
      <c r="AH398" s="181">
        <v>132749.85999999999</v>
      </c>
      <c r="AI398" s="181">
        <v>132749.85999999999</v>
      </c>
      <c r="AJ398" s="181">
        <v>0</v>
      </c>
      <c r="AK398" s="181">
        <v>132749.85999999999</v>
      </c>
      <c r="AL398" s="181">
        <v>0</v>
      </c>
      <c r="AM398" s="181">
        <v>0</v>
      </c>
      <c r="AN398" s="181" t="s">
        <v>82</v>
      </c>
      <c r="AS398" s="181"/>
    </row>
    <row r="399" spans="1:45" ht="30" hidden="1" x14ac:dyDescent="0.25">
      <c r="A399" s="181">
        <v>318</v>
      </c>
      <c r="B399" s="181">
        <v>65</v>
      </c>
      <c r="C399" s="181" t="s">
        <v>1436</v>
      </c>
      <c r="D399" s="1179" t="s">
        <v>1437</v>
      </c>
      <c r="E399" s="181">
        <v>0</v>
      </c>
      <c r="F399" s="181">
        <v>0</v>
      </c>
      <c r="G399" s="181">
        <v>0</v>
      </c>
      <c r="H399" s="181">
        <v>0</v>
      </c>
      <c r="I399" s="181">
        <v>0</v>
      </c>
      <c r="J399" s="181">
        <v>0</v>
      </c>
      <c r="K399" s="181">
        <v>0</v>
      </c>
      <c r="L399" s="181">
        <v>0</v>
      </c>
      <c r="M399" s="181">
        <v>0</v>
      </c>
      <c r="N399" s="181">
        <v>0</v>
      </c>
      <c r="O399" s="181">
        <v>0</v>
      </c>
      <c r="P399" s="181">
        <v>0</v>
      </c>
      <c r="Q399" s="181">
        <v>0</v>
      </c>
      <c r="R399" s="181">
        <v>0</v>
      </c>
      <c r="S399" s="181">
        <v>2040377.8</v>
      </c>
      <c r="T399" s="181">
        <v>0</v>
      </c>
      <c r="U399" s="181">
        <v>2040377.8</v>
      </c>
      <c r="V399" s="181">
        <v>0</v>
      </c>
      <c r="W399" s="181">
        <v>0</v>
      </c>
      <c r="X399" s="181">
        <v>0</v>
      </c>
      <c r="Y399" s="181">
        <v>0</v>
      </c>
      <c r="Z399" s="181">
        <v>0</v>
      </c>
      <c r="AA399" s="181">
        <v>0</v>
      </c>
      <c r="AB399" s="181">
        <v>2040377.8</v>
      </c>
      <c r="AC399" s="181">
        <v>0</v>
      </c>
      <c r="AD399" s="1180">
        <v>2040377.8</v>
      </c>
      <c r="AE399" s="1180">
        <v>2040377.8</v>
      </c>
      <c r="AF399" s="181">
        <v>0</v>
      </c>
      <c r="AG399" s="181">
        <v>0</v>
      </c>
      <c r="AH399" s="181">
        <v>2040377.8</v>
      </c>
      <c r="AI399" s="181">
        <v>2040377.8</v>
      </c>
      <c r="AJ399" s="181">
        <v>0</v>
      </c>
      <c r="AK399" s="181">
        <v>2040377.8</v>
      </c>
      <c r="AL399" s="181">
        <v>0</v>
      </c>
      <c r="AM399" s="181">
        <v>0</v>
      </c>
      <c r="AN399" s="181" t="s">
        <v>183</v>
      </c>
      <c r="AS399" s="181"/>
    </row>
    <row r="400" spans="1:45" ht="30" hidden="1" x14ac:dyDescent="0.25">
      <c r="A400" s="181">
        <v>318</v>
      </c>
      <c r="B400" s="181">
        <v>96</v>
      </c>
      <c r="C400" s="181" t="s">
        <v>1438</v>
      </c>
      <c r="D400" s="1179" t="s">
        <v>1439</v>
      </c>
      <c r="E400" s="181">
        <v>0</v>
      </c>
      <c r="F400" s="181">
        <v>0</v>
      </c>
      <c r="G400" s="181">
        <v>0</v>
      </c>
      <c r="H400" s="181">
        <v>0</v>
      </c>
      <c r="I400" s="181">
        <v>0</v>
      </c>
      <c r="J400" s="181">
        <v>0</v>
      </c>
      <c r="K400" s="181">
        <v>0</v>
      </c>
      <c r="L400" s="181">
        <v>0</v>
      </c>
      <c r="M400" s="181">
        <v>0</v>
      </c>
      <c r="N400" s="181">
        <v>0</v>
      </c>
      <c r="O400" s="181">
        <v>0</v>
      </c>
      <c r="P400" s="181">
        <v>0</v>
      </c>
      <c r="Q400" s="181">
        <v>0</v>
      </c>
      <c r="R400" s="181">
        <v>0</v>
      </c>
      <c r="S400" s="181">
        <v>11147.21</v>
      </c>
      <c r="T400" s="181">
        <v>0</v>
      </c>
      <c r="U400" s="181">
        <v>11147.21</v>
      </c>
      <c r="V400" s="181">
        <v>0</v>
      </c>
      <c r="W400" s="181">
        <v>0</v>
      </c>
      <c r="X400" s="181">
        <v>0</v>
      </c>
      <c r="Y400" s="181">
        <v>0</v>
      </c>
      <c r="Z400" s="181">
        <v>0</v>
      </c>
      <c r="AA400" s="181">
        <v>0</v>
      </c>
      <c r="AB400" s="181">
        <v>11147.21</v>
      </c>
      <c r="AC400" s="181">
        <v>0</v>
      </c>
      <c r="AD400" s="1180">
        <v>11147.21</v>
      </c>
      <c r="AE400" s="1180">
        <v>11147.21</v>
      </c>
      <c r="AF400" s="181">
        <v>0</v>
      </c>
      <c r="AG400" s="181">
        <v>0</v>
      </c>
      <c r="AH400" s="181">
        <v>11147.21</v>
      </c>
      <c r="AI400" s="181">
        <v>11147.21</v>
      </c>
      <c r="AJ400" s="181">
        <v>0</v>
      </c>
      <c r="AK400" s="181">
        <v>11147.21</v>
      </c>
      <c r="AL400" s="181">
        <v>0</v>
      </c>
      <c r="AM400" s="181">
        <v>0</v>
      </c>
      <c r="AN400" s="181" t="s">
        <v>215</v>
      </c>
      <c r="AS400" s="181"/>
    </row>
    <row r="401" spans="1:45" hidden="1" x14ac:dyDescent="0.25">
      <c r="A401" s="181">
        <v>318</v>
      </c>
      <c r="B401" s="181" t="s">
        <v>226</v>
      </c>
      <c r="C401" s="181" t="s">
        <v>867</v>
      </c>
      <c r="D401" s="1179" t="s">
        <v>868</v>
      </c>
      <c r="E401" s="181">
        <v>393715436</v>
      </c>
      <c r="F401" s="181">
        <v>393715436</v>
      </c>
      <c r="G401" s="181">
        <v>178238666.68000001</v>
      </c>
      <c r="H401" s="181">
        <v>0</v>
      </c>
      <c r="I401" s="181">
        <v>178238666.68000001</v>
      </c>
      <c r="J401" s="181">
        <v>178238666.68000001</v>
      </c>
      <c r="K401" s="181">
        <v>0</v>
      </c>
      <c r="L401" s="181">
        <v>571954102.67999995</v>
      </c>
      <c r="M401" s="181">
        <v>0</v>
      </c>
      <c r="N401" s="181">
        <v>0</v>
      </c>
      <c r="O401" s="181">
        <v>0</v>
      </c>
      <c r="P401" s="181">
        <v>0</v>
      </c>
      <c r="Q401" s="181">
        <v>0</v>
      </c>
      <c r="R401" s="181">
        <v>0</v>
      </c>
      <c r="S401" s="181">
        <v>1591682895</v>
      </c>
      <c r="T401" s="181">
        <v>0</v>
      </c>
      <c r="U401" s="181">
        <v>1591682895</v>
      </c>
      <c r="V401" s="181">
        <v>0</v>
      </c>
      <c r="W401" s="181">
        <v>0</v>
      </c>
      <c r="X401" s="181">
        <v>0</v>
      </c>
      <c r="Y401" s="181">
        <v>0</v>
      </c>
      <c r="Z401" s="181">
        <v>0</v>
      </c>
      <c r="AA401" s="181">
        <v>0</v>
      </c>
      <c r="AB401" s="181">
        <v>1591682895</v>
      </c>
      <c r="AC401" s="181">
        <v>0</v>
      </c>
      <c r="AD401" s="1180">
        <v>1591682895</v>
      </c>
      <c r="AE401" s="1180">
        <v>1591682895</v>
      </c>
      <c r="AF401" s="181">
        <v>1591682895</v>
      </c>
      <c r="AG401" s="181">
        <v>1591682895</v>
      </c>
      <c r="AH401" s="181">
        <v>0</v>
      </c>
      <c r="AI401" s="181">
        <v>0</v>
      </c>
      <c r="AJ401" s="181">
        <v>0</v>
      </c>
      <c r="AK401" s="181">
        <v>0</v>
      </c>
      <c r="AL401" s="181">
        <v>0</v>
      </c>
      <c r="AM401" s="181">
        <v>0</v>
      </c>
      <c r="AN401" s="181" t="s">
        <v>1709</v>
      </c>
      <c r="AS401" s="181"/>
    </row>
    <row r="402" spans="1:45" hidden="1" x14ac:dyDescent="0.25">
      <c r="A402" s="181">
        <v>318</v>
      </c>
      <c r="B402" s="181" t="s">
        <v>226</v>
      </c>
      <c r="C402" s="181" t="s">
        <v>869</v>
      </c>
      <c r="D402" s="1179" t="s">
        <v>870</v>
      </c>
      <c r="E402" s="181">
        <v>393715436</v>
      </c>
      <c r="F402" s="181">
        <v>393715436</v>
      </c>
      <c r="G402" s="181">
        <v>178238666.68000001</v>
      </c>
      <c r="H402" s="181">
        <v>0</v>
      </c>
      <c r="I402" s="181">
        <v>178238666.68000001</v>
      </c>
      <c r="J402" s="181">
        <v>178238666.68000001</v>
      </c>
      <c r="K402" s="181">
        <v>0</v>
      </c>
      <c r="L402" s="181">
        <v>571954102.67999995</v>
      </c>
      <c r="M402" s="181">
        <v>0</v>
      </c>
      <c r="N402" s="181">
        <v>0</v>
      </c>
      <c r="O402" s="181">
        <v>0</v>
      </c>
      <c r="P402" s="181">
        <v>0</v>
      </c>
      <c r="Q402" s="181">
        <v>0</v>
      </c>
      <c r="R402" s="181">
        <v>0</v>
      </c>
      <c r="S402" s="181">
        <v>1591682895</v>
      </c>
      <c r="T402" s="181">
        <v>0</v>
      </c>
      <c r="U402" s="181">
        <v>1591682895</v>
      </c>
      <c r="V402" s="181">
        <v>0</v>
      </c>
      <c r="W402" s="181">
        <v>0</v>
      </c>
      <c r="X402" s="181">
        <v>0</v>
      </c>
      <c r="Y402" s="181">
        <v>0</v>
      </c>
      <c r="Z402" s="181">
        <v>0</v>
      </c>
      <c r="AA402" s="181">
        <v>0</v>
      </c>
      <c r="AB402" s="181">
        <v>1591682895</v>
      </c>
      <c r="AC402" s="181">
        <v>0</v>
      </c>
      <c r="AD402" s="1180">
        <v>1591682895</v>
      </c>
      <c r="AE402" s="1180">
        <v>1591682895</v>
      </c>
      <c r="AF402" s="181">
        <v>1591682895</v>
      </c>
      <c r="AG402" s="181">
        <v>1591682895</v>
      </c>
      <c r="AH402" s="181">
        <v>0</v>
      </c>
      <c r="AI402" s="181">
        <v>0</v>
      </c>
      <c r="AJ402" s="181">
        <v>0</v>
      </c>
      <c r="AK402" s="181">
        <v>0</v>
      </c>
      <c r="AL402" s="181">
        <v>0</v>
      </c>
      <c r="AM402" s="181">
        <v>0</v>
      </c>
      <c r="AN402" s="181" t="s">
        <v>1709</v>
      </c>
      <c r="AS402" s="181"/>
    </row>
    <row r="403" spans="1:45" ht="30" hidden="1" x14ac:dyDescent="0.25">
      <c r="A403" s="181">
        <v>318</v>
      </c>
      <c r="B403" s="181" t="s">
        <v>226</v>
      </c>
      <c r="C403" s="181" t="s">
        <v>871</v>
      </c>
      <c r="D403" s="1179" t="s">
        <v>872</v>
      </c>
      <c r="E403" s="181">
        <v>393715436</v>
      </c>
      <c r="F403" s="181">
        <v>393715436</v>
      </c>
      <c r="G403" s="181">
        <v>178238666.68000001</v>
      </c>
      <c r="H403" s="181">
        <v>0</v>
      </c>
      <c r="I403" s="181">
        <v>178238666.68000001</v>
      </c>
      <c r="J403" s="181">
        <v>178238666.68000001</v>
      </c>
      <c r="K403" s="181">
        <v>0</v>
      </c>
      <c r="L403" s="181">
        <v>571954102.67999995</v>
      </c>
      <c r="M403" s="181">
        <v>0</v>
      </c>
      <c r="N403" s="181">
        <v>0</v>
      </c>
      <c r="O403" s="181">
        <v>0</v>
      </c>
      <c r="P403" s="181">
        <v>0</v>
      </c>
      <c r="Q403" s="181">
        <v>0</v>
      </c>
      <c r="R403" s="181">
        <v>0</v>
      </c>
      <c r="S403" s="181">
        <v>1591682895</v>
      </c>
      <c r="T403" s="181">
        <v>0</v>
      </c>
      <c r="U403" s="181">
        <v>1591682895</v>
      </c>
      <c r="V403" s="181">
        <v>0</v>
      </c>
      <c r="W403" s="181">
        <v>0</v>
      </c>
      <c r="X403" s="181">
        <v>0</v>
      </c>
      <c r="Y403" s="181">
        <v>0</v>
      </c>
      <c r="Z403" s="181">
        <v>0</v>
      </c>
      <c r="AA403" s="181">
        <v>0</v>
      </c>
      <c r="AB403" s="181">
        <v>1591682895</v>
      </c>
      <c r="AC403" s="181">
        <v>0</v>
      </c>
      <c r="AD403" s="1180">
        <v>1591682895</v>
      </c>
      <c r="AE403" s="1180">
        <v>1591682895</v>
      </c>
      <c r="AF403" s="181">
        <v>1591682895</v>
      </c>
      <c r="AG403" s="181">
        <v>1591682895</v>
      </c>
      <c r="AH403" s="181">
        <v>0</v>
      </c>
      <c r="AI403" s="181">
        <v>0</v>
      </c>
      <c r="AJ403" s="181">
        <v>0</v>
      </c>
      <c r="AK403" s="181">
        <v>0</v>
      </c>
      <c r="AL403" s="181">
        <v>0</v>
      </c>
      <c r="AM403" s="181">
        <v>0</v>
      </c>
      <c r="AN403" s="181" t="s">
        <v>1709</v>
      </c>
      <c r="AS403" s="181"/>
    </row>
    <row r="404" spans="1:45" ht="45" x14ac:dyDescent="0.25">
      <c r="A404" s="181">
        <v>318</v>
      </c>
      <c r="B404" s="181">
        <v>154</v>
      </c>
      <c r="C404" s="181" t="s">
        <v>873</v>
      </c>
      <c r="D404" s="1179" t="s">
        <v>874</v>
      </c>
      <c r="E404" s="181">
        <v>303160885.72000003</v>
      </c>
      <c r="F404" s="181">
        <v>303160885.72000003</v>
      </c>
      <c r="G404" s="181">
        <v>72451597.280000001</v>
      </c>
      <c r="H404" s="181">
        <v>0</v>
      </c>
      <c r="I404" s="181">
        <v>72451597.280000001</v>
      </c>
      <c r="J404" s="181">
        <v>72451597.280000001</v>
      </c>
      <c r="K404" s="181">
        <v>0</v>
      </c>
      <c r="L404" s="181">
        <v>375612483</v>
      </c>
      <c r="M404" s="181">
        <v>0</v>
      </c>
      <c r="N404" s="181">
        <v>0</v>
      </c>
      <c r="O404" s="181">
        <v>0</v>
      </c>
      <c r="P404" s="181">
        <v>0</v>
      </c>
      <c r="Q404" s="181">
        <v>0</v>
      </c>
      <c r="R404" s="181">
        <v>0</v>
      </c>
      <c r="S404" s="181">
        <v>821820626</v>
      </c>
      <c r="T404" s="181">
        <v>0</v>
      </c>
      <c r="U404" s="181">
        <v>821820626</v>
      </c>
      <c r="V404" s="181">
        <v>0</v>
      </c>
      <c r="W404" s="181">
        <v>0</v>
      </c>
      <c r="X404" s="181">
        <v>0</v>
      </c>
      <c r="Y404" s="181">
        <v>0</v>
      </c>
      <c r="Z404" s="181">
        <v>0</v>
      </c>
      <c r="AA404" s="181">
        <v>0</v>
      </c>
      <c r="AB404" s="181">
        <v>821820626</v>
      </c>
      <c r="AC404" s="181">
        <v>0</v>
      </c>
      <c r="AD404" s="1180">
        <v>821820626</v>
      </c>
      <c r="AE404" s="1183">
        <v>821820626</v>
      </c>
      <c r="AF404" s="181">
        <v>821820626</v>
      </c>
      <c r="AG404" s="181">
        <v>821820626</v>
      </c>
      <c r="AH404" s="181">
        <v>0</v>
      </c>
      <c r="AI404" s="181">
        <v>0</v>
      </c>
      <c r="AJ404" s="181">
        <v>0</v>
      </c>
      <c r="AK404" s="181">
        <v>0</v>
      </c>
      <c r="AL404" s="181">
        <v>0</v>
      </c>
      <c r="AM404" s="181">
        <v>0</v>
      </c>
      <c r="AN404" s="181" t="s">
        <v>74</v>
      </c>
    </row>
    <row r="405" spans="1:45" ht="60" x14ac:dyDescent="0.25">
      <c r="A405" s="181">
        <v>318</v>
      </c>
      <c r="B405" s="181">
        <v>154</v>
      </c>
      <c r="C405" s="181" t="s">
        <v>875</v>
      </c>
      <c r="D405" s="1179" t="s">
        <v>876</v>
      </c>
      <c r="E405" s="181">
        <v>51183006.68</v>
      </c>
      <c r="F405" s="181">
        <v>51183006.68</v>
      </c>
      <c r="G405" s="181">
        <v>0</v>
      </c>
      <c r="H405" s="181">
        <v>0</v>
      </c>
      <c r="I405" s="181">
        <v>0</v>
      </c>
      <c r="J405" s="181">
        <v>0</v>
      </c>
      <c r="K405" s="181">
        <v>0</v>
      </c>
      <c r="L405" s="181">
        <v>51183006.68</v>
      </c>
      <c r="M405" s="181">
        <v>0</v>
      </c>
      <c r="N405" s="181">
        <v>0</v>
      </c>
      <c r="O405" s="181">
        <v>0</v>
      </c>
      <c r="P405" s="181">
        <v>0</v>
      </c>
      <c r="Q405" s="181">
        <v>0</v>
      </c>
      <c r="R405" s="181">
        <v>0</v>
      </c>
      <c r="S405" s="181">
        <v>469051182</v>
      </c>
      <c r="T405" s="181">
        <v>0</v>
      </c>
      <c r="U405" s="181">
        <v>469051182</v>
      </c>
      <c r="V405" s="181">
        <v>0</v>
      </c>
      <c r="W405" s="181">
        <v>0</v>
      </c>
      <c r="X405" s="181">
        <v>0</v>
      </c>
      <c r="Y405" s="181">
        <v>0</v>
      </c>
      <c r="Z405" s="181">
        <v>0</v>
      </c>
      <c r="AA405" s="181">
        <v>0</v>
      </c>
      <c r="AB405" s="181">
        <v>469051182</v>
      </c>
      <c r="AC405" s="181">
        <v>0</v>
      </c>
      <c r="AD405" s="1180">
        <v>469051182</v>
      </c>
      <c r="AE405" s="1183">
        <v>469051182</v>
      </c>
      <c r="AF405" s="181">
        <v>469051182</v>
      </c>
      <c r="AG405" s="181">
        <v>469051182</v>
      </c>
      <c r="AH405" s="181">
        <v>0</v>
      </c>
      <c r="AI405" s="181">
        <v>0</v>
      </c>
      <c r="AJ405" s="181">
        <v>0</v>
      </c>
      <c r="AK405" s="181">
        <v>0</v>
      </c>
      <c r="AL405" s="181">
        <v>0</v>
      </c>
      <c r="AM405" s="181">
        <v>0</v>
      </c>
      <c r="AN405" s="181" t="s">
        <v>74</v>
      </c>
    </row>
    <row r="406" spans="1:45" ht="45" x14ac:dyDescent="0.25">
      <c r="A406" s="181">
        <v>318</v>
      </c>
      <c r="B406" s="181">
        <v>154</v>
      </c>
      <c r="C406" s="181" t="s">
        <v>877</v>
      </c>
      <c r="D406" s="1179" t="s">
        <v>878</v>
      </c>
      <c r="E406" s="181">
        <v>39371543.600000001</v>
      </c>
      <c r="F406" s="181">
        <v>39371543.600000001</v>
      </c>
      <c r="G406" s="181">
        <v>105787069.40000001</v>
      </c>
      <c r="H406" s="181">
        <v>0</v>
      </c>
      <c r="I406" s="181">
        <v>105787069.40000001</v>
      </c>
      <c r="J406" s="181">
        <v>105787069.40000001</v>
      </c>
      <c r="K406" s="181">
        <v>0</v>
      </c>
      <c r="L406" s="181">
        <v>145158613</v>
      </c>
      <c r="M406" s="181">
        <v>0</v>
      </c>
      <c r="N406" s="181">
        <v>0</v>
      </c>
      <c r="O406" s="181">
        <v>0</v>
      </c>
      <c r="P406" s="181">
        <v>0</v>
      </c>
      <c r="Q406" s="181">
        <v>0</v>
      </c>
      <c r="R406" s="181">
        <v>0</v>
      </c>
      <c r="S406" s="181">
        <v>300811087</v>
      </c>
      <c r="T406" s="181">
        <v>0</v>
      </c>
      <c r="U406" s="181">
        <v>300811087</v>
      </c>
      <c r="V406" s="181">
        <v>0</v>
      </c>
      <c r="W406" s="181">
        <v>0</v>
      </c>
      <c r="X406" s="181">
        <v>0</v>
      </c>
      <c r="Y406" s="181">
        <v>0</v>
      </c>
      <c r="Z406" s="181">
        <v>0</v>
      </c>
      <c r="AA406" s="181">
        <v>0</v>
      </c>
      <c r="AB406" s="181">
        <v>300811087</v>
      </c>
      <c r="AC406" s="181">
        <v>0</v>
      </c>
      <c r="AD406" s="1180">
        <v>300811087</v>
      </c>
      <c r="AE406" s="1183">
        <v>300811087</v>
      </c>
      <c r="AF406" s="181">
        <v>300811087</v>
      </c>
      <c r="AG406" s="181">
        <v>300811087</v>
      </c>
      <c r="AH406" s="181">
        <v>0</v>
      </c>
      <c r="AI406" s="181">
        <v>0</v>
      </c>
      <c r="AJ406" s="181">
        <v>0</v>
      </c>
      <c r="AK406" s="181">
        <v>0</v>
      </c>
      <c r="AL406" s="181">
        <v>0</v>
      </c>
      <c r="AM406" s="181">
        <v>0</v>
      </c>
      <c r="AN406" s="181" t="s">
        <v>74</v>
      </c>
    </row>
    <row r="407" spans="1:45" hidden="1" x14ac:dyDescent="0.25">
      <c r="A407" s="181">
        <v>318</v>
      </c>
      <c r="B407" s="181" t="s">
        <v>226</v>
      </c>
      <c r="C407" s="181" t="s">
        <v>1600</v>
      </c>
      <c r="D407" s="1179" t="s">
        <v>1123</v>
      </c>
      <c r="E407" s="181">
        <v>0</v>
      </c>
      <c r="F407" s="181">
        <v>0</v>
      </c>
      <c r="G407" s="181">
        <v>10237414809.52</v>
      </c>
      <c r="H407" s="181">
        <v>9062908</v>
      </c>
      <c r="I407" s="181">
        <v>10228351901.52</v>
      </c>
      <c r="J407" s="181">
        <v>10237414809.52</v>
      </c>
      <c r="K407" s="181">
        <v>9062908</v>
      </c>
      <c r="L407" s="181">
        <v>10228351901.52</v>
      </c>
      <c r="M407" s="181">
        <v>0</v>
      </c>
      <c r="N407" s="181">
        <v>0</v>
      </c>
      <c r="O407" s="181">
        <v>0</v>
      </c>
      <c r="P407" s="181">
        <v>0</v>
      </c>
      <c r="Q407" s="181">
        <v>0</v>
      </c>
      <c r="R407" s="181">
        <v>0</v>
      </c>
      <c r="S407" s="181">
        <v>10237414809.52</v>
      </c>
      <c r="T407" s="181">
        <v>0</v>
      </c>
      <c r="U407" s="181">
        <v>10237414809.52</v>
      </c>
      <c r="V407" s="181">
        <v>0</v>
      </c>
      <c r="W407" s="181">
        <v>0</v>
      </c>
      <c r="X407" s="181">
        <v>0</v>
      </c>
      <c r="Y407" s="181">
        <v>0</v>
      </c>
      <c r="Z407" s="181">
        <v>0</v>
      </c>
      <c r="AA407" s="181">
        <v>0</v>
      </c>
      <c r="AB407" s="181">
        <v>10237414809.52</v>
      </c>
      <c r="AC407" s="181">
        <v>0</v>
      </c>
      <c r="AD407" s="1180">
        <v>10237414809.52</v>
      </c>
      <c r="AE407" s="1180">
        <v>10237414809.52</v>
      </c>
      <c r="AF407" s="181">
        <v>10237414809.52</v>
      </c>
      <c r="AG407" s="181">
        <v>10237414809.52</v>
      </c>
      <c r="AH407" s="181">
        <v>0</v>
      </c>
      <c r="AI407" s="181">
        <v>0</v>
      </c>
      <c r="AJ407" s="181">
        <v>0</v>
      </c>
      <c r="AK407" s="181">
        <v>0</v>
      </c>
      <c r="AL407" s="181">
        <v>0</v>
      </c>
      <c r="AM407" s="181">
        <v>0</v>
      </c>
      <c r="AN407" s="181" t="s">
        <v>1709</v>
      </c>
      <c r="AS407" s="181"/>
    </row>
    <row r="408" spans="1:45" hidden="1" x14ac:dyDescent="0.25">
      <c r="A408" s="181">
        <v>318</v>
      </c>
      <c r="B408" s="181" t="s">
        <v>226</v>
      </c>
      <c r="C408" s="181" t="s">
        <v>1601</v>
      </c>
      <c r="D408" s="1179" t="s">
        <v>1551</v>
      </c>
      <c r="E408" s="181">
        <v>0</v>
      </c>
      <c r="F408" s="181">
        <v>0</v>
      </c>
      <c r="G408" s="181">
        <v>10237414809.52</v>
      </c>
      <c r="H408" s="181">
        <v>9062908</v>
      </c>
      <c r="I408" s="181">
        <v>10228351901.52</v>
      </c>
      <c r="J408" s="181">
        <v>10237414809.52</v>
      </c>
      <c r="K408" s="181">
        <v>9062908</v>
      </c>
      <c r="L408" s="181">
        <v>10228351901.52</v>
      </c>
      <c r="M408" s="181">
        <v>0</v>
      </c>
      <c r="N408" s="181">
        <v>0</v>
      </c>
      <c r="O408" s="181">
        <v>0</v>
      </c>
      <c r="P408" s="181">
        <v>0</v>
      </c>
      <c r="Q408" s="181">
        <v>0</v>
      </c>
      <c r="R408" s="181">
        <v>0</v>
      </c>
      <c r="S408" s="181">
        <v>10237414809.52</v>
      </c>
      <c r="T408" s="181">
        <v>0</v>
      </c>
      <c r="U408" s="181">
        <v>10237414809.52</v>
      </c>
      <c r="V408" s="181">
        <v>0</v>
      </c>
      <c r="W408" s="181">
        <v>0</v>
      </c>
      <c r="X408" s="181">
        <v>0</v>
      </c>
      <c r="Y408" s="181">
        <v>0</v>
      </c>
      <c r="Z408" s="181">
        <v>0</v>
      </c>
      <c r="AA408" s="181">
        <v>0</v>
      </c>
      <c r="AB408" s="181">
        <v>10237414809.52</v>
      </c>
      <c r="AC408" s="181">
        <v>0</v>
      </c>
      <c r="AD408" s="1180">
        <v>10237414809.52</v>
      </c>
      <c r="AE408" s="1180">
        <v>10237414809.52</v>
      </c>
      <c r="AF408" s="181">
        <v>10237414809.52</v>
      </c>
      <c r="AG408" s="181">
        <v>10237414809.52</v>
      </c>
      <c r="AH408" s="181">
        <v>0</v>
      </c>
      <c r="AI408" s="181">
        <v>0</v>
      </c>
      <c r="AJ408" s="181">
        <v>0</v>
      </c>
      <c r="AK408" s="181">
        <v>0</v>
      </c>
      <c r="AL408" s="181">
        <v>0</v>
      </c>
      <c r="AM408" s="181">
        <v>0</v>
      </c>
      <c r="AN408" s="181" t="s">
        <v>1709</v>
      </c>
      <c r="AS408" s="181"/>
    </row>
    <row r="409" spans="1:45" ht="30" hidden="1" x14ac:dyDescent="0.25">
      <c r="A409" s="181">
        <v>318</v>
      </c>
      <c r="B409" s="181" t="s">
        <v>226</v>
      </c>
      <c r="C409" s="181" t="s">
        <v>1602</v>
      </c>
      <c r="D409" s="1179" t="s">
        <v>1555</v>
      </c>
      <c r="E409" s="181">
        <v>0</v>
      </c>
      <c r="F409" s="181">
        <v>0</v>
      </c>
      <c r="G409" s="181">
        <v>10237414809.52</v>
      </c>
      <c r="H409" s="181">
        <v>9062908</v>
      </c>
      <c r="I409" s="181">
        <v>10228351901.52</v>
      </c>
      <c r="J409" s="181">
        <v>10237414809.52</v>
      </c>
      <c r="K409" s="181">
        <v>9062908</v>
      </c>
      <c r="L409" s="181">
        <v>10228351901.52</v>
      </c>
      <c r="M409" s="181">
        <v>0</v>
      </c>
      <c r="N409" s="181">
        <v>0</v>
      </c>
      <c r="O409" s="181">
        <v>0</v>
      </c>
      <c r="P409" s="181">
        <v>0</v>
      </c>
      <c r="Q409" s="181">
        <v>0</v>
      </c>
      <c r="R409" s="181">
        <v>0</v>
      </c>
      <c r="S409" s="181">
        <v>10237414809.52</v>
      </c>
      <c r="T409" s="181">
        <v>0</v>
      </c>
      <c r="U409" s="181">
        <v>10237414809.52</v>
      </c>
      <c r="V409" s="181">
        <v>0</v>
      </c>
      <c r="W409" s="181">
        <v>0</v>
      </c>
      <c r="X409" s="181">
        <v>0</v>
      </c>
      <c r="Y409" s="181">
        <v>0</v>
      </c>
      <c r="Z409" s="181">
        <v>0</v>
      </c>
      <c r="AA409" s="181">
        <v>0</v>
      </c>
      <c r="AB409" s="181">
        <v>10237414809.52</v>
      </c>
      <c r="AC409" s="181">
        <v>0</v>
      </c>
      <c r="AD409" s="1180">
        <v>10237414809.52</v>
      </c>
      <c r="AE409" s="1180">
        <v>10237414809.52</v>
      </c>
      <c r="AF409" s="181">
        <v>10237414809.52</v>
      </c>
      <c r="AG409" s="181">
        <v>10237414809.52</v>
      </c>
      <c r="AH409" s="181">
        <v>0</v>
      </c>
      <c r="AI409" s="181">
        <v>0</v>
      </c>
      <c r="AJ409" s="181">
        <v>0</v>
      </c>
      <c r="AK409" s="181">
        <v>0</v>
      </c>
      <c r="AL409" s="181">
        <v>0</v>
      </c>
      <c r="AM409" s="181">
        <v>0</v>
      </c>
      <c r="AN409" s="181" t="s">
        <v>1709</v>
      </c>
      <c r="AS409" s="181"/>
    </row>
    <row r="410" spans="1:45" hidden="1" x14ac:dyDescent="0.25">
      <c r="A410" s="181">
        <v>318</v>
      </c>
      <c r="B410" s="181">
        <v>98</v>
      </c>
      <c r="C410" s="181" t="s">
        <v>1440</v>
      </c>
      <c r="D410" s="1179" t="s">
        <v>1441</v>
      </c>
      <c r="E410" s="181">
        <v>0</v>
      </c>
      <c r="F410" s="181">
        <v>0</v>
      </c>
      <c r="G410" s="181">
        <v>2027315384.9400001</v>
      </c>
      <c r="H410" s="181">
        <v>9062908</v>
      </c>
      <c r="I410" s="181">
        <v>2018252476.9400001</v>
      </c>
      <c r="J410" s="181">
        <v>2027315384.9400001</v>
      </c>
      <c r="K410" s="181">
        <v>9062908</v>
      </c>
      <c r="L410" s="181">
        <v>2018252476.9400001</v>
      </c>
      <c r="M410" s="181">
        <v>0</v>
      </c>
      <c r="N410" s="181">
        <v>0</v>
      </c>
      <c r="O410" s="181">
        <v>0</v>
      </c>
      <c r="P410" s="181">
        <v>0</v>
      </c>
      <c r="Q410" s="181">
        <v>0</v>
      </c>
      <c r="R410" s="181">
        <v>0</v>
      </c>
      <c r="S410" s="181">
        <v>2027315384.9400001</v>
      </c>
      <c r="T410" s="181">
        <v>0</v>
      </c>
      <c r="U410" s="181">
        <v>2027315384.9400001</v>
      </c>
      <c r="V410" s="181">
        <v>0</v>
      </c>
      <c r="W410" s="181">
        <v>0</v>
      </c>
      <c r="X410" s="181">
        <v>0</v>
      </c>
      <c r="Y410" s="181">
        <v>0</v>
      </c>
      <c r="Z410" s="181">
        <v>0</v>
      </c>
      <c r="AA410" s="181">
        <v>0</v>
      </c>
      <c r="AB410" s="181">
        <v>2027315384.9400001</v>
      </c>
      <c r="AC410" s="181">
        <v>0</v>
      </c>
      <c r="AD410" s="1180">
        <v>2027315384.9400001</v>
      </c>
      <c r="AE410" s="1180">
        <v>2027315384.9400001</v>
      </c>
      <c r="AF410" s="181">
        <v>2027315384.9400001</v>
      </c>
      <c r="AG410" s="181">
        <v>2027315384.9400001</v>
      </c>
      <c r="AH410" s="181">
        <v>0</v>
      </c>
      <c r="AI410" s="181">
        <v>0</v>
      </c>
      <c r="AJ410" s="181">
        <v>0</v>
      </c>
      <c r="AK410" s="181">
        <v>0</v>
      </c>
      <c r="AL410" s="181">
        <v>0</v>
      </c>
      <c r="AM410" s="181">
        <v>0</v>
      </c>
      <c r="AN410" s="181" t="s">
        <v>219</v>
      </c>
      <c r="AS410" s="181"/>
    </row>
    <row r="411" spans="1:45" ht="45" hidden="1" x14ac:dyDescent="0.25">
      <c r="A411" s="181">
        <v>318</v>
      </c>
      <c r="B411" s="181">
        <v>198</v>
      </c>
      <c r="C411" s="181" t="s">
        <v>1442</v>
      </c>
      <c r="D411" s="1179" t="s">
        <v>1443</v>
      </c>
      <c r="E411" s="181">
        <v>0</v>
      </c>
      <c r="F411" s="181">
        <v>0</v>
      </c>
      <c r="G411" s="181">
        <v>468599154.12</v>
      </c>
      <c r="H411" s="181">
        <v>0</v>
      </c>
      <c r="I411" s="181">
        <v>468599154.12</v>
      </c>
      <c r="J411" s="181">
        <v>468599154.12</v>
      </c>
      <c r="K411" s="181">
        <v>0</v>
      </c>
      <c r="L411" s="181">
        <v>468599154.12</v>
      </c>
      <c r="M411" s="181">
        <v>0</v>
      </c>
      <c r="N411" s="181">
        <v>0</v>
      </c>
      <c r="O411" s="181">
        <v>0</v>
      </c>
      <c r="P411" s="181">
        <v>0</v>
      </c>
      <c r="Q411" s="181">
        <v>0</v>
      </c>
      <c r="R411" s="181">
        <v>0</v>
      </c>
      <c r="S411" s="181">
        <v>468599154.12</v>
      </c>
      <c r="T411" s="181">
        <v>0</v>
      </c>
      <c r="U411" s="181">
        <v>468599154.12</v>
      </c>
      <c r="V411" s="181">
        <v>0</v>
      </c>
      <c r="W411" s="181">
        <v>0</v>
      </c>
      <c r="X411" s="181">
        <v>0</v>
      </c>
      <c r="Y411" s="181">
        <v>0</v>
      </c>
      <c r="Z411" s="181">
        <v>0</v>
      </c>
      <c r="AA411" s="181">
        <v>0</v>
      </c>
      <c r="AB411" s="181">
        <v>468599154.12</v>
      </c>
      <c r="AC411" s="181">
        <v>0</v>
      </c>
      <c r="AD411" s="1180">
        <v>468599154.12</v>
      </c>
      <c r="AE411" s="1180">
        <v>468599154.12</v>
      </c>
      <c r="AF411" s="181">
        <v>468599154.12</v>
      </c>
      <c r="AG411" s="181">
        <v>468599154.12</v>
      </c>
      <c r="AH411" s="181">
        <v>0</v>
      </c>
      <c r="AI411" s="181">
        <v>0</v>
      </c>
      <c r="AJ411" s="181">
        <v>0</v>
      </c>
      <c r="AK411" s="181">
        <v>0</v>
      </c>
      <c r="AL411" s="181">
        <v>0</v>
      </c>
      <c r="AM411" s="181">
        <v>0</v>
      </c>
      <c r="AN411" s="181" t="s">
        <v>136</v>
      </c>
      <c r="AS411" s="181"/>
    </row>
    <row r="412" spans="1:45" ht="45" hidden="1" x14ac:dyDescent="0.25">
      <c r="A412" s="181">
        <v>318</v>
      </c>
      <c r="B412" s="181">
        <v>96</v>
      </c>
      <c r="C412" s="181" t="s">
        <v>1444</v>
      </c>
      <c r="D412" s="1179" t="s">
        <v>1445</v>
      </c>
      <c r="E412" s="181">
        <v>0</v>
      </c>
      <c r="F412" s="181">
        <v>0</v>
      </c>
      <c r="G412" s="181">
        <v>1104800028.0799999</v>
      </c>
      <c r="H412" s="181">
        <v>0</v>
      </c>
      <c r="I412" s="181">
        <v>1104800028.0799999</v>
      </c>
      <c r="J412" s="181">
        <v>1104800028.0799999</v>
      </c>
      <c r="K412" s="181">
        <v>0</v>
      </c>
      <c r="L412" s="181">
        <v>1104800028.0799999</v>
      </c>
      <c r="M412" s="181">
        <v>0</v>
      </c>
      <c r="N412" s="181">
        <v>0</v>
      </c>
      <c r="O412" s="181">
        <v>0</v>
      </c>
      <c r="P412" s="181">
        <v>0</v>
      </c>
      <c r="Q412" s="181">
        <v>0</v>
      </c>
      <c r="R412" s="181">
        <v>0</v>
      </c>
      <c r="S412" s="181">
        <v>1104800028.0799999</v>
      </c>
      <c r="T412" s="181">
        <v>0</v>
      </c>
      <c r="U412" s="181">
        <v>1104800028.0799999</v>
      </c>
      <c r="V412" s="181">
        <v>0</v>
      </c>
      <c r="W412" s="181">
        <v>0</v>
      </c>
      <c r="X412" s="181">
        <v>0</v>
      </c>
      <c r="Y412" s="181">
        <v>0</v>
      </c>
      <c r="Z412" s="181">
        <v>0</v>
      </c>
      <c r="AA412" s="181">
        <v>0</v>
      </c>
      <c r="AB412" s="181">
        <v>1104800028.0799999</v>
      </c>
      <c r="AC412" s="181">
        <v>0</v>
      </c>
      <c r="AD412" s="1180">
        <v>1104800028.0799999</v>
      </c>
      <c r="AE412" s="1180">
        <v>1104800028.0799999</v>
      </c>
      <c r="AF412" s="181">
        <v>1104800028.0799999</v>
      </c>
      <c r="AG412" s="181">
        <v>1104800028.0799999</v>
      </c>
      <c r="AH412" s="181">
        <v>0</v>
      </c>
      <c r="AI412" s="181">
        <v>0</v>
      </c>
      <c r="AJ412" s="181">
        <v>0</v>
      </c>
      <c r="AK412" s="181">
        <v>0</v>
      </c>
      <c r="AL412" s="181">
        <v>0</v>
      </c>
      <c r="AM412" s="181">
        <v>0</v>
      </c>
      <c r="AN412" s="181" t="s">
        <v>215</v>
      </c>
      <c r="AS412" s="181"/>
    </row>
    <row r="413" spans="1:45" hidden="1" x14ac:dyDescent="0.25">
      <c r="A413" s="181">
        <v>318</v>
      </c>
      <c r="B413" s="181">
        <v>200</v>
      </c>
      <c r="C413" s="181" t="s">
        <v>1446</v>
      </c>
      <c r="D413" s="1179" t="s">
        <v>1447</v>
      </c>
      <c r="E413" s="181">
        <v>0</v>
      </c>
      <c r="F413" s="181">
        <v>0</v>
      </c>
      <c r="G413" s="181">
        <v>2077416.68</v>
      </c>
      <c r="H413" s="181">
        <v>0</v>
      </c>
      <c r="I413" s="181">
        <v>2077416.68</v>
      </c>
      <c r="J413" s="181">
        <v>2077416.68</v>
      </c>
      <c r="K413" s="181">
        <v>0</v>
      </c>
      <c r="L413" s="181">
        <v>2077416.68</v>
      </c>
      <c r="M413" s="181">
        <v>0</v>
      </c>
      <c r="N413" s="181">
        <v>0</v>
      </c>
      <c r="O413" s="181">
        <v>0</v>
      </c>
      <c r="P413" s="181">
        <v>0</v>
      </c>
      <c r="Q413" s="181">
        <v>0</v>
      </c>
      <c r="R413" s="181">
        <v>0</v>
      </c>
      <c r="S413" s="181">
        <v>2077416.68</v>
      </c>
      <c r="T413" s="181">
        <v>0</v>
      </c>
      <c r="U413" s="181">
        <v>2077416.68</v>
      </c>
      <c r="V413" s="181">
        <v>0</v>
      </c>
      <c r="W413" s="181">
        <v>0</v>
      </c>
      <c r="X413" s="181">
        <v>0</v>
      </c>
      <c r="Y413" s="181">
        <v>0</v>
      </c>
      <c r="Z413" s="181">
        <v>0</v>
      </c>
      <c r="AA413" s="181">
        <v>0</v>
      </c>
      <c r="AB413" s="181">
        <v>2077416.68</v>
      </c>
      <c r="AC413" s="181">
        <v>0</v>
      </c>
      <c r="AD413" s="1180">
        <v>2077416.68</v>
      </c>
      <c r="AE413" s="1180">
        <v>2077416.68</v>
      </c>
      <c r="AF413" s="181">
        <v>2077416.68</v>
      </c>
      <c r="AG413" s="181">
        <v>2077416.68</v>
      </c>
      <c r="AH413" s="181">
        <v>0</v>
      </c>
      <c r="AI413" s="181">
        <v>0</v>
      </c>
      <c r="AJ413" s="181">
        <v>0</v>
      </c>
      <c r="AK413" s="181">
        <v>0</v>
      </c>
      <c r="AL413" s="181">
        <v>0</v>
      </c>
      <c r="AM413" s="181">
        <v>0</v>
      </c>
      <c r="AN413" s="181" t="s">
        <v>142</v>
      </c>
      <c r="AS413" s="181"/>
    </row>
    <row r="414" spans="1:45" ht="30" hidden="1" x14ac:dyDescent="0.25">
      <c r="A414" s="181">
        <v>318</v>
      </c>
      <c r="B414" s="181">
        <v>99</v>
      </c>
      <c r="C414" s="181" t="s">
        <v>1448</v>
      </c>
      <c r="D414" s="1179" t="s">
        <v>1449</v>
      </c>
      <c r="E414" s="181">
        <v>0</v>
      </c>
      <c r="F414" s="181">
        <v>0</v>
      </c>
      <c r="G414" s="181">
        <v>822090149.62</v>
      </c>
      <c r="H414" s="181">
        <v>0</v>
      </c>
      <c r="I414" s="181">
        <v>822090149.62</v>
      </c>
      <c r="J414" s="181">
        <v>822090149.62</v>
      </c>
      <c r="K414" s="181">
        <v>0</v>
      </c>
      <c r="L414" s="181">
        <v>822090149.62</v>
      </c>
      <c r="M414" s="181">
        <v>0</v>
      </c>
      <c r="N414" s="181">
        <v>0</v>
      </c>
      <c r="O414" s="181">
        <v>0</v>
      </c>
      <c r="P414" s="181">
        <v>0</v>
      </c>
      <c r="Q414" s="181">
        <v>0</v>
      </c>
      <c r="R414" s="181">
        <v>0</v>
      </c>
      <c r="S414" s="181">
        <v>822090149.62</v>
      </c>
      <c r="T414" s="181">
        <v>0</v>
      </c>
      <c r="U414" s="181">
        <v>822090149.62</v>
      </c>
      <c r="V414" s="181">
        <v>0</v>
      </c>
      <c r="W414" s="181">
        <v>0</v>
      </c>
      <c r="X414" s="181">
        <v>0</v>
      </c>
      <c r="Y414" s="181">
        <v>0</v>
      </c>
      <c r="Z414" s="181">
        <v>0</v>
      </c>
      <c r="AA414" s="181">
        <v>0</v>
      </c>
      <c r="AB414" s="181">
        <v>822090149.62</v>
      </c>
      <c r="AC414" s="181">
        <v>0</v>
      </c>
      <c r="AD414" s="1180">
        <v>822090149.62</v>
      </c>
      <c r="AE414" s="1180">
        <v>822090149.62</v>
      </c>
      <c r="AF414" s="181">
        <v>822090149.62</v>
      </c>
      <c r="AG414" s="181">
        <v>822090149.62</v>
      </c>
      <c r="AH414" s="181">
        <v>0</v>
      </c>
      <c r="AI414" s="181">
        <v>0</v>
      </c>
      <c r="AJ414" s="181">
        <v>0</v>
      </c>
      <c r="AK414" s="181">
        <v>0</v>
      </c>
      <c r="AL414" s="181">
        <v>0</v>
      </c>
      <c r="AM414" s="181">
        <v>0</v>
      </c>
      <c r="AN414" s="181" t="s">
        <v>221</v>
      </c>
      <c r="AS414" s="181"/>
    </row>
    <row r="415" spans="1:45" ht="45" hidden="1" x14ac:dyDescent="0.25">
      <c r="A415" s="181">
        <v>318</v>
      </c>
      <c r="B415" s="181">
        <v>191</v>
      </c>
      <c r="C415" s="181" t="s">
        <v>1450</v>
      </c>
      <c r="D415" s="1179" t="s">
        <v>1451</v>
      </c>
      <c r="E415" s="181">
        <v>0</v>
      </c>
      <c r="F415" s="181">
        <v>0</v>
      </c>
      <c r="G415" s="181">
        <v>27051355.399999999</v>
      </c>
      <c r="H415" s="181">
        <v>0</v>
      </c>
      <c r="I415" s="181">
        <v>27051355.399999999</v>
      </c>
      <c r="J415" s="181">
        <v>27051355.399999999</v>
      </c>
      <c r="K415" s="181">
        <v>0</v>
      </c>
      <c r="L415" s="181">
        <v>27051355.399999999</v>
      </c>
      <c r="M415" s="181">
        <v>0</v>
      </c>
      <c r="N415" s="181">
        <v>0</v>
      </c>
      <c r="O415" s="181">
        <v>0</v>
      </c>
      <c r="P415" s="181">
        <v>0</v>
      </c>
      <c r="Q415" s="181">
        <v>0</v>
      </c>
      <c r="R415" s="181">
        <v>0</v>
      </c>
      <c r="S415" s="181">
        <v>27051355.399999999</v>
      </c>
      <c r="T415" s="181">
        <v>0</v>
      </c>
      <c r="U415" s="181">
        <v>27051355.399999999</v>
      </c>
      <c r="V415" s="181">
        <v>0</v>
      </c>
      <c r="W415" s="181">
        <v>0</v>
      </c>
      <c r="X415" s="181">
        <v>0</v>
      </c>
      <c r="Y415" s="181">
        <v>0</v>
      </c>
      <c r="Z415" s="181">
        <v>0</v>
      </c>
      <c r="AA415" s="181">
        <v>0</v>
      </c>
      <c r="AB415" s="181">
        <v>27051355.399999999</v>
      </c>
      <c r="AC415" s="181">
        <v>0</v>
      </c>
      <c r="AD415" s="1180">
        <v>27051355.399999999</v>
      </c>
      <c r="AE415" s="1180">
        <v>27051355.399999999</v>
      </c>
      <c r="AF415" s="181">
        <v>27051355.399999999</v>
      </c>
      <c r="AG415" s="181">
        <v>27051355.399999999</v>
      </c>
      <c r="AH415" s="181">
        <v>0</v>
      </c>
      <c r="AI415" s="181">
        <v>0</v>
      </c>
      <c r="AJ415" s="181">
        <v>0</v>
      </c>
      <c r="AK415" s="181">
        <v>0</v>
      </c>
      <c r="AL415" s="181">
        <v>0</v>
      </c>
      <c r="AM415" s="181">
        <v>0</v>
      </c>
      <c r="AN415" s="181" t="s">
        <v>122</v>
      </c>
      <c r="AS415" s="181"/>
    </row>
    <row r="416" spans="1:45" ht="30" hidden="1" x14ac:dyDescent="0.25">
      <c r="A416" s="181">
        <v>318</v>
      </c>
      <c r="B416" s="181">
        <v>97</v>
      </c>
      <c r="C416" s="181" t="s">
        <v>1452</v>
      </c>
      <c r="D416" s="1179" t="s">
        <v>1453</v>
      </c>
      <c r="E416" s="181">
        <v>0</v>
      </c>
      <c r="F416" s="181">
        <v>0</v>
      </c>
      <c r="G416" s="181">
        <v>1889.57</v>
      </c>
      <c r="H416" s="181">
        <v>0</v>
      </c>
      <c r="I416" s="181">
        <v>1889.57</v>
      </c>
      <c r="J416" s="181">
        <v>1889.57</v>
      </c>
      <c r="K416" s="181">
        <v>0</v>
      </c>
      <c r="L416" s="181">
        <v>1889.57</v>
      </c>
      <c r="M416" s="181">
        <v>0</v>
      </c>
      <c r="N416" s="181">
        <v>0</v>
      </c>
      <c r="O416" s="181">
        <v>0</v>
      </c>
      <c r="P416" s="181">
        <v>0</v>
      </c>
      <c r="Q416" s="181">
        <v>0</v>
      </c>
      <c r="R416" s="181">
        <v>0</v>
      </c>
      <c r="S416" s="181">
        <v>1889.57</v>
      </c>
      <c r="T416" s="181">
        <v>0</v>
      </c>
      <c r="U416" s="181">
        <v>1889.57</v>
      </c>
      <c r="V416" s="181">
        <v>0</v>
      </c>
      <c r="W416" s="181">
        <v>0</v>
      </c>
      <c r="X416" s="181">
        <v>0</v>
      </c>
      <c r="Y416" s="181">
        <v>0</v>
      </c>
      <c r="Z416" s="181">
        <v>0</v>
      </c>
      <c r="AA416" s="181">
        <v>0</v>
      </c>
      <c r="AB416" s="181">
        <v>1889.57</v>
      </c>
      <c r="AC416" s="181">
        <v>0</v>
      </c>
      <c r="AD416" s="1180">
        <v>1889.57</v>
      </c>
      <c r="AE416" s="1180">
        <v>1889.57</v>
      </c>
      <c r="AF416" s="181">
        <v>1889.57</v>
      </c>
      <c r="AG416" s="181">
        <v>1889.57</v>
      </c>
      <c r="AH416" s="181">
        <v>0</v>
      </c>
      <c r="AI416" s="181">
        <v>0</v>
      </c>
      <c r="AJ416" s="181">
        <v>0</v>
      </c>
      <c r="AK416" s="181">
        <v>0</v>
      </c>
      <c r="AL416" s="181">
        <v>0</v>
      </c>
      <c r="AM416" s="181">
        <v>0</v>
      </c>
      <c r="AN416" s="181" t="s">
        <v>217</v>
      </c>
      <c r="AS416" s="181"/>
    </row>
    <row r="417" spans="1:45" ht="30" hidden="1" x14ac:dyDescent="0.25">
      <c r="A417" s="181">
        <v>318</v>
      </c>
      <c r="B417" s="181">
        <v>192</v>
      </c>
      <c r="C417" s="181" t="s">
        <v>1454</v>
      </c>
      <c r="D417" s="1179" t="s">
        <v>1455</v>
      </c>
      <c r="E417" s="181">
        <v>0</v>
      </c>
      <c r="F417" s="181">
        <v>0</v>
      </c>
      <c r="G417" s="181">
        <v>144394752.27000001</v>
      </c>
      <c r="H417" s="181">
        <v>0</v>
      </c>
      <c r="I417" s="181">
        <v>144394752.27000001</v>
      </c>
      <c r="J417" s="181">
        <v>144394752.27000001</v>
      </c>
      <c r="K417" s="181">
        <v>0</v>
      </c>
      <c r="L417" s="181">
        <v>144394752.27000001</v>
      </c>
      <c r="M417" s="181">
        <v>0</v>
      </c>
      <c r="N417" s="181">
        <v>0</v>
      </c>
      <c r="O417" s="181">
        <v>0</v>
      </c>
      <c r="P417" s="181">
        <v>0</v>
      </c>
      <c r="Q417" s="181">
        <v>0</v>
      </c>
      <c r="R417" s="181">
        <v>0</v>
      </c>
      <c r="S417" s="181">
        <v>144394752.27000001</v>
      </c>
      <c r="T417" s="181">
        <v>0</v>
      </c>
      <c r="U417" s="181">
        <v>144394752.27000001</v>
      </c>
      <c r="V417" s="181">
        <v>0</v>
      </c>
      <c r="W417" s="181">
        <v>0</v>
      </c>
      <c r="X417" s="181">
        <v>0</v>
      </c>
      <c r="Y417" s="181">
        <v>0</v>
      </c>
      <c r="Z417" s="181">
        <v>0</v>
      </c>
      <c r="AA417" s="181">
        <v>0</v>
      </c>
      <c r="AB417" s="181">
        <v>144394752.27000001</v>
      </c>
      <c r="AC417" s="181">
        <v>0</v>
      </c>
      <c r="AD417" s="1180">
        <v>144394752.27000001</v>
      </c>
      <c r="AE417" s="1180">
        <v>144394752.27000001</v>
      </c>
      <c r="AF417" s="181">
        <v>144394752.27000001</v>
      </c>
      <c r="AG417" s="181">
        <v>144394752.27000001</v>
      </c>
      <c r="AH417" s="181">
        <v>0</v>
      </c>
      <c r="AI417" s="181">
        <v>0</v>
      </c>
      <c r="AJ417" s="181">
        <v>0</v>
      </c>
      <c r="AK417" s="181">
        <v>0</v>
      </c>
      <c r="AL417" s="181">
        <v>0</v>
      </c>
      <c r="AM417" s="181">
        <v>0</v>
      </c>
      <c r="AN417" s="181" t="s">
        <v>124</v>
      </c>
      <c r="AS417" s="181"/>
    </row>
    <row r="418" spans="1:45" ht="30" hidden="1" x14ac:dyDescent="0.25">
      <c r="A418" s="181">
        <v>318</v>
      </c>
      <c r="B418" s="181">
        <v>193</v>
      </c>
      <c r="C418" s="181" t="s">
        <v>1456</v>
      </c>
      <c r="D418" s="1179" t="s">
        <v>1457</v>
      </c>
      <c r="E418" s="181">
        <v>0</v>
      </c>
      <c r="F418" s="181">
        <v>0</v>
      </c>
      <c r="G418" s="181">
        <v>1165629392.29</v>
      </c>
      <c r="H418" s="181">
        <v>0</v>
      </c>
      <c r="I418" s="181">
        <v>1165629392.29</v>
      </c>
      <c r="J418" s="181">
        <v>1165629392.29</v>
      </c>
      <c r="K418" s="181">
        <v>0</v>
      </c>
      <c r="L418" s="181">
        <v>1165629392.29</v>
      </c>
      <c r="M418" s="181">
        <v>0</v>
      </c>
      <c r="N418" s="181">
        <v>0</v>
      </c>
      <c r="O418" s="181">
        <v>0</v>
      </c>
      <c r="P418" s="181">
        <v>0</v>
      </c>
      <c r="Q418" s="181">
        <v>0</v>
      </c>
      <c r="R418" s="181">
        <v>0</v>
      </c>
      <c r="S418" s="181">
        <v>1165629392.29</v>
      </c>
      <c r="T418" s="181">
        <v>0</v>
      </c>
      <c r="U418" s="181">
        <v>1165629392.29</v>
      </c>
      <c r="V418" s="181">
        <v>0</v>
      </c>
      <c r="W418" s="181">
        <v>0</v>
      </c>
      <c r="X418" s="181">
        <v>0</v>
      </c>
      <c r="Y418" s="181">
        <v>0</v>
      </c>
      <c r="Z418" s="181">
        <v>0</v>
      </c>
      <c r="AA418" s="181">
        <v>0</v>
      </c>
      <c r="AB418" s="181">
        <v>1165629392.29</v>
      </c>
      <c r="AC418" s="181">
        <v>0</v>
      </c>
      <c r="AD418" s="1180">
        <v>1165629392.29</v>
      </c>
      <c r="AE418" s="1180">
        <v>1165629392.29</v>
      </c>
      <c r="AF418" s="181">
        <v>1165629392.29</v>
      </c>
      <c r="AG418" s="181">
        <v>1165629392.29</v>
      </c>
      <c r="AH418" s="181">
        <v>0</v>
      </c>
      <c r="AI418" s="181">
        <v>0</v>
      </c>
      <c r="AJ418" s="181">
        <v>0</v>
      </c>
      <c r="AK418" s="181">
        <v>0</v>
      </c>
      <c r="AL418" s="181">
        <v>0</v>
      </c>
      <c r="AM418" s="181">
        <v>0</v>
      </c>
      <c r="AN418" s="181" t="s">
        <v>126</v>
      </c>
      <c r="AS418" s="181"/>
    </row>
    <row r="419" spans="1:45" ht="45" hidden="1" x14ac:dyDescent="0.25">
      <c r="A419" s="181">
        <v>318</v>
      </c>
      <c r="B419" s="181">
        <v>152</v>
      </c>
      <c r="C419" s="181" t="s">
        <v>1458</v>
      </c>
      <c r="D419" s="1179" t="s">
        <v>1459</v>
      </c>
      <c r="E419" s="181">
        <v>0</v>
      </c>
      <c r="F419" s="181">
        <v>0</v>
      </c>
      <c r="G419" s="181">
        <v>12226.6</v>
      </c>
      <c r="H419" s="181">
        <v>0</v>
      </c>
      <c r="I419" s="181">
        <v>12226.6</v>
      </c>
      <c r="J419" s="181">
        <v>12226.6</v>
      </c>
      <c r="K419" s="181">
        <v>0</v>
      </c>
      <c r="L419" s="181">
        <v>12226.6</v>
      </c>
      <c r="M419" s="181">
        <v>0</v>
      </c>
      <c r="N419" s="181">
        <v>0</v>
      </c>
      <c r="O419" s="181">
        <v>0</v>
      </c>
      <c r="P419" s="181">
        <v>0</v>
      </c>
      <c r="Q419" s="181">
        <v>0</v>
      </c>
      <c r="R419" s="181">
        <v>0</v>
      </c>
      <c r="S419" s="181">
        <v>12226.6</v>
      </c>
      <c r="T419" s="181">
        <v>0</v>
      </c>
      <c r="U419" s="181">
        <v>12226.6</v>
      </c>
      <c r="V419" s="181">
        <v>0</v>
      </c>
      <c r="W419" s="181">
        <v>0</v>
      </c>
      <c r="X419" s="181">
        <v>0</v>
      </c>
      <c r="Y419" s="181">
        <v>0</v>
      </c>
      <c r="Z419" s="181">
        <v>0</v>
      </c>
      <c r="AA419" s="181">
        <v>0</v>
      </c>
      <c r="AB419" s="181">
        <v>12226.6</v>
      </c>
      <c r="AC419" s="181">
        <v>0</v>
      </c>
      <c r="AD419" s="1180">
        <v>12226.6</v>
      </c>
      <c r="AE419" s="1180">
        <v>12226.6</v>
      </c>
      <c r="AF419" s="181">
        <v>12226.6</v>
      </c>
      <c r="AG419" s="181">
        <v>12226.6</v>
      </c>
      <c r="AH419" s="181">
        <v>0</v>
      </c>
      <c r="AI419" s="181">
        <v>0</v>
      </c>
      <c r="AJ419" s="181">
        <v>0</v>
      </c>
      <c r="AK419" s="181">
        <v>0</v>
      </c>
      <c r="AL419" s="181">
        <v>0</v>
      </c>
      <c r="AM419" s="181">
        <v>0</v>
      </c>
      <c r="AN419" s="181" t="s">
        <v>72</v>
      </c>
      <c r="AS419" s="181"/>
    </row>
    <row r="420" spans="1:45" ht="30" hidden="1" x14ac:dyDescent="0.25">
      <c r="A420" s="181">
        <v>318</v>
      </c>
      <c r="B420" s="181">
        <v>220</v>
      </c>
      <c r="C420" s="181" t="s">
        <v>1460</v>
      </c>
      <c r="D420" s="1179" t="s">
        <v>1373</v>
      </c>
      <c r="E420" s="181">
        <v>0</v>
      </c>
      <c r="F420" s="181">
        <v>0</v>
      </c>
      <c r="G420" s="181">
        <v>0</v>
      </c>
      <c r="H420" s="181">
        <v>0</v>
      </c>
      <c r="I420" s="181">
        <v>0</v>
      </c>
      <c r="J420" s="181">
        <v>0</v>
      </c>
      <c r="K420" s="181">
        <v>0</v>
      </c>
      <c r="L420" s="181">
        <v>0</v>
      </c>
      <c r="M420" s="181">
        <v>0</v>
      </c>
      <c r="N420" s="181">
        <v>0</v>
      </c>
      <c r="O420" s="181">
        <v>0</v>
      </c>
      <c r="P420" s="181">
        <v>0</v>
      </c>
      <c r="Q420" s="181">
        <v>0</v>
      </c>
      <c r="R420" s="181">
        <v>0</v>
      </c>
      <c r="S420" s="181">
        <v>0</v>
      </c>
      <c r="T420" s="181">
        <v>0</v>
      </c>
      <c r="U420" s="181">
        <v>0</v>
      </c>
      <c r="V420" s="181">
        <v>0</v>
      </c>
      <c r="W420" s="181">
        <v>0</v>
      </c>
      <c r="X420" s="181">
        <v>0</v>
      </c>
      <c r="Y420" s="181">
        <v>0</v>
      </c>
      <c r="Z420" s="181">
        <v>0</v>
      </c>
      <c r="AA420" s="181">
        <v>0</v>
      </c>
      <c r="AB420" s="181">
        <v>0</v>
      </c>
      <c r="AC420" s="181">
        <v>0</v>
      </c>
      <c r="AD420" s="1180">
        <v>0</v>
      </c>
      <c r="AE420" s="1180">
        <v>0</v>
      </c>
      <c r="AF420" s="181">
        <v>0</v>
      </c>
      <c r="AG420" s="181">
        <v>0</v>
      </c>
      <c r="AH420" s="181">
        <v>0</v>
      </c>
      <c r="AI420" s="181">
        <v>0</v>
      </c>
      <c r="AJ420" s="181">
        <v>0</v>
      </c>
      <c r="AK420" s="181">
        <v>0</v>
      </c>
      <c r="AL420" s="181">
        <v>0</v>
      </c>
      <c r="AM420" s="181">
        <v>0</v>
      </c>
      <c r="AN420" s="181" t="s">
        <v>1736</v>
      </c>
      <c r="AS420" s="181"/>
    </row>
    <row r="421" spans="1:45" ht="30" hidden="1" x14ac:dyDescent="0.25">
      <c r="A421" s="181">
        <v>318</v>
      </c>
      <c r="B421" s="181">
        <v>221</v>
      </c>
      <c r="C421" s="181" t="s">
        <v>1461</v>
      </c>
      <c r="D421" s="1179" t="s">
        <v>1462</v>
      </c>
      <c r="E421" s="181">
        <v>0</v>
      </c>
      <c r="F421" s="181">
        <v>0</v>
      </c>
      <c r="G421" s="181">
        <v>548597644</v>
      </c>
      <c r="H421" s="181">
        <v>0</v>
      </c>
      <c r="I421" s="181">
        <v>548597644</v>
      </c>
      <c r="J421" s="181">
        <v>548597644</v>
      </c>
      <c r="K421" s="181">
        <v>0</v>
      </c>
      <c r="L421" s="181">
        <v>548597644</v>
      </c>
      <c r="M421" s="181">
        <v>0</v>
      </c>
      <c r="N421" s="181">
        <v>0</v>
      </c>
      <c r="O421" s="181">
        <v>0</v>
      </c>
      <c r="P421" s="181">
        <v>0</v>
      </c>
      <c r="Q421" s="181">
        <v>0</v>
      </c>
      <c r="R421" s="181">
        <v>0</v>
      </c>
      <c r="S421" s="181">
        <v>548597644</v>
      </c>
      <c r="T421" s="181">
        <v>0</v>
      </c>
      <c r="U421" s="181">
        <v>548597644</v>
      </c>
      <c r="V421" s="181">
        <v>0</v>
      </c>
      <c r="W421" s="181">
        <v>0</v>
      </c>
      <c r="X421" s="181">
        <v>0</v>
      </c>
      <c r="Y421" s="181">
        <v>0</v>
      </c>
      <c r="Z421" s="181">
        <v>0</v>
      </c>
      <c r="AA421" s="181">
        <v>0</v>
      </c>
      <c r="AB421" s="181">
        <v>548597644</v>
      </c>
      <c r="AC421" s="181">
        <v>0</v>
      </c>
      <c r="AD421" s="1180">
        <v>548597644</v>
      </c>
      <c r="AE421" s="1180">
        <v>548597644</v>
      </c>
      <c r="AF421" s="181">
        <v>548597644</v>
      </c>
      <c r="AG421" s="181">
        <v>548597644</v>
      </c>
      <c r="AH421" s="181">
        <v>0</v>
      </c>
      <c r="AI421" s="181">
        <v>0</v>
      </c>
      <c r="AJ421" s="181">
        <v>0</v>
      </c>
      <c r="AK421" s="181">
        <v>0</v>
      </c>
      <c r="AL421" s="181">
        <v>0</v>
      </c>
      <c r="AM421" s="181">
        <v>0</v>
      </c>
      <c r="AN421" s="181" t="s">
        <v>1751</v>
      </c>
      <c r="AS421" s="181"/>
    </row>
    <row r="422" spans="1:45" ht="30" hidden="1" x14ac:dyDescent="0.25">
      <c r="A422" s="181">
        <v>318</v>
      </c>
      <c r="B422" s="181">
        <v>169</v>
      </c>
      <c r="C422" s="181" t="s">
        <v>1463</v>
      </c>
      <c r="D422" s="1179" t="s">
        <v>1464</v>
      </c>
      <c r="E422" s="181">
        <v>0</v>
      </c>
      <c r="F422" s="181">
        <v>0</v>
      </c>
      <c r="G422" s="181">
        <v>3926845415.9499998</v>
      </c>
      <c r="H422" s="181">
        <v>0</v>
      </c>
      <c r="I422" s="181">
        <v>3926845415.9499998</v>
      </c>
      <c r="J422" s="181">
        <v>3926845415.9499998</v>
      </c>
      <c r="K422" s="181">
        <v>0</v>
      </c>
      <c r="L422" s="181">
        <v>3926845415.9499998</v>
      </c>
      <c r="M422" s="181">
        <v>0</v>
      </c>
      <c r="N422" s="181">
        <v>0</v>
      </c>
      <c r="O422" s="181">
        <v>0</v>
      </c>
      <c r="P422" s="181">
        <v>0</v>
      </c>
      <c r="Q422" s="181">
        <v>0</v>
      </c>
      <c r="R422" s="181">
        <v>0</v>
      </c>
      <c r="S422" s="181">
        <v>3926845415.9499998</v>
      </c>
      <c r="T422" s="181">
        <v>0</v>
      </c>
      <c r="U422" s="181">
        <v>3926845415.9499998</v>
      </c>
      <c r="V422" s="181">
        <v>0</v>
      </c>
      <c r="W422" s="181">
        <v>0</v>
      </c>
      <c r="X422" s="181">
        <v>0</v>
      </c>
      <c r="Y422" s="181">
        <v>0</v>
      </c>
      <c r="Z422" s="181">
        <v>0</v>
      </c>
      <c r="AA422" s="181">
        <v>0</v>
      </c>
      <c r="AB422" s="181">
        <v>3926845415.9499998</v>
      </c>
      <c r="AC422" s="181">
        <v>0</v>
      </c>
      <c r="AD422" s="1180">
        <v>3926845415.9499998</v>
      </c>
      <c r="AE422" s="1180">
        <v>3926845415.9499998</v>
      </c>
      <c r="AF422" s="181">
        <v>3926845415.9499998</v>
      </c>
      <c r="AG422" s="181">
        <v>3926845415.9499998</v>
      </c>
      <c r="AH422" s="181">
        <v>0</v>
      </c>
      <c r="AI422" s="181">
        <v>0</v>
      </c>
      <c r="AJ422" s="181">
        <v>0</v>
      </c>
      <c r="AK422" s="181">
        <v>0</v>
      </c>
      <c r="AL422" s="181">
        <v>0</v>
      </c>
      <c r="AM422" s="181">
        <v>0</v>
      </c>
      <c r="AN422" s="181" t="s">
        <v>1752</v>
      </c>
      <c r="AS422" s="181"/>
    </row>
    <row r="423" spans="1:45" ht="30" hidden="1" x14ac:dyDescent="0.25">
      <c r="A423" s="181">
        <v>318</v>
      </c>
      <c r="B423" s="181" t="s">
        <v>226</v>
      </c>
      <c r="C423" s="181" t="s">
        <v>879</v>
      </c>
      <c r="D423" s="1179" t="s">
        <v>623</v>
      </c>
      <c r="E423" s="181">
        <v>0</v>
      </c>
      <c r="F423" s="181">
        <v>0</v>
      </c>
      <c r="G423" s="181">
        <v>0</v>
      </c>
      <c r="H423" s="181">
        <v>0</v>
      </c>
      <c r="I423" s="181">
        <v>0</v>
      </c>
      <c r="J423" s="181">
        <v>0</v>
      </c>
      <c r="K423" s="181">
        <v>0</v>
      </c>
      <c r="L423" s="181">
        <v>0</v>
      </c>
      <c r="M423" s="181">
        <v>0</v>
      </c>
      <c r="N423" s="181">
        <v>0</v>
      </c>
      <c r="O423" s="181">
        <v>0</v>
      </c>
      <c r="P423" s="181">
        <v>0</v>
      </c>
      <c r="Q423" s="181">
        <v>0</v>
      </c>
      <c r="R423" s="181">
        <v>0</v>
      </c>
      <c r="S423" s="181">
        <v>0</v>
      </c>
      <c r="T423" s="181">
        <v>0</v>
      </c>
      <c r="U423" s="181">
        <v>0</v>
      </c>
      <c r="V423" s="181">
        <v>0</v>
      </c>
      <c r="W423" s="181">
        <v>0</v>
      </c>
      <c r="X423" s="181">
        <v>0</v>
      </c>
      <c r="Y423" s="181">
        <v>0</v>
      </c>
      <c r="Z423" s="181">
        <v>0</v>
      </c>
      <c r="AA423" s="181">
        <v>0</v>
      </c>
      <c r="AB423" s="181">
        <v>0</v>
      </c>
      <c r="AC423" s="181">
        <v>0</v>
      </c>
      <c r="AD423" s="1180">
        <v>0</v>
      </c>
      <c r="AE423" s="1180">
        <v>0</v>
      </c>
      <c r="AF423" s="181">
        <v>0</v>
      </c>
      <c r="AG423" s="181">
        <v>0</v>
      </c>
      <c r="AH423" s="181">
        <v>0</v>
      </c>
      <c r="AI423" s="181">
        <v>0</v>
      </c>
      <c r="AJ423" s="181">
        <v>0</v>
      </c>
      <c r="AK423" s="181">
        <v>0</v>
      </c>
      <c r="AL423" s="181">
        <v>0</v>
      </c>
      <c r="AM423" s="181">
        <v>0</v>
      </c>
      <c r="AN423" s="181" t="s">
        <v>1709</v>
      </c>
      <c r="AS423" s="181"/>
    </row>
    <row r="424" spans="1:45" hidden="1" x14ac:dyDescent="0.25">
      <c r="A424" s="181">
        <v>318</v>
      </c>
      <c r="B424" s="181">
        <v>63</v>
      </c>
      <c r="C424" s="181" t="s">
        <v>1465</v>
      </c>
      <c r="D424" s="1179" t="s">
        <v>1359</v>
      </c>
      <c r="E424" s="181">
        <v>0</v>
      </c>
      <c r="F424" s="181">
        <v>0</v>
      </c>
      <c r="G424" s="181">
        <v>0</v>
      </c>
      <c r="H424" s="181">
        <v>0</v>
      </c>
      <c r="I424" s="181">
        <v>0</v>
      </c>
      <c r="J424" s="181">
        <v>0</v>
      </c>
      <c r="K424" s="181">
        <v>0</v>
      </c>
      <c r="L424" s="181">
        <v>0</v>
      </c>
      <c r="M424" s="181">
        <v>0</v>
      </c>
      <c r="N424" s="181">
        <v>0</v>
      </c>
      <c r="O424" s="181">
        <v>0</v>
      </c>
      <c r="P424" s="181">
        <v>0</v>
      </c>
      <c r="Q424" s="181">
        <v>0</v>
      </c>
      <c r="R424" s="181">
        <v>0</v>
      </c>
      <c r="S424" s="181">
        <v>0</v>
      </c>
      <c r="T424" s="181">
        <v>0</v>
      </c>
      <c r="U424" s="181">
        <v>0</v>
      </c>
      <c r="V424" s="181">
        <v>0</v>
      </c>
      <c r="W424" s="181">
        <v>0</v>
      </c>
      <c r="X424" s="181">
        <v>0</v>
      </c>
      <c r="Y424" s="181">
        <v>0</v>
      </c>
      <c r="Z424" s="181">
        <v>0</v>
      </c>
      <c r="AA424" s="181">
        <v>0</v>
      </c>
      <c r="AB424" s="181">
        <v>0</v>
      </c>
      <c r="AC424" s="181">
        <v>0</v>
      </c>
      <c r="AD424" s="1180">
        <v>0</v>
      </c>
      <c r="AE424" s="1180">
        <v>0</v>
      </c>
      <c r="AF424" s="181">
        <v>0</v>
      </c>
      <c r="AG424" s="181">
        <v>0</v>
      </c>
      <c r="AH424" s="181">
        <v>0</v>
      </c>
      <c r="AI424" s="181">
        <v>0</v>
      </c>
      <c r="AJ424" s="181">
        <v>0</v>
      </c>
      <c r="AK424" s="181">
        <v>0</v>
      </c>
      <c r="AL424" s="181">
        <v>0</v>
      </c>
      <c r="AM424" s="181">
        <v>0</v>
      </c>
      <c r="AN424" s="181" t="s">
        <v>181</v>
      </c>
      <c r="AS424" s="181"/>
    </row>
    <row r="425" spans="1:45" hidden="1" x14ac:dyDescent="0.25">
      <c r="A425" s="181">
        <v>6</v>
      </c>
      <c r="B425" s="181" t="s">
        <v>226</v>
      </c>
      <c r="C425" s="181">
        <v>44932</v>
      </c>
      <c r="D425" s="1179" t="s">
        <v>228</v>
      </c>
      <c r="E425" s="181">
        <v>98474554259.690002</v>
      </c>
      <c r="F425" s="181">
        <v>114178374567.58</v>
      </c>
      <c r="G425" s="181">
        <v>18557299655.419998</v>
      </c>
      <c r="H425" s="181">
        <v>10707853710.57</v>
      </c>
      <c r="I425" s="181">
        <v>7849445944.8500004</v>
      </c>
      <c r="J425" s="181">
        <v>2853479347.5300002</v>
      </c>
      <c r="K425" s="181">
        <v>10707853710.57</v>
      </c>
      <c r="L425" s="181">
        <v>106324000204.53999</v>
      </c>
      <c r="M425" s="181">
        <v>0</v>
      </c>
      <c r="N425" s="181">
        <v>0</v>
      </c>
      <c r="O425" s="181">
        <v>0</v>
      </c>
      <c r="P425" s="181">
        <v>0</v>
      </c>
      <c r="Q425" s="181">
        <v>0</v>
      </c>
      <c r="R425" s="181">
        <v>0</v>
      </c>
      <c r="S425" s="181">
        <v>42220075846.949997</v>
      </c>
      <c r="T425" s="181">
        <v>108447291.81999999</v>
      </c>
      <c r="U425" s="181">
        <v>42111628555.129997</v>
      </c>
      <c r="V425" s="181">
        <v>0</v>
      </c>
      <c r="W425" s="181">
        <v>0</v>
      </c>
      <c r="X425" s="181">
        <v>0</v>
      </c>
      <c r="Y425" s="181">
        <v>0</v>
      </c>
      <c r="Z425" s="181">
        <v>0</v>
      </c>
      <c r="AA425" s="181">
        <v>0</v>
      </c>
      <c r="AB425" s="181">
        <v>22081097699.400002</v>
      </c>
      <c r="AC425" s="181">
        <v>108447291.81999999</v>
      </c>
      <c r="AD425" s="1180">
        <v>21972650407.580002</v>
      </c>
      <c r="AE425" s="1180">
        <v>21972650407.580002</v>
      </c>
      <c r="AF425" s="181">
        <v>42011159641.839996</v>
      </c>
      <c r="AG425" s="181">
        <v>21972032973.23</v>
      </c>
      <c r="AH425" s="181">
        <v>100468913.29000001</v>
      </c>
      <c r="AI425" s="181">
        <v>100469390.69</v>
      </c>
      <c r="AJ425" s="181">
        <v>477.4</v>
      </c>
      <c r="AK425" s="181">
        <v>617911.75</v>
      </c>
      <c r="AL425" s="181">
        <v>0</v>
      </c>
      <c r="AM425" s="181">
        <v>477.4</v>
      </c>
      <c r="AN425" s="181" t="s">
        <v>1709</v>
      </c>
      <c r="AS425" s="181"/>
    </row>
    <row r="426" spans="1:45" hidden="1" x14ac:dyDescent="0.25">
      <c r="A426" s="181">
        <v>6</v>
      </c>
      <c r="B426" s="181" t="s">
        <v>226</v>
      </c>
      <c r="C426" s="181">
        <v>45236</v>
      </c>
      <c r="D426" s="1179" t="s">
        <v>230</v>
      </c>
      <c r="E426" s="181">
        <v>98474554259.690002</v>
      </c>
      <c r="F426" s="181">
        <v>114178374567.58</v>
      </c>
      <c r="G426" s="181">
        <v>18557299655.419998</v>
      </c>
      <c r="H426" s="181">
        <v>10707853710.57</v>
      </c>
      <c r="I426" s="181">
        <v>7849445944.8500004</v>
      </c>
      <c r="J426" s="181">
        <v>2853479347.5300002</v>
      </c>
      <c r="K426" s="181">
        <v>10707853710.57</v>
      </c>
      <c r="L426" s="181">
        <v>106324000204.53999</v>
      </c>
      <c r="M426" s="181">
        <v>0</v>
      </c>
      <c r="N426" s="181">
        <v>0</v>
      </c>
      <c r="O426" s="181">
        <v>0</v>
      </c>
      <c r="P426" s="181">
        <v>0</v>
      </c>
      <c r="Q426" s="181">
        <v>0</v>
      </c>
      <c r="R426" s="181">
        <v>0</v>
      </c>
      <c r="S426" s="181">
        <v>42219452315.68</v>
      </c>
      <c r="T426" s="181">
        <v>108446814.42</v>
      </c>
      <c r="U426" s="181">
        <v>42111005501.260002</v>
      </c>
      <c r="V426" s="181">
        <v>0</v>
      </c>
      <c r="W426" s="181">
        <v>0</v>
      </c>
      <c r="X426" s="181">
        <v>0</v>
      </c>
      <c r="Y426" s="181">
        <v>0</v>
      </c>
      <c r="Z426" s="181">
        <v>0</v>
      </c>
      <c r="AA426" s="181">
        <v>0</v>
      </c>
      <c r="AB426" s="181">
        <v>22080479787.650002</v>
      </c>
      <c r="AC426" s="181">
        <v>108446814.42</v>
      </c>
      <c r="AD426" s="1180">
        <v>21972032973.23</v>
      </c>
      <c r="AE426" s="1180">
        <v>21972032973.23</v>
      </c>
      <c r="AF426" s="181">
        <v>42011159641.839996</v>
      </c>
      <c r="AG426" s="181">
        <v>21972032973.23</v>
      </c>
      <c r="AH426" s="181">
        <v>99845859.420000002</v>
      </c>
      <c r="AI426" s="181">
        <v>99845859.420000002</v>
      </c>
      <c r="AJ426" s="181">
        <v>0</v>
      </c>
      <c r="AK426" s="181">
        <v>0</v>
      </c>
      <c r="AL426" s="181">
        <v>0</v>
      </c>
      <c r="AM426" s="181">
        <v>0</v>
      </c>
      <c r="AN426" s="181" t="s">
        <v>1709</v>
      </c>
      <c r="AS426" s="181"/>
    </row>
    <row r="427" spans="1:45" hidden="1" x14ac:dyDescent="0.25">
      <c r="A427" s="181">
        <v>6</v>
      </c>
      <c r="B427" s="181" t="s">
        <v>226</v>
      </c>
      <c r="C427" s="181" t="s">
        <v>881</v>
      </c>
      <c r="D427" s="1179" t="s">
        <v>311</v>
      </c>
      <c r="E427" s="181">
        <v>98474554259.690002</v>
      </c>
      <c r="F427" s="181">
        <v>114178374567.58</v>
      </c>
      <c r="G427" s="181">
        <v>18557299655.419998</v>
      </c>
      <c r="H427" s="181">
        <v>10707853710.57</v>
      </c>
      <c r="I427" s="181">
        <v>7849445944.8500004</v>
      </c>
      <c r="J427" s="181">
        <v>2853479347.5300002</v>
      </c>
      <c r="K427" s="181">
        <v>10707853710.57</v>
      </c>
      <c r="L427" s="181">
        <v>106324000204.53999</v>
      </c>
      <c r="M427" s="181">
        <v>0</v>
      </c>
      <c r="N427" s="181">
        <v>0</v>
      </c>
      <c r="O427" s="181">
        <v>0</v>
      </c>
      <c r="P427" s="181">
        <v>0</v>
      </c>
      <c r="Q427" s="181">
        <v>0</v>
      </c>
      <c r="R427" s="181">
        <v>0</v>
      </c>
      <c r="S427" s="181">
        <v>42219452315.68</v>
      </c>
      <c r="T427" s="181">
        <v>108446814.42</v>
      </c>
      <c r="U427" s="181">
        <v>42111005501.260002</v>
      </c>
      <c r="V427" s="181">
        <v>0</v>
      </c>
      <c r="W427" s="181">
        <v>0</v>
      </c>
      <c r="X427" s="181">
        <v>0</v>
      </c>
      <c r="Y427" s="181">
        <v>0</v>
      </c>
      <c r="Z427" s="181">
        <v>0</v>
      </c>
      <c r="AA427" s="181">
        <v>0</v>
      </c>
      <c r="AB427" s="181">
        <v>22080479787.650002</v>
      </c>
      <c r="AC427" s="181">
        <v>108446814.42</v>
      </c>
      <c r="AD427" s="1180">
        <v>21972032973.23</v>
      </c>
      <c r="AE427" s="1180">
        <v>21972032973.23</v>
      </c>
      <c r="AF427" s="181">
        <v>42011159641.839996</v>
      </c>
      <c r="AG427" s="181">
        <v>21972032973.23</v>
      </c>
      <c r="AH427" s="181">
        <v>99845859.420000002</v>
      </c>
      <c r="AI427" s="181">
        <v>99845859.420000002</v>
      </c>
      <c r="AJ427" s="181">
        <v>0</v>
      </c>
      <c r="AK427" s="181">
        <v>0</v>
      </c>
      <c r="AL427" s="181">
        <v>0</v>
      </c>
      <c r="AM427" s="181">
        <v>0</v>
      </c>
      <c r="AN427" s="181" t="s">
        <v>1709</v>
      </c>
      <c r="AS427" s="181"/>
    </row>
    <row r="428" spans="1:45" hidden="1" x14ac:dyDescent="0.25">
      <c r="A428" s="181">
        <v>6</v>
      </c>
      <c r="B428" s="181" t="s">
        <v>226</v>
      </c>
      <c r="C428" s="181" t="s">
        <v>882</v>
      </c>
      <c r="D428" s="1179" t="s">
        <v>406</v>
      </c>
      <c r="E428" s="181">
        <v>98474554259.690002</v>
      </c>
      <c r="F428" s="181">
        <v>114178374567.58</v>
      </c>
      <c r="G428" s="181">
        <v>18557299655.419998</v>
      </c>
      <c r="H428" s="181">
        <v>10707853710.57</v>
      </c>
      <c r="I428" s="181">
        <v>7849445944.8500004</v>
      </c>
      <c r="J428" s="181">
        <v>2853479347.5300002</v>
      </c>
      <c r="K428" s="181">
        <v>10707853710.57</v>
      </c>
      <c r="L428" s="181">
        <v>106324000204.53999</v>
      </c>
      <c r="M428" s="181">
        <v>0</v>
      </c>
      <c r="N428" s="181">
        <v>0</v>
      </c>
      <c r="O428" s="181">
        <v>0</v>
      </c>
      <c r="P428" s="181">
        <v>0</v>
      </c>
      <c r="Q428" s="181">
        <v>0</v>
      </c>
      <c r="R428" s="181">
        <v>0</v>
      </c>
      <c r="S428" s="181">
        <v>42219452315.68</v>
      </c>
      <c r="T428" s="181">
        <v>108446814.42</v>
      </c>
      <c r="U428" s="181">
        <v>42111005501.260002</v>
      </c>
      <c r="V428" s="181">
        <v>0</v>
      </c>
      <c r="W428" s="181">
        <v>0</v>
      </c>
      <c r="X428" s="181">
        <v>0</v>
      </c>
      <c r="Y428" s="181">
        <v>0</v>
      </c>
      <c r="Z428" s="181">
        <v>0</v>
      </c>
      <c r="AA428" s="181">
        <v>0</v>
      </c>
      <c r="AB428" s="181">
        <v>22080479787.650002</v>
      </c>
      <c r="AC428" s="181">
        <v>108446814.42</v>
      </c>
      <c r="AD428" s="1180">
        <v>21972032973.23</v>
      </c>
      <c r="AE428" s="1180">
        <v>21972032973.23</v>
      </c>
      <c r="AF428" s="181">
        <v>42011159641.839996</v>
      </c>
      <c r="AG428" s="181">
        <v>21972032973.23</v>
      </c>
      <c r="AH428" s="181">
        <v>99845859.420000002</v>
      </c>
      <c r="AI428" s="181">
        <v>99845859.420000002</v>
      </c>
      <c r="AJ428" s="181">
        <v>0</v>
      </c>
      <c r="AK428" s="181">
        <v>0</v>
      </c>
      <c r="AL428" s="181">
        <v>0</v>
      </c>
      <c r="AM428" s="181">
        <v>0</v>
      </c>
      <c r="AN428" s="181" t="s">
        <v>1709</v>
      </c>
      <c r="AS428" s="181"/>
    </row>
    <row r="429" spans="1:45" hidden="1" x14ac:dyDescent="0.25">
      <c r="A429" s="181">
        <v>6</v>
      </c>
      <c r="B429" s="181" t="s">
        <v>226</v>
      </c>
      <c r="C429" s="181" t="s">
        <v>883</v>
      </c>
      <c r="D429" s="1179" t="s">
        <v>884</v>
      </c>
      <c r="E429" s="181">
        <v>98474554259.690002</v>
      </c>
      <c r="F429" s="181">
        <v>114178374567.58</v>
      </c>
      <c r="G429" s="181">
        <v>18557299655.419998</v>
      </c>
      <c r="H429" s="181">
        <v>10707853710.57</v>
      </c>
      <c r="I429" s="181">
        <v>7849445944.8500004</v>
      </c>
      <c r="J429" s="181">
        <v>2853479347.5300002</v>
      </c>
      <c r="K429" s="181">
        <v>10707853710.57</v>
      </c>
      <c r="L429" s="181">
        <v>106324000204.53999</v>
      </c>
      <c r="M429" s="181">
        <v>0</v>
      </c>
      <c r="N429" s="181">
        <v>0</v>
      </c>
      <c r="O429" s="181">
        <v>0</v>
      </c>
      <c r="P429" s="181">
        <v>0</v>
      </c>
      <c r="Q429" s="181">
        <v>0</v>
      </c>
      <c r="R429" s="181">
        <v>0</v>
      </c>
      <c r="S429" s="181">
        <v>42219452315.68</v>
      </c>
      <c r="T429" s="181">
        <v>108446814.42</v>
      </c>
      <c r="U429" s="181">
        <v>42111005501.260002</v>
      </c>
      <c r="V429" s="181">
        <v>0</v>
      </c>
      <c r="W429" s="181">
        <v>0</v>
      </c>
      <c r="X429" s="181">
        <v>0</v>
      </c>
      <c r="Y429" s="181">
        <v>0</v>
      </c>
      <c r="Z429" s="181">
        <v>0</v>
      </c>
      <c r="AA429" s="181">
        <v>0</v>
      </c>
      <c r="AB429" s="181">
        <v>22080479787.650002</v>
      </c>
      <c r="AC429" s="181">
        <v>108446814.42</v>
      </c>
      <c r="AD429" s="1180">
        <v>21972032973.23</v>
      </c>
      <c r="AE429" s="1180">
        <v>21972032973.23</v>
      </c>
      <c r="AF429" s="181">
        <v>42011159641.839996</v>
      </c>
      <c r="AG429" s="181">
        <v>21972032973.23</v>
      </c>
      <c r="AH429" s="181">
        <v>99845859.420000002</v>
      </c>
      <c r="AI429" s="181">
        <v>99845859.420000002</v>
      </c>
      <c r="AJ429" s="181">
        <v>0</v>
      </c>
      <c r="AK429" s="181">
        <v>0</v>
      </c>
      <c r="AL429" s="181">
        <v>0</v>
      </c>
      <c r="AM429" s="181">
        <v>0</v>
      </c>
      <c r="AN429" s="181" t="s">
        <v>1709</v>
      </c>
      <c r="AS429" s="181"/>
    </row>
    <row r="430" spans="1:45" hidden="1" x14ac:dyDescent="0.25">
      <c r="A430" s="181">
        <v>6</v>
      </c>
      <c r="B430" s="181" t="s">
        <v>226</v>
      </c>
      <c r="C430" s="181" t="s">
        <v>885</v>
      </c>
      <c r="D430" s="1179" t="s">
        <v>886</v>
      </c>
      <c r="E430" s="181">
        <v>1235060014</v>
      </c>
      <c r="F430" s="181">
        <v>2663237975</v>
      </c>
      <c r="G430" s="181">
        <v>1428177961</v>
      </c>
      <c r="H430" s="181">
        <v>134512610</v>
      </c>
      <c r="I430" s="181">
        <v>1293665351</v>
      </c>
      <c r="J430" s="181">
        <v>0</v>
      </c>
      <c r="K430" s="181">
        <v>134512610</v>
      </c>
      <c r="L430" s="181">
        <v>2528725365</v>
      </c>
      <c r="M430" s="181">
        <v>0</v>
      </c>
      <c r="N430" s="181">
        <v>0</v>
      </c>
      <c r="O430" s="181">
        <v>0</v>
      </c>
      <c r="P430" s="181">
        <v>0</v>
      </c>
      <c r="Q430" s="181">
        <v>0</v>
      </c>
      <c r="R430" s="181">
        <v>0</v>
      </c>
      <c r="S430" s="181">
        <v>2059417422.9100001</v>
      </c>
      <c r="T430" s="181">
        <v>99845859.420000002</v>
      </c>
      <c r="U430" s="181">
        <v>1959571563.49</v>
      </c>
      <c r="V430" s="181">
        <v>0</v>
      </c>
      <c r="W430" s="181">
        <v>0</v>
      </c>
      <c r="X430" s="181">
        <v>0</v>
      </c>
      <c r="Y430" s="181">
        <v>0</v>
      </c>
      <c r="Z430" s="181">
        <v>0</v>
      </c>
      <c r="AA430" s="181">
        <v>0</v>
      </c>
      <c r="AB430" s="181">
        <v>618656375.74000001</v>
      </c>
      <c r="AC430" s="181">
        <v>99845859.420000002</v>
      </c>
      <c r="AD430" s="1180">
        <v>518810516.31999999</v>
      </c>
      <c r="AE430" s="1180">
        <v>518810516.31999999</v>
      </c>
      <c r="AF430" s="181">
        <v>1859725704.0699999</v>
      </c>
      <c r="AG430" s="181">
        <v>518810516.31999999</v>
      </c>
      <c r="AH430" s="181">
        <v>99845859.420000002</v>
      </c>
      <c r="AI430" s="181">
        <v>99845859.420000002</v>
      </c>
      <c r="AJ430" s="181">
        <v>0</v>
      </c>
      <c r="AK430" s="181">
        <v>0</v>
      </c>
      <c r="AL430" s="181">
        <v>0</v>
      </c>
      <c r="AM430" s="181">
        <v>0</v>
      </c>
      <c r="AN430" s="181" t="s">
        <v>1709</v>
      </c>
      <c r="AS430" s="181"/>
    </row>
    <row r="431" spans="1:45" ht="60" hidden="1" x14ac:dyDescent="0.25">
      <c r="A431" s="181">
        <v>6</v>
      </c>
      <c r="B431" s="181">
        <v>70</v>
      </c>
      <c r="C431" s="181" t="s">
        <v>887</v>
      </c>
      <c r="D431" s="1179" t="s">
        <v>888</v>
      </c>
      <c r="E431" s="181">
        <v>169768867</v>
      </c>
      <c r="F431" s="181">
        <v>169768867</v>
      </c>
      <c r="G431" s="181">
        <v>0</v>
      </c>
      <c r="H431" s="181">
        <v>21731244</v>
      </c>
      <c r="I431" s="181">
        <v>-21731244</v>
      </c>
      <c r="J431" s="181">
        <v>0</v>
      </c>
      <c r="K431" s="181">
        <v>21731244</v>
      </c>
      <c r="L431" s="181">
        <v>148037623</v>
      </c>
      <c r="M431" s="181">
        <v>0</v>
      </c>
      <c r="N431" s="181">
        <v>0</v>
      </c>
      <c r="O431" s="181">
        <v>0</v>
      </c>
      <c r="P431" s="181">
        <v>0</v>
      </c>
      <c r="Q431" s="181">
        <v>0</v>
      </c>
      <c r="R431" s="181">
        <v>0</v>
      </c>
      <c r="S431" s="181">
        <v>148037623</v>
      </c>
      <c r="T431" s="181">
        <v>0</v>
      </c>
      <c r="U431" s="181">
        <v>148037623</v>
      </c>
      <c r="V431" s="181">
        <v>0</v>
      </c>
      <c r="W431" s="181">
        <v>0</v>
      </c>
      <c r="X431" s="181">
        <v>0</v>
      </c>
      <c r="Y431" s="181">
        <v>0</v>
      </c>
      <c r="Z431" s="181">
        <v>0</v>
      </c>
      <c r="AA431" s="181">
        <v>0</v>
      </c>
      <c r="AB431" s="181">
        <v>0</v>
      </c>
      <c r="AC431" s="181">
        <v>0</v>
      </c>
      <c r="AD431" s="1180">
        <v>0</v>
      </c>
      <c r="AE431" s="1180">
        <v>0</v>
      </c>
      <c r="AF431" s="181">
        <v>148037623</v>
      </c>
      <c r="AG431" s="181">
        <v>0</v>
      </c>
      <c r="AH431" s="181">
        <v>0</v>
      </c>
      <c r="AI431" s="181">
        <v>0</v>
      </c>
      <c r="AJ431" s="181">
        <v>0</v>
      </c>
      <c r="AK431" s="181">
        <v>0</v>
      </c>
      <c r="AL431" s="181">
        <v>0</v>
      </c>
      <c r="AM431" s="181">
        <v>0</v>
      </c>
      <c r="AN431" s="181" t="s">
        <v>185</v>
      </c>
    </row>
    <row r="432" spans="1:45" ht="60" hidden="1" x14ac:dyDescent="0.25">
      <c r="A432" s="181">
        <v>6</v>
      </c>
      <c r="B432" s="181">
        <v>70</v>
      </c>
      <c r="C432" s="181" t="s">
        <v>889</v>
      </c>
      <c r="D432" s="1179" t="s">
        <v>1466</v>
      </c>
      <c r="E432" s="181">
        <v>0</v>
      </c>
      <c r="F432" s="181">
        <v>1428177961</v>
      </c>
      <c r="G432" s="181">
        <v>1428177961</v>
      </c>
      <c r="H432" s="181">
        <v>0</v>
      </c>
      <c r="I432" s="181">
        <v>1428177961</v>
      </c>
      <c r="J432" s="181">
        <v>0</v>
      </c>
      <c r="K432" s="181">
        <v>0</v>
      </c>
      <c r="L432" s="181">
        <v>1428177961</v>
      </c>
      <c r="M432" s="181">
        <v>0</v>
      </c>
      <c r="N432" s="181">
        <v>0</v>
      </c>
      <c r="O432" s="181">
        <v>0</v>
      </c>
      <c r="P432" s="181">
        <v>0</v>
      </c>
      <c r="Q432" s="181">
        <v>0</v>
      </c>
      <c r="R432" s="181">
        <v>0</v>
      </c>
      <c r="S432" s="181">
        <v>859024159.49000001</v>
      </c>
      <c r="T432" s="181">
        <v>0</v>
      </c>
      <c r="U432" s="181">
        <v>859024159.49000001</v>
      </c>
      <c r="V432" s="181">
        <v>0</v>
      </c>
      <c r="W432" s="181">
        <v>0</v>
      </c>
      <c r="X432" s="181">
        <v>0</v>
      </c>
      <c r="Y432" s="181">
        <v>0</v>
      </c>
      <c r="Z432" s="181">
        <v>0</v>
      </c>
      <c r="AA432" s="181">
        <v>0</v>
      </c>
      <c r="AB432" s="181">
        <v>618656375.74000001</v>
      </c>
      <c r="AC432" s="181">
        <v>0</v>
      </c>
      <c r="AD432" s="1180">
        <v>618656375.74000001</v>
      </c>
      <c r="AE432" s="1180">
        <v>618656375.74000001</v>
      </c>
      <c r="AF432" s="181">
        <v>859024159.49000001</v>
      </c>
      <c r="AG432" s="181">
        <v>618656375.74000001</v>
      </c>
      <c r="AH432" s="181">
        <v>0</v>
      </c>
      <c r="AI432" s="181">
        <v>0</v>
      </c>
      <c r="AJ432" s="181">
        <v>0</v>
      </c>
      <c r="AK432" s="181">
        <v>0</v>
      </c>
      <c r="AL432" s="181">
        <v>0</v>
      </c>
      <c r="AM432" s="181">
        <v>0</v>
      </c>
      <c r="AN432" s="181" t="s">
        <v>185</v>
      </c>
      <c r="AS432" s="181"/>
    </row>
    <row r="433" spans="1:45" ht="60" hidden="1" x14ac:dyDescent="0.25">
      <c r="A433" s="181">
        <v>6</v>
      </c>
      <c r="B433" s="181">
        <v>70</v>
      </c>
      <c r="C433" s="181" t="s">
        <v>890</v>
      </c>
      <c r="D433" s="1179" t="s">
        <v>888</v>
      </c>
      <c r="E433" s="181">
        <v>1065291147</v>
      </c>
      <c r="F433" s="181">
        <v>1065291147</v>
      </c>
      <c r="G433" s="181">
        <v>0</v>
      </c>
      <c r="H433" s="181">
        <v>112781366</v>
      </c>
      <c r="I433" s="181">
        <v>-112781366</v>
      </c>
      <c r="J433" s="181">
        <v>0</v>
      </c>
      <c r="K433" s="181">
        <v>112781366</v>
      </c>
      <c r="L433" s="181">
        <v>952509781</v>
      </c>
      <c r="M433" s="181">
        <v>0</v>
      </c>
      <c r="N433" s="181">
        <v>0</v>
      </c>
      <c r="O433" s="181">
        <v>0</v>
      </c>
      <c r="P433" s="181">
        <v>0</v>
      </c>
      <c r="Q433" s="181">
        <v>0</v>
      </c>
      <c r="R433" s="181">
        <v>0</v>
      </c>
      <c r="S433" s="181">
        <v>952509781</v>
      </c>
      <c r="T433" s="181">
        <v>0</v>
      </c>
      <c r="U433" s="181">
        <v>952509781</v>
      </c>
      <c r="V433" s="181">
        <v>0</v>
      </c>
      <c r="W433" s="181">
        <v>0</v>
      </c>
      <c r="X433" s="181">
        <v>0</v>
      </c>
      <c r="Y433" s="181">
        <v>0</v>
      </c>
      <c r="Z433" s="181">
        <v>0</v>
      </c>
      <c r="AA433" s="181">
        <v>0</v>
      </c>
      <c r="AB433" s="181">
        <v>0</v>
      </c>
      <c r="AC433" s="181">
        <v>0</v>
      </c>
      <c r="AD433" s="1180">
        <v>0</v>
      </c>
      <c r="AE433" s="1180">
        <v>0</v>
      </c>
      <c r="AF433" s="181">
        <v>952509781</v>
      </c>
      <c r="AG433" s="181">
        <v>0</v>
      </c>
      <c r="AH433" s="181">
        <v>0</v>
      </c>
      <c r="AI433" s="181">
        <v>0</v>
      </c>
      <c r="AJ433" s="181">
        <v>0</v>
      </c>
      <c r="AK433" s="181">
        <v>0</v>
      </c>
      <c r="AL433" s="181">
        <v>0</v>
      </c>
      <c r="AM433" s="181">
        <v>0</v>
      </c>
      <c r="AN433" s="181" t="s">
        <v>185</v>
      </c>
    </row>
    <row r="434" spans="1:45" ht="60" hidden="1" x14ac:dyDescent="0.25">
      <c r="A434" s="181">
        <v>6</v>
      </c>
      <c r="B434" s="181">
        <v>70</v>
      </c>
      <c r="C434" s="181" t="s">
        <v>891</v>
      </c>
      <c r="D434" s="1179" t="s">
        <v>1467</v>
      </c>
      <c r="E434" s="181">
        <v>0</v>
      </c>
      <c r="F434" s="181">
        <v>0</v>
      </c>
      <c r="G434" s="181">
        <v>0</v>
      </c>
      <c r="H434" s="181">
        <v>0</v>
      </c>
      <c r="I434" s="181">
        <v>0</v>
      </c>
      <c r="J434" s="181">
        <v>0</v>
      </c>
      <c r="K434" s="181">
        <v>0</v>
      </c>
      <c r="L434" s="181">
        <v>0</v>
      </c>
      <c r="M434" s="181">
        <v>0</v>
      </c>
      <c r="N434" s="181">
        <v>0</v>
      </c>
      <c r="O434" s="181">
        <v>0</v>
      </c>
      <c r="P434" s="181">
        <v>0</v>
      </c>
      <c r="Q434" s="181">
        <v>0</v>
      </c>
      <c r="R434" s="181">
        <v>0</v>
      </c>
      <c r="S434" s="181">
        <v>99845859.420000002</v>
      </c>
      <c r="T434" s="181">
        <v>99845859.420000002</v>
      </c>
      <c r="U434" s="181">
        <v>0</v>
      </c>
      <c r="V434" s="181">
        <v>0</v>
      </c>
      <c r="W434" s="181">
        <v>0</v>
      </c>
      <c r="X434" s="181">
        <v>0</v>
      </c>
      <c r="Y434" s="181">
        <v>0</v>
      </c>
      <c r="Z434" s="181">
        <v>0</v>
      </c>
      <c r="AA434" s="181">
        <v>0</v>
      </c>
      <c r="AB434" s="181">
        <v>0</v>
      </c>
      <c r="AC434" s="181">
        <v>99845859.420000002</v>
      </c>
      <c r="AD434" s="1180">
        <v>-99845859.420000002</v>
      </c>
      <c r="AE434" s="1180">
        <v>-99845859.420000002</v>
      </c>
      <c r="AF434" s="181">
        <v>-99845859.420000002</v>
      </c>
      <c r="AG434" s="181">
        <v>-99845859.420000002</v>
      </c>
      <c r="AH434" s="181">
        <v>99845859.420000002</v>
      </c>
      <c r="AI434" s="181">
        <v>99845859.420000002</v>
      </c>
      <c r="AJ434" s="181">
        <v>0</v>
      </c>
      <c r="AK434" s="181">
        <v>0</v>
      </c>
      <c r="AL434" s="181">
        <v>0</v>
      </c>
      <c r="AM434" s="181">
        <v>0</v>
      </c>
      <c r="AN434" s="181" t="s">
        <v>185</v>
      </c>
      <c r="AS434" s="181"/>
    </row>
    <row r="435" spans="1:45" ht="30" hidden="1" x14ac:dyDescent="0.25">
      <c r="A435" s="181">
        <v>6</v>
      </c>
      <c r="B435" s="181" t="s">
        <v>226</v>
      </c>
      <c r="C435" s="181" t="s">
        <v>892</v>
      </c>
      <c r="D435" s="1179" t="s">
        <v>893</v>
      </c>
      <c r="E435" s="181">
        <v>88323019442.690002</v>
      </c>
      <c r="F435" s="181">
        <v>101704884674.58</v>
      </c>
      <c r="G435" s="181">
        <v>16235344579.42</v>
      </c>
      <c r="H435" s="181">
        <v>10559948962.57</v>
      </c>
      <c r="I435" s="181">
        <v>5675395616.8500004</v>
      </c>
      <c r="J435" s="181">
        <v>2853479347.5300002</v>
      </c>
      <c r="K435" s="181">
        <v>10559948962.57</v>
      </c>
      <c r="L435" s="181">
        <v>93998415059.539993</v>
      </c>
      <c r="M435" s="181">
        <v>0</v>
      </c>
      <c r="N435" s="181">
        <v>0</v>
      </c>
      <c r="O435" s="181">
        <v>0</v>
      </c>
      <c r="P435" s="181">
        <v>0</v>
      </c>
      <c r="Q435" s="181">
        <v>0</v>
      </c>
      <c r="R435" s="181">
        <v>0</v>
      </c>
      <c r="S435" s="181">
        <v>31073999452.77</v>
      </c>
      <c r="T435" s="181">
        <v>0</v>
      </c>
      <c r="U435" s="181">
        <v>31073999452.77</v>
      </c>
      <c r="V435" s="181">
        <v>0</v>
      </c>
      <c r="W435" s="181">
        <v>0</v>
      </c>
      <c r="X435" s="181">
        <v>0</v>
      </c>
      <c r="Y435" s="181">
        <v>0</v>
      </c>
      <c r="Z435" s="181">
        <v>0</v>
      </c>
      <c r="AA435" s="181">
        <v>0</v>
      </c>
      <c r="AB435" s="181">
        <v>17376904778.91</v>
      </c>
      <c r="AC435" s="181">
        <v>0</v>
      </c>
      <c r="AD435" s="1180">
        <v>17376904778.91</v>
      </c>
      <c r="AE435" s="1180">
        <v>17376904778.91</v>
      </c>
      <c r="AF435" s="181">
        <v>31073999452.77</v>
      </c>
      <c r="AG435" s="181">
        <v>17376904778.91</v>
      </c>
      <c r="AH435" s="181">
        <v>0</v>
      </c>
      <c r="AI435" s="181">
        <v>0</v>
      </c>
      <c r="AJ435" s="181">
        <v>0</v>
      </c>
      <c r="AK435" s="181">
        <v>0</v>
      </c>
      <c r="AL435" s="181">
        <v>0</v>
      </c>
      <c r="AM435" s="181">
        <v>0</v>
      </c>
      <c r="AN435" s="181" t="s">
        <v>1709</v>
      </c>
      <c r="AS435" s="181"/>
    </row>
    <row r="436" spans="1:45" ht="60" hidden="1" x14ac:dyDescent="0.25">
      <c r="A436" s="181">
        <v>6</v>
      </c>
      <c r="B436" s="181">
        <v>70</v>
      </c>
      <c r="C436" s="181" t="s">
        <v>894</v>
      </c>
      <c r="D436" s="1179" t="s">
        <v>895</v>
      </c>
      <c r="E436" s="181">
        <v>5379226408.6599998</v>
      </c>
      <c r="F436" s="181">
        <v>6218336232.6599998</v>
      </c>
      <c r="G436" s="181">
        <v>839109824</v>
      </c>
      <c r="H436" s="181">
        <v>0</v>
      </c>
      <c r="I436" s="181">
        <v>839109824</v>
      </c>
      <c r="J436" s="181">
        <v>0</v>
      </c>
      <c r="K436" s="181">
        <v>0</v>
      </c>
      <c r="L436" s="181">
        <v>6218336232.6599998</v>
      </c>
      <c r="M436" s="181">
        <v>0</v>
      </c>
      <c r="N436" s="181">
        <v>0</v>
      </c>
      <c r="O436" s="181">
        <v>0</v>
      </c>
      <c r="P436" s="181">
        <v>0</v>
      </c>
      <c r="Q436" s="181">
        <v>0</v>
      </c>
      <c r="R436" s="181">
        <v>0</v>
      </c>
      <c r="S436" s="181">
        <v>5015380324.3299999</v>
      </c>
      <c r="T436" s="181">
        <v>0</v>
      </c>
      <c r="U436" s="181">
        <v>5015380324.3299999</v>
      </c>
      <c r="V436" s="181">
        <v>0</v>
      </c>
      <c r="W436" s="181">
        <v>0</v>
      </c>
      <c r="X436" s="181">
        <v>0</v>
      </c>
      <c r="Y436" s="181">
        <v>0</v>
      </c>
      <c r="Z436" s="181">
        <v>0</v>
      </c>
      <c r="AA436" s="181">
        <v>0</v>
      </c>
      <c r="AB436" s="181">
        <v>1673099360.8099999</v>
      </c>
      <c r="AC436" s="181">
        <v>0</v>
      </c>
      <c r="AD436" s="1180">
        <v>1673099360.8099999</v>
      </c>
      <c r="AE436" s="1180">
        <v>1673099360.8099999</v>
      </c>
      <c r="AF436" s="181">
        <v>5015380324.3299999</v>
      </c>
      <c r="AG436" s="181">
        <v>1673099360.8099999</v>
      </c>
      <c r="AH436" s="181">
        <v>0</v>
      </c>
      <c r="AI436" s="181">
        <v>0</v>
      </c>
      <c r="AJ436" s="181">
        <v>0</v>
      </c>
      <c r="AK436" s="181">
        <v>0</v>
      </c>
      <c r="AL436" s="181">
        <v>0</v>
      </c>
      <c r="AM436" s="181">
        <v>0</v>
      </c>
      <c r="AN436" s="181" t="s">
        <v>185</v>
      </c>
    </row>
    <row r="437" spans="1:45" ht="60" hidden="1" x14ac:dyDescent="0.25">
      <c r="A437" s="181">
        <v>6</v>
      </c>
      <c r="B437" s="181">
        <v>70</v>
      </c>
      <c r="C437" s="181" t="s">
        <v>896</v>
      </c>
      <c r="D437" s="1179" t="s">
        <v>897</v>
      </c>
      <c r="E437" s="181">
        <v>2714111</v>
      </c>
      <c r="F437" s="181">
        <v>2714111</v>
      </c>
      <c r="G437" s="181">
        <v>0</v>
      </c>
      <c r="H437" s="181">
        <v>2714111</v>
      </c>
      <c r="I437" s="181">
        <v>-2714111</v>
      </c>
      <c r="J437" s="181">
        <v>0</v>
      </c>
      <c r="K437" s="181">
        <v>2714111</v>
      </c>
      <c r="L437" s="181">
        <v>0</v>
      </c>
      <c r="M437" s="181">
        <v>0</v>
      </c>
      <c r="N437" s="181">
        <v>0</v>
      </c>
      <c r="O437" s="181">
        <v>0</v>
      </c>
      <c r="P437" s="181">
        <v>0</v>
      </c>
      <c r="Q437" s="181">
        <v>0</v>
      </c>
      <c r="R437" s="181">
        <v>0</v>
      </c>
      <c r="S437" s="181">
        <v>0</v>
      </c>
      <c r="T437" s="181">
        <v>0</v>
      </c>
      <c r="U437" s="181">
        <v>0</v>
      </c>
      <c r="V437" s="181">
        <v>0</v>
      </c>
      <c r="W437" s="181">
        <v>0</v>
      </c>
      <c r="X437" s="181">
        <v>0</v>
      </c>
      <c r="Y437" s="181">
        <v>0</v>
      </c>
      <c r="Z437" s="181">
        <v>0</v>
      </c>
      <c r="AA437" s="181">
        <v>0</v>
      </c>
      <c r="AB437" s="181">
        <v>0</v>
      </c>
      <c r="AC437" s="181">
        <v>0</v>
      </c>
      <c r="AD437" s="1180">
        <v>0</v>
      </c>
      <c r="AE437" s="1180">
        <v>0</v>
      </c>
      <c r="AF437" s="181">
        <v>0</v>
      </c>
      <c r="AG437" s="181">
        <v>0</v>
      </c>
      <c r="AH437" s="181">
        <v>0</v>
      </c>
      <c r="AI437" s="181">
        <v>0</v>
      </c>
      <c r="AJ437" s="181">
        <v>0</v>
      </c>
      <c r="AK437" s="181">
        <v>0</v>
      </c>
      <c r="AL437" s="181">
        <v>0</v>
      </c>
      <c r="AM437" s="181">
        <v>0</v>
      </c>
      <c r="AN437" s="181" t="s">
        <v>185</v>
      </c>
    </row>
    <row r="438" spans="1:45" ht="60" hidden="1" x14ac:dyDescent="0.25">
      <c r="A438" s="181">
        <v>6</v>
      </c>
      <c r="B438" s="181">
        <v>70</v>
      </c>
      <c r="C438" s="181" t="s">
        <v>1468</v>
      </c>
      <c r="D438" s="1179" t="s">
        <v>1469</v>
      </c>
      <c r="E438" s="181">
        <v>0</v>
      </c>
      <c r="F438" s="181">
        <v>7199513365.8900003</v>
      </c>
      <c r="G438" s="181">
        <v>7199513365.8900003</v>
      </c>
      <c r="H438" s="181">
        <v>0</v>
      </c>
      <c r="I438" s="181">
        <v>7199513365.8900003</v>
      </c>
      <c r="J438" s="181">
        <v>0</v>
      </c>
      <c r="K438" s="181">
        <v>0</v>
      </c>
      <c r="L438" s="181">
        <v>7199513365.8900003</v>
      </c>
      <c r="M438" s="181">
        <v>0</v>
      </c>
      <c r="N438" s="181">
        <v>0</v>
      </c>
      <c r="O438" s="181">
        <v>0</v>
      </c>
      <c r="P438" s="181">
        <v>0</v>
      </c>
      <c r="Q438" s="181">
        <v>0</v>
      </c>
      <c r="R438" s="181">
        <v>0</v>
      </c>
      <c r="S438" s="181">
        <v>298783333</v>
      </c>
      <c r="T438" s="181">
        <v>0</v>
      </c>
      <c r="U438" s="181">
        <v>298783333</v>
      </c>
      <c r="V438" s="181">
        <v>0</v>
      </c>
      <c r="W438" s="181">
        <v>0</v>
      </c>
      <c r="X438" s="181">
        <v>0</v>
      </c>
      <c r="Y438" s="181">
        <v>0</v>
      </c>
      <c r="Z438" s="181">
        <v>0</v>
      </c>
      <c r="AA438" s="181">
        <v>0</v>
      </c>
      <c r="AB438" s="181">
        <v>156783333</v>
      </c>
      <c r="AC438" s="181">
        <v>0</v>
      </c>
      <c r="AD438" s="1180">
        <v>156783333</v>
      </c>
      <c r="AE438" s="1180">
        <v>156783333</v>
      </c>
      <c r="AF438" s="181">
        <v>298783333</v>
      </c>
      <c r="AG438" s="181">
        <v>156783333</v>
      </c>
      <c r="AH438" s="181">
        <v>0</v>
      </c>
      <c r="AI438" s="181">
        <v>0</v>
      </c>
      <c r="AJ438" s="181">
        <v>0</v>
      </c>
      <c r="AK438" s="181">
        <v>0</v>
      </c>
      <c r="AL438" s="181">
        <v>0</v>
      </c>
      <c r="AM438" s="181">
        <v>0</v>
      </c>
      <c r="AN438" s="181" t="s">
        <v>185</v>
      </c>
      <c r="AS438" s="181"/>
    </row>
    <row r="439" spans="1:45" ht="75" hidden="1" x14ac:dyDescent="0.25">
      <c r="A439" s="181">
        <v>6</v>
      </c>
      <c r="B439" s="181">
        <v>70</v>
      </c>
      <c r="C439" s="181" t="s">
        <v>898</v>
      </c>
      <c r="D439" s="1179" t="s">
        <v>899</v>
      </c>
      <c r="E439" s="181">
        <v>202706925.94</v>
      </c>
      <c r="F439" s="181">
        <v>202706925.94</v>
      </c>
      <c r="G439" s="181">
        <v>0</v>
      </c>
      <c r="H439" s="181">
        <v>202706925.94</v>
      </c>
      <c r="I439" s="181">
        <v>-202706925.94</v>
      </c>
      <c r="J439" s="181">
        <v>0</v>
      </c>
      <c r="K439" s="181">
        <v>202706925.94</v>
      </c>
      <c r="L439" s="181">
        <v>0</v>
      </c>
      <c r="M439" s="181">
        <v>0</v>
      </c>
      <c r="N439" s="181">
        <v>0</v>
      </c>
      <c r="O439" s="181">
        <v>0</v>
      </c>
      <c r="P439" s="181">
        <v>0</v>
      </c>
      <c r="Q439" s="181">
        <v>0</v>
      </c>
      <c r="R439" s="181">
        <v>0</v>
      </c>
      <c r="S439" s="181">
        <v>0</v>
      </c>
      <c r="T439" s="181">
        <v>0</v>
      </c>
      <c r="U439" s="181">
        <v>0</v>
      </c>
      <c r="V439" s="181">
        <v>0</v>
      </c>
      <c r="W439" s="181">
        <v>0</v>
      </c>
      <c r="X439" s="181">
        <v>0</v>
      </c>
      <c r="Y439" s="181">
        <v>0</v>
      </c>
      <c r="Z439" s="181">
        <v>0</v>
      </c>
      <c r="AA439" s="181">
        <v>0</v>
      </c>
      <c r="AB439" s="181">
        <v>0</v>
      </c>
      <c r="AC439" s="181">
        <v>0</v>
      </c>
      <c r="AD439" s="1180">
        <v>0</v>
      </c>
      <c r="AE439" s="1180">
        <v>0</v>
      </c>
      <c r="AF439" s="181">
        <v>0</v>
      </c>
      <c r="AG439" s="181">
        <v>0</v>
      </c>
      <c r="AH439" s="181">
        <v>0</v>
      </c>
      <c r="AI439" s="181">
        <v>0</v>
      </c>
      <c r="AJ439" s="181">
        <v>0</v>
      </c>
      <c r="AK439" s="181">
        <v>0</v>
      </c>
      <c r="AL439" s="181">
        <v>0</v>
      </c>
      <c r="AM439" s="181">
        <v>0</v>
      </c>
      <c r="AN439" s="181" t="s">
        <v>185</v>
      </c>
    </row>
    <row r="440" spans="1:45" ht="60" hidden="1" x14ac:dyDescent="0.25">
      <c r="A440" s="181">
        <v>6</v>
      </c>
      <c r="B440" s="181">
        <v>70</v>
      </c>
      <c r="C440" s="181" t="s">
        <v>900</v>
      </c>
      <c r="D440" s="1179" t="s">
        <v>901</v>
      </c>
      <c r="E440" s="181">
        <v>7739633587</v>
      </c>
      <c r="F440" s="181">
        <v>7739633587</v>
      </c>
      <c r="G440" s="181">
        <v>0</v>
      </c>
      <c r="H440" s="181">
        <v>0</v>
      </c>
      <c r="I440" s="181">
        <v>0</v>
      </c>
      <c r="J440" s="181">
        <v>0</v>
      </c>
      <c r="K440" s="181">
        <v>0</v>
      </c>
      <c r="L440" s="181">
        <v>7739633587</v>
      </c>
      <c r="M440" s="181">
        <v>0</v>
      </c>
      <c r="N440" s="181">
        <v>0</v>
      </c>
      <c r="O440" s="181">
        <v>0</v>
      </c>
      <c r="P440" s="181">
        <v>0</v>
      </c>
      <c r="Q440" s="181">
        <v>0</v>
      </c>
      <c r="R440" s="181">
        <v>0</v>
      </c>
      <c r="S440" s="181">
        <v>2301932236.3000002</v>
      </c>
      <c r="T440" s="181">
        <v>0</v>
      </c>
      <c r="U440" s="181">
        <v>2301932236.3000002</v>
      </c>
      <c r="V440" s="181">
        <v>0</v>
      </c>
      <c r="W440" s="181">
        <v>0</v>
      </c>
      <c r="X440" s="181">
        <v>0</v>
      </c>
      <c r="Y440" s="181">
        <v>0</v>
      </c>
      <c r="Z440" s="181">
        <v>0</v>
      </c>
      <c r="AA440" s="181">
        <v>0</v>
      </c>
      <c r="AB440" s="181">
        <v>2301932236.3000002</v>
      </c>
      <c r="AC440" s="181">
        <v>0</v>
      </c>
      <c r="AD440" s="1180">
        <v>2301932236.3000002</v>
      </c>
      <c r="AE440" s="1180">
        <v>2301932236.3000002</v>
      </c>
      <c r="AF440" s="181">
        <v>2301932236.3000002</v>
      </c>
      <c r="AG440" s="181">
        <v>2301932236.3000002</v>
      </c>
      <c r="AH440" s="181">
        <v>0</v>
      </c>
      <c r="AI440" s="181">
        <v>0</v>
      </c>
      <c r="AJ440" s="181">
        <v>0</v>
      </c>
      <c r="AK440" s="181">
        <v>0</v>
      </c>
      <c r="AL440" s="181">
        <v>0</v>
      </c>
      <c r="AM440" s="181">
        <v>0</v>
      </c>
      <c r="AN440" s="181" t="s">
        <v>185</v>
      </c>
    </row>
    <row r="441" spans="1:45" ht="60" hidden="1" x14ac:dyDescent="0.25">
      <c r="A441" s="181">
        <v>6</v>
      </c>
      <c r="B441" s="181">
        <v>70</v>
      </c>
      <c r="C441" s="181" t="s">
        <v>902</v>
      </c>
      <c r="D441" s="1179" t="s">
        <v>903</v>
      </c>
      <c r="E441" s="181">
        <v>13686340513</v>
      </c>
      <c r="F441" s="181">
        <v>16189283851</v>
      </c>
      <c r="G441" s="181">
        <v>2502943338</v>
      </c>
      <c r="H441" s="181">
        <v>0</v>
      </c>
      <c r="I441" s="181">
        <v>2502943338</v>
      </c>
      <c r="J441" s="181">
        <v>0</v>
      </c>
      <c r="K441" s="181">
        <v>0</v>
      </c>
      <c r="L441" s="181">
        <v>16189283851</v>
      </c>
      <c r="M441" s="181">
        <v>0</v>
      </c>
      <c r="N441" s="181">
        <v>0</v>
      </c>
      <c r="O441" s="181">
        <v>0</v>
      </c>
      <c r="P441" s="181">
        <v>0</v>
      </c>
      <c r="Q441" s="181">
        <v>0</v>
      </c>
      <c r="R441" s="181">
        <v>0</v>
      </c>
      <c r="S441" s="181">
        <v>2619930370</v>
      </c>
      <c r="T441" s="181">
        <v>0</v>
      </c>
      <c r="U441" s="181">
        <v>2619930370</v>
      </c>
      <c r="V441" s="181">
        <v>0</v>
      </c>
      <c r="W441" s="181">
        <v>0</v>
      </c>
      <c r="X441" s="181">
        <v>0</v>
      </c>
      <c r="Y441" s="181">
        <v>0</v>
      </c>
      <c r="Z441" s="181">
        <v>0</v>
      </c>
      <c r="AA441" s="181">
        <v>0</v>
      </c>
      <c r="AB441" s="181">
        <v>1768159837</v>
      </c>
      <c r="AC441" s="181">
        <v>0</v>
      </c>
      <c r="AD441" s="1180">
        <v>1768159837</v>
      </c>
      <c r="AE441" s="1180">
        <v>1768159837</v>
      </c>
      <c r="AF441" s="181">
        <v>2619930370</v>
      </c>
      <c r="AG441" s="181">
        <v>1768159837</v>
      </c>
      <c r="AH441" s="181">
        <v>0</v>
      </c>
      <c r="AI441" s="181">
        <v>0</v>
      </c>
      <c r="AJ441" s="181">
        <v>0</v>
      </c>
      <c r="AK441" s="181">
        <v>0</v>
      </c>
      <c r="AL441" s="181">
        <v>0</v>
      </c>
      <c r="AM441" s="181">
        <v>0</v>
      </c>
      <c r="AN441" s="181" t="s">
        <v>185</v>
      </c>
    </row>
    <row r="442" spans="1:45" ht="75" hidden="1" x14ac:dyDescent="0.25">
      <c r="A442" s="181">
        <v>6</v>
      </c>
      <c r="B442" s="181">
        <v>70</v>
      </c>
      <c r="C442" s="181" t="s">
        <v>1470</v>
      </c>
      <c r="D442" s="1179" t="s">
        <v>1471</v>
      </c>
      <c r="E442" s="181">
        <v>5785349332</v>
      </c>
      <c r="F442" s="181">
        <v>5785349332</v>
      </c>
      <c r="G442" s="181">
        <v>0</v>
      </c>
      <c r="H442" s="181">
        <v>0</v>
      </c>
      <c r="I442" s="181">
        <v>0</v>
      </c>
      <c r="J442" s="181">
        <v>0</v>
      </c>
      <c r="K442" s="181">
        <v>0</v>
      </c>
      <c r="L442" s="181">
        <v>5785349332</v>
      </c>
      <c r="M442" s="181">
        <v>0</v>
      </c>
      <c r="N442" s="181">
        <v>0</v>
      </c>
      <c r="O442" s="181">
        <v>0</v>
      </c>
      <c r="P442" s="181">
        <v>0</v>
      </c>
      <c r="Q442" s="181">
        <v>0</v>
      </c>
      <c r="R442" s="181">
        <v>0</v>
      </c>
      <c r="S442" s="181">
        <v>1580126978.6800001</v>
      </c>
      <c r="T442" s="181">
        <v>0</v>
      </c>
      <c r="U442" s="181">
        <v>1580126978.6800001</v>
      </c>
      <c r="V442" s="181">
        <v>0</v>
      </c>
      <c r="W442" s="181">
        <v>0</v>
      </c>
      <c r="X442" s="181">
        <v>0</v>
      </c>
      <c r="Y442" s="181">
        <v>0</v>
      </c>
      <c r="Z442" s="181">
        <v>0</v>
      </c>
      <c r="AA442" s="181">
        <v>0</v>
      </c>
      <c r="AB442" s="181">
        <v>1526320645.6800001</v>
      </c>
      <c r="AC442" s="181">
        <v>0</v>
      </c>
      <c r="AD442" s="1180">
        <v>1526320645.6800001</v>
      </c>
      <c r="AE442" s="1180">
        <v>1526320645.6800001</v>
      </c>
      <c r="AF442" s="181">
        <v>1580126978.6800001</v>
      </c>
      <c r="AG442" s="181">
        <v>1526320645.6800001</v>
      </c>
      <c r="AH442" s="181">
        <v>0</v>
      </c>
      <c r="AI442" s="181">
        <v>0</v>
      </c>
      <c r="AJ442" s="181">
        <v>0</v>
      </c>
      <c r="AK442" s="181">
        <v>0</v>
      </c>
      <c r="AL442" s="181">
        <v>0</v>
      </c>
      <c r="AM442" s="181">
        <v>0</v>
      </c>
      <c r="AN442" s="181" t="s">
        <v>185</v>
      </c>
    </row>
    <row r="443" spans="1:45" ht="60" hidden="1" x14ac:dyDescent="0.25">
      <c r="A443" s="181">
        <v>6</v>
      </c>
      <c r="B443" s="181">
        <v>70</v>
      </c>
      <c r="C443" s="181" t="s">
        <v>1472</v>
      </c>
      <c r="D443" s="1179" t="s">
        <v>906</v>
      </c>
      <c r="E443" s="181">
        <v>179946655.40000001</v>
      </c>
      <c r="F443" s="181">
        <v>475298836.39999998</v>
      </c>
      <c r="G443" s="181">
        <v>345151137</v>
      </c>
      <c r="H443" s="181">
        <v>0</v>
      </c>
      <c r="I443" s="181">
        <v>345151137</v>
      </c>
      <c r="J443" s="181">
        <v>49798956</v>
      </c>
      <c r="K443" s="181">
        <v>0</v>
      </c>
      <c r="L443" s="181">
        <v>525097792.39999998</v>
      </c>
      <c r="M443" s="181">
        <v>0</v>
      </c>
      <c r="N443" s="181">
        <v>0</v>
      </c>
      <c r="O443" s="181">
        <v>0</v>
      </c>
      <c r="P443" s="181">
        <v>0</v>
      </c>
      <c r="Q443" s="181">
        <v>0</v>
      </c>
      <c r="R443" s="181">
        <v>0</v>
      </c>
      <c r="S443" s="181">
        <v>437564038.63</v>
      </c>
      <c r="T443" s="181">
        <v>0</v>
      </c>
      <c r="U443" s="181">
        <v>437564038.63</v>
      </c>
      <c r="V443" s="181">
        <v>0</v>
      </c>
      <c r="W443" s="181">
        <v>0</v>
      </c>
      <c r="X443" s="181">
        <v>0</v>
      </c>
      <c r="Y443" s="181">
        <v>0</v>
      </c>
      <c r="Z443" s="181">
        <v>0</v>
      </c>
      <c r="AA443" s="181">
        <v>0</v>
      </c>
      <c r="AB443" s="181">
        <v>437564038.63</v>
      </c>
      <c r="AC443" s="181">
        <v>0</v>
      </c>
      <c r="AD443" s="1180">
        <v>437564038.63</v>
      </c>
      <c r="AE443" s="1180">
        <v>437564038.63</v>
      </c>
      <c r="AF443" s="181">
        <v>437564038.63</v>
      </c>
      <c r="AG443" s="181">
        <v>437564038.63</v>
      </c>
      <c r="AH443" s="181">
        <v>0</v>
      </c>
      <c r="AI443" s="181">
        <v>0</v>
      </c>
      <c r="AJ443" s="181">
        <v>0</v>
      </c>
      <c r="AK443" s="181">
        <v>0</v>
      </c>
      <c r="AL443" s="181">
        <v>0</v>
      </c>
      <c r="AM443" s="181">
        <v>0</v>
      </c>
      <c r="AN443" s="181" t="s">
        <v>185</v>
      </c>
    </row>
    <row r="444" spans="1:45" ht="75" hidden="1" x14ac:dyDescent="0.25">
      <c r="A444" s="181">
        <v>6</v>
      </c>
      <c r="B444" s="181">
        <v>70</v>
      </c>
      <c r="C444" s="181" t="s">
        <v>1473</v>
      </c>
      <c r="D444" s="1179" t="s">
        <v>907</v>
      </c>
      <c r="E444" s="181">
        <v>10046273.300000001</v>
      </c>
      <c r="F444" s="181">
        <v>10046273.300000001</v>
      </c>
      <c r="G444" s="181">
        <v>0</v>
      </c>
      <c r="H444" s="181">
        <v>10046273.300000001</v>
      </c>
      <c r="I444" s="181">
        <v>-10046273.300000001</v>
      </c>
      <c r="J444" s="181">
        <v>0</v>
      </c>
      <c r="K444" s="181">
        <v>10046273.300000001</v>
      </c>
      <c r="L444" s="181">
        <v>0</v>
      </c>
      <c r="M444" s="181">
        <v>0</v>
      </c>
      <c r="N444" s="181">
        <v>0</v>
      </c>
      <c r="O444" s="181">
        <v>0</v>
      </c>
      <c r="P444" s="181">
        <v>0</v>
      </c>
      <c r="Q444" s="181">
        <v>0</v>
      </c>
      <c r="R444" s="181">
        <v>0</v>
      </c>
      <c r="S444" s="181">
        <v>0</v>
      </c>
      <c r="T444" s="181">
        <v>0</v>
      </c>
      <c r="U444" s="181">
        <v>0</v>
      </c>
      <c r="V444" s="181">
        <v>0</v>
      </c>
      <c r="W444" s="181">
        <v>0</v>
      </c>
      <c r="X444" s="181">
        <v>0</v>
      </c>
      <c r="Y444" s="181">
        <v>0</v>
      </c>
      <c r="Z444" s="181">
        <v>0</v>
      </c>
      <c r="AA444" s="181">
        <v>0</v>
      </c>
      <c r="AB444" s="181">
        <v>0</v>
      </c>
      <c r="AC444" s="181">
        <v>0</v>
      </c>
      <c r="AD444" s="1180">
        <v>0</v>
      </c>
      <c r="AE444" s="1180">
        <v>0</v>
      </c>
      <c r="AF444" s="181">
        <v>0</v>
      </c>
      <c r="AG444" s="181">
        <v>0</v>
      </c>
      <c r="AH444" s="181">
        <v>0</v>
      </c>
      <c r="AI444" s="181">
        <v>0</v>
      </c>
      <c r="AJ444" s="181">
        <v>0</v>
      </c>
      <c r="AK444" s="181">
        <v>0</v>
      </c>
      <c r="AL444" s="181">
        <v>0</v>
      </c>
      <c r="AM444" s="181">
        <v>0</v>
      </c>
      <c r="AN444" s="181" t="s">
        <v>185</v>
      </c>
    </row>
    <row r="445" spans="1:45" ht="60" hidden="1" x14ac:dyDescent="0.25">
      <c r="A445" s="181">
        <v>6</v>
      </c>
      <c r="B445" s="181">
        <v>70</v>
      </c>
      <c r="C445" s="181" t="s">
        <v>1474</v>
      </c>
      <c r="D445" s="1179" t="s">
        <v>909</v>
      </c>
      <c r="E445" s="181">
        <v>502410770.13</v>
      </c>
      <c r="F445" s="181">
        <v>502410770.13</v>
      </c>
      <c r="G445" s="181">
        <v>0</v>
      </c>
      <c r="H445" s="181">
        <v>0</v>
      </c>
      <c r="I445" s="181">
        <v>0</v>
      </c>
      <c r="J445" s="181">
        <v>0</v>
      </c>
      <c r="K445" s="181">
        <v>0</v>
      </c>
      <c r="L445" s="181">
        <v>502410770.13</v>
      </c>
      <c r="M445" s="181">
        <v>0</v>
      </c>
      <c r="N445" s="181">
        <v>0</v>
      </c>
      <c r="O445" s="181">
        <v>0</v>
      </c>
      <c r="P445" s="181">
        <v>0</v>
      </c>
      <c r="Q445" s="181">
        <v>0</v>
      </c>
      <c r="R445" s="181">
        <v>0</v>
      </c>
      <c r="S445" s="181">
        <v>423928133.81</v>
      </c>
      <c r="T445" s="181">
        <v>0</v>
      </c>
      <c r="U445" s="181">
        <v>423928133.81</v>
      </c>
      <c r="V445" s="181">
        <v>0</v>
      </c>
      <c r="W445" s="181">
        <v>0</v>
      </c>
      <c r="X445" s="181">
        <v>0</v>
      </c>
      <c r="Y445" s="181">
        <v>0</v>
      </c>
      <c r="Z445" s="181">
        <v>0</v>
      </c>
      <c r="AA445" s="181">
        <v>0</v>
      </c>
      <c r="AB445" s="181">
        <v>0</v>
      </c>
      <c r="AC445" s="181">
        <v>0</v>
      </c>
      <c r="AD445" s="1180">
        <v>0</v>
      </c>
      <c r="AE445" s="1180">
        <v>0</v>
      </c>
      <c r="AF445" s="181">
        <v>423928133.81</v>
      </c>
      <c r="AG445" s="181">
        <v>0</v>
      </c>
      <c r="AH445" s="181">
        <v>0</v>
      </c>
      <c r="AI445" s="181">
        <v>0</v>
      </c>
      <c r="AJ445" s="181">
        <v>0</v>
      </c>
      <c r="AK445" s="181">
        <v>0</v>
      </c>
      <c r="AL445" s="181">
        <v>0</v>
      </c>
      <c r="AM445" s="181">
        <v>0</v>
      </c>
      <c r="AN445" s="181" t="s">
        <v>185</v>
      </c>
    </row>
    <row r="446" spans="1:45" ht="60" hidden="1" x14ac:dyDescent="0.25">
      <c r="A446" s="181">
        <v>6</v>
      </c>
      <c r="B446" s="181">
        <v>70</v>
      </c>
      <c r="C446" s="181" t="s">
        <v>910</v>
      </c>
      <c r="D446" s="1179" t="s">
        <v>911</v>
      </c>
      <c r="E446" s="181">
        <v>17217114069.25</v>
      </c>
      <c r="F446" s="181">
        <v>17217114069.25</v>
      </c>
      <c r="G446" s="181">
        <v>2803680391.5300002</v>
      </c>
      <c r="H446" s="181">
        <v>0</v>
      </c>
      <c r="I446" s="181">
        <v>2803680391.5300002</v>
      </c>
      <c r="J446" s="181">
        <v>2803680391.5300002</v>
      </c>
      <c r="K446" s="181">
        <v>0</v>
      </c>
      <c r="L446" s="181">
        <v>20020794460.779999</v>
      </c>
      <c r="M446" s="181">
        <v>0</v>
      </c>
      <c r="N446" s="181">
        <v>0</v>
      </c>
      <c r="O446" s="181">
        <v>0</v>
      </c>
      <c r="P446" s="181">
        <v>0</v>
      </c>
      <c r="Q446" s="181">
        <v>0</v>
      </c>
      <c r="R446" s="181">
        <v>0</v>
      </c>
      <c r="S446" s="181">
        <v>392656792.43000001</v>
      </c>
      <c r="T446" s="181">
        <v>0</v>
      </c>
      <c r="U446" s="181">
        <v>392656792.43000001</v>
      </c>
      <c r="V446" s="181">
        <v>0</v>
      </c>
      <c r="W446" s="181">
        <v>0</v>
      </c>
      <c r="X446" s="181">
        <v>0</v>
      </c>
      <c r="Y446" s="181">
        <v>0</v>
      </c>
      <c r="Z446" s="181">
        <v>0</v>
      </c>
      <c r="AA446" s="181">
        <v>0</v>
      </c>
      <c r="AB446" s="181">
        <v>0</v>
      </c>
      <c r="AC446" s="181">
        <v>0</v>
      </c>
      <c r="AD446" s="1180">
        <v>0</v>
      </c>
      <c r="AE446" s="1180">
        <v>0</v>
      </c>
      <c r="AF446" s="181">
        <v>392656792.43000001</v>
      </c>
      <c r="AG446" s="181">
        <v>0</v>
      </c>
      <c r="AH446" s="181">
        <v>0</v>
      </c>
      <c r="AI446" s="181">
        <v>0</v>
      </c>
      <c r="AJ446" s="181">
        <v>0</v>
      </c>
      <c r="AK446" s="181">
        <v>0</v>
      </c>
      <c r="AL446" s="181">
        <v>0</v>
      </c>
      <c r="AM446" s="181">
        <v>0</v>
      </c>
      <c r="AN446" s="181" t="s">
        <v>185</v>
      </c>
    </row>
    <row r="447" spans="1:45" ht="75" hidden="1" x14ac:dyDescent="0.25">
      <c r="A447" s="181">
        <v>6</v>
      </c>
      <c r="B447" s="181">
        <v>70</v>
      </c>
      <c r="C447" s="181" t="s">
        <v>912</v>
      </c>
      <c r="D447" s="1179" t="s">
        <v>913</v>
      </c>
      <c r="E447" s="181">
        <v>3234527369</v>
      </c>
      <c r="F447" s="181">
        <v>3234527369</v>
      </c>
      <c r="G447" s="181">
        <v>0</v>
      </c>
      <c r="H447" s="181">
        <v>0</v>
      </c>
      <c r="I447" s="181">
        <v>0</v>
      </c>
      <c r="J447" s="181">
        <v>0</v>
      </c>
      <c r="K447" s="181">
        <v>0</v>
      </c>
      <c r="L447" s="181">
        <v>3234527369</v>
      </c>
      <c r="M447" s="181">
        <v>0</v>
      </c>
      <c r="N447" s="181">
        <v>0</v>
      </c>
      <c r="O447" s="181">
        <v>0</v>
      </c>
      <c r="P447" s="181">
        <v>0</v>
      </c>
      <c r="Q447" s="181">
        <v>0</v>
      </c>
      <c r="R447" s="181">
        <v>0</v>
      </c>
      <c r="S447" s="181">
        <v>112589000</v>
      </c>
      <c r="T447" s="181">
        <v>0</v>
      </c>
      <c r="U447" s="181">
        <v>112589000</v>
      </c>
      <c r="V447" s="181">
        <v>0</v>
      </c>
      <c r="W447" s="181">
        <v>0</v>
      </c>
      <c r="X447" s="181">
        <v>0</v>
      </c>
      <c r="Y447" s="181">
        <v>0</v>
      </c>
      <c r="Z447" s="181">
        <v>0</v>
      </c>
      <c r="AA447" s="181">
        <v>0</v>
      </c>
      <c r="AB447" s="181">
        <v>69560500</v>
      </c>
      <c r="AC447" s="181">
        <v>0</v>
      </c>
      <c r="AD447" s="1180">
        <v>69560500</v>
      </c>
      <c r="AE447" s="1180">
        <v>69560500</v>
      </c>
      <c r="AF447" s="181">
        <v>112589000</v>
      </c>
      <c r="AG447" s="181">
        <v>69560500</v>
      </c>
      <c r="AH447" s="181">
        <v>0</v>
      </c>
      <c r="AI447" s="181">
        <v>0</v>
      </c>
      <c r="AJ447" s="181">
        <v>0</v>
      </c>
      <c r="AK447" s="181">
        <v>0</v>
      </c>
      <c r="AL447" s="181">
        <v>0</v>
      </c>
      <c r="AM447" s="181">
        <v>0</v>
      </c>
      <c r="AN447" s="181" t="s">
        <v>185</v>
      </c>
    </row>
    <row r="448" spans="1:45" ht="60" hidden="1" x14ac:dyDescent="0.25">
      <c r="A448" s="181">
        <v>6</v>
      </c>
      <c r="B448" s="181">
        <v>70</v>
      </c>
      <c r="C448" s="181" t="s">
        <v>914</v>
      </c>
      <c r="D448" s="1179" t="s">
        <v>915</v>
      </c>
      <c r="E448" s="181">
        <v>116359760.79000001</v>
      </c>
      <c r="F448" s="181">
        <v>116359760.79000001</v>
      </c>
      <c r="G448" s="181">
        <v>0</v>
      </c>
      <c r="H448" s="181">
        <v>116359760.79000001</v>
      </c>
      <c r="I448" s="181">
        <v>-116359760.79000001</v>
      </c>
      <c r="J448" s="181">
        <v>0</v>
      </c>
      <c r="K448" s="181">
        <v>116359760.79000001</v>
      </c>
      <c r="L448" s="181">
        <v>0</v>
      </c>
      <c r="M448" s="181">
        <v>0</v>
      </c>
      <c r="N448" s="181">
        <v>0</v>
      </c>
      <c r="O448" s="181">
        <v>0</v>
      </c>
      <c r="P448" s="181">
        <v>0</v>
      </c>
      <c r="Q448" s="181">
        <v>0</v>
      </c>
      <c r="R448" s="181">
        <v>0</v>
      </c>
      <c r="S448" s="181">
        <v>65306763.439999998</v>
      </c>
      <c r="T448" s="181">
        <v>0</v>
      </c>
      <c r="U448" s="181">
        <v>65306763.439999998</v>
      </c>
      <c r="V448" s="181">
        <v>0</v>
      </c>
      <c r="W448" s="181">
        <v>0</v>
      </c>
      <c r="X448" s="181">
        <v>0</v>
      </c>
      <c r="Y448" s="181">
        <v>0</v>
      </c>
      <c r="Z448" s="181">
        <v>0</v>
      </c>
      <c r="AA448" s="181">
        <v>0</v>
      </c>
      <c r="AB448" s="181">
        <v>0</v>
      </c>
      <c r="AC448" s="181">
        <v>0</v>
      </c>
      <c r="AD448" s="1180">
        <v>0</v>
      </c>
      <c r="AE448" s="1180">
        <v>0</v>
      </c>
      <c r="AF448" s="181">
        <v>65306763.439999998</v>
      </c>
      <c r="AG448" s="181">
        <v>0</v>
      </c>
      <c r="AH448" s="181">
        <v>0</v>
      </c>
      <c r="AI448" s="181">
        <v>0</v>
      </c>
      <c r="AJ448" s="181">
        <v>0</v>
      </c>
      <c r="AK448" s="181">
        <v>0</v>
      </c>
      <c r="AL448" s="181">
        <v>0</v>
      </c>
      <c r="AM448" s="181">
        <v>0</v>
      </c>
      <c r="AN448" s="181" t="s">
        <v>185</v>
      </c>
    </row>
    <row r="449" spans="1:45" ht="60" hidden="1" x14ac:dyDescent="0.25">
      <c r="A449" s="181">
        <v>6</v>
      </c>
      <c r="B449" s="181">
        <v>70</v>
      </c>
      <c r="C449" s="181" t="s">
        <v>916</v>
      </c>
      <c r="D449" s="1179" t="s">
        <v>917</v>
      </c>
      <c r="E449" s="181">
        <v>3224415112.54</v>
      </c>
      <c r="F449" s="181">
        <v>3224415112.54</v>
      </c>
      <c r="G449" s="181">
        <v>0</v>
      </c>
      <c r="H449" s="181">
        <v>3224415112.54</v>
      </c>
      <c r="I449" s="181">
        <v>-3224415112.54</v>
      </c>
      <c r="J449" s="181">
        <v>0</v>
      </c>
      <c r="K449" s="181">
        <v>3224415112.54</v>
      </c>
      <c r="L449" s="181">
        <v>0</v>
      </c>
      <c r="M449" s="181">
        <v>0</v>
      </c>
      <c r="N449" s="181">
        <v>0</v>
      </c>
      <c r="O449" s="181">
        <v>0</v>
      </c>
      <c r="P449" s="181">
        <v>0</v>
      </c>
      <c r="Q449" s="181">
        <v>0</v>
      </c>
      <c r="R449" s="181">
        <v>0</v>
      </c>
      <c r="S449" s="181">
        <v>0</v>
      </c>
      <c r="T449" s="181">
        <v>0</v>
      </c>
      <c r="U449" s="181">
        <v>0</v>
      </c>
      <c r="V449" s="181">
        <v>0</v>
      </c>
      <c r="W449" s="181">
        <v>0</v>
      </c>
      <c r="X449" s="181">
        <v>0</v>
      </c>
      <c r="Y449" s="181">
        <v>0</v>
      </c>
      <c r="Z449" s="181">
        <v>0</v>
      </c>
      <c r="AA449" s="181">
        <v>0</v>
      </c>
      <c r="AB449" s="181">
        <v>0</v>
      </c>
      <c r="AC449" s="181">
        <v>0</v>
      </c>
      <c r="AD449" s="1180">
        <v>0</v>
      </c>
      <c r="AE449" s="1180">
        <v>0</v>
      </c>
      <c r="AF449" s="181">
        <v>0</v>
      </c>
      <c r="AG449" s="181">
        <v>0</v>
      </c>
      <c r="AH449" s="181">
        <v>0</v>
      </c>
      <c r="AI449" s="181">
        <v>0</v>
      </c>
      <c r="AJ449" s="181">
        <v>0</v>
      </c>
      <c r="AK449" s="181">
        <v>0</v>
      </c>
      <c r="AL449" s="181">
        <v>0</v>
      </c>
      <c r="AM449" s="181">
        <v>0</v>
      </c>
      <c r="AN449" s="181" t="s">
        <v>185</v>
      </c>
    </row>
    <row r="450" spans="1:45" ht="60" hidden="1" x14ac:dyDescent="0.25">
      <c r="A450" s="181">
        <v>6</v>
      </c>
      <c r="B450" s="181">
        <v>70</v>
      </c>
      <c r="C450" s="181" t="s">
        <v>918</v>
      </c>
      <c r="D450" s="1179" t="s">
        <v>919</v>
      </c>
      <c r="E450" s="181">
        <v>23775732755.369999</v>
      </c>
      <c r="F450" s="181">
        <v>23775732755.369999</v>
      </c>
      <c r="G450" s="181">
        <v>0</v>
      </c>
      <c r="H450" s="181">
        <v>0</v>
      </c>
      <c r="I450" s="181">
        <v>0</v>
      </c>
      <c r="J450" s="181">
        <v>0</v>
      </c>
      <c r="K450" s="181">
        <v>0</v>
      </c>
      <c r="L450" s="181">
        <v>23775732755.369999</v>
      </c>
      <c r="M450" s="181">
        <v>0</v>
      </c>
      <c r="N450" s="181">
        <v>0</v>
      </c>
      <c r="O450" s="181">
        <v>0</v>
      </c>
      <c r="P450" s="181">
        <v>0</v>
      </c>
      <c r="Q450" s="181">
        <v>0</v>
      </c>
      <c r="R450" s="181">
        <v>0</v>
      </c>
      <c r="S450" s="181">
        <v>15754442372.84</v>
      </c>
      <c r="T450" s="181">
        <v>0</v>
      </c>
      <c r="U450" s="181">
        <v>15754442372.84</v>
      </c>
      <c r="V450" s="181">
        <v>0</v>
      </c>
      <c r="W450" s="181">
        <v>0</v>
      </c>
      <c r="X450" s="181">
        <v>0</v>
      </c>
      <c r="Y450" s="181">
        <v>0</v>
      </c>
      <c r="Z450" s="181">
        <v>0</v>
      </c>
      <c r="AA450" s="181">
        <v>0</v>
      </c>
      <c r="AB450" s="181">
        <v>8882749904.3600006</v>
      </c>
      <c r="AC450" s="181">
        <v>0</v>
      </c>
      <c r="AD450" s="1180">
        <v>8882749904.3600006</v>
      </c>
      <c r="AE450" s="1180">
        <v>8882749904.3600006</v>
      </c>
      <c r="AF450" s="181">
        <v>15754442372.84</v>
      </c>
      <c r="AG450" s="181">
        <v>8882749904.3600006</v>
      </c>
      <c r="AH450" s="181">
        <v>0</v>
      </c>
      <c r="AI450" s="181">
        <v>0</v>
      </c>
      <c r="AJ450" s="181">
        <v>0</v>
      </c>
      <c r="AK450" s="181">
        <v>0</v>
      </c>
      <c r="AL450" s="181">
        <v>0</v>
      </c>
      <c r="AM450" s="181">
        <v>0</v>
      </c>
      <c r="AN450" s="181" t="s">
        <v>185</v>
      </c>
    </row>
    <row r="451" spans="1:45" ht="60" hidden="1" x14ac:dyDescent="0.25">
      <c r="A451" s="181">
        <v>6</v>
      </c>
      <c r="B451" s="181">
        <v>70</v>
      </c>
      <c r="C451" s="181" t="s">
        <v>920</v>
      </c>
      <c r="D451" s="1179" t="s">
        <v>921</v>
      </c>
      <c r="E451" s="181">
        <v>6779870768</v>
      </c>
      <c r="F451" s="181">
        <v>7003706779</v>
      </c>
      <c r="G451" s="181">
        <v>223836011</v>
      </c>
      <c r="H451" s="181">
        <v>7003706779</v>
      </c>
      <c r="I451" s="181">
        <v>-6779870768</v>
      </c>
      <c r="J451" s="181">
        <v>0</v>
      </c>
      <c r="K451" s="181">
        <v>7003706779</v>
      </c>
      <c r="L451" s="181">
        <v>0</v>
      </c>
      <c r="M451" s="181">
        <v>0</v>
      </c>
      <c r="N451" s="181">
        <v>0</v>
      </c>
      <c r="O451" s="181">
        <v>0</v>
      </c>
      <c r="P451" s="181">
        <v>0</v>
      </c>
      <c r="Q451" s="181">
        <v>0</v>
      </c>
      <c r="R451" s="181">
        <v>0</v>
      </c>
      <c r="S451" s="181">
        <v>0</v>
      </c>
      <c r="T451" s="181">
        <v>0</v>
      </c>
      <c r="U451" s="181">
        <v>0</v>
      </c>
      <c r="V451" s="181">
        <v>0</v>
      </c>
      <c r="W451" s="181">
        <v>0</v>
      </c>
      <c r="X451" s="181">
        <v>0</v>
      </c>
      <c r="Y451" s="181">
        <v>0</v>
      </c>
      <c r="Z451" s="181">
        <v>0</v>
      </c>
      <c r="AA451" s="181">
        <v>0</v>
      </c>
      <c r="AB451" s="181">
        <v>0</v>
      </c>
      <c r="AC451" s="181">
        <v>0</v>
      </c>
      <c r="AD451" s="1180">
        <v>0</v>
      </c>
      <c r="AE451" s="1180">
        <v>0</v>
      </c>
      <c r="AF451" s="181">
        <v>0</v>
      </c>
      <c r="AG451" s="181">
        <v>0</v>
      </c>
      <c r="AH451" s="181">
        <v>0</v>
      </c>
      <c r="AI451" s="181">
        <v>0</v>
      </c>
      <c r="AJ451" s="181">
        <v>0</v>
      </c>
      <c r="AK451" s="181">
        <v>0</v>
      </c>
      <c r="AL451" s="181">
        <v>0</v>
      </c>
      <c r="AM451" s="181">
        <v>0</v>
      </c>
      <c r="AN451" s="181" t="s">
        <v>185</v>
      </c>
    </row>
    <row r="452" spans="1:45" ht="60" hidden="1" x14ac:dyDescent="0.25">
      <c r="A452" s="181">
        <v>6</v>
      </c>
      <c r="B452" s="181">
        <v>70</v>
      </c>
      <c r="C452" s="181" t="s">
        <v>922</v>
      </c>
      <c r="D452" s="1179" t="s">
        <v>923</v>
      </c>
      <c r="E452" s="181">
        <v>486625031.31</v>
      </c>
      <c r="F452" s="181">
        <v>1013694149.3099999</v>
      </c>
      <c r="G452" s="181">
        <v>527069118</v>
      </c>
      <c r="H452" s="181">
        <v>0</v>
      </c>
      <c r="I452" s="181">
        <v>527069118</v>
      </c>
      <c r="J452" s="181">
        <v>0</v>
      </c>
      <c r="K452" s="181">
        <v>0</v>
      </c>
      <c r="L452" s="181">
        <v>1013694149.3099999</v>
      </c>
      <c r="M452" s="181">
        <v>0</v>
      </c>
      <c r="N452" s="181">
        <v>0</v>
      </c>
      <c r="O452" s="181">
        <v>0</v>
      </c>
      <c r="P452" s="181">
        <v>0</v>
      </c>
      <c r="Q452" s="181">
        <v>0</v>
      </c>
      <c r="R452" s="181">
        <v>0</v>
      </c>
      <c r="S452" s="181">
        <v>1013694149.3099999</v>
      </c>
      <c r="T452" s="181">
        <v>0</v>
      </c>
      <c r="U452" s="181">
        <v>1013694149.3099999</v>
      </c>
      <c r="V452" s="181">
        <v>0</v>
      </c>
      <c r="W452" s="181">
        <v>0</v>
      </c>
      <c r="X452" s="181">
        <v>0</v>
      </c>
      <c r="Y452" s="181">
        <v>0</v>
      </c>
      <c r="Z452" s="181">
        <v>0</v>
      </c>
      <c r="AA452" s="181">
        <v>0</v>
      </c>
      <c r="AB452" s="181">
        <v>198551025.13</v>
      </c>
      <c r="AC452" s="181">
        <v>0</v>
      </c>
      <c r="AD452" s="1180">
        <v>198551025.13</v>
      </c>
      <c r="AE452" s="1180">
        <v>198551025.13</v>
      </c>
      <c r="AF452" s="181">
        <v>1013694149.3099999</v>
      </c>
      <c r="AG452" s="181">
        <v>198551025.13</v>
      </c>
      <c r="AH452" s="181">
        <v>0</v>
      </c>
      <c r="AI452" s="181">
        <v>0</v>
      </c>
      <c r="AJ452" s="181">
        <v>0</v>
      </c>
      <c r="AK452" s="181">
        <v>0</v>
      </c>
      <c r="AL452" s="181">
        <v>0</v>
      </c>
      <c r="AM452" s="181">
        <v>0</v>
      </c>
      <c r="AN452" s="181" t="s">
        <v>185</v>
      </c>
    </row>
    <row r="453" spans="1:45" ht="75" hidden="1" x14ac:dyDescent="0.25">
      <c r="A453" s="181">
        <v>6</v>
      </c>
      <c r="B453" s="181">
        <v>70</v>
      </c>
      <c r="C453" s="181" t="s">
        <v>1475</v>
      </c>
      <c r="D453" s="1179" t="s">
        <v>1476</v>
      </c>
      <c r="E453" s="181">
        <v>0</v>
      </c>
      <c r="F453" s="181">
        <v>1794041394</v>
      </c>
      <c r="G453" s="181">
        <v>1794041394</v>
      </c>
      <c r="H453" s="181">
        <v>0</v>
      </c>
      <c r="I453" s="181">
        <v>1794041394</v>
      </c>
      <c r="J453" s="181">
        <v>0</v>
      </c>
      <c r="K453" s="181">
        <v>0</v>
      </c>
      <c r="L453" s="181">
        <v>1794041394</v>
      </c>
      <c r="M453" s="181">
        <v>0</v>
      </c>
      <c r="N453" s="181">
        <v>0</v>
      </c>
      <c r="O453" s="181">
        <v>0</v>
      </c>
      <c r="P453" s="181">
        <v>0</v>
      </c>
      <c r="Q453" s="181">
        <v>0</v>
      </c>
      <c r="R453" s="181">
        <v>0</v>
      </c>
      <c r="S453" s="181">
        <v>1057664960</v>
      </c>
      <c r="T453" s="181">
        <v>0</v>
      </c>
      <c r="U453" s="181">
        <v>1057664960</v>
      </c>
      <c r="V453" s="181">
        <v>0</v>
      </c>
      <c r="W453" s="181">
        <v>0</v>
      </c>
      <c r="X453" s="181">
        <v>0</v>
      </c>
      <c r="Y453" s="181">
        <v>0</v>
      </c>
      <c r="Z453" s="181">
        <v>0</v>
      </c>
      <c r="AA453" s="181">
        <v>0</v>
      </c>
      <c r="AB453" s="181">
        <v>362183898</v>
      </c>
      <c r="AC453" s="181">
        <v>0</v>
      </c>
      <c r="AD453" s="1180">
        <v>362183898</v>
      </c>
      <c r="AE453" s="1180">
        <v>362183898</v>
      </c>
      <c r="AF453" s="181">
        <v>1057664960</v>
      </c>
      <c r="AG453" s="181">
        <v>362183898</v>
      </c>
      <c r="AH453" s="181">
        <v>0</v>
      </c>
      <c r="AI453" s="181">
        <v>0</v>
      </c>
      <c r="AJ453" s="181">
        <v>0</v>
      </c>
      <c r="AK453" s="181">
        <v>0</v>
      </c>
      <c r="AL453" s="181">
        <v>0</v>
      </c>
      <c r="AM453" s="181">
        <v>0</v>
      </c>
      <c r="AN453" s="181" t="s">
        <v>185</v>
      </c>
      <c r="AS453" s="181"/>
    </row>
    <row r="454" spans="1:45" ht="45" hidden="1" x14ac:dyDescent="0.25">
      <c r="A454" s="181">
        <v>6</v>
      </c>
      <c r="B454" s="181" t="s">
        <v>226</v>
      </c>
      <c r="C454" s="181" t="s">
        <v>924</v>
      </c>
      <c r="D454" s="1179" t="s">
        <v>925</v>
      </c>
      <c r="E454" s="181">
        <v>8566548940</v>
      </c>
      <c r="F454" s="181">
        <v>9460326055</v>
      </c>
      <c r="G454" s="181">
        <v>893777115</v>
      </c>
      <c r="H454" s="181">
        <v>13392138</v>
      </c>
      <c r="I454" s="181">
        <v>880384977</v>
      </c>
      <c r="J454" s="181">
        <v>0</v>
      </c>
      <c r="K454" s="181">
        <v>13392138</v>
      </c>
      <c r="L454" s="181">
        <v>9446933917</v>
      </c>
      <c r="M454" s="181">
        <v>0</v>
      </c>
      <c r="N454" s="181">
        <v>0</v>
      </c>
      <c r="O454" s="181">
        <v>0</v>
      </c>
      <c r="P454" s="181">
        <v>0</v>
      </c>
      <c r="Q454" s="181">
        <v>0</v>
      </c>
      <c r="R454" s="181">
        <v>0</v>
      </c>
      <c r="S454" s="181">
        <v>8781567473</v>
      </c>
      <c r="T454" s="181">
        <v>8600955</v>
      </c>
      <c r="U454" s="181">
        <v>8772966518</v>
      </c>
      <c r="V454" s="181">
        <v>0</v>
      </c>
      <c r="W454" s="181">
        <v>0</v>
      </c>
      <c r="X454" s="181">
        <v>0</v>
      </c>
      <c r="Y454" s="181">
        <v>0</v>
      </c>
      <c r="Z454" s="181">
        <v>0</v>
      </c>
      <c r="AA454" s="181">
        <v>0</v>
      </c>
      <c r="AB454" s="181">
        <v>4084918633</v>
      </c>
      <c r="AC454" s="181">
        <v>8600955</v>
      </c>
      <c r="AD454" s="1180">
        <v>4076317678</v>
      </c>
      <c r="AE454" s="1180">
        <v>4076317678</v>
      </c>
      <c r="AF454" s="181">
        <v>8772966518</v>
      </c>
      <c r="AG454" s="181">
        <v>4076317678</v>
      </c>
      <c r="AH454" s="181">
        <v>0</v>
      </c>
      <c r="AI454" s="181">
        <v>0</v>
      </c>
      <c r="AJ454" s="181">
        <v>0</v>
      </c>
      <c r="AK454" s="181">
        <v>0</v>
      </c>
      <c r="AL454" s="181">
        <v>0</v>
      </c>
      <c r="AM454" s="181">
        <v>0</v>
      </c>
      <c r="AN454" s="181" t="s">
        <v>1709</v>
      </c>
      <c r="AS454" s="181"/>
    </row>
    <row r="455" spans="1:45" ht="60" hidden="1" x14ac:dyDescent="0.25">
      <c r="A455" s="181">
        <v>6</v>
      </c>
      <c r="B455" s="181">
        <v>70</v>
      </c>
      <c r="C455" s="181" t="s">
        <v>926</v>
      </c>
      <c r="D455" s="1179" t="s">
        <v>927</v>
      </c>
      <c r="E455" s="181">
        <v>954356699</v>
      </c>
      <c r="F455" s="181">
        <v>954356699</v>
      </c>
      <c r="G455" s="181">
        <v>0</v>
      </c>
      <c r="H455" s="181">
        <v>0</v>
      </c>
      <c r="I455" s="181">
        <v>0</v>
      </c>
      <c r="J455" s="181">
        <v>0</v>
      </c>
      <c r="K455" s="181">
        <v>0</v>
      </c>
      <c r="L455" s="181">
        <v>954356699</v>
      </c>
      <c r="M455" s="181">
        <v>0</v>
      </c>
      <c r="N455" s="181">
        <v>0</v>
      </c>
      <c r="O455" s="181">
        <v>0</v>
      </c>
      <c r="P455" s="181">
        <v>0</v>
      </c>
      <c r="Q455" s="181">
        <v>0</v>
      </c>
      <c r="R455" s="181">
        <v>0</v>
      </c>
      <c r="S455" s="181">
        <v>458417026</v>
      </c>
      <c r="T455" s="181">
        <v>0</v>
      </c>
      <c r="U455" s="181">
        <v>458417026</v>
      </c>
      <c r="V455" s="181">
        <v>0</v>
      </c>
      <c r="W455" s="181">
        <v>0</v>
      </c>
      <c r="X455" s="181">
        <v>0</v>
      </c>
      <c r="Y455" s="181">
        <v>0</v>
      </c>
      <c r="Z455" s="181">
        <v>0</v>
      </c>
      <c r="AA455" s="181">
        <v>0</v>
      </c>
      <c r="AB455" s="181">
        <v>0</v>
      </c>
      <c r="AC455" s="181">
        <v>0</v>
      </c>
      <c r="AD455" s="1180">
        <v>0</v>
      </c>
      <c r="AE455" s="1180">
        <v>0</v>
      </c>
      <c r="AF455" s="181">
        <v>458417026</v>
      </c>
      <c r="AG455" s="181">
        <v>0</v>
      </c>
      <c r="AH455" s="181">
        <v>0</v>
      </c>
      <c r="AI455" s="181">
        <v>0</v>
      </c>
      <c r="AJ455" s="181">
        <v>0</v>
      </c>
      <c r="AK455" s="181">
        <v>0</v>
      </c>
      <c r="AL455" s="181">
        <v>0</v>
      </c>
      <c r="AM455" s="181">
        <v>0</v>
      </c>
      <c r="AN455" s="181" t="s">
        <v>185</v>
      </c>
    </row>
    <row r="456" spans="1:45" ht="60" hidden="1" x14ac:dyDescent="0.25">
      <c r="A456" s="181">
        <v>6</v>
      </c>
      <c r="B456" s="181">
        <v>70</v>
      </c>
      <c r="C456" s="181" t="s">
        <v>928</v>
      </c>
      <c r="D456" s="1179" t="s">
        <v>929</v>
      </c>
      <c r="E456" s="181">
        <v>1693838902</v>
      </c>
      <c r="F456" s="181">
        <v>2587616017</v>
      </c>
      <c r="G456" s="181">
        <v>893777115</v>
      </c>
      <c r="H456" s="181">
        <v>0</v>
      </c>
      <c r="I456" s="181">
        <v>893777115</v>
      </c>
      <c r="J456" s="181">
        <v>0</v>
      </c>
      <c r="K456" s="181">
        <v>0</v>
      </c>
      <c r="L456" s="181">
        <v>2587616017</v>
      </c>
      <c r="M456" s="181">
        <v>0</v>
      </c>
      <c r="N456" s="181">
        <v>0</v>
      </c>
      <c r="O456" s="181">
        <v>0</v>
      </c>
      <c r="P456" s="181">
        <v>0</v>
      </c>
      <c r="Q456" s="181">
        <v>0</v>
      </c>
      <c r="R456" s="181">
        <v>0</v>
      </c>
      <c r="S456" s="181">
        <v>2571661260</v>
      </c>
      <c r="T456" s="181">
        <v>0</v>
      </c>
      <c r="U456" s="181">
        <v>2571661260</v>
      </c>
      <c r="V456" s="181">
        <v>0</v>
      </c>
      <c r="W456" s="181">
        <v>0</v>
      </c>
      <c r="X456" s="181">
        <v>0</v>
      </c>
      <c r="Y456" s="181">
        <v>0</v>
      </c>
      <c r="Z456" s="181">
        <v>0</v>
      </c>
      <c r="AA456" s="181">
        <v>0</v>
      </c>
      <c r="AB456" s="181">
        <v>1658975048</v>
      </c>
      <c r="AC456" s="181">
        <v>0</v>
      </c>
      <c r="AD456" s="1180">
        <v>1658975048</v>
      </c>
      <c r="AE456" s="1180">
        <v>1658975048</v>
      </c>
      <c r="AF456" s="181">
        <v>2571661260</v>
      </c>
      <c r="AG456" s="181">
        <v>1658975048</v>
      </c>
      <c r="AH456" s="181">
        <v>0</v>
      </c>
      <c r="AI456" s="181">
        <v>0</v>
      </c>
      <c r="AJ456" s="181">
        <v>0</v>
      </c>
      <c r="AK456" s="181">
        <v>0</v>
      </c>
      <c r="AL456" s="181">
        <v>0</v>
      </c>
      <c r="AM456" s="181">
        <v>0</v>
      </c>
      <c r="AN456" s="181" t="s">
        <v>185</v>
      </c>
    </row>
    <row r="457" spans="1:45" ht="60" hidden="1" x14ac:dyDescent="0.25">
      <c r="A457" s="181">
        <v>6</v>
      </c>
      <c r="B457" s="181">
        <v>70</v>
      </c>
      <c r="C457" s="181" t="s">
        <v>930</v>
      </c>
      <c r="D457" s="1179" t="s">
        <v>931</v>
      </c>
      <c r="E457" s="181">
        <v>19080955</v>
      </c>
      <c r="F457" s="181">
        <v>19080955</v>
      </c>
      <c r="G457" s="181">
        <v>0</v>
      </c>
      <c r="H457" s="181">
        <v>8600955</v>
      </c>
      <c r="I457" s="181">
        <v>-8600955</v>
      </c>
      <c r="J457" s="181">
        <v>0</v>
      </c>
      <c r="K457" s="181">
        <v>8600955</v>
      </c>
      <c r="L457" s="181">
        <v>10480000</v>
      </c>
      <c r="M457" s="181">
        <v>0</v>
      </c>
      <c r="N457" s="181">
        <v>0</v>
      </c>
      <c r="O457" s="181">
        <v>0</v>
      </c>
      <c r="P457" s="181">
        <v>0</v>
      </c>
      <c r="Q457" s="181">
        <v>0</v>
      </c>
      <c r="R457" s="181">
        <v>0</v>
      </c>
      <c r="S457" s="181">
        <v>19080955</v>
      </c>
      <c r="T457" s="181">
        <v>8600955</v>
      </c>
      <c r="U457" s="181">
        <v>10480000</v>
      </c>
      <c r="V457" s="181">
        <v>0</v>
      </c>
      <c r="W457" s="181">
        <v>0</v>
      </c>
      <c r="X457" s="181">
        <v>0</v>
      </c>
      <c r="Y457" s="181">
        <v>0</v>
      </c>
      <c r="Z457" s="181">
        <v>0</v>
      </c>
      <c r="AA457" s="181">
        <v>0</v>
      </c>
      <c r="AB457" s="181">
        <v>0</v>
      </c>
      <c r="AC457" s="181">
        <v>8600955</v>
      </c>
      <c r="AD457" s="1180">
        <v>-8600955</v>
      </c>
      <c r="AE457" s="1180">
        <v>-8600955</v>
      </c>
      <c r="AF457" s="181">
        <v>10480000</v>
      </c>
      <c r="AG457" s="181">
        <v>-8600955</v>
      </c>
      <c r="AH457" s="181">
        <v>0</v>
      </c>
      <c r="AI457" s="181">
        <v>0</v>
      </c>
      <c r="AJ457" s="181">
        <v>0</v>
      </c>
      <c r="AK457" s="181">
        <v>0</v>
      </c>
      <c r="AL457" s="181">
        <v>0</v>
      </c>
      <c r="AM457" s="181">
        <v>0</v>
      </c>
      <c r="AN457" s="181" t="s">
        <v>185</v>
      </c>
    </row>
    <row r="458" spans="1:45" ht="75" hidden="1" x14ac:dyDescent="0.25">
      <c r="A458" s="181">
        <v>6</v>
      </c>
      <c r="B458" s="181">
        <v>70</v>
      </c>
      <c r="C458" s="181" t="s">
        <v>932</v>
      </c>
      <c r="D458" s="1179" t="s">
        <v>933</v>
      </c>
      <c r="E458" s="181">
        <v>869774377</v>
      </c>
      <c r="F458" s="181">
        <v>869774377</v>
      </c>
      <c r="G458" s="181">
        <v>0</v>
      </c>
      <c r="H458" s="181">
        <v>1972143</v>
      </c>
      <c r="I458" s="181">
        <v>-1972143</v>
      </c>
      <c r="J458" s="181">
        <v>0</v>
      </c>
      <c r="K458" s="181">
        <v>1972143</v>
      </c>
      <c r="L458" s="181">
        <v>867802234</v>
      </c>
      <c r="M458" s="181">
        <v>0</v>
      </c>
      <c r="N458" s="181">
        <v>0</v>
      </c>
      <c r="O458" s="181">
        <v>0</v>
      </c>
      <c r="P458" s="181">
        <v>0</v>
      </c>
      <c r="Q458" s="181">
        <v>0</v>
      </c>
      <c r="R458" s="181">
        <v>0</v>
      </c>
      <c r="S458" s="181">
        <v>867802234</v>
      </c>
      <c r="T458" s="181">
        <v>0</v>
      </c>
      <c r="U458" s="181">
        <v>867802234</v>
      </c>
      <c r="V458" s="181">
        <v>0</v>
      </c>
      <c r="W458" s="181">
        <v>0</v>
      </c>
      <c r="X458" s="181">
        <v>0</v>
      </c>
      <c r="Y458" s="181">
        <v>0</v>
      </c>
      <c r="Z458" s="181">
        <v>0</v>
      </c>
      <c r="AA458" s="181">
        <v>0</v>
      </c>
      <c r="AB458" s="181">
        <v>12972000</v>
      </c>
      <c r="AC458" s="181">
        <v>0</v>
      </c>
      <c r="AD458" s="1180">
        <v>12972000</v>
      </c>
      <c r="AE458" s="1180">
        <v>12972000</v>
      </c>
      <c r="AF458" s="181">
        <v>867802234</v>
      </c>
      <c r="AG458" s="181">
        <v>12972000</v>
      </c>
      <c r="AH458" s="181">
        <v>0</v>
      </c>
      <c r="AI458" s="181">
        <v>0</v>
      </c>
      <c r="AJ458" s="181">
        <v>0</v>
      </c>
      <c r="AK458" s="181">
        <v>0</v>
      </c>
      <c r="AL458" s="181">
        <v>0</v>
      </c>
      <c r="AM458" s="181">
        <v>0</v>
      </c>
      <c r="AN458" s="181" t="s">
        <v>185</v>
      </c>
    </row>
    <row r="459" spans="1:45" ht="60" hidden="1" x14ac:dyDescent="0.25">
      <c r="A459" s="181">
        <v>6</v>
      </c>
      <c r="B459" s="181">
        <v>70</v>
      </c>
      <c r="C459" s="181" t="s">
        <v>934</v>
      </c>
      <c r="D459" s="1179" t="s">
        <v>935</v>
      </c>
      <c r="E459" s="181">
        <v>2819040</v>
      </c>
      <c r="F459" s="181">
        <v>2819040</v>
      </c>
      <c r="G459" s="181">
        <v>0</v>
      </c>
      <c r="H459" s="181">
        <v>2819040</v>
      </c>
      <c r="I459" s="181">
        <v>-2819040</v>
      </c>
      <c r="J459" s="181">
        <v>0</v>
      </c>
      <c r="K459" s="181">
        <v>2819040</v>
      </c>
      <c r="L459" s="181">
        <v>0</v>
      </c>
      <c r="M459" s="181">
        <v>0</v>
      </c>
      <c r="N459" s="181">
        <v>0</v>
      </c>
      <c r="O459" s="181">
        <v>0</v>
      </c>
      <c r="P459" s="181">
        <v>0</v>
      </c>
      <c r="Q459" s="181">
        <v>0</v>
      </c>
      <c r="R459" s="181">
        <v>0</v>
      </c>
      <c r="S459" s="181">
        <v>0</v>
      </c>
      <c r="T459" s="181">
        <v>0</v>
      </c>
      <c r="U459" s="181">
        <v>0</v>
      </c>
      <c r="V459" s="181">
        <v>0</v>
      </c>
      <c r="W459" s="181">
        <v>0</v>
      </c>
      <c r="X459" s="181">
        <v>0</v>
      </c>
      <c r="Y459" s="181">
        <v>0</v>
      </c>
      <c r="Z459" s="181">
        <v>0</v>
      </c>
      <c r="AA459" s="181">
        <v>0</v>
      </c>
      <c r="AB459" s="181">
        <v>0</v>
      </c>
      <c r="AC459" s="181">
        <v>0</v>
      </c>
      <c r="AD459" s="1180">
        <v>0</v>
      </c>
      <c r="AE459" s="1180">
        <v>0</v>
      </c>
      <c r="AF459" s="181">
        <v>0</v>
      </c>
      <c r="AG459" s="181">
        <v>0</v>
      </c>
      <c r="AH459" s="181">
        <v>0</v>
      </c>
      <c r="AI459" s="181">
        <v>0</v>
      </c>
      <c r="AJ459" s="181">
        <v>0</v>
      </c>
      <c r="AK459" s="181">
        <v>0</v>
      </c>
      <c r="AL459" s="181">
        <v>0</v>
      </c>
      <c r="AM459" s="181">
        <v>0</v>
      </c>
      <c r="AN459" s="181" t="s">
        <v>185</v>
      </c>
    </row>
    <row r="460" spans="1:45" ht="60" hidden="1" x14ac:dyDescent="0.25">
      <c r="A460" s="181">
        <v>6</v>
      </c>
      <c r="B460" s="181">
        <v>70</v>
      </c>
      <c r="C460" s="181" t="s">
        <v>936</v>
      </c>
      <c r="D460" s="1179" t="s">
        <v>937</v>
      </c>
      <c r="E460" s="181">
        <v>5026678967</v>
      </c>
      <c r="F460" s="181">
        <v>5026678967</v>
      </c>
      <c r="G460" s="181">
        <v>0</v>
      </c>
      <c r="H460" s="181">
        <v>0</v>
      </c>
      <c r="I460" s="181">
        <v>0</v>
      </c>
      <c r="J460" s="181">
        <v>0</v>
      </c>
      <c r="K460" s="181">
        <v>0</v>
      </c>
      <c r="L460" s="181">
        <v>5026678967</v>
      </c>
      <c r="M460" s="181">
        <v>0</v>
      </c>
      <c r="N460" s="181">
        <v>0</v>
      </c>
      <c r="O460" s="181">
        <v>0</v>
      </c>
      <c r="P460" s="181">
        <v>0</v>
      </c>
      <c r="Q460" s="181">
        <v>0</v>
      </c>
      <c r="R460" s="181">
        <v>0</v>
      </c>
      <c r="S460" s="181">
        <v>4864605998</v>
      </c>
      <c r="T460" s="181">
        <v>0</v>
      </c>
      <c r="U460" s="181">
        <v>4864605998</v>
      </c>
      <c r="V460" s="181">
        <v>0</v>
      </c>
      <c r="W460" s="181">
        <v>0</v>
      </c>
      <c r="X460" s="181">
        <v>0</v>
      </c>
      <c r="Y460" s="181">
        <v>0</v>
      </c>
      <c r="Z460" s="181">
        <v>0</v>
      </c>
      <c r="AA460" s="181">
        <v>0</v>
      </c>
      <c r="AB460" s="181">
        <v>2412971585</v>
      </c>
      <c r="AC460" s="181">
        <v>0</v>
      </c>
      <c r="AD460" s="1180">
        <v>2412971585</v>
      </c>
      <c r="AE460" s="1180">
        <v>2412971585</v>
      </c>
      <c r="AF460" s="181">
        <v>4864605998</v>
      </c>
      <c r="AG460" s="181">
        <v>2412971585</v>
      </c>
      <c r="AH460" s="181">
        <v>0</v>
      </c>
      <c r="AI460" s="181">
        <v>0</v>
      </c>
      <c r="AJ460" s="181">
        <v>0</v>
      </c>
      <c r="AK460" s="181">
        <v>0</v>
      </c>
      <c r="AL460" s="181">
        <v>0</v>
      </c>
      <c r="AM460" s="181">
        <v>0</v>
      </c>
      <c r="AN460" s="181" t="s">
        <v>185</v>
      </c>
    </row>
    <row r="461" spans="1:45" hidden="1" x14ac:dyDescent="0.25">
      <c r="A461" s="181">
        <v>6</v>
      </c>
      <c r="B461" s="181" t="s">
        <v>226</v>
      </c>
      <c r="C461" s="181" t="s">
        <v>938</v>
      </c>
      <c r="D461" s="1179" t="s">
        <v>939</v>
      </c>
      <c r="E461" s="181">
        <v>349925863</v>
      </c>
      <c r="F461" s="181">
        <v>349925863</v>
      </c>
      <c r="G461" s="181">
        <v>0</v>
      </c>
      <c r="H461" s="181">
        <v>0</v>
      </c>
      <c r="I461" s="181">
        <v>0</v>
      </c>
      <c r="J461" s="181">
        <v>0</v>
      </c>
      <c r="K461" s="181">
        <v>0</v>
      </c>
      <c r="L461" s="181">
        <v>349925863</v>
      </c>
      <c r="M461" s="181">
        <v>0</v>
      </c>
      <c r="N461" s="181">
        <v>0</v>
      </c>
      <c r="O461" s="181">
        <v>0</v>
      </c>
      <c r="P461" s="181">
        <v>0</v>
      </c>
      <c r="Q461" s="181">
        <v>0</v>
      </c>
      <c r="R461" s="181">
        <v>0</v>
      </c>
      <c r="S461" s="181">
        <v>304467967</v>
      </c>
      <c r="T461" s="181">
        <v>0</v>
      </c>
      <c r="U461" s="181">
        <v>304467967</v>
      </c>
      <c r="V461" s="181">
        <v>0</v>
      </c>
      <c r="W461" s="181">
        <v>0</v>
      </c>
      <c r="X461" s="181">
        <v>0</v>
      </c>
      <c r="Y461" s="181">
        <v>0</v>
      </c>
      <c r="Z461" s="181">
        <v>0</v>
      </c>
      <c r="AA461" s="181">
        <v>0</v>
      </c>
      <c r="AB461" s="181">
        <v>0</v>
      </c>
      <c r="AC461" s="181">
        <v>0</v>
      </c>
      <c r="AD461" s="1180">
        <v>0</v>
      </c>
      <c r="AE461" s="1180">
        <v>0</v>
      </c>
      <c r="AF461" s="181">
        <v>304467967</v>
      </c>
      <c r="AG461" s="181">
        <v>0</v>
      </c>
      <c r="AH461" s="181">
        <v>0</v>
      </c>
      <c r="AI461" s="181">
        <v>0</v>
      </c>
      <c r="AJ461" s="181">
        <v>0</v>
      </c>
      <c r="AK461" s="181">
        <v>0</v>
      </c>
      <c r="AL461" s="181">
        <v>0</v>
      </c>
      <c r="AM461" s="181">
        <v>0</v>
      </c>
      <c r="AN461" s="181" t="s">
        <v>1709</v>
      </c>
      <c r="AS461" s="181"/>
    </row>
    <row r="462" spans="1:45" hidden="1" x14ac:dyDescent="0.25">
      <c r="A462" s="181">
        <v>6</v>
      </c>
      <c r="B462" s="181" t="s">
        <v>226</v>
      </c>
      <c r="C462" s="181" t="s">
        <v>940</v>
      </c>
      <c r="D462" s="1179" t="s">
        <v>941</v>
      </c>
      <c r="E462" s="181">
        <v>349925863</v>
      </c>
      <c r="F462" s="181">
        <v>349925863</v>
      </c>
      <c r="G462" s="181">
        <v>0</v>
      </c>
      <c r="H462" s="181">
        <v>0</v>
      </c>
      <c r="I462" s="181">
        <v>0</v>
      </c>
      <c r="J462" s="181">
        <v>0</v>
      </c>
      <c r="K462" s="181">
        <v>0</v>
      </c>
      <c r="L462" s="181">
        <v>349925863</v>
      </c>
      <c r="M462" s="181">
        <v>0</v>
      </c>
      <c r="N462" s="181">
        <v>0</v>
      </c>
      <c r="O462" s="181">
        <v>0</v>
      </c>
      <c r="P462" s="181">
        <v>0</v>
      </c>
      <c r="Q462" s="181">
        <v>0</v>
      </c>
      <c r="R462" s="181">
        <v>0</v>
      </c>
      <c r="S462" s="181">
        <v>304467967</v>
      </c>
      <c r="T462" s="181">
        <v>0</v>
      </c>
      <c r="U462" s="181">
        <v>304467967</v>
      </c>
      <c r="V462" s="181">
        <v>0</v>
      </c>
      <c r="W462" s="181">
        <v>0</v>
      </c>
      <c r="X462" s="181">
        <v>0</v>
      </c>
      <c r="Y462" s="181">
        <v>0</v>
      </c>
      <c r="Z462" s="181">
        <v>0</v>
      </c>
      <c r="AA462" s="181">
        <v>0</v>
      </c>
      <c r="AB462" s="181">
        <v>0</v>
      </c>
      <c r="AC462" s="181">
        <v>0</v>
      </c>
      <c r="AD462" s="1180">
        <v>0</v>
      </c>
      <c r="AE462" s="1180">
        <v>0</v>
      </c>
      <c r="AF462" s="181">
        <v>304467967</v>
      </c>
      <c r="AG462" s="181">
        <v>0</v>
      </c>
      <c r="AH462" s="181">
        <v>0</v>
      </c>
      <c r="AI462" s="181">
        <v>0</v>
      </c>
      <c r="AJ462" s="181">
        <v>0</v>
      </c>
      <c r="AK462" s="181">
        <v>0</v>
      </c>
      <c r="AL462" s="181">
        <v>0</v>
      </c>
      <c r="AM462" s="181">
        <v>0</v>
      </c>
      <c r="AN462" s="181" t="s">
        <v>1709</v>
      </c>
      <c r="AS462" s="181"/>
    </row>
    <row r="463" spans="1:45" ht="60" hidden="1" x14ac:dyDescent="0.25">
      <c r="A463" s="181">
        <v>6</v>
      </c>
      <c r="B463" s="181">
        <v>70</v>
      </c>
      <c r="C463" s="181" t="s">
        <v>942</v>
      </c>
      <c r="D463" s="1179" t="s">
        <v>943</v>
      </c>
      <c r="E463" s="181">
        <v>304467967</v>
      </c>
      <c r="F463" s="181">
        <v>304467967</v>
      </c>
      <c r="G463" s="181">
        <v>0</v>
      </c>
      <c r="H463" s="181">
        <v>0</v>
      </c>
      <c r="I463" s="181">
        <v>0</v>
      </c>
      <c r="J463" s="181">
        <v>0</v>
      </c>
      <c r="K463" s="181">
        <v>0</v>
      </c>
      <c r="L463" s="181">
        <v>304467967</v>
      </c>
      <c r="M463" s="181">
        <v>0</v>
      </c>
      <c r="N463" s="181">
        <v>0</v>
      </c>
      <c r="O463" s="181">
        <v>0</v>
      </c>
      <c r="P463" s="181">
        <v>0</v>
      </c>
      <c r="Q463" s="181">
        <v>0</v>
      </c>
      <c r="R463" s="181">
        <v>0</v>
      </c>
      <c r="S463" s="181">
        <v>304467967</v>
      </c>
      <c r="T463" s="181">
        <v>0</v>
      </c>
      <c r="U463" s="181">
        <v>304467967</v>
      </c>
      <c r="V463" s="181">
        <v>0</v>
      </c>
      <c r="W463" s="181">
        <v>0</v>
      </c>
      <c r="X463" s="181">
        <v>0</v>
      </c>
      <c r="Y463" s="181">
        <v>0</v>
      </c>
      <c r="Z463" s="181">
        <v>0</v>
      </c>
      <c r="AA463" s="181">
        <v>0</v>
      </c>
      <c r="AB463" s="181">
        <v>0</v>
      </c>
      <c r="AC463" s="181">
        <v>0</v>
      </c>
      <c r="AD463" s="1180">
        <v>0</v>
      </c>
      <c r="AE463" s="1180">
        <v>0</v>
      </c>
      <c r="AF463" s="181">
        <v>304467967</v>
      </c>
      <c r="AG463" s="181">
        <v>0</v>
      </c>
      <c r="AH463" s="181">
        <v>0</v>
      </c>
      <c r="AI463" s="181">
        <v>0</v>
      </c>
      <c r="AJ463" s="181">
        <v>0</v>
      </c>
      <c r="AK463" s="181">
        <v>0</v>
      </c>
      <c r="AL463" s="181">
        <v>0</v>
      </c>
      <c r="AM463" s="181">
        <v>0</v>
      </c>
      <c r="AN463" s="181" t="s">
        <v>185</v>
      </c>
    </row>
    <row r="464" spans="1:45" ht="45" hidden="1" x14ac:dyDescent="0.25">
      <c r="A464" s="181">
        <v>6</v>
      </c>
      <c r="B464" s="181">
        <v>70</v>
      </c>
      <c r="C464" s="181" t="s">
        <v>944</v>
      </c>
      <c r="D464" s="1179" t="s">
        <v>945</v>
      </c>
      <c r="E464" s="181">
        <v>45457896</v>
      </c>
      <c r="F464" s="181">
        <v>45457896</v>
      </c>
      <c r="G464" s="181">
        <v>0</v>
      </c>
      <c r="H464" s="181">
        <v>0</v>
      </c>
      <c r="I464" s="181">
        <v>0</v>
      </c>
      <c r="J464" s="181">
        <v>0</v>
      </c>
      <c r="K464" s="181">
        <v>0</v>
      </c>
      <c r="L464" s="181">
        <v>45457896</v>
      </c>
      <c r="M464" s="181">
        <v>0</v>
      </c>
      <c r="N464" s="181">
        <v>0</v>
      </c>
      <c r="O464" s="181">
        <v>0</v>
      </c>
      <c r="P464" s="181">
        <v>0</v>
      </c>
      <c r="Q464" s="181">
        <v>0</v>
      </c>
      <c r="R464" s="181">
        <v>0</v>
      </c>
      <c r="S464" s="181">
        <v>0</v>
      </c>
      <c r="T464" s="181">
        <v>0</v>
      </c>
      <c r="U464" s="181">
        <v>0</v>
      </c>
      <c r="V464" s="181">
        <v>0</v>
      </c>
      <c r="W464" s="181">
        <v>0</v>
      </c>
      <c r="X464" s="181">
        <v>0</v>
      </c>
      <c r="Y464" s="181">
        <v>0</v>
      </c>
      <c r="Z464" s="181">
        <v>0</v>
      </c>
      <c r="AA464" s="181">
        <v>0</v>
      </c>
      <c r="AB464" s="181">
        <v>0</v>
      </c>
      <c r="AC464" s="181">
        <v>0</v>
      </c>
      <c r="AD464" s="1180">
        <v>0</v>
      </c>
      <c r="AE464" s="1180">
        <v>0</v>
      </c>
      <c r="AF464" s="181">
        <v>0</v>
      </c>
      <c r="AG464" s="181">
        <v>0</v>
      </c>
      <c r="AH464" s="181">
        <v>0</v>
      </c>
      <c r="AI464" s="181">
        <v>0</v>
      </c>
      <c r="AJ464" s="181">
        <v>0</v>
      </c>
      <c r="AK464" s="181">
        <v>0</v>
      </c>
      <c r="AL464" s="181">
        <v>0</v>
      </c>
      <c r="AM464" s="181">
        <v>0</v>
      </c>
      <c r="AN464" s="181" t="s">
        <v>185</v>
      </c>
    </row>
    <row r="465" spans="1:40" s="181" customFormat="1" hidden="1" x14ac:dyDescent="0.25">
      <c r="A465" s="181">
        <v>6</v>
      </c>
      <c r="B465" s="181" t="s">
        <v>226</v>
      </c>
      <c r="C465" s="181">
        <v>45266</v>
      </c>
      <c r="D465" s="1179" t="s">
        <v>517</v>
      </c>
      <c r="E465" s="181">
        <v>0</v>
      </c>
      <c r="F465" s="181">
        <v>0</v>
      </c>
      <c r="G465" s="181">
        <v>0</v>
      </c>
      <c r="H465" s="181">
        <v>0</v>
      </c>
      <c r="I465" s="181">
        <v>0</v>
      </c>
      <c r="J465" s="181">
        <v>0</v>
      </c>
      <c r="K465" s="181">
        <v>0</v>
      </c>
      <c r="L465" s="181">
        <v>0</v>
      </c>
      <c r="M465" s="181">
        <v>0</v>
      </c>
      <c r="N465" s="181">
        <v>0</v>
      </c>
      <c r="O465" s="181">
        <v>0</v>
      </c>
      <c r="P465" s="181">
        <v>0</v>
      </c>
      <c r="Q465" s="181">
        <v>0</v>
      </c>
      <c r="R465" s="181">
        <v>0</v>
      </c>
      <c r="S465" s="181">
        <v>623531.27</v>
      </c>
      <c r="T465" s="181">
        <v>477.4</v>
      </c>
      <c r="U465" s="181">
        <v>623053.87</v>
      </c>
      <c r="V465" s="181">
        <v>0</v>
      </c>
      <c r="W465" s="181">
        <v>0</v>
      </c>
      <c r="X465" s="181">
        <v>0</v>
      </c>
      <c r="Y465" s="181">
        <v>0</v>
      </c>
      <c r="Z465" s="181">
        <v>0</v>
      </c>
      <c r="AA465" s="181">
        <v>0</v>
      </c>
      <c r="AB465" s="181">
        <v>617911.75</v>
      </c>
      <c r="AC465" s="181">
        <v>477.4</v>
      </c>
      <c r="AD465" s="1180">
        <v>617434.35</v>
      </c>
      <c r="AE465" s="1180">
        <v>617434.35</v>
      </c>
      <c r="AF465" s="181">
        <v>0</v>
      </c>
      <c r="AG465" s="181">
        <v>0</v>
      </c>
      <c r="AH465" s="181">
        <v>623053.87</v>
      </c>
      <c r="AI465" s="181">
        <v>623531.27</v>
      </c>
      <c r="AJ465" s="181">
        <v>477.4</v>
      </c>
      <c r="AK465" s="181">
        <v>617911.75</v>
      </c>
      <c r="AL465" s="181">
        <v>0</v>
      </c>
      <c r="AM465" s="181">
        <v>477.4</v>
      </c>
      <c r="AN465" s="181" t="s">
        <v>1709</v>
      </c>
    </row>
    <row r="466" spans="1:40" s="181" customFormat="1" hidden="1" x14ac:dyDescent="0.25">
      <c r="A466" s="181">
        <v>6</v>
      </c>
      <c r="B466" s="181" t="s">
        <v>226</v>
      </c>
      <c r="C466" s="181" t="s">
        <v>1670</v>
      </c>
      <c r="D466" s="1179" t="s">
        <v>529</v>
      </c>
      <c r="E466" s="181">
        <v>0</v>
      </c>
      <c r="F466" s="181">
        <v>0</v>
      </c>
      <c r="G466" s="181">
        <v>0</v>
      </c>
      <c r="H466" s="181">
        <v>0</v>
      </c>
      <c r="I466" s="181">
        <v>0</v>
      </c>
      <c r="J466" s="181">
        <v>0</v>
      </c>
      <c r="K466" s="181">
        <v>0</v>
      </c>
      <c r="L466" s="181">
        <v>0</v>
      </c>
      <c r="M466" s="181">
        <v>0</v>
      </c>
      <c r="N466" s="181">
        <v>0</v>
      </c>
      <c r="O466" s="181">
        <v>0</v>
      </c>
      <c r="P466" s="181">
        <v>0</v>
      </c>
      <c r="Q466" s="181">
        <v>0</v>
      </c>
      <c r="R466" s="181">
        <v>0</v>
      </c>
      <c r="S466" s="181">
        <v>623531.27</v>
      </c>
      <c r="T466" s="181">
        <v>477.4</v>
      </c>
      <c r="U466" s="181">
        <v>623053.87</v>
      </c>
      <c r="V466" s="181">
        <v>0</v>
      </c>
      <c r="W466" s="181">
        <v>0</v>
      </c>
      <c r="X466" s="181">
        <v>0</v>
      </c>
      <c r="Y466" s="181">
        <v>0</v>
      </c>
      <c r="Z466" s="181">
        <v>0</v>
      </c>
      <c r="AA466" s="181">
        <v>0</v>
      </c>
      <c r="AB466" s="181">
        <v>617911.75</v>
      </c>
      <c r="AC466" s="181">
        <v>477.4</v>
      </c>
      <c r="AD466" s="1180">
        <v>617434.35</v>
      </c>
      <c r="AE466" s="1180">
        <v>617434.35</v>
      </c>
      <c r="AF466" s="181">
        <v>0</v>
      </c>
      <c r="AG466" s="181">
        <v>0</v>
      </c>
      <c r="AH466" s="181">
        <v>623053.87</v>
      </c>
      <c r="AI466" s="181">
        <v>623531.27</v>
      </c>
      <c r="AJ466" s="181">
        <v>477.4</v>
      </c>
      <c r="AK466" s="181">
        <v>617911.75</v>
      </c>
      <c r="AL466" s="181">
        <v>0</v>
      </c>
      <c r="AM466" s="181">
        <v>477.4</v>
      </c>
      <c r="AN466" s="181" t="s">
        <v>1709</v>
      </c>
    </row>
    <row r="467" spans="1:40" s="181" customFormat="1" hidden="1" x14ac:dyDescent="0.25">
      <c r="A467" s="181">
        <v>6</v>
      </c>
      <c r="B467" s="181" t="s">
        <v>226</v>
      </c>
      <c r="C467" s="181" t="s">
        <v>1671</v>
      </c>
      <c r="D467" s="1179" t="s">
        <v>531</v>
      </c>
      <c r="E467" s="181">
        <v>0</v>
      </c>
      <c r="F467" s="181">
        <v>0</v>
      </c>
      <c r="G467" s="181">
        <v>0</v>
      </c>
      <c r="H467" s="181">
        <v>0</v>
      </c>
      <c r="I467" s="181">
        <v>0</v>
      </c>
      <c r="J467" s="181">
        <v>0</v>
      </c>
      <c r="K467" s="181">
        <v>0</v>
      </c>
      <c r="L467" s="181">
        <v>0</v>
      </c>
      <c r="M467" s="181">
        <v>0</v>
      </c>
      <c r="N467" s="181">
        <v>0</v>
      </c>
      <c r="O467" s="181">
        <v>0</v>
      </c>
      <c r="P467" s="181">
        <v>0</v>
      </c>
      <c r="Q467" s="181">
        <v>0</v>
      </c>
      <c r="R467" s="181">
        <v>0</v>
      </c>
      <c r="S467" s="181">
        <v>623531.27</v>
      </c>
      <c r="T467" s="181">
        <v>477.4</v>
      </c>
      <c r="U467" s="181">
        <v>623053.87</v>
      </c>
      <c r="V467" s="181">
        <v>0</v>
      </c>
      <c r="W467" s="181">
        <v>0</v>
      </c>
      <c r="X467" s="181">
        <v>0</v>
      </c>
      <c r="Y467" s="181">
        <v>0</v>
      </c>
      <c r="Z467" s="181">
        <v>0</v>
      </c>
      <c r="AA467" s="181">
        <v>0</v>
      </c>
      <c r="AB467" s="181">
        <v>617911.75</v>
      </c>
      <c r="AC467" s="181">
        <v>477.4</v>
      </c>
      <c r="AD467" s="1180">
        <v>617434.35</v>
      </c>
      <c r="AE467" s="1180">
        <v>617434.35</v>
      </c>
      <c r="AF467" s="181">
        <v>0</v>
      </c>
      <c r="AG467" s="181">
        <v>0</v>
      </c>
      <c r="AH467" s="181">
        <v>623053.87</v>
      </c>
      <c r="AI467" s="181">
        <v>623531.27</v>
      </c>
      <c r="AJ467" s="181">
        <v>477.4</v>
      </c>
      <c r="AK467" s="181">
        <v>617911.75</v>
      </c>
      <c r="AL467" s="181">
        <v>0</v>
      </c>
      <c r="AM467" s="181">
        <v>477.4</v>
      </c>
      <c r="AN467" s="181" t="s">
        <v>1709</v>
      </c>
    </row>
    <row r="468" spans="1:40" s="181" customFormat="1" hidden="1" x14ac:dyDescent="0.25">
      <c r="A468" s="181">
        <v>6</v>
      </c>
      <c r="B468" s="181" t="s">
        <v>226</v>
      </c>
      <c r="C468" s="181" t="s">
        <v>1672</v>
      </c>
      <c r="D468" s="1179" t="s">
        <v>228</v>
      </c>
      <c r="E468" s="181">
        <v>0</v>
      </c>
      <c r="F468" s="181">
        <v>0</v>
      </c>
      <c r="G468" s="181">
        <v>0</v>
      </c>
      <c r="H468" s="181">
        <v>0</v>
      </c>
      <c r="I468" s="181">
        <v>0</v>
      </c>
      <c r="J468" s="181">
        <v>0</v>
      </c>
      <c r="K468" s="181">
        <v>0</v>
      </c>
      <c r="L468" s="181">
        <v>0</v>
      </c>
      <c r="M468" s="181">
        <v>0</v>
      </c>
      <c r="N468" s="181">
        <v>0</v>
      </c>
      <c r="O468" s="181">
        <v>0</v>
      </c>
      <c r="P468" s="181">
        <v>0</v>
      </c>
      <c r="Q468" s="181">
        <v>0</v>
      </c>
      <c r="R468" s="181">
        <v>0</v>
      </c>
      <c r="S468" s="181">
        <v>623531.27</v>
      </c>
      <c r="T468" s="181">
        <v>477.4</v>
      </c>
      <c r="U468" s="181">
        <v>623053.87</v>
      </c>
      <c r="V468" s="181">
        <v>0</v>
      </c>
      <c r="W468" s="181">
        <v>0</v>
      </c>
      <c r="X468" s="181">
        <v>0</v>
      </c>
      <c r="Y468" s="181">
        <v>0</v>
      </c>
      <c r="Z468" s="181">
        <v>0</v>
      </c>
      <c r="AA468" s="181">
        <v>0</v>
      </c>
      <c r="AB468" s="181">
        <v>617911.75</v>
      </c>
      <c r="AC468" s="181">
        <v>477.4</v>
      </c>
      <c r="AD468" s="1180">
        <v>617434.35</v>
      </c>
      <c r="AE468" s="1180">
        <v>617434.35</v>
      </c>
      <c r="AF468" s="181">
        <v>0</v>
      </c>
      <c r="AG468" s="181">
        <v>0</v>
      </c>
      <c r="AH468" s="181">
        <v>623053.87</v>
      </c>
      <c r="AI468" s="181">
        <v>623531.27</v>
      </c>
      <c r="AJ468" s="181">
        <v>477.4</v>
      </c>
      <c r="AK468" s="181">
        <v>617911.75</v>
      </c>
      <c r="AL468" s="181">
        <v>0</v>
      </c>
      <c r="AM468" s="181">
        <v>477.4</v>
      </c>
      <c r="AN468" s="181" t="s">
        <v>1709</v>
      </c>
    </row>
    <row r="469" spans="1:40" s="181" customFormat="1" hidden="1" x14ac:dyDescent="0.25">
      <c r="A469" s="181">
        <v>6</v>
      </c>
      <c r="B469" s="181" t="s">
        <v>226</v>
      </c>
      <c r="C469" s="181" t="s">
        <v>1673</v>
      </c>
      <c r="D469" s="1179" t="s">
        <v>230</v>
      </c>
      <c r="E469" s="181">
        <v>0</v>
      </c>
      <c r="F469" s="181">
        <v>0</v>
      </c>
      <c r="G469" s="181">
        <v>0</v>
      </c>
      <c r="H469" s="181">
        <v>0</v>
      </c>
      <c r="I469" s="181">
        <v>0</v>
      </c>
      <c r="J469" s="181">
        <v>0</v>
      </c>
      <c r="K469" s="181">
        <v>0</v>
      </c>
      <c r="L469" s="181">
        <v>0</v>
      </c>
      <c r="M469" s="181">
        <v>0</v>
      </c>
      <c r="N469" s="181">
        <v>0</v>
      </c>
      <c r="O469" s="181">
        <v>0</v>
      </c>
      <c r="P469" s="181">
        <v>0</v>
      </c>
      <c r="Q469" s="181">
        <v>0</v>
      </c>
      <c r="R469" s="181">
        <v>0</v>
      </c>
      <c r="S469" s="181">
        <v>623531.27</v>
      </c>
      <c r="T469" s="181">
        <v>477.4</v>
      </c>
      <c r="U469" s="181">
        <v>623053.87</v>
      </c>
      <c r="V469" s="181">
        <v>0</v>
      </c>
      <c r="W469" s="181">
        <v>0</v>
      </c>
      <c r="X469" s="181">
        <v>0</v>
      </c>
      <c r="Y469" s="181">
        <v>0</v>
      </c>
      <c r="Z469" s="181">
        <v>0</v>
      </c>
      <c r="AA469" s="181">
        <v>0</v>
      </c>
      <c r="AB469" s="181">
        <v>617911.75</v>
      </c>
      <c r="AC469" s="181">
        <v>477.4</v>
      </c>
      <c r="AD469" s="1180">
        <v>617434.35</v>
      </c>
      <c r="AE469" s="1180">
        <v>617434.35</v>
      </c>
      <c r="AF469" s="181">
        <v>0</v>
      </c>
      <c r="AG469" s="181">
        <v>0</v>
      </c>
      <c r="AH469" s="181">
        <v>623053.87</v>
      </c>
      <c r="AI469" s="181">
        <v>623531.27</v>
      </c>
      <c r="AJ469" s="181">
        <v>477.4</v>
      </c>
      <c r="AK469" s="181">
        <v>617911.75</v>
      </c>
      <c r="AL469" s="181">
        <v>0</v>
      </c>
      <c r="AM469" s="181">
        <v>477.4</v>
      </c>
      <c r="AN469" s="181" t="s">
        <v>1709</v>
      </c>
    </row>
    <row r="470" spans="1:40" s="181" customFormat="1" hidden="1" x14ac:dyDescent="0.25">
      <c r="A470" s="181">
        <v>6</v>
      </c>
      <c r="B470" s="181" t="s">
        <v>226</v>
      </c>
      <c r="C470" s="181" t="s">
        <v>1674</v>
      </c>
      <c r="D470" s="1179" t="s">
        <v>311</v>
      </c>
      <c r="E470" s="181">
        <v>0</v>
      </c>
      <c r="F470" s="181">
        <v>0</v>
      </c>
      <c r="G470" s="181">
        <v>0</v>
      </c>
      <c r="H470" s="181">
        <v>0</v>
      </c>
      <c r="I470" s="181">
        <v>0</v>
      </c>
      <c r="J470" s="181">
        <v>0</v>
      </c>
      <c r="K470" s="181">
        <v>0</v>
      </c>
      <c r="L470" s="181">
        <v>0</v>
      </c>
      <c r="M470" s="181">
        <v>0</v>
      </c>
      <c r="N470" s="181">
        <v>0</v>
      </c>
      <c r="O470" s="181">
        <v>0</v>
      </c>
      <c r="P470" s="181">
        <v>0</v>
      </c>
      <c r="Q470" s="181">
        <v>0</v>
      </c>
      <c r="R470" s="181">
        <v>0</v>
      </c>
      <c r="S470" s="181">
        <v>623531.27</v>
      </c>
      <c r="T470" s="181">
        <v>477.4</v>
      </c>
      <c r="U470" s="181">
        <v>623053.87</v>
      </c>
      <c r="V470" s="181">
        <v>0</v>
      </c>
      <c r="W470" s="181">
        <v>0</v>
      </c>
      <c r="X470" s="181">
        <v>0</v>
      </c>
      <c r="Y470" s="181">
        <v>0</v>
      </c>
      <c r="Z470" s="181">
        <v>0</v>
      </c>
      <c r="AA470" s="181">
        <v>0</v>
      </c>
      <c r="AB470" s="181">
        <v>617911.75</v>
      </c>
      <c r="AC470" s="181">
        <v>477.4</v>
      </c>
      <c r="AD470" s="1180">
        <v>617434.35</v>
      </c>
      <c r="AE470" s="1180">
        <v>617434.35</v>
      </c>
      <c r="AF470" s="181">
        <v>0</v>
      </c>
      <c r="AG470" s="181">
        <v>0</v>
      </c>
      <c r="AH470" s="181">
        <v>623053.87</v>
      </c>
      <c r="AI470" s="181">
        <v>623531.27</v>
      </c>
      <c r="AJ470" s="181">
        <v>477.4</v>
      </c>
      <c r="AK470" s="181">
        <v>617911.75</v>
      </c>
      <c r="AL470" s="181">
        <v>0</v>
      </c>
      <c r="AM470" s="181">
        <v>477.4</v>
      </c>
      <c r="AN470" s="181" t="s">
        <v>1709</v>
      </c>
    </row>
    <row r="471" spans="1:40" s="181" customFormat="1" hidden="1" x14ac:dyDescent="0.25">
      <c r="A471" s="181">
        <v>6</v>
      </c>
      <c r="B471" s="181" t="s">
        <v>226</v>
      </c>
      <c r="C471" s="181" t="s">
        <v>1675</v>
      </c>
      <c r="D471" s="1179" t="s">
        <v>406</v>
      </c>
      <c r="E471" s="181">
        <v>0</v>
      </c>
      <c r="F471" s="181">
        <v>0</v>
      </c>
      <c r="G471" s="181">
        <v>0</v>
      </c>
      <c r="H471" s="181">
        <v>0</v>
      </c>
      <c r="I471" s="181">
        <v>0</v>
      </c>
      <c r="J471" s="181">
        <v>0</v>
      </c>
      <c r="K471" s="181">
        <v>0</v>
      </c>
      <c r="L471" s="181">
        <v>0</v>
      </c>
      <c r="M471" s="181">
        <v>0</v>
      </c>
      <c r="N471" s="181">
        <v>0</v>
      </c>
      <c r="O471" s="181">
        <v>0</v>
      </c>
      <c r="P471" s="181">
        <v>0</v>
      </c>
      <c r="Q471" s="181">
        <v>0</v>
      </c>
      <c r="R471" s="181">
        <v>0</v>
      </c>
      <c r="S471" s="181">
        <v>623531.27</v>
      </c>
      <c r="T471" s="181">
        <v>477.4</v>
      </c>
      <c r="U471" s="181">
        <v>623053.87</v>
      </c>
      <c r="V471" s="181">
        <v>0</v>
      </c>
      <c r="W471" s="181">
        <v>0</v>
      </c>
      <c r="X471" s="181">
        <v>0</v>
      </c>
      <c r="Y471" s="181">
        <v>0</v>
      </c>
      <c r="Z471" s="181">
        <v>0</v>
      </c>
      <c r="AA471" s="181">
        <v>0</v>
      </c>
      <c r="AB471" s="181">
        <v>617911.75</v>
      </c>
      <c r="AC471" s="181">
        <v>477.4</v>
      </c>
      <c r="AD471" s="1180">
        <v>617434.35</v>
      </c>
      <c r="AE471" s="1180">
        <v>617434.35</v>
      </c>
      <c r="AF471" s="181">
        <v>0</v>
      </c>
      <c r="AG471" s="181">
        <v>0</v>
      </c>
      <c r="AH471" s="181">
        <v>623053.87</v>
      </c>
      <c r="AI471" s="181">
        <v>623531.27</v>
      </c>
      <c r="AJ471" s="181">
        <v>477.4</v>
      </c>
      <c r="AK471" s="181">
        <v>617911.75</v>
      </c>
      <c r="AL471" s="181">
        <v>0</v>
      </c>
      <c r="AM471" s="181">
        <v>477.4</v>
      </c>
      <c r="AN471" s="181" t="s">
        <v>1709</v>
      </c>
    </row>
    <row r="472" spans="1:40" s="181" customFormat="1" hidden="1" x14ac:dyDescent="0.25">
      <c r="A472" s="181">
        <v>6</v>
      </c>
      <c r="B472" s="181">
        <v>70</v>
      </c>
      <c r="C472" s="181" t="s">
        <v>1477</v>
      </c>
      <c r="D472" s="1179" t="s">
        <v>1478</v>
      </c>
      <c r="E472" s="181">
        <v>0</v>
      </c>
      <c r="F472" s="181">
        <v>0</v>
      </c>
      <c r="G472" s="181">
        <v>0</v>
      </c>
      <c r="H472" s="181">
        <v>0</v>
      </c>
      <c r="I472" s="181">
        <v>0</v>
      </c>
      <c r="J472" s="181">
        <v>0</v>
      </c>
      <c r="K472" s="181">
        <v>0</v>
      </c>
      <c r="L472" s="181">
        <v>0</v>
      </c>
      <c r="M472" s="181">
        <v>0</v>
      </c>
      <c r="N472" s="181">
        <v>0</v>
      </c>
      <c r="O472" s="181">
        <v>0</v>
      </c>
      <c r="P472" s="181">
        <v>0</v>
      </c>
      <c r="Q472" s="181">
        <v>0</v>
      </c>
      <c r="R472" s="181">
        <v>0</v>
      </c>
      <c r="S472" s="181">
        <v>623531.27</v>
      </c>
      <c r="T472" s="181">
        <v>477.4</v>
      </c>
      <c r="U472" s="181">
        <v>623053.87</v>
      </c>
      <c r="V472" s="181">
        <v>0</v>
      </c>
      <c r="W472" s="181">
        <v>0</v>
      </c>
      <c r="X472" s="181">
        <v>0</v>
      </c>
      <c r="Y472" s="181">
        <v>0</v>
      </c>
      <c r="Z472" s="181">
        <v>0</v>
      </c>
      <c r="AA472" s="181">
        <v>0</v>
      </c>
      <c r="AB472" s="181">
        <v>617911.75</v>
      </c>
      <c r="AC472" s="181">
        <v>477.4</v>
      </c>
      <c r="AD472" s="1180">
        <v>617434.35</v>
      </c>
      <c r="AE472" s="1180">
        <v>617434.35</v>
      </c>
      <c r="AF472" s="181">
        <v>0</v>
      </c>
      <c r="AG472" s="181">
        <v>0</v>
      </c>
      <c r="AH472" s="181">
        <v>623053.87</v>
      </c>
      <c r="AI472" s="181">
        <v>623531.27</v>
      </c>
      <c r="AJ472" s="181">
        <v>477.4</v>
      </c>
      <c r="AK472" s="181">
        <v>617911.75</v>
      </c>
      <c r="AL472" s="181">
        <v>0</v>
      </c>
      <c r="AM472" s="181">
        <v>477.4</v>
      </c>
      <c r="AN472" s="181" t="s">
        <v>185</v>
      </c>
    </row>
    <row r="473" spans="1:40" s="181" customFormat="1" hidden="1" x14ac:dyDescent="0.25">
      <c r="A473" s="181">
        <v>8</v>
      </c>
      <c r="B473" s="181" t="s">
        <v>226</v>
      </c>
      <c r="C473" s="181">
        <v>44934</v>
      </c>
      <c r="D473" s="1179" t="s">
        <v>228</v>
      </c>
      <c r="E473" s="181">
        <v>0</v>
      </c>
      <c r="F473" s="181">
        <v>0</v>
      </c>
      <c r="G473" s="181">
        <v>30983766</v>
      </c>
      <c r="H473" s="181">
        <v>0</v>
      </c>
      <c r="I473" s="181">
        <v>30983766</v>
      </c>
      <c r="J473" s="181">
        <v>30983766</v>
      </c>
      <c r="K473" s="181">
        <v>0</v>
      </c>
      <c r="L473" s="181">
        <v>30983766</v>
      </c>
      <c r="M473" s="181">
        <v>0</v>
      </c>
      <c r="N473" s="181">
        <v>0</v>
      </c>
      <c r="O473" s="181">
        <v>0</v>
      </c>
      <c r="P473" s="181">
        <v>0</v>
      </c>
      <c r="Q473" s="181">
        <v>0</v>
      </c>
      <c r="R473" s="181">
        <v>0</v>
      </c>
      <c r="S473" s="181">
        <v>30983766</v>
      </c>
      <c r="T473" s="181">
        <v>0</v>
      </c>
      <c r="U473" s="181">
        <v>30983766</v>
      </c>
      <c r="V473" s="181">
        <v>0</v>
      </c>
      <c r="W473" s="181">
        <v>0</v>
      </c>
      <c r="X473" s="181">
        <v>0</v>
      </c>
      <c r="Y473" s="181">
        <v>0</v>
      </c>
      <c r="Z473" s="181">
        <v>0</v>
      </c>
      <c r="AA473" s="181">
        <v>0</v>
      </c>
      <c r="AB473" s="181">
        <v>30983766</v>
      </c>
      <c r="AC473" s="181">
        <v>0</v>
      </c>
      <c r="AD473" s="1180">
        <v>30983766</v>
      </c>
      <c r="AE473" s="1180">
        <v>30983766</v>
      </c>
      <c r="AF473" s="181">
        <v>30983766</v>
      </c>
      <c r="AG473" s="181">
        <v>30983766</v>
      </c>
      <c r="AH473" s="181">
        <v>0</v>
      </c>
      <c r="AI473" s="181">
        <v>0</v>
      </c>
      <c r="AJ473" s="181">
        <v>0</v>
      </c>
      <c r="AK473" s="181">
        <v>0</v>
      </c>
      <c r="AL473" s="181">
        <v>0</v>
      </c>
      <c r="AM473" s="181">
        <v>0</v>
      </c>
      <c r="AN473" s="181" t="s">
        <v>1709</v>
      </c>
    </row>
    <row r="474" spans="1:40" s="181" customFormat="1" hidden="1" x14ac:dyDescent="0.25">
      <c r="A474" s="181">
        <v>8</v>
      </c>
      <c r="B474" s="181" t="s">
        <v>226</v>
      </c>
      <c r="C474" s="181">
        <v>45268</v>
      </c>
      <c r="D474" s="1179" t="s">
        <v>517</v>
      </c>
      <c r="E474" s="181">
        <v>0</v>
      </c>
      <c r="F474" s="181">
        <v>0</v>
      </c>
      <c r="G474" s="181">
        <v>30983766</v>
      </c>
      <c r="H474" s="181">
        <v>0</v>
      </c>
      <c r="I474" s="181">
        <v>30983766</v>
      </c>
      <c r="J474" s="181">
        <v>30983766</v>
      </c>
      <c r="K474" s="181">
        <v>0</v>
      </c>
      <c r="L474" s="181">
        <v>30983766</v>
      </c>
      <c r="M474" s="181">
        <v>0</v>
      </c>
      <c r="N474" s="181">
        <v>0</v>
      </c>
      <c r="O474" s="181">
        <v>0</v>
      </c>
      <c r="P474" s="181">
        <v>0</v>
      </c>
      <c r="Q474" s="181">
        <v>0</v>
      </c>
      <c r="R474" s="181">
        <v>0</v>
      </c>
      <c r="S474" s="181">
        <v>30983766</v>
      </c>
      <c r="T474" s="181">
        <v>0</v>
      </c>
      <c r="U474" s="181">
        <v>30983766</v>
      </c>
      <c r="V474" s="181">
        <v>0</v>
      </c>
      <c r="W474" s="181">
        <v>0</v>
      </c>
      <c r="X474" s="181">
        <v>0</v>
      </c>
      <c r="Y474" s="181">
        <v>0</v>
      </c>
      <c r="Z474" s="181">
        <v>0</v>
      </c>
      <c r="AA474" s="181">
        <v>0</v>
      </c>
      <c r="AB474" s="181">
        <v>30983766</v>
      </c>
      <c r="AC474" s="181">
        <v>0</v>
      </c>
      <c r="AD474" s="1180">
        <v>30983766</v>
      </c>
      <c r="AE474" s="1180">
        <v>30983766</v>
      </c>
      <c r="AF474" s="181">
        <v>30983766</v>
      </c>
      <c r="AG474" s="181">
        <v>30983766</v>
      </c>
      <c r="AH474" s="181">
        <v>0</v>
      </c>
      <c r="AI474" s="181">
        <v>0</v>
      </c>
      <c r="AJ474" s="181">
        <v>0</v>
      </c>
      <c r="AK474" s="181">
        <v>0</v>
      </c>
      <c r="AL474" s="181">
        <v>0</v>
      </c>
      <c r="AM474" s="181">
        <v>0</v>
      </c>
      <c r="AN474" s="181" t="s">
        <v>1709</v>
      </c>
    </row>
    <row r="475" spans="1:40" s="181" customFormat="1" hidden="1" x14ac:dyDescent="0.25">
      <c r="A475" s="181">
        <v>8</v>
      </c>
      <c r="B475" s="181" t="s">
        <v>226</v>
      </c>
      <c r="C475" s="181" t="s">
        <v>1753</v>
      </c>
      <c r="D475" s="1179" t="s">
        <v>1123</v>
      </c>
      <c r="E475" s="181">
        <v>0</v>
      </c>
      <c r="F475" s="181">
        <v>0</v>
      </c>
      <c r="G475" s="181">
        <v>30983766</v>
      </c>
      <c r="H475" s="181">
        <v>0</v>
      </c>
      <c r="I475" s="181">
        <v>30983766</v>
      </c>
      <c r="J475" s="181">
        <v>30983766</v>
      </c>
      <c r="K475" s="181">
        <v>0</v>
      </c>
      <c r="L475" s="181">
        <v>30983766</v>
      </c>
      <c r="M475" s="181">
        <v>0</v>
      </c>
      <c r="N475" s="181">
        <v>0</v>
      </c>
      <c r="O475" s="181">
        <v>0</v>
      </c>
      <c r="P475" s="181">
        <v>0</v>
      </c>
      <c r="Q475" s="181">
        <v>0</v>
      </c>
      <c r="R475" s="181">
        <v>0</v>
      </c>
      <c r="S475" s="181">
        <v>30983766</v>
      </c>
      <c r="T475" s="181">
        <v>0</v>
      </c>
      <c r="U475" s="181">
        <v>30983766</v>
      </c>
      <c r="V475" s="181">
        <v>0</v>
      </c>
      <c r="W475" s="181">
        <v>0</v>
      </c>
      <c r="X475" s="181">
        <v>0</v>
      </c>
      <c r="Y475" s="181">
        <v>0</v>
      </c>
      <c r="Z475" s="181">
        <v>0</v>
      </c>
      <c r="AA475" s="181">
        <v>0</v>
      </c>
      <c r="AB475" s="181">
        <v>30983766</v>
      </c>
      <c r="AC475" s="181">
        <v>0</v>
      </c>
      <c r="AD475" s="1180">
        <v>30983766</v>
      </c>
      <c r="AE475" s="1180">
        <v>30983766</v>
      </c>
      <c r="AF475" s="181">
        <v>30983766</v>
      </c>
      <c r="AG475" s="181">
        <v>30983766</v>
      </c>
      <c r="AH475" s="181">
        <v>0</v>
      </c>
      <c r="AI475" s="181">
        <v>0</v>
      </c>
      <c r="AJ475" s="181">
        <v>0</v>
      </c>
      <c r="AK475" s="181">
        <v>0</v>
      </c>
      <c r="AL475" s="181">
        <v>0</v>
      </c>
      <c r="AM475" s="181">
        <v>0</v>
      </c>
      <c r="AN475" s="181" t="s">
        <v>1709</v>
      </c>
    </row>
    <row r="476" spans="1:40" s="181" customFormat="1" hidden="1" x14ac:dyDescent="0.25">
      <c r="A476" s="181">
        <v>8</v>
      </c>
      <c r="B476" s="181" t="s">
        <v>226</v>
      </c>
      <c r="C476" s="181" t="s">
        <v>1754</v>
      </c>
      <c r="D476" s="1179" t="s">
        <v>1551</v>
      </c>
      <c r="E476" s="181">
        <v>0</v>
      </c>
      <c r="F476" s="181">
        <v>0</v>
      </c>
      <c r="G476" s="181">
        <v>30983766</v>
      </c>
      <c r="H476" s="181">
        <v>0</v>
      </c>
      <c r="I476" s="181">
        <v>30983766</v>
      </c>
      <c r="J476" s="181">
        <v>30983766</v>
      </c>
      <c r="K476" s="181">
        <v>0</v>
      </c>
      <c r="L476" s="181">
        <v>30983766</v>
      </c>
      <c r="M476" s="181">
        <v>0</v>
      </c>
      <c r="N476" s="181">
        <v>0</v>
      </c>
      <c r="O476" s="181">
        <v>0</v>
      </c>
      <c r="P476" s="181">
        <v>0</v>
      </c>
      <c r="Q476" s="181">
        <v>0</v>
      </c>
      <c r="R476" s="181">
        <v>0</v>
      </c>
      <c r="S476" s="181">
        <v>30983766</v>
      </c>
      <c r="T476" s="181">
        <v>0</v>
      </c>
      <c r="U476" s="181">
        <v>30983766</v>
      </c>
      <c r="V476" s="181">
        <v>0</v>
      </c>
      <c r="W476" s="181">
        <v>0</v>
      </c>
      <c r="X476" s="181">
        <v>0</v>
      </c>
      <c r="Y476" s="181">
        <v>0</v>
      </c>
      <c r="Z476" s="181">
        <v>0</v>
      </c>
      <c r="AA476" s="181">
        <v>0</v>
      </c>
      <c r="AB476" s="181">
        <v>30983766</v>
      </c>
      <c r="AC476" s="181">
        <v>0</v>
      </c>
      <c r="AD476" s="1180">
        <v>30983766</v>
      </c>
      <c r="AE476" s="1180">
        <v>30983766</v>
      </c>
      <c r="AF476" s="181">
        <v>30983766</v>
      </c>
      <c r="AG476" s="181">
        <v>30983766</v>
      </c>
      <c r="AH476" s="181">
        <v>0</v>
      </c>
      <c r="AI476" s="181">
        <v>0</v>
      </c>
      <c r="AJ476" s="181">
        <v>0</v>
      </c>
      <c r="AK476" s="181">
        <v>0</v>
      </c>
      <c r="AL476" s="181">
        <v>0</v>
      </c>
      <c r="AM476" s="181">
        <v>0</v>
      </c>
      <c r="AN476" s="181" t="s">
        <v>1709</v>
      </c>
    </row>
    <row r="477" spans="1:40" s="181" customFormat="1" ht="30" hidden="1" x14ac:dyDescent="0.25">
      <c r="A477" s="181">
        <v>8</v>
      </c>
      <c r="B477" s="181" t="s">
        <v>226</v>
      </c>
      <c r="C477" s="181" t="s">
        <v>1755</v>
      </c>
      <c r="D477" s="1179" t="s">
        <v>1555</v>
      </c>
      <c r="E477" s="181">
        <v>0</v>
      </c>
      <c r="F477" s="181">
        <v>0</v>
      </c>
      <c r="G477" s="181">
        <v>30983766</v>
      </c>
      <c r="H477" s="181">
        <v>0</v>
      </c>
      <c r="I477" s="181">
        <v>30983766</v>
      </c>
      <c r="J477" s="181">
        <v>30983766</v>
      </c>
      <c r="K477" s="181">
        <v>0</v>
      </c>
      <c r="L477" s="181">
        <v>30983766</v>
      </c>
      <c r="M477" s="181">
        <v>0</v>
      </c>
      <c r="N477" s="181">
        <v>0</v>
      </c>
      <c r="O477" s="181">
        <v>0</v>
      </c>
      <c r="P477" s="181">
        <v>0</v>
      </c>
      <c r="Q477" s="181">
        <v>0</v>
      </c>
      <c r="R477" s="181">
        <v>0</v>
      </c>
      <c r="S477" s="181">
        <v>30983766</v>
      </c>
      <c r="T477" s="181">
        <v>0</v>
      </c>
      <c r="U477" s="181">
        <v>30983766</v>
      </c>
      <c r="V477" s="181">
        <v>0</v>
      </c>
      <c r="W477" s="181">
        <v>0</v>
      </c>
      <c r="X477" s="181">
        <v>0</v>
      </c>
      <c r="Y477" s="181">
        <v>0</v>
      </c>
      <c r="Z477" s="181">
        <v>0</v>
      </c>
      <c r="AA477" s="181">
        <v>0</v>
      </c>
      <c r="AB477" s="181">
        <v>30983766</v>
      </c>
      <c r="AC477" s="181">
        <v>0</v>
      </c>
      <c r="AD477" s="1180">
        <v>30983766</v>
      </c>
      <c r="AE477" s="1180">
        <v>30983766</v>
      </c>
      <c r="AF477" s="181">
        <v>30983766</v>
      </c>
      <c r="AG477" s="181">
        <v>30983766</v>
      </c>
      <c r="AH477" s="181">
        <v>0</v>
      </c>
      <c r="AI477" s="181">
        <v>0</v>
      </c>
      <c r="AJ477" s="181">
        <v>0</v>
      </c>
      <c r="AK477" s="181">
        <v>0</v>
      </c>
      <c r="AL477" s="181">
        <v>0</v>
      </c>
      <c r="AM477" s="181">
        <v>0</v>
      </c>
      <c r="AN477" s="181" t="s">
        <v>1709</v>
      </c>
    </row>
    <row r="478" spans="1:40" s="181" customFormat="1" ht="30" hidden="1" x14ac:dyDescent="0.25">
      <c r="A478" s="181">
        <v>8</v>
      </c>
      <c r="B478" s="181">
        <v>82</v>
      </c>
      <c r="C478" s="181" t="s">
        <v>1479</v>
      </c>
      <c r="D478" s="1179" t="s">
        <v>1305</v>
      </c>
      <c r="E478" s="181">
        <v>0</v>
      </c>
      <c r="F478" s="181">
        <v>0</v>
      </c>
      <c r="G478" s="181">
        <v>30983766</v>
      </c>
      <c r="H478" s="181">
        <v>0</v>
      </c>
      <c r="I478" s="181">
        <v>30983766</v>
      </c>
      <c r="J478" s="181">
        <v>30983766</v>
      </c>
      <c r="K478" s="181">
        <v>0</v>
      </c>
      <c r="L478" s="181">
        <v>30983766</v>
      </c>
      <c r="M478" s="181">
        <v>0</v>
      </c>
      <c r="N478" s="181">
        <v>0</v>
      </c>
      <c r="O478" s="181">
        <v>0</v>
      </c>
      <c r="P478" s="181">
        <v>0</v>
      </c>
      <c r="Q478" s="181">
        <v>0</v>
      </c>
      <c r="R478" s="181">
        <v>0</v>
      </c>
      <c r="S478" s="181">
        <v>30983766</v>
      </c>
      <c r="T478" s="181">
        <v>0</v>
      </c>
      <c r="U478" s="181">
        <v>30983766</v>
      </c>
      <c r="V478" s="181">
        <v>0</v>
      </c>
      <c r="W478" s="181">
        <v>0</v>
      </c>
      <c r="X478" s="181">
        <v>0</v>
      </c>
      <c r="Y478" s="181">
        <v>0</v>
      </c>
      <c r="Z478" s="181">
        <v>0</v>
      </c>
      <c r="AA478" s="181">
        <v>0</v>
      </c>
      <c r="AB478" s="181">
        <v>30983766</v>
      </c>
      <c r="AC478" s="181">
        <v>0</v>
      </c>
      <c r="AD478" s="1180">
        <v>30983766</v>
      </c>
      <c r="AE478" s="1180">
        <v>30983766</v>
      </c>
      <c r="AF478" s="181">
        <v>30983766</v>
      </c>
      <c r="AG478" s="181">
        <v>30983766</v>
      </c>
      <c r="AH478" s="181">
        <v>0</v>
      </c>
      <c r="AI478" s="181">
        <v>0</v>
      </c>
      <c r="AJ478" s="181">
        <v>0</v>
      </c>
      <c r="AK478" s="181">
        <v>0</v>
      </c>
      <c r="AL478" s="181">
        <v>0</v>
      </c>
      <c r="AM478" s="181">
        <v>0</v>
      </c>
      <c r="AN478" s="181" t="s">
        <v>191</v>
      </c>
    </row>
    <row r="479" spans="1:40" s="181" customFormat="1" hidden="1" x14ac:dyDescent="0.25">
      <c r="A479" s="181">
        <v>9</v>
      </c>
      <c r="B479" s="181" t="s">
        <v>226</v>
      </c>
      <c r="C479" s="181">
        <v>44935</v>
      </c>
      <c r="D479" s="1179" t="s">
        <v>228</v>
      </c>
      <c r="E479" s="181">
        <v>0</v>
      </c>
      <c r="F479" s="181">
        <v>0</v>
      </c>
      <c r="G479" s="181">
        <v>624964729.02999997</v>
      </c>
      <c r="H479" s="181">
        <v>107732336</v>
      </c>
      <c r="I479" s="181">
        <v>517232393.02999997</v>
      </c>
      <c r="J479" s="181">
        <v>624964729.02999997</v>
      </c>
      <c r="K479" s="181">
        <v>107732336</v>
      </c>
      <c r="L479" s="181">
        <v>517232393.02999997</v>
      </c>
      <c r="M479" s="181">
        <v>0</v>
      </c>
      <c r="N479" s="181">
        <v>0</v>
      </c>
      <c r="O479" s="181">
        <v>0</v>
      </c>
      <c r="P479" s="181">
        <v>0</v>
      </c>
      <c r="Q479" s="181">
        <v>0</v>
      </c>
      <c r="R479" s="181">
        <v>0</v>
      </c>
      <c r="S479" s="181">
        <v>732697065.02999997</v>
      </c>
      <c r="T479" s="181">
        <v>215464672</v>
      </c>
      <c r="U479" s="181">
        <v>517232393.02999997</v>
      </c>
      <c r="V479" s="181">
        <v>0</v>
      </c>
      <c r="W479" s="181">
        <v>0</v>
      </c>
      <c r="X479" s="181">
        <v>0</v>
      </c>
      <c r="Y479" s="181">
        <v>0</v>
      </c>
      <c r="Z479" s="181">
        <v>0</v>
      </c>
      <c r="AA479" s="181">
        <v>0</v>
      </c>
      <c r="AB479" s="181">
        <v>732697065.02999997</v>
      </c>
      <c r="AC479" s="181">
        <v>215464672</v>
      </c>
      <c r="AD479" s="1180">
        <v>517232393.02999997</v>
      </c>
      <c r="AE479" s="1180">
        <v>517232393.02999997</v>
      </c>
      <c r="AF479" s="181">
        <v>517232393.02999997</v>
      </c>
      <c r="AG479" s="181">
        <v>517232393.02999997</v>
      </c>
      <c r="AH479" s="181">
        <v>0</v>
      </c>
      <c r="AI479" s="181">
        <v>0</v>
      </c>
      <c r="AJ479" s="181">
        <v>0</v>
      </c>
      <c r="AK479" s="181">
        <v>0</v>
      </c>
      <c r="AL479" s="181">
        <v>0</v>
      </c>
      <c r="AM479" s="181">
        <v>0</v>
      </c>
      <c r="AN479" s="181" t="s">
        <v>1709</v>
      </c>
    </row>
    <row r="480" spans="1:40" s="181" customFormat="1" hidden="1" x14ac:dyDescent="0.25">
      <c r="A480" s="181">
        <v>9</v>
      </c>
      <c r="B480" s="181" t="s">
        <v>226</v>
      </c>
      <c r="C480" s="181">
        <v>45269</v>
      </c>
      <c r="D480" s="1179" t="s">
        <v>517</v>
      </c>
      <c r="E480" s="181">
        <v>0</v>
      </c>
      <c r="F480" s="181">
        <v>0</v>
      </c>
      <c r="G480" s="181">
        <v>624964729.02999997</v>
      </c>
      <c r="H480" s="181">
        <v>107732336</v>
      </c>
      <c r="I480" s="181">
        <v>517232393.02999997</v>
      </c>
      <c r="J480" s="181">
        <v>624964729.02999997</v>
      </c>
      <c r="K480" s="181">
        <v>107732336</v>
      </c>
      <c r="L480" s="181">
        <v>517232393.02999997</v>
      </c>
      <c r="M480" s="181">
        <v>0</v>
      </c>
      <c r="N480" s="181">
        <v>0</v>
      </c>
      <c r="O480" s="181">
        <v>0</v>
      </c>
      <c r="P480" s="181">
        <v>0</v>
      </c>
      <c r="Q480" s="181">
        <v>0</v>
      </c>
      <c r="R480" s="181">
        <v>0</v>
      </c>
      <c r="S480" s="181">
        <v>732697065.02999997</v>
      </c>
      <c r="T480" s="181">
        <v>215464672</v>
      </c>
      <c r="U480" s="181">
        <v>517232393.02999997</v>
      </c>
      <c r="V480" s="181">
        <v>0</v>
      </c>
      <c r="W480" s="181">
        <v>0</v>
      </c>
      <c r="X480" s="181">
        <v>0</v>
      </c>
      <c r="Y480" s="181">
        <v>0</v>
      </c>
      <c r="Z480" s="181">
        <v>0</v>
      </c>
      <c r="AA480" s="181">
        <v>0</v>
      </c>
      <c r="AB480" s="181">
        <v>732697065.02999997</v>
      </c>
      <c r="AC480" s="181">
        <v>215464672</v>
      </c>
      <c r="AD480" s="1180">
        <v>517232393.02999997</v>
      </c>
      <c r="AE480" s="1180">
        <v>517232393.02999997</v>
      </c>
      <c r="AF480" s="181">
        <v>517232393.02999997</v>
      </c>
      <c r="AG480" s="181">
        <v>517232393.02999997</v>
      </c>
      <c r="AH480" s="181">
        <v>0</v>
      </c>
      <c r="AI480" s="181">
        <v>0</v>
      </c>
      <c r="AJ480" s="181">
        <v>0</v>
      </c>
      <c r="AK480" s="181">
        <v>0</v>
      </c>
      <c r="AL480" s="181">
        <v>0</v>
      </c>
      <c r="AM480" s="181">
        <v>0</v>
      </c>
      <c r="AN480" s="181" t="s">
        <v>1709</v>
      </c>
    </row>
    <row r="481" spans="1:40" s="181" customFormat="1" hidden="1" x14ac:dyDescent="0.25">
      <c r="A481" s="181">
        <v>9</v>
      </c>
      <c r="B481" s="181" t="s">
        <v>226</v>
      </c>
      <c r="C481" s="181" t="s">
        <v>1756</v>
      </c>
      <c r="D481" s="1179" t="s">
        <v>1123</v>
      </c>
      <c r="E481" s="181">
        <v>0</v>
      </c>
      <c r="F481" s="181">
        <v>0</v>
      </c>
      <c r="G481" s="181">
        <v>624964729.02999997</v>
      </c>
      <c r="H481" s="181">
        <v>107732336</v>
      </c>
      <c r="I481" s="181">
        <v>517232393.02999997</v>
      </c>
      <c r="J481" s="181">
        <v>624964729.02999997</v>
      </c>
      <c r="K481" s="181">
        <v>107732336</v>
      </c>
      <c r="L481" s="181">
        <v>517232393.02999997</v>
      </c>
      <c r="M481" s="181">
        <v>0</v>
      </c>
      <c r="N481" s="181">
        <v>0</v>
      </c>
      <c r="O481" s="181">
        <v>0</v>
      </c>
      <c r="P481" s="181">
        <v>0</v>
      </c>
      <c r="Q481" s="181">
        <v>0</v>
      </c>
      <c r="R481" s="181">
        <v>0</v>
      </c>
      <c r="S481" s="181">
        <v>732697065.02999997</v>
      </c>
      <c r="T481" s="181">
        <v>215464672</v>
      </c>
      <c r="U481" s="181">
        <v>517232393.02999997</v>
      </c>
      <c r="V481" s="181">
        <v>0</v>
      </c>
      <c r="W481" s="181">
        <v>0</v>
      </c>
      <c r="X481" s="181">
        <v>0</v>
      </c>
      <c r="Y481" s="181">
        <v>0</v>
      </c>
      <c r="Z481" s="181">
        <v>0</v>
      </c>
      <c r="AA481" s="181">
        <v>0</v>
      </c>
      <c r="AB481" s="181">
        <v>732697065.02999997</v>
      </c>
      <c r="AC481" s="181">
        <v>215464672</v>
      </c>
      <c r="AD481" s="1180">
        <v>517232393.02999997</v>
      </c>
      <c r="AE481" s="1180">
        <v>517232393.02999997</v>
      </c>
      <c r="AF481" s="181">
        <v>517232393.02999997</v>
      </c>
      <c r="AG481" s="181">
        <v>517232393.02999997</v>
      </c>
      <c r="AH481" s="181">
        <v>0</v>
      </c>
      <c r="AI481" s="181">
        <v>0</v>
      </c>
      <c r="AJ481" s="181">
        <v>0</v>
      </c>
      <c r="AK481" s="181">
        <v>0</v>
      </c>
      <c r="AL481" s="181">
        <v>0</v>
      </c>
      <c r="AM481" s="181">
        <v>0</v>
      </c>
      <c r="AN481" s="181" t="s">
        <v>1709</v>
      </c>
    </row>
    <row r="482" spans="1:40" s="181" customFormat="1" hidden="1" x14ac:dyDescent="0.25">
      <c r="A482" s="181">
        <v>9</v>
      </c>
      <c r="B482" s="181" t="s">
        <v>226</v>
      </c>
      <c r="C482" s="181" t="s">
        <v>1757</v>
      </c>
      <c r="D482" s="1179" t="s">
        <v>1551</v>
      </c>
      <c r="E482" s="181">
        <v>0</v>
      </c>
      <c r="F482" s="181">
        <v>0</v>
      </c>
      <c r="G482" s="181">
        <v>624964729.02999997</v>
      </c>
      <c r="H482" s="181">
        <v>107732336</v>
      </c>
      <c r="I482" s="181">
        <v>517232393.02999997</v>
      </c>
      <c r="J482" s="181">
        <v>624964729.02999997</v>
      </c>
      <c r="K482" s="181">
        <v>107732336</v>
      </c>
      <c r="L482" s="181">
        <v>517232393.02999997</v>
      </c>
      <c r="M482" s="181">
        <v>0</v>
      </c>
      <c r="N482" s="181">
        <v>0</v>
      </c>
      <c r="O482" s="181">
        <v>0</v>
      </c>
      <c r="P482" s="181">
        <v>0</v>
      </c>
      <c r="Q482" s="181">
        <v>0</v>
      </c>
      <c r="R482" s="181">
        <v>0</v>
      </c>
      <c r="S482" s="181">
        <v>732697065.02999997</v>
      </c>
      <c r="T482" s="181">
        <v>215464672</v>
      </c>
      <c r="U482" s="181">
        <v>517232393.02999997</v>
      </c>
      <c r="V482" s="181">
        <v>0</v>
      </c>
      <c r="W482" s="181">
        <v>0</v>
      </c>
      <c r="X482" s="181">
        <v>0</v>
      </c>
      <c r="Y482" s="181">
        <v>0</v>
      </c>
      <c r="Z482" s="181">
        <v>0</v>
      </c>
      <c r="AA482" s="181">
        <v>0</v>
      </c>
      <c r="AB482" s="181">
        <v>732697065.02999997</v>
      </c>
      <c r="AC482" s="181">
        <v>215464672</v>
      </c>
      <c r="AD482" s="1180">
        <v>517232393.02999997</v>
      </c>
      <c r="AE482" s="1180">
        <v>517232393.02999997</v>
      </c>
      <c r="AF482" s="181">
        <v>517232393.02999997</v>
      </c>
      <c r="AG482" s="181">
        <v>517232393.02999997</v>
      </c>
      <c r="AH482" s="181">
        <v>0</v>
      </c>
      <c r="AI482" s="181">
        <v>0</v>
      </c>
      <c r="AJ482" s="181">
        <v>0</v>
      </c>
      <c r="AK482" s="181">
        <v>0</v>
      </c>
      <c r="AL482" s="181">
        <v>0</v>
      </c>
      <c r="AM482" s="181">
        <v>0</v>
      </c>
      <c r="AN482" s="181" t="s">
        <v>1709</v>
      </c>
    </row>
    <row r="483" spans="1:40" s="181" customFormat="1" ht="30" hidden="1" x14ac:dyDescent="0.25">
      <c r="A483" s="181">
        <v>9</v>
      </c>
      <c r="B483" s="181" t="s">
        <v>226</v>
      </c>
      <c r="C483" s="181" t="s">
        <v>1758</v>
      </c>
      <c r="D483" s="1179" t="s">
        <v>1553</v>
      </c>
      <c r="E483" s="181">
        <v>0</v>
      </c>
      <c r="F483" s="181">
        <v>0</v>
      </c>
      <c r="G483" s="181">
        <v>239194397.44999999</v>
      </c>
      <c r="H483" s="181">
        <v>0</v>
      </c>
      <c r="I483" s="181">
        <v>239194397.44999999</v>
      </c>
      <c r="J483" s="181">
        <v>239194397.44999999</v>
      </c>
      <c r="K483" s="181">
        <v>0</v>
      </c>
      <c r="L483" s="181">
        <v>239194397.44999999</v>
      </c>
      <c r="M483" s="181">
        <v>0</v>
      </c>
      <c r="N483" s="181">
        <v>0</v>
      </c>
      <c r="O483" s="181">
        <v>0</v>
      </c>
      <c r="P483" s="181">
        <v>0</v>
      </c>
      <c r="Q483" s="181">
        <v>0</v>
      </c>
      <c r="R483" s="181">
        <v>0</v>
      </c>
      <c r="S483" s="181">
        <v>239194397.44999999</v>
      </c>
      <c r="T483" s="181">
        <v>0</v>
      </c>
      <c r="U483" s="181">
        <v>239194397.44999999</v>
      </c>
      <c r="V483" s="181">
        <v>0</v>
      </c>
      <c r="W483" s="181">
        <v>0</v>
      </c>
      <c r="X483" s="181">
        <v>0</v>
      </c>
      <c r="Y483" s="181">
        <v>0</v>
      </c>
      <c r="Z483" s="181">
        <v>0</v>
      </c>
      <c r="AA483" s="181">
        <v>0</v>
      </c>
      <c r="AB483" s="181">
        <v>239194397.44999999</v>
      </c>
      <c r="AC483" s="181">
        <v>0</v>
      </c>
      <c r="AD483" s="1180">
        <v>239194397.44999999</v>
      </c>
      <c r="AE483" s="1180">
        <v>239194397.44999999</v>
      </c>
      <c r="AF483" s="181">
        <v>239194397.44999999</v>
      </c>
      <c r="AG483" s="181">
        <v>239194397.44999999</v>
      </c>
      <c r="AH483" s="181">
        <v>0</v>
      </c>
      <c r="AI483" s="181">
        <v>0</v>
      </c>
      <c r="AJ483" s="181">
        <v>0</v>
      </c>
      <c r="AK483" s="181">
        <v>0</v>
      </c>
      <c r="AL483" s="181">
        <v>0</v>
      </c>
      <c r="AM483" s="181">
        <v>0</v>
      </c>
      <c r="AN483" s="181" t="s">
        <v>1709</v>
      </c>
    </row>
    <row r="484" spans="1:40" s="181" customFormat="1" hidden="1" x14ac:dyDescent="0.25">
      <c r="A484" s="181">
        <v>9</v>
      </c>
      <c r="B484" s="181">
        <v>88</v>
      </c>
      <c r="C484" s="181" t="s">
        <v>1480</v>
      </c>
      <c r="D484" s="1179" t="s">
        <v>1303</v>
      </c>
      <c r="E484" s="181">
        <v>0</v>
      </c>
      <c r="F484" s="181">
        <v>0</v>
      </c>
      <c r="G484" s="181">
        <v>239194397.44999999</v>
      </c>
      <c r="H484" s="181">
        <v>0</v>
      </c>
      <c r="I484" s="181">
        <v>239194397.44999999</v>
      </c>
      <c r="J484" s="181">
        <v>239194397.44999999</v>
      </c>
      <c r="K484" s="181">
        <v>0</v>
      </c>
      <c r="L484" s="181">
        <v>239194397.44999999</v>
      </c>
      <c r="M484" s="181">
        <v>0</v>
      </c>
      <c r="N484" s="181">
        <v>0</v>
      </c>
      <c r="O484" s="181">
        <v>0</v>
      </c>
      <c r="P484" s="181">
        <v>0</v>
      </c>
      <c r="Q484" s="181">
        <v>0</v>
      </c>
      <c r="R484" s="181">
        <v>0</v>
      </c>
      <c r="S484" s="181">
        <v>239194397.44999999</v>
      </c>
      <c r="T484" s="181">
        <v>0</v>
      </c>
      <c r="U484" s="181">
        <v>239194397.44999999</v>
      </c>
      <c r="V484" s="181">
        <v>0</v>
      </c>
      <c r="W484" s="181">
        <v>0</v>
      </c>
      <c r="X484" s="181">
        <v>0</v>
      </c>
      <c r="Y484" s="181">
        <v>0</v>
      </c>
      <c r="Z484" s="181">
        <v>0</v>
      </c>
      <c r="AA484" s="181">
        <v>0</v>
      </c>
      <c r="AB484" s="181">
        <v>239194397.44999999</v>
      </c>
      <c r="AC484" s="181">
        <v>0</v>
      </c>
      <c r="AD484" s="1180">
        <v>239194397.44999999</v>
      </c>
      <c r="AE484" s="1180">
        <v>239194397.44999999</v>
      </c>
      <c r="AF484" s="181">
        <v>239194397.44999999</v>
      </c>
      <c r="AG484" s="181">
        <v>239194397.44999999</v>
      </c>
      <c r="AH484" s="181">
        <v>0</v>
      </c>
      <c r="AI484" s="181">
        <v>0</v>
      </c>
      <c r="AJ484" s="181">
        <v>0</v>
      </c>
      <c r="AK484" s="181">
        <v>0</v>
      </c>
      <c r="AL484" s="181">
        <v>0</v>
      </c>
      <c r="AM484" s="181">
        <v>0</v>
      </c>
      <c r="AN484" s="181" t="s">
        <v>199</v>
      </c>
    </row>
    <row r="485" spans="1:40" s="181" customFormat="1" ht="30" hidden="1" x14ac:dyDescent="0.25">
      <c r="A485" s="181">
        <v>9</v>
      </c>
      <c r="B485" s="181" t="s">
        <v>226</v>
      </c>
      <c r="C485" s="181" t="s">
        <v>1759</v>
      </c>
      <c r="D485" s="1179" t="s">
        <v>1555</v>
      </c>
      <c r="E485" s="181">
        <v>0</v>
      </c>
      <c r="F485" s="181">
        <v>0</v>
      </c>
      <c r="G485" s="181">
        <v>385770331.57999998</v>
      </c>
      <c r="H485" s="181">
        <v>107732336</v>
      </c>
      <c r="I485" s="181">
        <v>278037995.57999998</v>
      </c>
      <c r="J485" s="181">
        <v>385770331.57999998</v>
      </c>
      <c r="K485" s="181">
        <v>107732336</v>
      </c>
      <c r="L485" s="181">
        <v>278037995.57999998</v>
      </c>
      <c r="M485" s="181">
        <v>0</v>
      </c>
      <c r="N485" s="181">
        <v>0</v>
      </c>
      <c r="O485" s="181">
        <v>0</v>
      </c>
      <c r="P485" s="181">
        <v>0</v>
      </c>
      <c r="Q485" s="181">
        <v>0</v>
      </c>
      <c r="R485" s="181">
        <v>0</v>
      </c>
      <c r="S485" s="181">
        <v>493502667.57999998</v>
      </c>
      <c r="T485" s="181">
        <v>215464672</v>
      </c>
      <c r="U485" s="181">
        <v>278037995.57999998</v>
      </c>
      <c r="V485" s="181">
        <v>0</v>
      </c>
      <c r="W485" s="181">
        <v>0</v>
      </c>
      <c r="X485" s="181">
        <v>0</v>
      </c>
      <c r="Y485" s="181">
        <v>0</v>
      </c>
      <c r="Z485" s="181">
        <v>0</v>
      </c>
      <c r="AA485" s="181">
        <v>0</v>
      </c>
      <c r="AB485" s="181">
        <v>493502667.57999998</v>
      </c>
      <c r="AC485" s="181">
        <v>215464672</v>
      </c>
      <c r="AD485" s="1180">
        <v>278037995.57999998</v>
      </c>
      <c r="AE485" s="1180">
        <v>278037995.57999998</v>
      </c>
      <c r="AF485" s="181">
        <v>278037995.57999998</v>
      </c>
      <c r="AG485" s="181">
        <v>278037995.57999998</v>
      </c>
      <c r="AH485" s="181">
        <v>0</v>
      </c>
      <c r="AI485" s="181">
        <v>0</v>
      </c>
      <c r="AJ485" s="181">
        <v>0</v>
      </c>
      <c r="AK485" s="181">
        <v>0</v>
      </c>
      <c r="AL485" s="181">
        <v>0</v>
      </c>
      <c r="AM485" s="181">
        <v>0</v>
      </c>
      <c r="AN485" s="181" t="s">
        <v>1709</v>
      </c>
    </row>
    <row r="486" spans="1:40" s="181" customFormat="1" ht="30" hidden="1" x14ac:dyDescent="0.25">
      <c r="A486" s="181">
        <v>9</v>
      </c>
      <c r="B486" s="181">
        <v>82</v>
      </c>
      <c r="C486" s="181" t="s">
        <v>1760</v>
      </c>
      <c r="D486" s="1179" t="s">
        <v>1305</v>
      </c>
      <c r="E486" s="181">
        <v>0</v>
      </c>
      <c r="F486" s="181">
        <v>0</v>
      </c>
      <c r="G486" s="181">
        <v>125516848.73</v>
      </c>
      <c r="H486" s="181">
        <v>0</v>
      </c>
      <c r="I486" s="181">
        <v>125516848.73</v>
      </c>
      <c r="J486" s="181">
        <v>125516848.73</v>
      </c>
      <c r="K486" s="181">
        <v>0</v>
      </c>
      <c r="L486" s="181">
        <v>125516848.73</v>
      </c>
      <c r="M486" s="181">
        <v>0</v>
      </c>
      <c r="N486" s="181">
        <v>0</v>
      </c>
      <c r="O486" s="181">
        <v>0</v>
      </c>
      <c r="P486" s="181">
        <v>0</v>
      </c>
      <c r="Q486" s="181">
        <v>0</v>
      </c>
      <c r="R486" s="181">
        <v>0</v>
      </c>
      <c r="S486" s="181">
        <v>125516848.73</v>
      </c>
      <c r="T486" s="181">
        <v>0</v>
      </c>
      <c r="U486" s="181">
        <v>125516848.73</v>
      </c>
      <c r="V486" s="181">
        <v>0</v>
      </c>
      <c r="W486" s="181">
        <v>0</v>
      </c>
      <c r="X486" s="181">
        <v>0</v>
      </c>
      <c r="Y486" s="181">
        <v>0</v>
      </c>
      <c r="Z486" s="181">
        <v>0</v>
      </c>
      <c r="AA486" s="181">
        <v>0</v>
      </c>
      <c r="AB486" s="181">
        <v>125516848.73</v>
      </c>
      <c r="AC486" s="181">
        <v>0</v>
      </c>
      <c r="AD486" s="1180">
        <v>125516848.73</v>
      </c>
      <c r="AE486" s="1180">
        <v>125516848.73</v>
      </c>
      <c r="AF486" s="181">
        <v>125516848.73</v>
      </c>
      <c r="AG486" s="181">
        <v>125516848.73</v>
      </c>
      <c r="AH486" s="181">
        <v>0</v>
      </c>
      <c r="AI486" s="181">
        <v>0</v>
      </c>
      <c r="AJ486" s="181">
        <v>0</v>
      </c>
      <c r="AK486" s="181">
        <v>0</v>
      </c>
      <c r="AL486" s="181">
        <v>0</v>
      </c>
      <c r="AM486" s="181">
        <v>0</v>
      </c>
      <c r="AN486" s="181" t="s">
        <v>191</v>
      </c>
    </row>
    <row r="487" spans="1:40" s="181" customFormat="1" ht="30" hidden="1" x14ac:dyDescent="0.25">
      <c r="A487" s="181">
        <v>9</v>
      </c>
      <c r="B487" s="181">
        <v>83</v>
      </c>
      <c r="C487" s="181" t="s">
        <v>1761</v>
      </c>
      <c r="D487" s="1179" t="s">
        <v>1762</v>
      </c>
      <c r="E487" s="181">
        <v>0</v>
      </c>
      <c r="F487" s="181">
        <v>0</v>
      </c>
      <c r="G487" s="181">
        <v>11355716.949999999</v>
      </c>
      <c r="H487" s="181">
        <v>0</v>
      </c>
      <c r="I487" s="181">
        <v>11355716.949999999</v>
      </c>
      <c r="J487" s="181">
        <v>11355716.949999999</v>
      </c>
      <c r="K487" s="181">
        <v>0</v>
      </c>
      <c r="L487" s="181">
        <v>11355716.949999999</v>
      </c>
      <c r="M487" s="181">
        <v>0</v>
      </c>
      <c r="N487" s="181">
        <v>0</v>
      </c>
      <c r="O487" s="181">
        <v>0</v>
      </c>
      <c r="P487" s="181">
        <v>0</v>
      </c>
      <c r="Q487" s="181">
        <v>0</v>
      </c>
      <c r="R487" s="181">
        <v>0</v>
      </c>
      <c r="S487" s="181">
        <v>11355716.949999999</v>
      </c>
      <c r="T487" s="181">
        <v>0</v>
      </c>
      <c r="U487" s="181">
        <v>11355716.949999999</v>
      </c>
      <c r="V487" s="181">
        <v>0</v>
      </c>
      <c r="W487" s="181">
        <v>0</v>
      </c>
      <c r="X487" s="181">
        <v>0</v>
      </c>
      <c r="Y487" s="181">
        <v>0</v>
      </c>
      <c r="Z487" s="181">
        <v>0</v>
      </c>
      <c r="AA487" s="181">
        <v>0</v>
      </c>
      <c r="AB487" s="181">
        <v>11355716.949999999</v>
      </c>
      <c r="AC487" s="181">
        <v>0</v>
      </c>
      <c r="AD487" s="1180">
        <v>11355716.949999999</v>
      </c>
      <c r="AE487" s="1180">
        <v>11355716.949999999</v>
      </c>
      <c r="AF487" s="181">
        <v>11355716.949999999</v>
      </c>
      <c r="AG487" s="181">
        <v>11355716.949999999</v>
      </c>
      <c r="AH487" s="181">
        <v>0</v>
      </c>
      <c r="AI487" s="181">
        <v>0</v>
      </c>
      <c r="AJ487" s="181">
        <v>0</v>
      </c>
      <c r="AK487" s="181">
        <v>0</v>
      </c>
      <c r="AL487" s="181">
        <v>0</v>
      </c>
      <c r="AM487" s="181">
        <v>0</v>
      </c>
      <c r="AN487" s="181" t="s">
        <v>193</v>
      </c>
    </row>
    <row r="488" spans="1:40" s="181" customFormat="1" ht="30" hidden="1" x14ac:dyDescent="0.25">
      <c r="A488" s="181">
        <v>9</v>
      </c>
      <c r="B488" s="181">
        <v>94</v>
      </c>
      <c r="C488" s="181" t="s">
        <v>1763</v>
      </c>
      <c r="D488" s="1179" t="s">
        <v>1561</v>
      </c>
      <c r="E488" s="181">
        <v>0</v>
      </c>
      <c r="F488" s="181">
        <v>0</v>
      </c>
      <c r="G488" s="181">
        <v>9721053.9000000004</v>
      </c>
      <c r="H488" s="181">
        <v>0</v>
      </c>
      <c r="I488" s="181">
        <v>9721053.9000000004</v>
      </c>
      <c r="J488" s="181">
        <v>9721053.9000000004</v>
      </c>
      <c r="K488" s="181">
        <v>0</v>
      </c>
      <c r="L488" s="181">
        <v>9721053.9000000004</v>
      </c>
      <c r="M488" s="181">
        <v>0</v>
      </c>
      <c r="N488" s="181">
        <v>0</v>
      </c>
      <c r="O488" s="181">
        <v>0</v>
      </c>
      <c r="P488" s="181">
        <v>0</v>
      </c>
      <c r="Q488" s="181">
        <v>0</v>
      </c>
      <c r="R488" s="181">
        <v>0</v>
      </c>
      <c r="S488" s="181">
        <v>9721053.9000000004</v>
      </c>
      <c r="T488" s="181">
        <v>0</v>
      </c>
      <c r="U488" s="181">
        <v>9721053.9000000004</v>
      </c>
      <c r="V488" s="181">
        <v>0</v>
      </c>
      <c r="W488" s="181">
        <v>0</v>
      </c>
      <c r="X488" s="181">
        <v>0</v>
      </c>
      <c r="Y488" s="181">
        <v>0</v>
      </c>
      <c r="Z488" s="181">
        <v>0</v>
      </c>
      <c r="AA488" s="181">
        <v>0</v>
      </c>
      <c r="AB488" s="181">
        <v>9721053.9000000004</v>
      </c>
      <c r="AC488" s="181">
        <v>0</v>
      </c>
      <c r="AD488" s="1180">
        <v>9721053.9000000004</v>
      </c>
      <c r="AE488" s="1180">
        <v>9721053.9000000004</v>
      </c>
      <c r="AF488" s="181">
        <v>9721053.9000000004</v>
      </c>
      <c r="AG488" s="181">
        <v>9721053.9000000004</v>
      </c>
      <c r="AH488" s="181">
        <v>0</v>
      </c>
      <c r="AI488" s="181">
        <v>0</v>
      </c>
      <c r="AJ488" s="181">
        <v>0</v>
      </c>
      <c r="AK488" s="181">
        <v>0</v>
      </c>
      <c r="AL488" s="181">
        <v>0</v>
      </c>
      <c r="AM488" s="181">
        <v>0</v>
      </c>
      <c r="AN488" s="181" t="s">
        <v>211</v>
      </c>
    </row>
    <row r="489" spans="1:40" s="181" customFormat="1" ht="30" hidden="1" x14ac:dyDescent="0.25">
      <c r="A489" s="181">
        <v>9</v>
      </c>
      <c r="B489" s="181">
        <v>206</v>
      </c>
      <c r="C489" s="181" t="s">
        <v>1764</v>
      </c>
      <c r="D489" s="1179" t="s">
        <v>1765</v>
      </c>
      <c r="E489" s="181">
        <v>0</v>
      </c>
      <c r="F489" s="181">
        <v>0</v>
      </c>
      <c r="G489" s="181">
        <v>239176712</v>
      </c>
      <c r="H489" s="181">
        <v>107732336</v>
      </c>
      <c r="I489" s="181">
        <v>131444376</v>
      </c>
      <c r="J489" s="181">
        <v>239176712</v>
      </c>
      <c r="K489" s="181">
        <v>107732336</v>
      </c>
      <c r="L489" s="181">
        <v>131444376</v>
      </c>
      <c r="M489" s="181">
        <v>0</v>
      </c>
      <c r="N489" s="181">
        <v>0</v>
      </c>
      <c r="O489" s="181">
        <v>0</v>
      </c>
      <c r="P489" s="181">
        <v>0</v>
      </c>
      <c r="Q489" s="181">
        <v>0</v>
      </c>
      <c r="R489" s="181">
        <v>0</v>
      </c>
      <c r="S489" s="181">
        <v>346909048</v>
      </c>
      <c r="T489" s="181">
        <v>215464672</v>
      </c>
      <c r="U489" s="181">
        <v>131444376</v>
      </c>
      <c r="V489" s="181">
        <v>0</v>
      </c>
      <c r="W489" s="181">
        <v>0</v>
      </c>
      <c r="X489" s="181">
        <v>0</v>
      </c>
      <c r="Y489" s="181">
        <v>0</v>
      </c>
      <c r="Z489" s="181">
        <v>0</v>
      </c>
      <c r="AA489" s="181">
        <v>0</v>
      </c>
      <c r="AB489" s="181">
        <v>346909048</v>
      </c>
      <c r="AC489" s="181">
        <v>215464672</v>
      </c>
      <c r="AD489" s="1180">
        <v>131444376</v>
      </c>
      <c r="AE489" s="1180">
        <v>131444376</v>
      </c>
      <c r="AF489" s="181">
        <v>131444376</v>
      </c>
      <c r="AG489" s="181">
        <v>131444376</v>
      </c>
      <c r="AH489" s="181">
        <v>0</v>
      </c>
      <c r="AI489" s="181">
        <v>0</v>
      </c>
      <c r="AJ489" s="181">
        <v>0</v>
      </c>
      <c r="AK489" s="181">
        <v>0</v>
      </c>
      <c r="AL489" s="181">
        <v>0</v>
      </c>
      <c r="AM489" s="181">
        <v>0</v>
      </c>
      <c r="AN489" s="181" t="s">
        <v>1766</v>
      </c>
    </row>
    <row r="491" spans="1:40" x14ac:dyDescent="0.25">
      <c r="AE491" s="1180">
        <f>SUBTOTAL(9,AE2:AE490)</f>
        <v>63436527225.619987</v>
      </c>
    </row>
    <row r="492" spans="1:40" x14ac:dyDescent="0.25">
      <c r="AE492" s="1180">
        <f>SUBTOTAL(9,'Historico Plan Financiero 2023'!O114:O144)</f>
        <v>120436578521.14999</v>
      </c>
    </row>
    <row r="493" spans="1:40" x14ac:dyDescent="0.25">
      <c r="AE493" s="1180">
        <f>+AE491-AE492</f>
        <v>-57000051295.530006</v>
      </c>
    </row>
  </sheetData>
  <autoFilter ref="A1:AR489" xr:uid="{81470E41-3D3F-4B87-A29D-80C3DD15E652}">
    <filterColumn colId="0">
      <filters>
        <filter val="318"/>
      </filters>
    </filterColumn>
    <filterColumn colId="1">
      <customFilters>
        <customFilter operator="notEqual" val=" "/>
      </customFilters>
    </filterColumn>
    <filterColumn colId="4">
      <filters>
        <filter val="1000000"/>
        <filter val="106084469.4"/>
        <filter val="10920988.09"/>
        <filter val="110320521.1"/>
        <filter val="117136800"/>
        <filter val="1188115354"/>
        <filter val="1188115355"/>
        <filter val="1268982000"/>
        <filter val="13600000"/>
        <filter val="1362067804"/>
        <filter val="1395844720"/>
        <filter val="1400000"/>
        <filter val="1485182578"/>
        <filter val="1544422380"/>
        <filter val="156479997.5"/>
        <filter val="1612628811"/>
        <filter val="1724393294"/>
        <filter val="18777599"/>
        <filter val="19200000"/>
        <filter val="193060911.9"/>
        <filter val="19522800"/>
        <filter val="212168939.6"/>
        <filter val="2376230710"/>
        <filter val="240261738"/>
        <filter val="25036799.65"/>
        <filter val="3000000"/>
        <filter val="303160885.7"/>
        <filter val="318253409"/>
        <filter val="32762964.27"/>
        <filter val="33596433.56"/>
        <filter val="36773507.04"/>
        <filter val="3749209145"/>
        <filter val="37701108.47"/>
        <filter val="39371543.6"/>
        <filter val="401864739.8"/>
        <filter val="40842867.55"/>
        <filter val="418267382.2"/>
        <filter val="418267382.5"/>
        <filter val="4200828874"/>
        <filter val="425625593.2"/>
        <filter val="4274847597"/>
        <filter val="432438266.4"/>
        <filter val="468547200"/>
        <filter val="5000000"/>
        <filter val="51183006.68"/>
        <filter val="514829098.6"/>
        <filter val="55160260.56"/>
        <filter val="58568400"/>
        <filter val="65525928.54"/>
        <filter val="666180276.5"/>
        <filter val="67192867.12"/>
        <filter val="697922360.2"/>
        <filter val="7157581679"/>
        <filter val="75402216.94"/>
        <filter val="76446916.34"/>
        <filter val="803729479.1"/>
        <filter val="806314405.4"/>
        <filter val="81685735.09"/>
        <filter val="836534763.8"/>
        <filter val="9193376.76"/>
        <filter val="931200000"/>
        <filter val="9600000"/>
      </filters>
    </filterColumn>
  </autoFilter>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M173"/>
  <sheetViews>
    <sheetView topLeftCell="A143" zoomScale="80" zoomScaleNormal="80" workbookViewId="0">
      <selection activeCell="C7" sqref="C7"/>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bestFit="1" customWidth="1"/>
    <col min="5" max="5" width="27" style="42" bestFit="1" customWidth="1"/>
    <col min="6" max="6" width="19.140625" style="42" bestFit="1" customWidth="1"/>
    <col min="7" max="7" width="16.140625" style="42" customWidth="1"/>
    <col min="8" max="8" width="27.28515625" style="42" customWidth="1"/>
    <col min="9" max="9" width="14.5703125" style="42" bestFit="1" customWidth="1"/>
    <col min="10" max="10" width="13.7109375" style="42" bestFit="1" customWidth="1"/>
    <col min="11" max="11" width="25.140625" style="42" customWidth="1"/>
    <col min="12" max="12" width="13.5703125" style="42" bestFit="1" customWidth="1"/>
    <col min="13"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3" width="11.42578125" style="42"/>
    <col min="16384" max="16384" width="11.42578125" style="42" customWidth="1"/>
  </cols>
  <sheetData>
    <row r="2" spans="1:7" ht="15" customHeight="1" x14ac:dyDescent="0.25">
      <c r="A2" s="1664" t="s">
        <v>1767</v>
      </c>
      <c r="B2" s="1664"/>
      <c r="C2" s="1664"/>
      <c r="D2" s="1664"/>
      <c r="E2" s="1664"/>
      <c r="F2" s="1665"/>
      <c r="G2" s="1146"/>
    </row>
    <row r="3" spans="1:7" ht="15" customHeight="1" x14ac:dyDescent="0.25">
      <c r="A3" s="1664" t="s">
        <v>1768</v>
      </c>
      <c r="B3" s="1664"/>
      <c r="C3" s="1664"/>
      <c r="D3" s="1664"/>
      <c r="E3" s="1664"/>
      <c r="F3" s="1665"/>
      <c r="G3" s="1146"/>
    </row>
    <row r="4" spans="1:7" ht="15" customHeight="1" x14ac:dyDescent="0.25">
      <c r="A4" s="1664" t="s">
        <v>1769</v>
      </c>
      <c r="B4" s="1664"/>
      <c r="C4" s="1664"/>
      <c r="D4" s="1664"/>
      <c r="E4" s="1664"/>
      <c r="F4" s="1665"/>
      <c r="G4" s="1146"/>
    </row>
    <row r="5" spans="1:7" ht="15" customHeight="1" x14ac:dyDescent="0.25">
      <c r="A5" s="1664" t="s">
        <v>1770</v>
      </c>
      <c r="B5" s="1664"/>
      <c r="C5" s="1664"/>
      <c r="D5" s="1664"/>
      <c r="E5" s="1664"/>
      <c r="F5" s="1665"/>
      <c r="G5" s="1146"/>
    </row>
    <row r="6" spans="1:7" s="95" customFormat="1" ht="25.5" customHeight="1" x14ac:dyDescent="0.25">
      <c r="A6" s="1147" t="s">
        <v>1771</v>
      </c>
      <c r="B6" s="1148" t="s">
        <v>1772</v>
      </c>
      <c r="C6" s="1007" t="s">
        <v>1773</v>
      </c>
      <c r="D6" s="1007" t="s">
        <v>1774</v>
      </c>
      <c r="E6" s="1149" t="s">
        <v>1775</v>
      </c>
      <c r="F6" s="1007" t="s">
        <v>1776</v>
      </c>
    </row>
    <row r="7" spans="1:7" ht="25.5" x14ac:dyDescent="0.25">
      <c r="A7" s="1006">
        <v>20</v>
      </c>
      <c r="B7" s="923" t="s">
        <v>1023</v>
      </c>
      <c r="C7" s="1145">
        <f>18958559206+1000000000</f>
        <v>19958559206</v>
      </c>
      <c r="D7" s="924"/>
      <c r="E7" s="924"/>
      <c r="F7" s="925">
        <f>+C7</f>
        <v>19958559206</v>
      </c>
      <c r="G7" s="1146"/>
    </row>
    <row r="8" spans="1:7" ht="25.5" x14ac:dyDescent="0.25">
      <c r="A8" s="933">
        <v>20</v>
      </c>
      <c r="B8" s="923" t="s">
        <v>1157</v>
      </c>
      <c r="C8" s="1178">
        <v>720959245</v>
      </c>
      <c r="D8" s="924"/>
      <c r="E8" s="924"/>
      <c r="F8" s="924">
        <f t="shared" ref="F8:F10" si="0">+C8</f>
        <v>720959245</v>
      </c>
      <c r="G8" s="1659" t="s">
        <v>1777</v>
      </c>
    </row>
    <row r="9" spans="1:7" ht="25.5" x14ac:dyDescent="0.25">
      <c r="A9" s="922">
        <v>20</v>
      </c>
      <c r="B9" s="923" t="s">
        <v>1158</v>
      </c>
      <c r="C9" s="1145">
        <v>2625778591</v>
      </c>
      <c r="D9" s="924"/>
      <c r="E9" s="924"/>
      <c r="F9" s="924">
        <f t="shared" si="0"/>
        <v>2625778591</v>
      </c>
      <c r="G9" s="1659"/>
    </row>
    <row r="10" spans="1:7" ht="25.5" x14ac:dyDescent="0.25">
      <c r="A10" s="1006">
        <v>20</v>
      </c>
      <c r="B10" s="923" t="s">
        <v>1778</v>
      </c>
      <c r="C10" s="1145">
        <v>2000000000</v>
      </c>
      <c r="D10" s="924"/>
      <c r="E10" s="924"/>
      <c r="F10" s="924">
        <f t="shared" si="0"/>
        <v>2000000000</v>
      </c>
      <c r="G10" s="1659"/>
    </row>
    <row r="11" spans="1:7" ht="15" x14ac:dyDescent="0.25">
      <c r="A11" s="922">
        <v>20</v>
      </c>
      <c r="B11" s="923" t="s">
        <v>1779</v>
      </c>
      <c r="C11" s="1174">
        <v>12960000000</v>
      </c>
      <c r="D11" s="927"/>
      <c r="E11" s="924"/>
      <c r="F11" s="924">
        <f>+C11</f>
        <v>12960000000</v>
      </c>
    </row>
    <row r="12" spans="1:7" ht="15" x14ac:dyDescent="0.25">
      <c r="A12" s="922">
        <v>1</v>
      </c>
      <c r="B12" s="923" t="s">
        <v>1780</v>
      </c>
      <c r="C12" s="1174">
        <v>4320000000</v>
      </c>
      <c r="D12" s="927"/>
      <c r="E12" s="924">
        <f>+C12</f>
        <v>4320000000</v>
      </c>
      <c r="F12" s="925"/>
      <c r="G12" s="1146"/>
    </row>
    <row r="13" spans="1:7" ht="15" x14ac:dyDescent="0.25">
      <c r="A13" s="922">
        <v>52</v>
      </c>
      <c r="B13" s="923" t="s">
        <v>1028</v>
      </c>
      <c r="C13" s="1145">
        <v>864000000</v>
      </c>
      <c r="D13" s="924">
        <f>+C13</f>
        <v>864000000</v>
      </c>
      <c r="E13" s="924"/>
      <c r="F13" s="925"/>
      <c r="G13" s="1146"/>
    </row>
    <row r="14" spans="1:7" ht="15" x14ac:dyDescent="0.25">
      <c r="A14" s="922">
        <v>53</v>
      </c>
      <c r="B14" s="923" t="s">
        <v>1781</v>
      </c>
      <c r="C14" s="1145">
        <v>1296000000</v>
      </c>
      <c r="D14" s="924"/>
      <c r="E14" s="924">
        <f>+C14</f>
        <v>1296000000</v>
      </c>
      <c r="F14" s="924"/>
    </row>
    <row r="15" spans="1:7" ht="25.5" x14ac:dyDescent="0.25">
      <c r="A15" s="922">
        <v>13</v>
      </c>
      <c r="B15" s="923" t="s">
        <v>1030</v>
      </c>
      <c r="C15" s="1145">
        <v>2160000000</v>
      </c>
      <c r="D15" s="924"/>
      <c r="E15" s="924">
        <f>+C15</f>
        <v>2160000000</v>
      </c>
      <c r="F15" s="925"/>
      <c r="G15" s="1146"/>
    </row>
    <row r="16" spans="1:7" ht="25.5" x14ac:dyDescent="0.25">
      <c r="A16" s="922">
        <v>145</v>
      </c>
      <c r="B16" s="923" t="s">
        <v>1782</v>
      </c>
      <c r="C16" s="1145">
        <v>128868620.88238575</v>
      </c>
      <c r="D16" s="924"/>
      <c r="E16" s="924">
        <f>+C16</f>
        <v>128868620.88238575</v>
      </c>
      <c r="F16" s="925"/>
      <c r="G16" s="1146"/>
    </row>
    <row r="17" spans="1:10" ht="25.5" x14ac:dyDescent="0.25">
      <c r="A17" s="922">
        <v>20</v>
      </c>
      <c r="B17" s="923" t="s">
        <v>1783</v>
      </c>
      <c r="C17" s="1145">
        <v>2577372401.8276691</v>
      </c>
      <c r="D17" s="924"/>
      <c r="E17" s="924"/>
      <c r="F17" s="925">
        <f>+C17</f>
        <v>2577372401.8276691</v>
      </c>
      <c r="G17" s="1146"/>
    </row>
    <row r="18" spans="1:10" ht="25.5" x14ac:dyDescent="0.25">
      <c r="A18" s="922">
        <v>20</v>
      </c>
      <c r="B18" s="923" t="s">
        <v>1784</v>
      </c>
      <c r="C18" s="1174">
        <v>767298055.70488763</v>
      </c>
      <c r="D18" s="927"/>
      <c r="E18" s="924"/>
      <c r="F18" s="925">
        <f>+C18</f>
        <v>767298055.70488763</v>
      </c>
      <c r="G18" s="1146"/>
    </row>
    <row r="19" spans="1:10" ht="25.5" x14ac:dyDescent="0.25">
      <c r="A19" s="922">
        <v>145</v>
      </c>
      <c r="B19" s="923" t="s">
        <v>1785</v>
      </c>
      <c r="C19" s="1145">
        <v>38364902.756963</v>
      </c>
      <c r="D19" s="924"/>
      <c r="E19" s="924">
        <f>+C19</f>
        <v>38364902.756963</v>
      </c>
      <c r="F19" s="924"/>
      <c r="G19" s="1146"/>
    </row>
    <row r="20" spans="1:10" ht="25.5" x14ac:dyDescent="0.25">
      <c r="A20" s="922">
        <v>20</v>
      </c>
      <c r="B20" s="923" t="s">
        <v>1786</v>
      </c>
      <c r="C20" s="1145">
        <v>18965700746.422119</v>
      </c>
      <c r="D20" s="924"/>
      <c r="E20" s="924"/>
      <c r="F20" s="925">
        <f>+C20</f>
        <v>18965700746.422119</v>
      </c>
      <c r="G20" s="1146"/>
    </row>
    <row r="21" spans="1:10" ht="25.5" x14ac:dyDescent="0.25">
      <c r="A21" s="922">
        <v>20</v>
      </c>
      <c r="B21" s="923" t="s">
        <v>1787</v>
      </c>
      <c r="C21" s="1145">
        <v>291188487.49787956</v>
      </c>
      <c r="D21" s="924"/>
      <c r="E21" s="924"/>
      <c r="F21" s="925">
        <f>+C21</f>
        <v>291188487.49787956</v>
      </c>
      <c r="G21" s="1146"/>
    </row>
    <row r="22" spans="1:10" ht="25.5" x14ac:dyDescent="0.25">
      <c r="A22" s="922">
        <v>20</v>
      </c>
      <c r="B22" s="923" t="s">
        <v>1788</v>
      </c>
      <c r="C22" s="1174">
        <v>12138258783.961193</v>
      </c>
      <c r="D22" s="924"/>
      <c r="E22" s="924"/>
      <c r="F22" s="925">
        <f>+C22</f>
        <v>12138258783.961193</v>
      </c>
      <c r="G22" s="1146"/>
    </row>
    <row r="23" spans="1:10" ht="25.5" x14ac:dyDescent="0.25">
      <c r="A23" s="922">
        <v>20</v>
      </c>
      <c r="B23" s="923" t="s">
        <v>1045</v>
      </c>
      <c r="C23" s="1145">
        <v>693652915</v>
      </c>
      <c r="D23" s="924"/>
      <c r="E23" s="924"/>
      <c r="F23" s="925">
        <f>+C23</f>
        <v>693652915</v>
      </c>
      <c r="G23" s="1146"/>
      <c r="J23" s="42">
        <f>1296000000+1627500000+3158923248</f>
        <v>6082423248</v>
      </c>
    </row>
    <row r="24" spans="1:10" ht="26.25" customHeight="1" x14ac:dyDescent="0.25">
      <c r="A24" s="922">
        <v>20</v>
      </c>
      <c r="B24" s="923" t="s">
        <v>1047</v>
      </c>
      <c r="C24" s="1145">
        <v>8999529162</v>
      </c>
      <c r="D24" s="924"/>
      <c r="E24" s="924"/>
      <c r="F24" s="924">
        <f>+C24</f>
        <v>8999529162</v>
      </c>
    </row>
    <row r="25" spans="1:10" ht="15" x14ac:dyDescent="0.25">
      <c r="A25" s="922">
        <v>4</v>
      </c>
      <c r="B25" s="923" t="s">
        <v>1050</v>
      </c>
      <c r="C25" s="1174">
        <f>300000000+4964872080</f>
        <v>5264872080</v>
      </c>
      <c r="D25" s="927">
        <f>+C25</f>
        <v>5264872080</v>
      </c>
      <c r="E25" s="924"/>
      <c r="F25" s="924"/>
    </row>
    <row r="26" spans="1:10" ht="25.5" x14ac:dyDescent="0.25">
      <c r="A26" s="922">
        <v>176</v>
      </c>
      <c r="B26" s="923" t="s">
        <v>1051</v>
      </c>
      <c r="C26" s="1145">
        <f>120000000+1985948832</f>
        <v>2105948832</v>
      </c>
      <c r="D26" s="924"/>
      <c r="E26" s="924">
        <f>+C26</f>
        <v>2105948832</v>
      </c>
      <c r="F26" s="925"/>
      <c r="G26" s="1146"/>
    </row>
    <row r="27" spans="1:10" ht="25.5" x14ac:dyDescent="0.25">
      <c r="A27" s="922">
        <v>177</v>
      </c>
      <c r="B27" s="923" t="s">
        <v>1789</v>
      </c>
      <c r="C27" s="1174">
        <f>180000000+2978923248</f>
        <v>3158923248</v>
      </c>
      <c r="D27" s="927"/>
      <c r="E27" s="924">
        <f>+C27</f>
        <v>3158923248</v>
      </c>
      <c r="F27" s="924"/>
    </row>
    <row r="28" spans="1:10" ht="15" x14ac:dyDescent="0.25">
      <c r="A28" s="922">
        <v>5</v>
      </c>
      <c r="B28" s="923" t="s">
        <v>1054</v>
      </c>
      <c r="C28" s="1145">
        <f>120000000+379094296</f>
        <v>499094296</v>
      </c>
      <c r="D28" s="924"/>
      <c r="E28" s="924">
        <f>+C28</f>
        <v>499094296</v>
      </c>
      <c r="F28" s="924"/>
    </row>
    <row r="29" spans="1:10" ht="25.5" x14ac:dyDescent="0.25">
      <c r="A29" s="922">
        <v>33</v>
      </c>
      <c r="B29" s="923" t="s">
        <v>1055</v>
      </c>
      <c r="C29" s="1145">
        <f>60000000+189547148</f>
        <v>249547148</v>
      </c>
      <c r="D29" s="924">
        <f>+C29</f>
        <v>249547148</v>
      </c>
      <c r="E29" s="924"/>
      <c r="F29" s="925"/>
      <c r="G29" s="1146"/>
    </row>
    <row r="30" spans="1:10" ht="15" x14ac:dyDescent="0.25">
      <c r="A30" s="922">
        <v>34</v>
      </c>
      <c r="B30" s="923" t="s">
        <v>1056</v>
      </c>
      <c r="C30" s="1145">
        <f>60000000+189547148</f>
        <v>249547148</v>
      </c>
      <c r="D30" s="924">
        <f>+C30</f>
        <v>249547148</v>
      </c>
      <c r="E30" s="924"/>
      <c r="F30" s="925"/>
      <c r="G30" s="1146"/>
    </row>
    <row r="31" spans="1:10" ht="25.5" x14ac:dyDescent="0.25">
      <c r="A31" s="922">
        <v>39</v>
      </c>
      <c r="B31" s="923" t="s">
        <v>1057</v>
      </c>
      <c r="C31" s="1145">
        <f>300000000+947735740</f>
        <v>1247735740</v>
      </c>
      <c r="D31" s="924">
        <f>+C31</f>
        <v>1247735740</v>
      </c>
      <c r="E31" s="924"/>
      <c r="F31" s="924"/>
    </row>
    <row r="32" spans="1:10" ht="15" x14ac:dyDescent="0.25">
      <c r="A32" s="922">
        <v>41</v>
      </c>
      <c r="B32" s="923" t="s">
        <v>1058</v>
      </c>
      <c r="C32" s="1174">
        <f>60000000+189547148</f>
        <v>249547148</v>
      </c>
      <c r="D32" s="927">
        <f>+C32</f>
        <v>249547148</v>
      </c>
      <c r="E32" s="924"/>
      <c r="F32" s="925"/>
      <c r="G32" s="1146"/>
    </row>
    <row r="33" spans="1:8" ht="15" x14ac:dyDescent="0.25">
      <c r="A33" s="922">
        <v>6</v>
      </c>
      <c r="B33" s="923" t="s">
        <v>1060</v>
      </c>
      <c r="C33" s="1145">
        <f>3926063424+480000000</f>
        <v>4406063424</v>
      </c>
      <c r="D33" s="924">
        <f>+C33</f>
        <v>4406063424</v>
      </c>
      <c r="E33" s="924"/>
      <c r="F33" s="924"/>
    </row>
    <row r="34" spans="1:8" ht="25.5" x14ac:dyDescent="0.25">
      <c r="A34" s="922">
        <v>178</v>
      </c>
      <c r="B34" s="923" t="s">
        <v>1061</v>
      </c>
      <c r="C34" s="1145">
        <f>981515856+120000000</f>
        <v>1101515856</v>
      </c>
      <c r="D34" s="924"/>
      <c r="E34" s="924">
        <f>+C34</f>
        <v>1101515856</v>
      </c>
      <c r="F34" s="925"/>
      <c r="G34" s="1146"/>
    </row>
    <row r="35" spans="1:8" s="54" customFormat="1" ht="15" x14ac:dyDescent="0.25">
      <c r="A35" s="922">
        <v>8</v>
      </c>
      <c r="B35" s="923" t="s">
        <v>1790</v>
      </c>
      <c r="C35" s="1174">
        <v>11369530091.77</v>
      </c>
      <c r="D35" s="927"/>
      <c r="E35" s="924">
        <f>+C35</f>
        <v>11369530091.77</v>
      </c>
      <c r="F35" s="925"/>
      <c r="G35" s="1146"/>
    </row>
    <row r="36" spans="1:8" s="54" customFormat="1" ht="15" x14ac:dyDescent="0.25">
      <c r="A36" s="922">
        <v>7</v>
      </c>
      <c r="B36" s="923" t="s">
        <v>1791</v>
      </c>
      <c r="C36" s="1174">
        <v>1114695320</v>
      </c>
      <c r="D36" s="927"/>
      <c r="E36" s="924">
        <f>+C36</f>
        <v>1114695320</v>
      </c>
      <c r="F36" s="925"/>
      <c r="G36" s="1146"/>
    </row>
    <row r="37" spans="1:8" ht="15" x14ac:dyDescent="0.25">
      <c r="A37" s="922">
        <v>20</v>
      </c>
      <c r="B37" s="923" t="s">
        <v>1068</v>
      </c>
      <c r="C37" s="1145">
        <v>139000000</v>
      </c>
      <c r="D37" s="924"/>
      <c r="E37" s="924"/>
      <c r="F37" s="925">
        <f>+C37</f>
        <v>139000000</v>
      </c>
      <c r="G37" s="1146"/>
    </row>
    <row r="38" spans="1:8" ht="15" x14ac:dyDescent="0.25">
      <c r="A38" s="922">
        <v>190</v>
      </c>
      <c r="B38" s="923" t="s">
        <v>1064</v>
      </c>
      <c r="C38" s="1145">
        <f>750000000+3000000000</f>
        <v>3750000000</v>
      </c>
      <c r="D38" s="924"/>
      <c r="E38" s="924">
        <f>+C38</f>
        <v>3750000000</v>
      </c>
      <c r="F38" s="925"/>
      <c r="G38" s="1146"/>
    </row>
    <row r="39" spans="1:8" ht="15" x14ac:dyDescent="0.25">
      <c r="A39" s="922">
        <v>20</v>
      </c>
      <c r="B39" s="923" t="s">
        <v>1069</v>
      </c>
      <c r="C39" s="1145">
        <v>177773692</v>
      </c>
      <c r="D39" s="924"/>
      <c r="E39" s="924"/>
      <c r="F39" s="925">
        <f>+C39</f>
        <v>177773692</v>
      </c>
      <c r="G39" s="1146"/>
    </row>
    <row r="40" spans="1:8" ht="15" x14ac:dyDescent="0.25">
      <c r="A40" s="922">
        <v>20</v>
      </c>
      <c r="B40" s="923" t="s">
        <v>1070</v>
      </c>
      <c r="C40" s="1145">
        <v>43200000</v>
      </c>
      <c r="D40" s="924"/>
      <c r="E40" s="924"/>
      <c r="F40" s="925">
        <f>+C40</f>
        <v>43200000</v>
      </c>
      <c r="G40" s="1146" t="s">
        <v>1792</v>
      </c>
    </row>
    <row r="41" spans="1:8" ht="15" x14ac:dyDescent="0.25">
      <c r="A41" s="922">
        <v>49</v>
      </c>
      <c r="B41" s="923" t="s">
        <v>1793</v>
      </c>
      <c r="C41" s="1145">
        <v>602729091</v>
      </c>
      <c r="D41" s="924"/>
      <c r="E41" s="924">
        <f>+C41</f>
        <v>602729091</v>
      </c>
      <c r="F41" s="925"/>
      <c r="G41" s="1146"/>
      <c r="H41" s="1001" t="s">
        <v>1794</v>
      </c>
    </row>
    <row r="42" spans="1:8" ht="15" x14ac:dyDescent="0.25">
      <c r="A42" s="922">
        <v>133</v>
      </c>
      <c r="B42" s="923" t="s">
        <v>1795</v>
      </c>
      <c r="C42" s="1145">
        <v>6500000000</v>
      </c>
      <c r="D42" s="924"/>
      <c r="E42" s="924">
        <f>C42</f>
        <v>6500000000</v>
      </c>
      <c r="F42" s="925">
        <v>0</v>
      </c>
      <c r="G42" s="1146"/>
    </row>
    <row r="43" spans="1:8" ht="15" x14ac:dyDescent="0.25">
      <c r="A43" s="922">
        <v>20</v>
      </c>
      <c r="B43" s="923" t="s">
        <v>1072</v>
      </c>
      <c r="C43" s="1145">
        <v>30000000</v>
      </c>
      <c r="D43" s="924"/>
      <c r="E43" s="924"/>
      <c r="F43" s="925">
        <f>+C43</f>
        <v>30000000</v>
      </c>
      <c r="G43" s="1146"/>
    </row>
    <row r="44" spans="1:8" s="54" customFormat="1" ht="15" x14ac:dyDescent="0.25">
      <c r="A44" s="922">
        <v>35</v>
      </c>
      <c r="B44" s="923" t="s">
        <v>1796</v>
      </c>
      <c r="C44" s="1145">
        <v>3552985417.7109857</v>
      </c>
      <c r="D44" s="924">
        <f>+C44</f>
        <v>3552985417.7109857</v>
      </c>
      <c r="E44" s="924"/>
      <c r="F44" s="925"/>
      <c r="G44" s="1146"/>
    </row>
    <row r="45" spans="1:8" s="54" customFormat="1" ht="15" x14ac:dyDescent="0.25">
      <c r="A45" s="922">
        <v>179</v>
      </c>
      <c r="B45" s="923" t="s">
        <v>1797</v>
      </c>
      <c r="C45" s="1145">
        <v>761125535</v>
      </c>
      <c r="D45" s="924"/>
      <c r="E45" s="924">
        <f>+C45</f>
        <v>761125535</v>
      </c>
      <c r="F45" s="924"/>
      <c r="G45" s="1150"/>
      <c r="H45" s="54">
        <f>+C44+C45+C47</f>
        <v>15988205896.618509</v>
      </c>
    </row>
    <row r="46" spans="1:8" s="54" customFormat="1" ht="15" x14ac:dyDescent="0.25">
      <c r="A46" s="922">
        <v>205</v>
      </c>
      <c r="B46" s="923" t="s">
        <v>1798</v>
      </c>
      <c r="C46" s="1145">
        <v>672672</v>
      </c>
      <c r="D46" s="924"/>
      <c r="E46" s="924">
        <f>+C46</f>
        <v>672672</v>
      </c>
      <c r="F46" s="924"/>
      <c r="G46" s="1150"/>
    </row>
    <row r="47" spans="1:8" ht="15" x14ac:dyDescent="0.25">
      <c r="A47" s="922">
        <v>20</v>
      </c>
      <c r="B47" s="923" t="s">
        <v>1080</v>
      </c>
      <c r="C47" s="1145">
        <v>11674094943.907524</v>
      </c>
      <c r="D47" s="924"/>
      <c r="E47" s="924"/>
      <c r="F47" s="924">
        <f>+C47</f>
        <v>11674094943.907524</v>
      </c>
      <c r="G47" s="1150"/>
    </row>
    <row r="48" spans="1:8" s="54" customFormat="1" ht="15" x14ac:dyDescent="0.25">
      <c r="A48" s="922">
        <v>18</v>
      </c>
      <c r="B48" s="923" t="s">
        <v>1085</v>
      </c>
      <c r="C48" s="1145">
        <v>612099454</v>
      </c>
      <c r="D48" s="924"/>
      <c r="E48" s="924">
        <f>C48</f>
        <v>612099454</v>
      </c>
      <c r="F48" s="924"/>
      <c r="G48" s="1150"/>
    </row>
    <row r="49" spans="1:8" s="54" customFormat="1" ht="25.5" x14ac:dyDescent="0.25">
      <c r="A49" s="922">
        <v>56</v>
      </c>
      <c r="B49" s="923" t="s">
        <v>1799</v>
      </c>
      <c r="C49" s="1145">
        <v>250000000</v>
      </c>
      <c r="D49" s="924">
        <f>+C49</f>
        <v>250000000</v>
      </c>
      <c r="E49" s="924"/>
      <c r="F49" s="924"/>
      <c r="G49" s="42"/>
    </row>
    <row r="50" spans="1:8" ht="15" x14ac:dyDescent="0.25">
      <c r="A50" s="922">
        <v>23</v>
      </c>
      <c r="B50" s="923" t="s">
        <v>1800</v>
      </c>
      <c r="C50" s="1145">
        <f>3085293181.19-C51</f>
        <v>1245561481.1900001</v>
      </c>
      <c r="D50" s="924">
        <f>C50</f>
        <v>1245561481.1900001</v>
      </c>
      <c r="E50" s="924"/>
      <c r="F50" s="925"/>
      <c r="G50" s="1146"/>
    </row>
    <row r="51" spans="1:8" ht="15" x14ac:dyDescent="0.25">
      <c r="A51" s="930"/>
      <c r="B51" s="923" t="s">
        <v>1801</v>
      </c>
      <c r="C51" s="1177">
        <f>+C155</f>
        <v>1839731700</v>
      </c>
      <c r="D51" s="929">
        <f>C51</f>
        <v>1839731700</v>
      </c>
      <c r="E51" s="929"/>
      <c r="F51" s="925"/>
      <c r="G51" s="1146"/>
    </row>
    <row r="52" spans="1:8" ht="15" x14ac:dyDescent="0.25">
      <c r="A52" s="930">
        <v>47</v>
      </c>
      <c r="B52" s="921" t="s">
        <v>1093</v>
      </c>
      <c r="C52" s="1177">
        <f>141163803*1.03</f>
        <v>145398717.09</v>
      </c>
      <c r="D52" s="929">
        <f>+C52</f>
        <v>145398717.09</v>
      </c>
      <c r="E52" s="929"/>
      <c r="F52" s="925"/>
      <c r="G52" s="1146"/>
    </row>
    <row r="53" spans="1:8" s="54" customFormat="1" ht="21" customHeight="1" x14ac:dyDescent="0.25">
      <c r="A53" s="1667" t="s">
        <v>1802</v>
      </c>
      <c r="B53" s="1668"/>
      <c r="C53" s="1008">
        <f>SUM(C7:C52)</f>
        <v>153846924153.72162</v>
      </c>
      <c r="D53" s="1151">
        <f>SUM(D7:D52)</f>
        <v>19564990003.990986</v>
      </c>
      <c r="E53" s="1151">
        <f>SUM(E7:E52)</f>
        <v>39519567919.409348</v>
      </c>
      <c r="F53" s="1151">
        <f>SUM(F7:F52)</f>
        <v>94762366230.321259</v>
      </c>
    </row>
    <row r="54" spans="1:8" x14ac:dyDescent="0.25">
      <c r="A54" s="934"/>
      <c r="B54" s="931"/>
      <c r="C54" s="932"/>
      <c r="D54" s="1152"/>
      <c r="E54" s="1153"/>
      <c r="F54" s="1154"/>
      <c r="H54" s="1150"/>
    </row>
    <row r="55" spans="1:8" ht="25.5" x14ac:dyDescent="0.25">
      <c r="A55" s="922">
        <v>50</v>
      </c>
      <c r="B55" s="923" t="s">
        <v>1160</v>
      </c>
      <c r="C55" s="1175">
        <v>175218474</v>
      </c>
      <c r="D55" s="924"/>
      <c r="E55" s="924">
        <f>+C55</f>
        <v>175218474</v>
      </c>
      <c r="F55" s="924"/>
      <c r="H55" s="1001" t="s">
        <v>1794</v>
      </c>
    </row>
    <row r="56" spans="1:8" ht="15" x14ac:dyDescent="0.25">
      <c r="A56" s="922">
        <v>135</v>
      </c>
      <c r="B56" s="923" t="s">
        <v>1803</v>
      </c>
      <c r="C56" s="1174">
        <v>7989593332.6999998</v>
      </c>
      <c r="D56" s="927"/>
      <c r="E56" s="924">
        <f>+C56</f>
        <v>7989593332.6999998</v>
      </c>
      <c r="F56" s="925"/>
      <c r="G56" s="1146"/>
    </row>
    <row r="57" spans="1:8" ht="15" x14ac:dyDescent="0.25">
      <c r="A57" s="922">
        <v>20</v>
      </c>
      <c r="B57" s="923" t="s">
        <v>606</v>
      </c>
      <c r="C57" s="1175">
        <v>10000000</v>
      </c>
      <c r="D57" s="924"/>
      <c r="E57" s="924"/>
      <c r="F57" s="924">
        <f t="shared" ref="F57:F58" si="1">+C57</f>
        <v>10000000</v>
      </c>
    </row>
    <row r="58" spans="1:8" ht="25.5" x14ac:dyDescent="0.25">
      <c r="A58" s="922">
        <v>20</v>
      </c>
      <c r="B58" s="923" t="s">
        <v>1804</v>
      </c>
      <c r="C58" s="1175">
        <v>412620217</v>
      </c>
      <c r="D58" s="924"/>
      <c r="E58" s="924"/>
      <c r="F58" s="924">
        <f t="shared" si="1"/>
        <v>412620217</v>
      </c>
    </row>
    <row r="59" spans="1:8" ht="25.5" x14ac:dyDescent="0.25">
      <c r="A59" s="922">
        <v>4</v>
      </c>
      <c r="B59" s="923" t="s">
        <v>1805</v>
      </c>
      <c r="C59" s="1175">
        <v>1664967</v>
      </c>
      <c r="D59" s="924">
        <f>+C59</f>
        <v>1664967</v>
      </c>
      <c r="E59" s="924"/>
      <c r="F59" s="924"/>
    </row>
    <row r="60" spans="1:8" ht="25.5" x14ac:dyDescent="0.25">
      <c r="A60" s="922">
        <v>176</v>
      </c>
      <c r="B60" s="923" t="s">
        <v>1806</v>
      </c>
      <c r="C60" s="1175">
        <v>481528</v>
      </c>
      <c r="D60" s="924"/>
      <c r="E60" s="924">
        <f>+C60</f>
        <v>481528</v>
      </c>
      <c r="F60" s="924"/>
    </row>
    <row r="61" spans="1:8" ht="25.5" x14ac:dyDescent="0.25">
      <c r="A61" s="922">
        <v>5</v>
      </c>
      <c r="B61" s="923" t="s">
        <v>1807</v>
      </c>
      <c r="C61" s="1175">
        <v>316121</v>
      </c>
      <c r="D61" s="924"/>
      <c r="E61" s="924">
        <f>+C61</f>
        <v>316121</v>
      </c>
      <c r="F61" s="924"/>
    </row>
    <row r="62" spans="1:8" ht="25.5" x14ac:dyDescent="0.25">
      <c r="A62" s="922">
        <v>33</v>
      </c>
      <c r="B62" s="923" t="s">
        <v>1808</v>
      </c>
      <c r="C62" s="1175">
        <v>158060</v>
      </c>
      <c r="D62" s="924">
        <f>+C62</f>
        <v>158060</v>
      </c>
      <c r="E62" s="924"/>
      <c r="F62" s="924"/>
    </row>
    <row r="63" spans="1:8" ht="25.5" x14ac:dyDescent="0.25">
      <c r="A63" s="922">
        <v>34</v>
      </c>
      <c r="B63" s="923" t="s">
        <v>1809</v>
      </c>
      <c r="C63" s="1175">
        <v>158060</v>
      </c>
      <c r="D63" s="924">
        <f>+C63</f>
        <v>158060</v>
      </c>
      <c r="E63" s="924"/>
      <c r="F63" s="924"/>
    </row>
    <row r="64" spans="1:8" ht="25.5" x14ac:dyDescent="0.25">
      <c r="A64" s="922">
        <v>39</v>
      </c>
      <c r="B64" s="923" t="s">
        <v>1810</v>
      </c>
      <c r="C64" s="1175">
        <v>790301</v>
      </c>
      <c r="D64" s="924">
        <f>+C64</f>
        <v>790301</v>
      </c>
      <c r="E64" s="924"/>
      <c r="F64" s="924"/>
    </row>
    <row r="65" spans="1:6" ht="25.5" x14ac:dyDescent="0.25">
      <c r="A65" s="922">
        <v>41</v>
      </c>
      <c r="B65" s="923" t="s">
        <v>1811</v>
      </c>
      <c r="C65" s="1175">
        <v>158060</v>
      </c>
      <c r="D65" s="924">
        <f>+C65</f>
        <v>158060</v>
      </c>
      <c r="E65" s="924"/>
      <c r="F65" s="924"/>
    </row>
    <row r="66" spans="1:6" ht="25.5" x14ac:dyDescent="0.25">
      <c r="A66" s="922">
        <v>6</v>
      </c>
      <c r="B66" s="923" t="s">
        <v>1812</v>
      </c>
      <c r="C66" s="1175">
        <v>1400016</v>
      </c>
      <c r="D66" s="924">
        <f>+C66</f>
        <v>1400016</v>
      </c>
      <c r="E66" s="924"/>
      <c r="F66" s="924"/>
    </row>
    <row r="67" spans="1:6" ht="25.5" x14ac:dyDescent="0.25">
      <c r="A67" s="922">
        <v>178</v>
      </c>
      <c r="B67" s="923" t="s">
        <v>1813</v>
      </c>
      <c r="C67" s="1175">
        <v>325004</v>
      </c>
      <c r="D67" s="924"/>
      <c r="E67" s="924">
        <f>+C67</f>
        <v>325004</v>
      </c>
      <c r="F67" s="924"/>
    </row>
    <row r="68" spans="1:6" ht="25.5" x14ac:dyDescent="0.25">
      <c r="A68" s="922">
        <v>42</v>
      </c>
      <c r="B68" s="923" t="s">
        <v>1814</v>
      </c>
      <c r="C68" s="1175">
        <v>2314305</v>
      </c>
      <c r="D68" s="924">
        <f>+C68</f>
        <v>2314305</v>
      </c>
      <c r="E68" s="924"/>
      <c r="F68" s="924"/>
    </row>
    <row r="69" spans="1:6" ht="25.5" x14ac:dyDescent="0.25">
      <c r="A69" s="922">
        <v>27</v>
      </c>
      <c r="B69" s="923" t="s">
        <v>1815</v>
      </c>
      <c r="C69" s="1175">
        <v>311522</v>
      </c>
      <c r="D69" s="924">
        <f>+C69</f>
        <v>311522</v>
      </c>
      <c r="E69" s="924"/>
      <c r="F69" s="924"/>
    </row>
    <row r="70" spans="1:6" ht="25.5" x14ac:dyDescent="0.25">
      <c r="A70" s="922">
        <v>136</v>
      </c>
      <c r="B70" s="923" t="s">
        <v>1816</v>
      </c>
      <c r="C70" s="1175">
        <v>39724450</v>
      </c>
      <c r="D70" s="924"/>
      <c r="E70" s="924">
        <f>+C70</f>
        <v>39724450</v>
      </c>
      <c r="F70" s="924"/>
    </row>
    <row r="71" spans="1:6" ht="25.5" x14ac:dyDescent="0.25">
      <c r="A71" s="922">
        <v>20</v>
      </c>
      <c r="B71" s="923" t="s">
        <v>1184</v>
      </c>
      <c r="C71" s="1175">
        <v>150000000</v>
      </c>
      <c r="D71" s="924"/>
      <c r="E71" s="924"/>
      <c r="F71" s="924">
        <f>+C71</f>
        <v>150000000</v>
      </c>
    </row>
    <row r="72" spans="1:6" ht="21" customHeight="1" x14ac:dyDescent="0.25">
      <c r="A72" s="1667" t="s">
        <v>1817</v>
      </c>
      <c r="B72" s="1668"/>
      <c r="C72" s="1009">
        <f>SUM(C55:C71)</f>
        <v>8785234417.7000008</v>
      </c>
      <c r="D72" s="1155">
        <f>SUM(D55:D71)</f>
        <v>6955291</v>
      </c>
      <c r="E72" s="1155">
        <f>SUM(E55:E71)</f>
        <v>8205658909.6999998</v>
      </c>
      <c r="F72" s="1155">
        <f>SUM(F55:F71)</f>
        <v>572620217</v>
      </c>
    </row>
    <row r="73" spans="1:6" x14ac:dyDescent="0.25">
      <c r="B73" s="382"/>
      <c r="C73" s="915"/>
      <c r="D73" s="1156"/>
      <c r="E73" s="1156"/>
      <c r="F73" s="1156"/>
    </row>
    <row r="74" spans="1:6" s="54" customFormat="1" x14ac:dyDescent="0.25">
      <c r="A74" s="42"/>
      <c r="B74" s="1674" t="s">
        <v>953</v>
      </c>
      <c r="C74" s="1674"/>
    </row>
    <row r="75" spans="1:6" s="54" customFormat="1" ht="6.75" customHeight="1" x14ac:dyDescent="0.25">
      <c r="A75" s="42"/>
      <c r="B75" s="42"/>
      <c r="C75" s="42"/>
      <c r="D75" s="42"/>
    </row>
    <row r="76" spans="1:6" ht="28.5" customHeight="1" x14ac:dyDescent="0.25">
      <c r="B76" s="1675" t="s">
        <v>1100</v>
      </c>
      <c r="C76" s="1676"/>
      <c r="D76" s="1156"/>
      <c r="E76" s="1156"/>
      <c r="F76" s="1156"/>
    </row>
    <row r="77" spans="1:6" ht="25.5" x14ac:dyDescent="0.25">
      <c r="A77" s="922">
        <v>25</v>
      </c>
      <c r="B77" s="923" t="s">
        <v>1101</v>
      </c>
      <c r="C77" s="926">
        <v>154899000000</v>
      </c>
      <c r="D77" s="924">
        <f t="shared" ref="D77:D84" si="2">+C77</f>
        <v>154899000000</v>
      </c>
      <c r="E77" s="924"/>
      <c r="F77" s="924"/>
    </row>
    <row r="78" spans="1:6" s="54" customFormat="1" ht="25.5" x14ac:dyDescent="0.25">
      <c r="A78" s="922">
        <v>26</v>
      </c>
      <c r="B78" s="923" t="s">
        <v>1102</v>
      </c>
      <c r="C78" s="926">
        <v>29870000000</v>
      </c>
      <c r="D78" s="924">
        <f t="shared" si="2"/>
        <v>29870000000</v>
      </c>
      <c r="E78" s="924"/>
      <c r="F78" s="924"/>
    </row>
    <row r="79" spans="1:6" ht="15" x14ac:dyDescent="0.25">
      <c r="A79" s="922">
        <v>25</v>
      </c>
      <c r="B79" s="923" t="s">
        <v>1105</v>
      </c>
      <c r="C79" s="926">
        <v>611000000</v>
      </c>
      <c r="D79" s="924">
        <f t="shared" si="2"/>
        <v>611000000</v>
      </c>
      <c r="E79" s="924"/>
      <c r="F79" s="924"/>
    </row>
    <row r="80" spans="1:6" ht="15" x14ac:dyDescent="0.25">
      <c r="A80" s="922">
        <v>25</v>
      </c>
      <c r="B80" s="923" t="s">
        <v>1106</v>
      </c>
      <c r="C80" s="926">
        <v>1343000000</v>
      </c>
      <c r="D80" s="924">
        <f t="shared" si="2"/>
        <v>1343000000</v>
      </c>
      <c r="E80" s="924"/>
      <c r="F80" s="924"/>
    </row>
    <row r="81" spans="1:13" ht="15" x14ac:dyDescent="0.25">
      <c r="A81" s="922">
        <v>81</v>
      </c>
      <c r="B81" s="923" t="s">
        <v>1107</v>
      </c>
      <c r="C81" s="926">
        <v>9236000000</v>
      </c>
      <c r="D81" s="924">
        <f t="shared" si="2"/>
        <v>9236000000</v>
      </c>
      <c r="E81" s="924"/>
      <c r="F81" s="924"/>
    </row>
    <row r="82" spans="1:13" s="54" customFormat="1" ht="25.5" x14ac:dyDescent="0.25">
      <c r="A82" s="922">
        <v>21</v>
      </c>
      <c r="B82" s="923" t="s">
        <v>1113</v>
      </c>
      <c r="C82" s="926">
        <v>5000000</v>
      </c>
      <c r="D82" s="924">
        <f t="shared" si="2"/>
        <v>5000000</v>
      </c>
      <c r="E82" s="924"/>
      <c r="F82" s="924"/>
      <c r="M82" s="54">
        <v>4000000</v>
      </c>
    </row>
    <row r="83" spans="1:13" s="54" customFormat="1" ht="25.5" x14ac:dyDescent="0.25">
      <c r="A83" s="922">
        <v>81</v>
      </c>
      <c r="B83" s="923" t="s">
        <v>1818</v>
      </c>
      <c r="C83" s="926">
        <v>10000000</v>
      </c>
      <c r="D83" s="924">
        <f t="shared" si="2"/>
        <v>10000000</v>
      </c>
      <c r="E83" s="924"/>
      <c r="F83" s="924"/>
      <c r="M83" s="54">
        <v>8226708</v>
      </c>
    </row>
    <row r="84" spans="1:13" s="54" customFormat="1" ht="15" x14ac:dyDescent="0.25">
      <c r="A84" s="922">
        <v>9</v>
      </c>
      <c r="B84" s="923" t="s">
        <v>606</v>
      </c>
      <c r="C84" s="926">
        <v>80000000</v>
      </c>
      <c r="D84" s="924">
        <f t="shared" si="2"/>
        <v>80000000</v>
      </c>
      <c r="E84" s="924"/>
      <c r="F84" s="924"/>
      <c r="M84" s="54">
        <v>93990000</v>
      </c>
    </row>
    <row r="85" spans="1:13" s="54" customFormat="1" ht="31.5" customHeight="1" x14ac:dyDescent="0.25">
      <c r="A85" s="922"/>
      <c r="B85" s="1157" t="s">
        <v>1819</v>
      </c>
      <c r="C85" s="1009">
        <f>SUM(C77:C84)</f>
        <v>196054000000</v>
      </c>
      <c r="D85" s="924"/>
      <c r="E85" s="924"/>
      <c r="F85" s="924"/>
    </row>
    <row r="86" spans="1:13" s="54" customFormat="1" x14ac:dyDescent="0.25">
      <c r="A86" s="922"/>
      <c r="B86" s="924"/>
      <c r="C86" s="924"/>
      <c r="D86" s="924"/>
      <c r="E86" s="924"/>
      <c r="F86" s="924"/>
    </row>
    <row r="87" spans="1:13" s="54" customFormat="1" ht="25.5" customHeight="1" x14ac:dyDescent="0.25">
      <c r="A87" s="922"/>
      <c r="B87" s="1667" t="s">
        <v>1116</v>
      </c>
      <c r="C87" s="1668"/>
      <c r="D87" s="924"/>
      <c r="E87" s="924"/>
      <c r="F87" s="924"/>
    </row>
    <row r="88" spans="1:13" s="54" customFormat="1" ht="25.5" x14ac:dyDescent="0.25">
      <c r="A88" s="922">
        <v>61</v>
      </c>
      <c r="B88" s="923" t="s">
        <v>1119</v>
      </c>
      <c r="C88" s="926">
        <f>4619672480*1.03</f>
        <v>4758262654.4000006</v>
      </c>
      <c r="D88" s="924">
        <f>+C88</f>
        <v>4758262654.4000006</v>
      </c>
      <c r="E88" s="924"/>
      <c r="F88" s="924"/>
    </row>
    <row r="89" spans="1:13" s="54" customFormat="1" ht="25.5" x14ac:dyDescent="0.25">
      <c r="A89" s="922">
        <v>171</v>
      </c>
      <c r="B89" s="923" t="s">
        <v>1820</v>
      </c>
      <c r="C89" s="926">
        <f>1757217290*1.03</f>
        <v>1809933808.7</v>
      </c>
      <c r="D89" s="924">
        <f>+C89</f>
        <v>1809933808.7</v>
      </c>
      <c r="E89" s="924"/>
      <c r="F89" s="924"/>
    </row>
    <row r="90" spans="1:13" s="54" customFormat="1" ht="25.5" x14ac:dyDescent="0.25">
      <c r="A90" s="922">
        <v>61</v>
      </c>
      <c r="B90" s="923" t="str">
        <f>+'[3]Plan Financiero 2021'!A100</f>
        <v>Rendimientos por Operaciones Financieras. (SGP - Salud Pública )</v>
      </c>
      <c r="C90" s="926">
        <v>3000000</v>
      </c>
      <c r="D90" s="924">
        <f>+C90</f>
        <v>3000000</v>
      </c>
      <c r="E90" s="924"/>
      <c r="F90" s="924"/>
    </row>
    <row r="91" spans="1:13" s="54" customFormat="1" ht="25.5" x14ac:dyDescent="0.25">
      <c r="A91" s="922">
        <v>171</v>
      </c>
      <c r="B91" s="923" t="str">
        <f>+'[3]Plan Financiero 2021'!A101</f>
        <v>Rendimientos por Operaciones Financieras. (SGP - Oferta)</v>
      </c>
      <c r="C91" s="926">
        <v>1000000</v>
      </c>
      <c r="D91" s="924">
        <f t="shared" ref="D91:D108" si="3">+C91</f>
        <v>1000000</v>
      </c>
      <c r="E91" s="924"/>
      <c r="F91" s="924"/>
    </row>
    <row r="92" spans="1:13" s="54" customFormat="1" ht="25.5" x14ac:dyDescent="0.25">
      <c r="A92" s="922"/>
      <c r="B92" s="923" t="str">
        <f>+'[3]Plan Financiero 2021'!A102</f>
        <v>Rendimientos por Operaciones Financieras. (Fondo Estupefacientes )</v>
      </c>
      <c r="C92" s="926">
        <v>1000000</v>
      </c>
      <c r="D92" s="924">
        <f t="shared" si="3"/>
        <v>1000000</v>
      </c>
      <c r="E92" s="924"/>
      <c r="F92" s="924"/>
    </row>
    <row r="93" spans="1:13" s="54" customFormat="1" ht="25.5" x14ac:dyDescent="0.25">
      <c r="A93" s="922"/>
      <c r="B93" s="923" t="str">
        <f>+'[3]Plan Financiero 2021'!A103</f>
        <v>Rendimientos por Operaciones Financieras. (Rentas Cedidas )</v>
      </c>
      <c r="C93" s="926">
        <v>2000000</v>
      </c>
      <c r="D93" s="924">
        <f t="shared" si="3"/>
        <v>2000000</v>
      </c>
      <c r="E93" s="924"/>
      <c r="F93" s="924"/>
    </row>
    <row r="94" spans="1:13" s="54" customFormat="1" ht="15" x14ac:dyDescent="0.25">
      <c r="A94" s="922"/>
      <c r="B94" s="923" t="s">
        <v>1126</v>
      </c>
      <c r="C94" s="926">
        <v>9390032889.6647472</v>
      </c>
      <c r="D94" s="924">
        <f t="shared" si="3"/>
        <v>9390032889.6647472</v>
      </c>
      <c r="E94" s="924"/>
      <c r="F94" s="924"/>
      <c r="G94" s="1158">
        <f>+D94+C44+C45+C47</f>
        <v>25378238786.283257</v>
      </c>
      <c r="H94" s="52">
        <f>+G94*14%</f>
        <v>3552953430.0796561</v>
      </c>
      <c r="I94" s="52">
        <f>+H94-C44</f>
        <v>-31987.631329536438</v>
      </c>
      <c r="L94" s="54">
        <f>14+46+3</f>
        <v>63</v>
      </c>
    </row>
    <row r="95" spans="1:13" s="54" customFormat="1" ht="15" x14ac:dyDescent="0.25">
      <c r="A95" s="922"/>
      <c r="B95" s="923" t="s">
        <v>1127</v>
      </c>
      <c r="C95" s="926">
        <v>3851377846.7839999</v>
      </c>
      <c r="D95" s="924">
        <f t="shared" si="3"/>
        <v>3851377846.7839999</v>
      </c>
      <c r="E95" s="924"/>
      <c r="F95" s="924"/>
      <c r="G95" s="1158"/>
      <c r="H95" s="52">
        <f>+G94*3%</f>
        <v>761347163.58849764</v>
      </c>
      <c r="I95" s="54">
        <f>+H95-C45</f>
        <v>221628.5884976387</v>
      </c>
      <c r="L95" s="54">
        <f>100-L94</f>
        <v>37</v>
      </c>
    </row>
    <row r="96" spans="1:13" s="54" customFormat="1" ht="15" x14ac:dyDescent="0.25">
      <c r="A96" s="922"/>
      <c r="B96" s="923" t="s">
        <v>1128</v>
      </c>
      <c r="C96" s="926">
        <v>6362968705</v>
      </c>
      <c r="D96" s="924">
        <f t="shared" si="3"/>
        <v>6362968705</v>
      </c>
      <c r="E96" s="924"/>
      <c r="F96" s="924"/>
      <c r="G96" s="1158"/>
      <c r="H96" s="52">
        <f>+G94*46%</f>
        <v>11673989841.690298</v>
      </c>
      <c r="I96" s="54">
        <f>+H96-C47</f>
        <v>-105102.21722602844</v>
      </c>
    </row>
    <row r="97" spans="1:8" s="54" customFormat="1" ht="15" x14ac:dyDescent="0.25">
      <c r="A97" s="922"/>
      <c r="B97" s="923" t="s">
        <v>1129</v>
      </c>
      <c r="C97" s="926">
        <v>928531052.75999999</v>
      </c>
      <c r="D97" s="924">
        <f t="shared" si="3"/>
        <v>928531052.75999999</v>
      </c>
      <c r="E97" s="924"/>
      <c r="F97" s="924"/>
      <c r="G97" s="1158"/>
      <c r="H97" s="52"/>
    </row>
    <row r="98" spans="1:8" ht="15.75" customHeight="1" x14ac:dyDescent="0.25">
      <c r="A98" s="922"/>
      <c r="B98" s="923" t="s">
        <v>1130</v>
      </c>
      <c r="C98" s="926">
        <v>31137815</v>
      </c>
      <c r="D98" s="924">
        <f t="shared" si="3"/>
        <v>31137815</v>
      </c>
      <c r="E98" s="924"/>
      <c r="F98" s="924"/>
      <c r="G98" s="1158"/>
      <c r="H98" s="52"/>
    </row>
    <row r="99" spans="1:8" s="54" customFormat="1" ht="25.5" x14ac:dyDescent="0.25">
      <c r="A99" s="922"/>
      <c r="B99" s="923" t="s">
        <v>1132</v>
      </c>
      <c r="C99" s="926">
        <v>2062546781.6440899</v>
      </c>
      <c r="D99" s="924">
        <f t="shared" si="3"/>
        <v>2062546781.6440899</v>
      </c>
      <c r="E99" s="924"/>
      <c r="F99" s="924"/>
      <c r="G99" s="1158"/>
      <c r="H99" s="52"/>
    </row>
    <row r="100" spans="1:8" ht="15" x14ac:dyDescent="0.25">
      <c r="A100" s="922"/>
      <c r="B100" s="923" t="s">
        <v>1133</v>
      </c>
      <c r="C100" s="926">
        <v>632179189.28999996</v>
      </c>
      <c r="D100" s="924">
        <f t="shared" si="3"/>
        <v>632179189.28999996</v>
      </c>
      <c r="E100" s="924"/>
      <c r="F100" s="924"/>
      <c r="G100" s="1158"/>
      <c r="H100" s="52"/>
    </row>
    <row r="101" spans="1:8" ht="15" x14ac:dyDescent="0.25">
      <c r="A101" s="922"/>
      <c r="B101" s="923" t="s">
        <v>1137</v>
      </c>
      <c r="C101" s="926">
        <v>2170409040</v>
      </c>
      <c r="D101" s="924">
        <f t="shared" si="3"/>
        <v>2170409040</v>
      </c>
      <c r="E101" s="924"/>
      <c r="F101" s="924"/>
      <c r="G101" s="1158"/>
      <c r="H101" s="52"/>
    </row>
    <row r="102" spans="1:8" s="54" customFormat="1" ht="15" x14ac:dyDescent="0.25">
      <c r="A102" s="922"/>
      <c r="B102" s="923" t="s">
        <v>1138</v>
      </c>
      <c r="C102" s="926">
        <v>1237100665</v>
      </c>
      <c r="D102" s="924">
        <f t="shared" si="3"/>
        <v>1237100665</v>
      </c>
      <c r="E102" s="924"/>
      <c r="F102" s="924"/>
      <c r="G102" s="1158"/>
      <c r="H102" s="52"/>
    </row>
    <row r="103" spans="1:8" ht="15" x14ac:dyDescent="0.25">
      <c r="A103" s="922"/>
      <c r="B103" s="923" t="s">
        <v>1139</v>
      </c>
      <c r="C103" s="926">
        <v>399000000</v>
      </c>
      <c r="D103" s="924">
        <f t="shared" si="3"/>
        <v>399000000</v>
      </c>
      <c r="E103" s="924"/>
      <c r="F103" s="924"/>
    </row>
    <row r="104" spans="1:8" s="54" customFormat="1" ht="15" x14ac:dyDescent="0.25">
      <c r="A104" s="922"/>
      <c r="B104" s="923" t="s">
        <v>1141</v>
      </c>
      <c r="C104" s="926">
        <v>13809428000</v>
      </c>
      <c r="D104" s="924">
        <f t="shared" si="3"/>
        <v>13809428000</v>
      </c>
      <c r="E104" s="924"/>
      <c r="F104" s="924"/>
    </row>
    <row r="105" spans="1:8" s="54" customFormat="1" ht="15" x14ac:dyDescent="0.25">
      <c r="A105" s="922"/>
      <c r="B105" s="923" t="s">
        <v>1821</v>
      </c>
      <c r="C105" s="926">
        <v>4335092422.8432827</v>
      </c>
      <c r="D105" s="924">
        <f t="shared" si="3"/>
        <v>4335092422.8432827</v>
      </c>
      <c r="E105" s="924"/>
      <c r="F105" s="924"/>
    </row>
    <row r="106" spans="1:8" s="54" customFormat="1" ht="15" x14ac:dyDescent="0.25">
      <c r="A106" s="922" t="s">
        <v>226</v>
      </c>
      <c r="B106" s="923" t="s">
        <v>1143</v>
      </c>
      <c r="C106" s="926">
        <v>636817959</v>
      </c>
      <c r="D106" s="924">
        <f t="shared" si="3"/>
        <v>636817959</v>
      </c>
      <c r="E106" s="924"/>
      <c r="F106" s="924"/>
    </row>
    <row r="107" spans="1:8" s="54" customFormat="1" ht="25.5" x14ac:dyDescent="0.25">
      <c r="A107" s="922"/>
      <c r="B107" s="923" t="str">
        <f>+'[3]Plan Financiero 2021'!A127</f>
        <v>IVA Cedido Sobre Licores, Vinos, Aperitivos y Similares</v>
      </c>
      <c r="C107" s="926">
        <v>1219071964</v>
      </c>
      <c r="D107" s="924">
        <f t="shared" si="3"/>
        <v>1219071964</v>
      </c>
      <c r="E107" s="924"/>
      <c r="F107" s="924"/>
    </row>
    <row r="108" spans="1:8" s="54" customFormat="1" ht="15" x14ac:dyDescent="0.25">
      <c r="A108" s="930"/>
      <c r="B108" s="1046" t="s">
        <v>1146</v>
      </c>
      <c r="C108" s="1159">
        <v>2231975607</v>
      </c>
      <c r="D108" s="929">
        <f t="shared" si="3"/>
        <v>2231975607</v>
      </c>
      <c r="E108" s="929"/>
      <c r="F108" s="929"/>
    </row>
    <row r="109" spans="1:8" s="54" customFormat="1" ht="18.75" customHeight="1" x14ac:dyDescent="0.25">
      <c r="A109" s="42"/>
      <c r="B109" s="1157" t="s">
        <v>1822</v>
      </c>
      <c r="C109" s="1009">
        <f>SUM(C88:C108)</f>
        <v>55872866401.086121</v>
      </c>
      <c r="D109" s="42"/>
      <c r="E109" s="42"/>
      <c r="F109" s="42"/>
      <c r="G109" s="54">
        <f>+C109+C85</f>
        <v>251926866401.08612</v>
      </c>
    </row>
    <row r="110" spans="1:8" s="54" customFormat="1" x14ac:dyDescent="0.25">
      <c r="A110" s="42"/>
      <c r="B110" s="42"/>
      <c r="C110" s="42"/>
      <c r="D110" s="42"/>
      <c r="E110" s="42"/>
      <c r="F110" s="42"/>
    </row>
    <row r="111" spans="1:8" s="54" customFormat="1" ht="25.5" customHeight="1" x14ac:dyDescent="0.25">
      <c r="A111" s="42"/>
      <c r="B111" s="1667" t="s">
        <v>1065</v>
      </c>
      <c r="C111" s="1668"/>
      <c r="D111" s="42"/>
      <c r="E111" s="42"/>
    </row>
    <row r="112" spans="1:8" s="54" customFormat="1" ht="25.5" x14ac:dyDescent="0.25">
      <c r="A112" s="933">
        <v>27</v>
      </c>
      <c r="B112" s="923" t="s">
        <v>1066</v>
      </c>
      <c r="C112" s="1175">
        <v>2952931316</v>
      </c>
      <c r="D112" s="924">
        <f>+C112</f>
        <v>2952931316</v>
      </c>
      <c r="E112" s="935"/>
      <c r="F112" s="935"/>
    </row>
    <row r="113" spans="1:12" s="54" customFormat="1" ht="25.5" x14ac:dyDescent="0.25">
      <c r="A113" s="936"/>
      <c r="B113" s="1157" t="s">
        <v>1823</v>
      </c>
      <c r="C113" s="1009">
        <f>+C112</f>
        <v>2952931316</v>
      </c>
      <c r="D113" s="42"/>
      <c r="E113" s="42"/>
      <c r="F113" s="42"/>
    </row>
    <row r="114" spans="1:12" s="54" customFormat="1" x14ac:dyDescent="0.25">
      <c r="A114" s="936"/>
      <c r="B114" s="936"/>
      <c r="C114" s="936"/>
      <c r="D114" s="42"/>
      <c r="E114" s="42"/>
      <c r="F114" s="42"/>
    </row>
    <row r="115" spans="1:12" s="54" customFormat="1" x14ac:dyDescent="0.25">
      <c r="A115" s="936"/>
      <c r="B115" s="1667" t="s">
        <v>961</v>
      </c>
      <c r="C115" s="1668"/>
      <c r="D115" s="924"/>
      <c r="E115" s="924"/>
      <c r="F115" s="924"/>
    </row>
    <row r="116" spans="1:12" s="54" customFormat="1" ht="25.5" x14ac:dyDescent="0.25">
      <c r="A116" s="923"/>
      <c r="B116" s="923" t="s">
        <v>1149</v>
      </c>
      <c r="C116" s="1176">
        <f>1500000000+1659539005.54</f>
        <v>3159539005.54</v>
      </c>
      <c r="D116" s="924">
        <f>+C116</f>
        <v>3159539005.54</v>
      </c>
      <c r="E116" s="924"/>
      <c r="F116" s="924"/>
    </row>
    <row r="117" spans="1:12" s="54" customFormat="1" ht="21" customHeight="1" x14ac:dyDescent="0.25">
      <c r="A117" s="923"/>
      <c r="B117" s="1157" t="s">
        <v>1824</v>
      </c>
      <c r="C117" s="1009">
        <f>+C116</f>
        <v>3159539005.54</v>
      </c>
      <c r="D117" s="924"/>
      <c r="E117" s="924"/>
      <c r="F117" s="924"/>
    </row>
    <row r="118" spans="1:12" s="54" customFormat="1" x14ac:dyDescent="0.25">
      <c r="A118" s="42"/>
      <c r="B118" s="42"/>
      <c r="C118" s="42"/>
      <c r="E118" s="924"/>
      <c r="F118" s="924"/>
    </row>
    <row r="119" spans="1:12" s="54" customFormat="1" ht="24" customHeight="1" x14ac:dyDescent="0.25">
      <c r="A119" s="1677" t="s">
        <v>1825</v>
      </c>
      <c r="B119" s="1678"/>
      <c r="C119" s="1009">
        <f>+C85+C109+C113+C117</f>
        <v>258039336722.62613</v>
      </c>
      <c r="D119" s="1009">
        <f>SUM(D76:D117)</f>
        <v>258039336722.62616</v>
      </c>
      <c r="E119" s="924"/>
      <c r="F119" s="924"/>
    </row>
    <row r="120" spans="1:12" s="54" customFormat="1" x14ac:dyDescent="0.25">
      <c r="A120" s="88"/>
      <c r="B120" s="88"/>
      <c r="C120" s="88"/>
      <c r="D120" s="88"/>
      <c r="E120" s="88"/>
      <c r="F120" s="88"/>
    </row>
    <row r="121" spans="1:12" s="54" customFormat="1" ht="36" customHeight="1" x14ac:dyDescent="0.25">
      <c r="A121" s="1677" t="s">
        <v>1826</v>
      </c>
      <c r="B121" s="1678"/>
      <c r="C121" s="1009">
        <f>+C119+C53+C72</f>
        <v>420671495294.04779</v>
      </c>
      <c r="D121" s="1155">
        <f>+D119+D53+D72</f>
        <v>277611282017.61713</v>
      </c>
      <c r="E121" s="1155">
        <f>+E119+E53+E72</f>
        <v>47725226829.109344</v>
      </c>
      <c r="F121" s="1155">
        <f>+F119+F53+F72</f>
        <v>95334986447.321259</v>
      </c>
      <c r="G121" s="54">
        <f>D121+E121+F121</f>
        <v>420671495294.04773</v>
      </c>
      <c r="H121" s="54">
        <f>C121-G121</f>
        <v>0</v>
      </c>
    </row>
    <row r="122" spans="1:12" s="54" customFormat="1" x14ac:dyDescent="0.25">
      <c r="A122" s="42"/>
      <c r="B122" s="1679"/>
      <c r="C122" s="1679"/>
      <c r="D122" s="73"/>
      <c r="E122" s="73"/>
      <c r="F122" s="74"/>
    </row>
    <row r="123" spans="1:12" s="54" customFormat="1" ht="15" x14ac:dyDescent="0.25">
      <c r="A123" s="42"/>
      <c r="B123" s="972" t="s">
        <v>1827</v>
      </c>
      <c r="C123" s="1072">
        <f>ROUND(F121*0.01,0)</f>
        <v>953349864</v>
      </c>
      <c r="F123" s="74"/>
    </row>
    <row r="124" spans="1:12" s="54" customFormat="1" ht="30" x14ac:dyDescent="0.25">
      <c r="A124" s="42"/>
      <c r="B124" s="973" t="s">
        <v>1828</v>
      </c>
      <c r="C124" s="1071">
        <f>ROUND(F121*0.01,0)</f>
        <v>953349864</v>
      </c>
      <c r="F124" s="1161"/>
    </row>
    <row r="125" spans="1:12" s="54" customFormat="1" ht="30" x14ac:dyDescent="0.25">
      <c r="A125" s="42"/>
      <c r="B125" s="972" t="s">
        <v>1829</v>
      </c>
      <c r="C125" s="1072">
        <f>ROUND(F121*0.007,0)</f>
        <v>667344905</v>
      </c>
      <c r="F125" s="74"/>
    </row>
    <row r="126" spans="1:12" s="54" customFormat="1" ht="15" x14ac:dyDescent="0.25">
      <c r="A126" s="42"/>
      <c r="B126" s="973" t="s">
        <v>1830</v>
      </c>
      <c r="C126" s="1071">
        <f>1550000000*1.05</f>
        <v>1627500000</v>
      </c>
      <c r="F126" s="1162"/>
    </row>
    <row r="127" spans="1:12" s="54" customFormat="1" ht="15" x14ac:dyDescent="0.25">
      <c r="A127" s="42"/>
      <c r="B127" s="972" t="s">
        <v>1831</v>
      </c>
      <c r="C127" s="1072">
        <f>ROUND(F53*0.1,0)</f>
        <v>9476236623</v>
      </c>
      <c r="F127" s="74"/>
    </row>
    <row r="128" spans="1:12" x14ac:dyDescent="0.25">
      <c r="B128" s="1660"/>
      <c r="C128" s="1661"/>
      <c r="D128" s="1163"/>
      <c r="E128" s="411"/>
      <c r="F128" s="77"/>
      <c r="K128" s="54"/>
      <c r="L128" s="54"/>
    </row>
    <row r="129" spans="2:12" ht="22.5" customHeight="1" x14ac:dyDescent="0.25">
      <c r="B129" s="1160" t="s">
        <v>970</v>
      </c>
      <c r="C129" s="1010" t="s">
        <v>971</v>
      </c>
      <c r="D129" s="1010" t="s">
        <v>956</v>
      </c>
      <c r="E129" s="411"/>
      <c r="F129" s="124"/>
      <c r="K129" s="54"/>
      <c r="L129" s="54"/>
    </row>
    <row r="130" spans="2:12" ht="15" x14ac:dyDescent="0.25">
      <c r="B130" s="921" t="s">
        <v>972</v>
      </c>
      <c r="C130" s="926">
        <f>+F121-C123-C125-C127-C124-C126</f>
        <v>81657205191.321259</v>
      </c>
      <c r="D130" s="956">
        <v>1</v>
      </c>
      <c r="E130" s="411"/>
      <c r="F130" s="42">
        <f>C130*3.7%</f>
        <v>3021316592.078887</v>
      </c>
      <c r="K130" s="54"/>
      <c r="L130" s="54"/>
    </row>
    <row r="131" spans="2:12" ht="15" x14ac:dyDescent="0.25">
      <c r="B131" s="921" t="s">
        <v>973</v>
      </c>
      <c r="C131" s="926">
        <f>+(C130*0.7)</f>
        <v>57160043633.924881</v>
      </c>
      <c r="D131" s="956">
        <f>+C131/$C$130</f>
        <v>0.7</v>
      </c>
      <c r="E131" s="411"/>
      <c r="F131" s="42">
        <f>F130-C137</f>
        <v>21186948.029000759</v>
      </c>
      <c r="G131" s="42">
        <f>F72*3.7%</f>
        <v>21186948.029000003</v>
      </c>
      <c r="K131" s="54"/>
      <c r="L131" s="54"/>
    </row>
    <row r="132" spans="2:12" ht="15" x14ac:dyDescent="0.25">
      <c r="B132" s="937" t="s">
        <v>974</v>
      </c>
      <c r="C132" s="938">
        <f>+C130-C131</f>
        <v>24497161557.396378</v>
      </c>
      <c r="D132" s="957">
        <f t="shared" ref="D132" si="4">+C132/$C$130</f>
        <v>0.3</v>
      </c>
      <c r="E132" s="411"/>
      <c r="K132" s="54"/>
      <c r="L132" s="54"/>
    </row>
    <row r="133" spans="2:12" x14ac:dyDescent="0.25">
      <c r="B133" s="1662"/>
      <c r="C133" s="1663"/>
      <c r="D133" s="1164"/>
      <c r="E133" s="73"/>
      <c r="F133" s="74"/>
      <c r="K133" s="54"/>
      <c r="L133" s="54"/>
    </row>
    <row r="134" spans="2:12" ht="22.5" customHeight="1" x14ac:dyDescent="0.25">
      <c r="B134" s="1673" t="s">
        <v>1832</v>
      </c>
      <c r="C134" s="1673"/>
      <c r="D134" s="73"/>
      <c r="E134" s="73"/>
      <c r="F134" s="74"/>
      <c r="K134" s="54"/>
      <c r="L134" s="54"/>
    </row>
    <row r="135" spans="2:12" ht="63.75" x14ac:dyDescent="0.25">
      <c r="B135" s="921" t="s">
        <v>1833</v>
      </c>
      <c r="C135" s="969">
        <v>7266426820.6152115</v>
      </c>
      <c r="D135" s="411"/>
      <c r="E135" s="1165" t="s">
        <v>1834</v>
      </c>
      <c r="F135" s="74"/>
      <c r="K135" s="54"/>
      <c r="L135" s="54"/>
    </row>
    <row r="136" spans="2:12" ht="38.25" x14ac:dyDescent="0.25">
      <c r="B136" s="921" t="s">
        <v>1835</v>
      </c>
      <c r="C136" s="969">
        <v>4007945546</v>
      </c>
      <c r="D136" s="411"/>
      <c r="E136" s="1165" t="s">
        <v>1836</v>
      </c>
      <c r="F136" s="74"/>
      <c r="K136" s="54"/>
      <c r="L136" s="54"/>
    </row>
    <row r="137" spans="2:12" ht="140.25" x14ac:dyDescent="0.25">
      <c r="B137" s="937" t="s">
        <v>1837</v>
      </c>
      <c r="C137" s="970">
        <f>(F53-C124-C127-C125-C126-C123)*0.037</f>
        <v>3000129644.0498862</v>
      </c>
      <c r="D137" s="1166" t="s">
        <v>1838</v>
      </c>
      <c r="E137" s="1166" t="s">
        <v>1839</v>
      </c>
      <c r="F137" s="74" t="s">
        <v>1840</v>
      </c>
    </row>
    <row r="138" spans="2:12" ht="15" x14ac:dyDescent="0.25">
      <c r="B138" s="921" t="s">
        <v>1841</v>
      </c>
      <c r="C138" s="971">
        <f>+C132-C135-C136-C137+7104455728.9-906699729</f>
        <v>16420415546.631279</v>
      </c>
      <c r="D138" s="411"/>
      <c r="E138" s="85"/>
      <c r="F138" s="74"/>
    </row>
    <row r="139" spans="2:12" x14ac:dyDescent="0.25">
      <c r="B139" s="1167" t="s">
        <v>1773</v>
      </c>
      <c r="C139" s="1011">
        <f>+C135+C136+C137+C138</f>
        <v>30694917557.296379</v>
      </c>
      <c r="D139" s="411"/>
      <c r="E139" s="411"/>
      <c r="F139" s="422"/>
    </row>
    <row r="140" spans="2:12" x14ac:dyDescent="0.25">
      <c r="B140" s="1669"/>
      <c r="C140" s="1669"/>
      <c r="D140" s="73"/>
      <c r="E140" s="73"/>
      <c r="F140" s="74"/>
    </row>
    <row r="141" spans="2:12" ht="24.75" customHeight="1" x14ac:dyDescent="0.25">
      <c r="B141" s="1670" t="s">
        <v>1842</v>
      </c>
      <c r="C141" s="1670"/>
      <c r="D141" s="124"/>
      <c r="E141" s="124"/>
      <c r="F141" s="124"/>
    </row>
    <row r="142" spans="2:12" ht="15" customHeight="1" x14ac:dyDescent="0.25">
      <c r="B142" s="940" t="s">
        <v>1843</v>
      </c>
      <c r="C142" s="928">
        <f>+C136</f>
        <v>4007945546</v>
      </c>
      <c r="D142" s="73"/>
      <c r="E142" s="73"/>
      <c r="F142" s="74"/>
    </row>
    <row r="143" spans="2:12" ht="15" customHeight="1" x14ac:dyDescent="0.25">
      <c r="B143" s="937" t="s">
        <v>1844</v>
      </c>
      <c r="C143" s="938">
        <f>+C137</f>
        <v>3000129644.0498862</v>
      </c>
      <c r="D143" s="411"/>
      <c r="E143" s="411"/>
      <c r="F143" s="74"/>
    </row>
    <row r="144" spans="2:12" ht="26.25" customHeight="1" x14ac:dyDescent="0.25">
      <c r="B144" s="921" t="s">
        <v>1845</v>
      </c>
      <c r="C144" s="926">
        <f>+E48</f>
        <v>612099454</v>
      </c>
      <c r="D144" s="1168"/>
      <c r="E144" s="411"/>
      <c r="F144" s="74"/>
    </row>
    <row r="145" spans="1:8" ht="26.25" customHeight="1" x14ac:dyDescent="0.25">
      <c r="B145" s="1004" t="s">
        <v>1846</v>
      </c>
      <c r="C145" s="1053">
        <v>2298997930.9899998</v>
      </c>
      <c r="D145" s="73"/>
      <c r="E145" s="411"/>
      <c r="F145" s="74"/>
    </row>
    <row r="146" spans="1:8" ht="26.25" customHeight="1" x14ac:dyDescent="0.25">
      <c r="B146" s="937" t="s">
        <v>1847</v>
      </c>
      <c r="C146" s="1054">
        <f>F121-C123-C124-C125-C126-C127-C135-C136-C137-C138-C147-C145</f>
        <v>46924499703.034889</v>
      </c>
      <c r="D146" s="411">
        <f>+C146-1500000000</f>
        <v>45424499703.034889</v>
      </c>
      <c r="E146" s="411">
        <v>45424499702.157997</v>
      </c>
      <c r="F146" s="74">
        <f>+E146-D146</f>
        <v>-0.87689208984375</v>
      </c>
      <c r="G146" s="938">
        <v>46924499702.158028</v>
      </c>
      <c r="H146" s="42">
        <f>+G146-C146</f>
        <v>-0.876861572265625</v>
      </c>
    </row>
    <row r="147" spans="1:8" ht="15" customHeight="1" x14ac:dyDescent="0.25">
      <c r="B147" s="1002" t="s">
        <v>1848</v>
      </c>
      <c r="C147" s="1003">
        <v>1738790000</v>
      </c>
      <c r="D147" s="1169"/>
      <c r="E147" s="423"/>
      <c r="F147" s="74"/>
    </row>
    <row r="148" spans="1:8" ht="15.75" customHeight="1" x14ac:dyDescent="0.25">
      <c r="B148" s="1004" t="s">
        <v>1849</v>
      </c>
      <c r="C148" s="1005">
        <f>'Salud 2023'!J25+'Salud 2023'!K25</f>
        <v>7607566839</v>
      </c>
      <c r="D148" s="411"/>
      <c r="E148" s="423"/>
      <c r="F148" s="74"/>
    </row>
    <row r="149" spans="1:8" ht="25.5" x14ac:dyDescent="0.25">
      <c r="B149" s="921" t="s">
        <v>1850</v>
      </c>
      <c r="C149" s="1055">
        <f>+E15+E26+E28+E34+E56+E60+E61+E67+E70+E42+E41+E55</f>
        <v>21174946984.700001</v>
      </c>
      <c r="D149" s="1170"/>
      <c r="E149" s="423"/>
      <c r="F149" s="74"/>
    </row>
    <row r="150" spans="1:8" ht="15" customHeight="1" x14ac:dyDescent="0.25">
      <c r="B150" s="937" t="s">
        <v>1851</v>
      </c>
      <c r="C150" s="1054">
        <f>+C127+C125+C123+C126</f>
        <v>12724431392</v>
      </c>
      <c r="D150" s="1171"/>
      <c r="E150" s="413"/>
      <c r="F150" s="74"/>
    </row>
    <row r="151" spans="1:8" ht="15" customHeight="1" x14ac:dyDescent="0.25">
      <c r="B151" s="921" t="s">
        <v>1852</v>
      </c>
      <c r="C151" s="1055">
        <f>+E12+E16+E19+E27+E35+E38+E45+E14+E36+C46</f>
        <v>25938180390.409348</v>
      </c>
      <c r="D151" s="1170"/>
      <c r="E151" s="85"/>
      <c r="F151" s="74"/>
      <c r="H151" s="1150"/>
    </row>
    <row r="152" spans="1:8" x14ac:dyDescent="0.25">
      <c r="B152" s="1172" t="s">
        <v>1853</v>
      </c>
      <c r="C152" s="1012">
        <f>+C142+C143+C146+C150+C151+C144+C149+C147+C148+C145</f>
        <v>126027587884.18413</v>
      </c>
      <c r="D152" s="381"/>
      <c r="E152" s="87"/>
      <c r="F152" s="88"/>
    </row>
    <row r="153" spans="1:8" x14ac:dyDescent="0.25">
      <c r="B153" s="1671"/>
      <c r="C153" s="1671"/>
      <c r="D153" s="73"/>
      <c r="E153" s="73"/>
      <c r="F153" s="74"/>
    </row>
    <row r="154" spans="1:8" x14ac:dyDescent="0.25">
      <c r="B154" s="1172" t="s">
        <v>1854</v>
      </c>
      <c r="C154" s="1012">
        <f>C156+C155</f>
        <v>9106158520.6152115</v>
      </c>
      <c r="D154" s="87"/>
      <c r="E154" s="87"/>
      <c r="F154" s="88"/>
    </row>
    <row r="155" spans="1:8" ht="15" x14ac:dyDescent="0.25">
      <c r="B155" s="937" t="s">
        <v>1855</v>
      </c>
      <c r="C155" s="938">
        <v>1839731700</v>
      </c>
      <c r="D155" s="87"/>
      <c r="E155" s="409"/>
      <c r="F155" s="88"/>
    </row>
    <row r="156" spans="1:8" ht="15" x14ac:dyDescent="0.25">
      <c r="B156" s="921" t="s">
        <v>1856</v>
      </c>
      <c r="C156" s="928">
        <f>C135</f>
        <v>7266426820.6152115</v>
      </c>
      <c r="D156" s="87"/>
      <c r="E156" s="87"/>
      <c r="F156" s="88"/>
    </row>
    <row r="157" spans="1:8" x14ac:dyDescent="0.25">
      <c r="B157" s="1172" t="s">
        <v>1857</v>
      </c>
      <c r="D157" s="73"/>
      <c r="E157" s="73"/>
      <c r="F157" s="74"/>
    </row>
    <row r="158" spans="1:8" x14ac:dyDescent="0.25">
      <c r="B158" s="942" t="s">
        <v>1858</v>
      </c>
      <c r="C158" s="943">
        <f>+C138+C123</f>
        <v>17373765410.631279</v>
      </c>
      <c r="D158" s="73"/>
      <c r="E158" s="73"/>
      <c r="F158" s="74"/>
    </row>
    <row r="159" spans="1:8" x14ac:dyDescent="0.25">
      <c r="A159" s="941"/>
      <c r="B159" s="77" t="s">
        <v>1859</v>
      </c>
      <c r="C159" s="943">
        <f>+D13+D25+D29+D30+D31+D32+D33+D44+D49+D52+D59+D62+D63+D64+D65+D66+D68+D69+C116+C112+D50</f>
        <v>23844683916.530983</v>
      </c>
      <c r="D159" s="411"/>
      <c r="E159" s="73"/>
      <c r="F159" s="74"/>
    </row>
    <row r="160" spans="1:8" ht="15" x14ac:dyDescent="0.25">
      <c r="B160" s="942" t="s">
        <v>1860</v>
      </c>
      <c r="C160" s="944">
        <f>+D77+D78+D79+D80+D81+D82+D83+D84+D88+D89+D90+D91+D92+D93+D94+D95+D96+D97+D98+D99+D100+D101+D102+D103+D104+D105+D106+D107+D108-C148</f>
        <v>244319299562.08615</v>
      </c>
      <c r="D160" s="411"/>
      <c r="E160" s="413"/>
      <c r="F160" s="74"/>
    </row>
    <row r="161" spans="2:6" x14ac:dyDescent="0.25">
      <c r="B161" s="1172" t="s">
        <v>1861</v>
      </c>
      <c r="C161" s="1012">
        <f>+C160+C159+C158</f>
        <v>285537748889.24841</v>
      </c>
      <c r="D161" s="409"/>
      <c r="E161" s="409"/>
      <c r="F161" s="88"/>
    </row>
    <row r="162" spans="2:6" x14ac:dyDescent="0.25">
      <c r="B162" s="1672"/>
      <c r="C162" s="1672"/>
      <c r="D162" s="409"/>
      <c r="E162" s="1173"/>
      <c r="F162" s="88"/>
    </row>
    <row r="163" spans="2:6" x14ac:dyDescent="0.25">
      <c r="B163" s="1172" t="s">
        <v>1862</v>
      </c>
      <c r="C163" s="1012">
        <f>C161+C154+C152</f>
        <v>420671495294.04779</v>
      </c>
      <c r="D163" s="409">
        <f>C163-C121</f>
        <v>0</v>
      </c>
      <c r="E163" s="1173"/>
    </row>
    <row r="164" spans="2:6" x14ac:dyDescent="0.25">
      <c r="B164" s="77"/>
      <c r="C164" s="88"/>
      <c r="D164" s="411"/>
      <c r="E164" s="411"/>
      <c r="F164" s="74"/>
    </row>
    <row r="165" spans="2:6" x14ac:dyDescent="0.25">
      <c r="C165" s="433"/>
    </row>
    <row r="166" spans="2:6" x14ac:dyDescent="0.25">
      <c r="B166" s="1666" t="s">
        <v>969</v>
      </c>
      <c r="C166" s="1666"/>
      <c r="D166" s="1666"/>
    </row>
    <row r="167" spans="2:6" x14ac:dyDescent="0.25">
      <c r="B167" s="1160" t="s">
        <v>970</v>
      </c>
      <c r="C167" s="1010" t="s">
        <v>971</v>
      </c>
      <c r="D167" s="1010" t="s">
        <v>956</v>
      </c>
    </row>
    <row r="168" spans="2:6" ht="15" x14ac:dyDescent="0.25">
      <c r="B168" s="921" t="s">
        <v>972</v>
      </c>
      <c r="C168" s="926">
        <f>+C130</f>
        <v>81657205191.321259</v>
      </c>
      <c r="D168" s="956">
        <v>1</v>
      </c>
    </row>
    <row r="169" spans="2:6" ht="15" x14ac:dyDescent="0.25">
      <c r="B169" s="921" t="s">
        <v>973</v>
      </c>
      <c r="C169" s="926">
        <f>+C146+C147+C145</f>
        <v>50962287634.024887</v>
      </c>
      <c r="D169" s="956">
        <f>+C169/$C$130</f>
        <v>0.62410031686268508</v>
      </c>
    </row>
    <row r="170" spans="2:6" ht="15" x14ac:dyDescent="0.25">
      <c r="B170" s="937" t="s">
        <v>974</v>
      </c>
      <c r="C170" s="938">
        <f>+C135+C136+C137+C138</f>
        <v>30694917557.296379</v>
      </c>
      <c r="D170" s="957">
        <f t="shared" ref="D170" si="5">+C170/$C$130</f>
        <v>0.37589968313731503</v>
      </c>
    </row>
    <row r="173" spans="2:6" ht="12.75" customHeight="1" x14ac:dyDescent="0.25"/>
  </sheetData>
  <autoFilter ref="A6:XFC53" xr:uid="{00000000-0009-0000-0000-000004000000}"/>
  <mergeCells count="23">
    <mergeCell ref="G8:G10"/>
    <mergeCell ref="B166:D166"/>
    <mergeCell ref="A53:B53"/>
    <mergeCell ref="A72:B72"/>
    <mergeCell ref="B74:C74"/>
    <mergeCell ref="B76:C76"/>
    <mergeCell ref="B87:C87"/>
    <mergeCell ref="B133:C133"/>
    <mergeCell ref="B134:C134"/>
    <mergeCell ref="A119:B119"/>
    <mergeCell ref="A121:B121"/>
    <mergeCell ref="B111:C111"/>
    <mergeCell ref="B115:C115"/>
    <mergeCell ref="B141:C141"/>
    <mergeCell ref="B153:C153"/>
    <mergeCell ref="B162:C162"/>
    <mergeCell ref="B140:C140"/>
    <mergeCell ref="A2:F2"/>
    <mergeCell ref="A3:F3"/>
    <mergeCell ref="A4:F4"/>
    <mergeCell ref="A5:F5"/>
    <mergeCell ref="B122:C122"/>
    <mergeCell ref="B128:C128"/>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4E70-ED32-4087-82E1-F7E1D13CF97D}">
  <sheetPr>
    <tabColor rgb="FF7030A0"/>
  </sheetPr>
  <dimension ref="A1:U197"/>
  <sheetViews>
    <sheetView workbookViewId="0">
      <pane xSplit="1" ySplit="2" topLeftCell="J3" activePane="bottomRight" state="frozen"/>
      <selection pane="topRight" activeCell="B1" sqref="B1"/>
      <selection pane="bottomLeft" activeCell="A3" sqref="A3"/>
      <selection pane="bottomRight" activeCell="A25" sqref="A25"/>
    </sheetView>
  </sheetViews>
  <sheetFormatPr baseColWidth="10" defaultColWidth="11.42578125" defaultRowHeight="12.75" x14ac:dyDescent="0.25"/>
  <cols>
    <col min="1" max="1" width="54.140625" style="601" bestFit="1" customWidth="1"/>
    <col min="2" max="3" width="17.7109375" style="743" customWidth="1"/>
    <col min="4" max="4" width="17.7109375" style="745" customWidth="1"/>
    <col min="5" max="5" width="17.7109375" style="743" customWidth="1"/>
    <col min="6" max="6" width="17.7109375" style="745" customWidth="1"/>
    <col min="7" max="7" width="17.7109375" style="743" customWidth="1"/>
    <col min="8" max="8" width="17.7109375" style="745" customWidth="1"/>
    <col min="9" max="9" width="17.7109375" style="743" customWidth="1"/>
    <col min="10" max="10" width="17.7109375" style="745" customWidth="1"/>
    <col min="11" max="11" width="17.7109375" style="743" customWidth="1"/>
    <col min="12" max="12" width="17.7109375" style="745" customWidth="1"/>
    <col min="13" max="13" width="20.7109375" style="900" customWidth="1"/>
    <col min="14" max="14" width="17.7109375" style="745" hidden="1" customWidth="1"/>
    <col min="15" max="15" width="20.7109375" style="900" customWidth="1"/>
    <col min="16" max="17" width="17.7109375" style="745" customWidth="1"/>
    <col min="18" max="18" width="17.7109375" style="743" customWidth="1"/>
    <col min="19" max="19" width="15.85546875" style="42" customWidth="1"/>
    <col min="20" max="20" width="23" style="42" bestFit="1" customWidth="1"/>
    <col min="21" max="22" width="14.28515625" style="42" customWidth="1"/>
    <col min="23" max="257" width="11.42578125" style="42"/>
    <col min="258" max="258" width="49.5703125" style="42" customWidth="1"/>
    <col min="259" max="259" width="18.5703125" style="42" bestFit="1" customWidth="1"/>
    <col min="260" max="263" width="17.28515625" style="42" bestFit="1" customWidth="1"/>
    <col min="264" max="264" width="1" style="42" customWidth="1"/>
    <col min="265" max="265" width="17.28515625" style="42" bestFit="1" customWidth="1"/>
    <col min="266" max="266" width="0.85546875" style="42" customWidth="1"/>
    <col min="267" max="267" width="18.28515625" style="42" customWidth="1"/>
    <col min="268" max="271" width="17.28515625" style="42" bestFit="1" customWidth="1"/>
    <col min="272" max="272" width="10.85546875" style="42" customWidth="1"/>
    <col min="273" max="274" width="14.28515625" style="42" customWidth="1"/>
    <col min="275" max="275" width="10.85546875" style="42" customWidth="1"/>
    <col min="276" max="276" width="45.42578125" style="42" customWidth="1"/>
    <col min="277" max="278" width="14.28515625" style="42" customWidth="1"/>
    <col min="279" max="513" width="11.42578125" style="42"/>
    <col min="514" max="514" width="49.5703125" style="42" customWidth="1"/>
    <col min="515" max="515" width="18.5703125" style="42" bestFit="1" customWidth="1"/>
    <col min="516" max="519" width="17.28515625" style="42" bestFit="1" customWidth="1"/>
    <col min="520" max="520" width="1" style="42" customWidth="1"/>
    <col min="521" max="521" width="17.28515625" style="42" bestFit="1" customWidth="1"/>
    <col min="522" max="522" width="0.85546875" style="42" customWidth="1"/>
    <col min="523" max="523" width="18.28515625" style="42" customWidth="1"/>
    <col min="524" max="527" width="17.28515625" style="42" bestFit="1" customWidth="1"/>
    <col min="528" max="528" width="10.85546875" style="42" customWidth="1"/>
    <col min="529" max="530" width="14.28515625" style="42" customWidth="1"/>
    <col min="531" max="531" width="10.85546875" style="42" customWidth="1"/>
    <col min="532" max="532" width="45.42578125" style="42" customWidth="1"/>
    <col min="533" max="534" width="14.28515625" style="42" customWidth="1"/>
    <col min="535" max="769" width="11.42578125" style="42"/>
    <col min="770" max="770" width="49.5703125" style="42" customWidth="1"/>
    <col min="771" max="771" width="18.5703125" style="42" bestFit="1" customWidth="1"/>
    <col min="772" max="775" width="17.28515625" style="42" bestFit="1" customWidth="1"/>
    <col min="776" max="776" width="1" style="42" customWidth="1"/>
    <col min="777" max="777" width="17.28515625" style="42" bestFit="1" customWidth="1"/>
    <col min="778" max="778" width="0.85546875" style="42" customWidth="1"/>
    <col min="779" max="779" width="18.28515625" style="42" customWidth="1"/>
    <col min="780" max="783" width="17.28515625" style="42" bestFit="1" customWidth="1"/>
    <col min="784" max="784" width="10.85546875" style="42" customWidth="1"/>
    <col min="785" max="786" width="14.28515625" style="42" customWidth="1"/>
    <col min="787" max="787" width="10.85546875" style="42" customWidth="1"/>
    <col min="788" max="788" width="45.42578125" style="42" customWidth="1"/>
    <col min="789" max="790" width="14.28515625" style="42" customWidth="1"/>
    <col min="791" max="1025" width="11.42578125" style="42"/>
    <col min="1026" max="1026" width="49.5703125" style="42" customWidth="1"/>
    <col min="1027" max="1027" width="18.5703125" style="42" bestFit="1" customWidth="1"/>
    <col min="1028" max="1031" width="17.28515625" style="42" bestFit="1" customWidth="1"/>
    <col min="1032" max="1032" width="1" style="42" customWidth="1"/>
    <col min="1033" max="1033" width="17.28515625" style="42" bestFit="1" customWidth="1"/>
    <col min="1034" max="1034" width="0.85546875" style="42" customWidth="1"/>
    <col min="1035" max="1035" width="18.28515625" style="42" customWidth="1"/>
    <col min="1036" max="1039" width="17.28515625" style="42" bestFit="1" customWidth="1"/>
    <col min="1040" max="1040" width="10.85546875" style="42" customWidth="1"/>
    <col min="1041" max="1042" width="14.28515625" style="42" customWidth="1"/>
    <col min="1043" max="1043" width="10.85546875" style="42" customWidth="1"/>
    <col min="1044" max="1044" width="45.42578125" style="42" customWidth="1"/>
    <col min="1045" max="1046" width="14.28515625" style="42" customWidth="1"/>
    <col min="1047" max="1281" width="11.42578125" style="42"/>
    <col min="1282" max="1282" width="49.5703125" style="42" customWidth="1"/>
    <col min="1283" max="1283" width="18.5703125" style="42" bestFit="1" customWidth="1"/>
    <col min="1284" max="1287" width="17.28515625" style="42" bestFit="1" customWidth="1"/>
    <col min="1288" max="1288" width="1" style="42" customWidth="1"/>
    <col min="1289" max="1289" width="17.28515625" style="42" bestFit="1" customWidth="1"/>
    <col min="1290" max="1290" width="0.85546875" style="42" customWidth="1"/>
    <col min="1291" max="1291" width="18.28515625" style="42" customWidth="1"/>
    <col min="1292" max="1295" width="17.28515625" style="42" bestFit="1" customWidth="1"/>
    <col min="1296" max="1296" width="10.85546875" style="42" customWidth="1"/>
    <col min="1297" max="1298" width="14.28515625" style="42" customWidth="1"/>
    <col min="1299" max="1299" width="10.85546875" style="42" customWidth="1"/>
    <col min="1300" max="1300" width="45.42578125" style="42" customWidth="1"/>
    <col min="1301" max="1302" width="14.28515625" style="42" customWidth="1"/>
    <col min="1303" max="1537" width="11.42578125" style="42"/>
    <col min="1538" max="1538" width="49.5703125" style="42" customWidth="1"/>
    <col min="1539" max="1539" width="18.5703125" style="42" bestFit="1" customWidth="1"/>
    <col min="1540" max="1543" width="17.28515625" style="42" bestFit="1" customWidth="1"/>
    <col min="1544" max="1544" width="1" style="42" customWidth="1"/>
    <col min="1545" max="1545" width="17.28515625" style="42" bestFit="1" customWidth="1"/>
    <col min="1546" max="1546" width="0.85546875" style="42" customWidth="1"/>
    <col min="1547" max="1547" width="18.28515625" style="42" customWidth="1"/>
    <col min="1548" max="1551" width="17.28515625" style="42" bestFit="1" customWidth="1"/>
    <col min="1552" max="1552" width="10.85546875" style="42" customWidth="1"/>
    <col min="1553" max="1554" width="14.28515625" style="42" customWidth="1"/>
    <col min="1555" max="1555" width="10.85546875" style="42" customWidth="1"/>
    <col min="1556" max="1556" width="45.42578125" style="42" customWidth="1"/>
    <col min="1557" max="1558" width="14.28515625" style="42" customWidth="1"/>
    <col min="1559" max="1793" width="11.42578125" style="42"/>
    <col min="1794" max="1794" width="49.5703125" style="42" customWidth="1"/>
    <col min="1795" max="1795" width="18.5703125" style="42" bestFit="1" customWidth="1"/>
    <col min="1796" max="1799" width="17.28515625" style="42" bestFit="1" customWidth="1"/>
    <col min="1800" max="1800" width="1" style="42" customWidth="1"/>
    <col min="1801" max="1801" width="17.28515625" style="42" bestFit="1" customWidth="1"/>
    <col min="1802" max="1802" width="0.85546875" style="42" customWidth="1"/>
    <col min="1803" max="1803" width="18.28515625" style="42" customWidth="1"/>
    <col min="1804" max="1807" width="17.28515625" style="42" bestFit="1" customWidth="1"/>
    <col min="1808" max="1808" width="10.85546875" style="42" customWidth="1"/>
    <col min="1809" max="1810" width="14.28515625" style="42" customWidth="1"/>
    <col min="1811" max="1811" width="10.85546875" style="42" customWidth="1"/>
    <col min="1812" max="1812" width="45.42578125" style="42" customWidth="1"/>
    <col min="1813" max="1814" width="14.28515625" style="42" customWidth="1"/>
    <col min="1815" max="2049" width="11.42578125" style="42"/>
    <col min="2050" max="2050" width="49.5703125" style="42" customWidth="1"/>
    <col min="2051" max="2051" width="18.5703125" style="42" bestFit="1" customWidth="1"/>
    <col min="2052" max="2055" width="17.28515625" style="42" bestFit="1" customWidth="1"/>
    <col min="2056" max="2056" width="1" style="42" customWidth="1"/>
    <col min="2057" max="2057" width="17.28515625" style="42" bestFit="1" customWidth="1"/>
    <col min="2058" max="2058" width="0.85546875" style="42" customWidth="1"/>
    <col min="2059" max="2059" width="18.28515625" style="42" customWidth="1"/>
    <col min="2060" max="2063" width="17.28515625" style="42" bestFit="1" customWidth="1"/>
    <col min="2064" max="2064" width="10.85546875" style="42" customWidth="1"/>
    <col min="2065" max="2066" width="14.28515625" style="42" customWidth="1"/>
    <col min="2067" max="2067" width="10.85546875" style="42" customWidth="1"/>
    <col min="2068" max="2068" width="45.42578125" style="42" customWidth="1"/>
    <col min="2069" max="2070" width="14.28515625" style="42" customWidth="1"/>
    <col min="2071" max="2305" width="11.42578125" style="42"/>
    <col min="2306" max="2306" width="49.5703125" style="42" customWidth="1"/>
    <col min="2307" max="2307" width="18.5703125" style="42" bestFit="1" customWidth="1"/>
    <col min="2308" max="2311" width="17.28515625" style="42" bestFit="1" customWidth="1"/>
    <col min="2312" max="2312" width="1" style="42" customWidth="1"/>
    <col min="2313" max="2313" width="17.28515625" style="42" bestFit="1" customWidth="1"/>
    <col min="2314" max="2314" width="0.85546875" style="42" customWidth="1"/>
    <col min="2315" max="2315" width="18.28515625" style="42" customWidth="1"/>
    <col min="2316" max="2319" width="17.28515625" style="42" bestFit="1" customWidth="1"/>
    <col min="2320" max="2320" width="10.85546875" style="42" customWidth="1"/>
    <col min="2321" max="2322" width="14.28515625" style="42" customWidth="1"/>
    <col min="2323" max="2323" width="10.85546875" style="42" customWidth="1"/>
    <col min="2324" max="2324" width="45.42578125" style="42" customWidth="1"/>
    <col min="2325" max="2326" width="14.28515625" style="42" customWidth="1"/>
    <col min="2327" max="2561" width="11.42578125" style="42"/>
    <col min="2562" max="2562" width="49.5703125" style="42" customWidth="1"/>
    <col min="2563" max="2563" width="18.5703125" style="42" bestFit="1" customWidth="1"/>
    <col min="2564" max="2567" width="17.28515625" style="42" bestFit="1" customWidth="1"/>
    <col min="2568" max="2568" width="1" style="42" customWidth="1"/>
    <col min="2569" max="2569" width="17.28515625" style="42" bestFit="1" customWidth="1"/>
    <col min="2570" max="2570" width="0.85546875" style="42" customWidth="1"/>
    <col min="2571" max="2571" width="18.28515625" style="42" customWidth="1"/>
    <col min="2572" max="2575" width="17.28515625" style="42" bestFit="1" customWidth="1"/>
    <col min="2576" max="2576" width="10.85546875" style="42" customWidth="1"/>
    <col min="2577" max="2578" width="14.28515625" style="42" customWidth="1"/>
    <col min="2579" max="2579" width="10.85546875" style="42" customWidth="1"/>
    <col min="2580" max="2580" width="45.42578125" style="42" customWidth="1"/>
    <col min="2581" max="2582" width="14.28515625" style="42" customWidth="1"/>
    <col min="2583" max="2817" width="11.42578125" style="42"/>
    <col min="2818" max="2818" width="49.5703125" style="42" customWidth="1"/>
    <col min="2819" max="2819" width="18.5703125" style="42" bestFit="1" customWidth="1"/>
    <col min="2820" max="2823" width="17.28515625" style="42" bestFit="1" customWidth="1"/>
    <col min="2824" max="2824" width="1" style="42" customWidth="1"/>
    <col min="2825" max="2825" width="17.28515625" style="42" bestFit="1" customWidth="1"/>
    <col min="2826" max="2826" width="0.85546875" style="42" customWidth="1"/>
    <col min="2827" max="2827" width="18.28515625" style="42" customWidth="1"/>
    <col min="2828" max="2831" width="17.28515625" style="42" bestFit="1" customWidth="1"/>
    <col min="2832" max="2832" width="10.85546875" style="42" customWidth="1"/>
    <col min="2833" max="2834" width="14.28515625" style="42" customWidth="1"/>
    <col min="2835" max="2835" width="10.85546875" style="42" customWidth="1"/>
    <col min="2836" max="2836" width="45.42578125" style="42" customWidth="1"/>
    <col min="2837" max="2838" width="14.28515625" style="42" customWidth="1"/>
    <col min="2839" max="3073" width="11.42578125" style="42"/>
    <col min="3074" max="3074" width="49.5703125" style="42" customWidth="1"/>
    <col min="3075" max="3075" width="18.5703125" style="42" bestFit="1" customWidth="1"/>
    <col min="3076" max="3079" width="17.28515625" style="42" bestFit="1" customWidth="1"/>
    <col min="3080" max="3080" width="1" style="42" customWidth="1"/>
    <col min="3081" max="3081" width="17.28515625" style="42" bestFit="1" customWidth="1"/>
    <col min="3082" max="3082" width="0.85546875" style="42" customWidth="1"/>
    <col min="3083" max="3083" width="18.28515625" style="42" customWidth="1"/>
    <col min="3084" max="3087" width="17.28515625" style="42" bestFit="1" customWidth="1"/>
    <col min="3088" max="3088" width="10.85546875" style="42" customWidth="1"/>
    <col min="3089" max="3090" width="14.28515625" style="42" customWidth="1"/>
    <col min="3091" max="3091" width="10.85546875" style="42" customWidth="1"/>
    <col min="3092" max="3092" width="45.42578125" style="42" customWidth="1"/>
    <col min="3093" max="3094" width="14.28515625" style="42" customWidth="1"/>
    <col min="3095" max="3329" width="11.42578125" style="42"/>
    <col min="3330" max="3330" width="49.5703125" style="42" customWidth="1"/>
    <col min="3331" max="3331" width="18.5703125" style="42" bestFit="1" customWidth="1"/>
    <col min="3332" max="3335" width="17.28515625" style="42" bestFit="1" customWidth="1"/>
    <col min="3336" max="3336" width="1" style="42" customWidth="1"/>
    <col min="3337" max="3337" width="17.28515625" style="42" bestFit="1" customWidth="1"/>
    <col min="3338" max="3338" width="0.85546875" style="42" customWidth="1"/>
    <col min="3339" max="3339" width="18.28515625" style="42" customWidth="1"/>
    <col min="3340" max="3343" width="17.28515625" style="42" bestFit="1" customWidth="1"/>
    <col min="3344" max="3344" width="10.85546875" style="42" customWidth="1"/>
    <col min="3345" max="3346" width="14.28515625" style="42" customWidth="1"/>
    <col min="3347" max="3347" width="10.85546875" style="42" customWidth="1"/>
    <col min="3348" max="3348" width="45.42578125" style="42" customWidth="1"/>
    <col min="3349" max="3350" width="14.28515625" style="42" customWidth="1"/>
    <col min="3351" max="3585" width="11.42578125" style="42"/>
    <col min="3586" max="3586" width="49.5703125" style="42" customWidth="1"/>
    <col min="3587" max="3587" width="18.5703125" style="42" bestFit="1" customWidth="1"/>
    <col min="3588" max="3591" width="17.28515625" style="42" bestFit="1" customWidth="1"/>
    <col min="3592" max="3592" width="1" style="42" customWidth="1"/>
    <col min="3593" max="3593" width="17.28515625" style="42" bestFit="1" customWidth="1"/>
    <col min="3594" max="3594" width="0.85546875" style="42" customWidth="1"/>
    <col min="3595" max="3595" width="18.28515625" style="42" customWidth="1"/>
    <col min="3596" max="3599" width="17.28515625" style="42" bestFit="1" customWidth="1"/>
    <col min="3600" max="3600" width="10.85546875" style="42" customWidth="1"/>
    <col min="3601" max="3602" width="14.28515625" style="42" customWidth="1"/>
    <col min="3603" max="3603" width="10.85546875" style="42" customWidth="1"/>
    <col min="3604" max="3604" width="45.42578125" style="42" customWidth="1"/>
    <col min="3605" max="3606" width="14.28515625" style="42" customWidth="1"/>
    <col min="3607" max="3841" width="11.42578125" style="42"/>
    <col min="3842" max="3842" width="49.5703125" style="42" customWidth="1"/>
    <col min="3843" max="3843" width="18.5703125" style="42" bestFit="1" customWidth="1"/>
    <col min="3844" max="3847" width="17.28515625" style="42" bestFit="1" customWidth="1"/>
    <col min="3848" max="3848" width="1" style="42" customWidth="1"/>
    <col min="3849" max="3849" width="17.28515625" style="42" bestFit="1" customWidth="1"/>
    <col min="3850" max="3850" width="0.85546875" style="42" customWidth="1"/>
    <col min="3851" max="3851" width="18.28515625" style="42" customWidth="1"/>
    <col min="3852" max="3855" width="17.28515625" style="42" bestFit="1" customWidth="1"/>
    <col min="3856" max="3856" width="10.85546875" style="42" customWidth="1"/>
    <col min="3857" max="3858" width="14.28515625" style="42" customWidth="1"/>
    <col min="3859" max="3859" width="10.85546875" style="42" customWidth="1"/>
    <col min="3860" max="3860" width="45.42578125" style="42" customWidth="1"/>
    <col min="3861" max="3862" width="14.28515625" style="42" customWidth="1"/>
    <col min="3863" max="4097" width="11.42578125" style="42"/>
    <col min="4098" max="4098" width="49.5703125" style="42" customWidth="1"/>
    <col min="4099" max="4099" width="18.5703125" style="42" bestFit="1" customWidth="1"/>
    <col min="4100" max="4103" width="17.28515625" style="42" bestFit="1" customWidth="1"/>
    <col min="4104" max="4104" width="1" style="42" customWidth="1"/>
    <col min="4105" max="4105" width="17.28515625" style="42" bestFit="1" customWidth="1"/>
    <col min="4106" max="4106" width="0.85546875" style="42" customWidth="1"/>
    <col min="4107" max="4107" width="18.28515625" style="42" customWidth="1"/>
    <col min="4108" max="4111" width="17.28515625" style="42" bestFit="1" customWidth="1"/>
    <col min="4112" max="4112" width="10.85546875" style="42" customWidth="1"/>
    <col min="4113" max="4114" width="14.28515625" style="42" customWidth="1"/>
    <col min="4115" max="4115" width="10.85546875" style="42" customWidth="1"/>
    <col min="4116" max="4116" width="45.42578125" style="42" customWidth="1"/>
    <col min="4117" max="4118" width="14.28515625" style="42" customWidth="1"/>
    <col min="4119" max="4353" width="11.42578125" style="42"/>
    <col min="4354" max="4354" width="49.5703125" style="42" customWidth="1"/>
    <col min="4355" max="4355" width="18.5703125" style="42" bestFit="1" customWidth="1"/>
    <col min="4356" max="4359" width="17.28515625" style="42" bestFit="1" customWidth="1"/>
    <col min="4360" max="4360" width="1" style="42" customWidth="1"/>
    <col min="4361" max="4361" width="17.28515625" style="42" bestFit="1" customWidth="1"/>
    <col min="4362" max="4362" width="0.85546875" style="42" customWidth="1"/>
    <col min="4363" max="4363" width="18.28515625" style="42" customWidth="1"/>
    <col min="4364" max="4367" width="17.28515625" style="42" bestFit="1" customWidth="1"/>
    <col min="4368" max="4368" width="10.85546875" style="42" customWidth="1"/>
    <col min="4369" max="4370" width="14.28515625" style="42" customWidth="1"/>
    <col min="4371" max="4371" width="10.85546875" style="42" customWidth="1"/>
    <col min="4372" max="4372" width="45.42578125" style="42" customWidth="1"/>
    <col min="4373" max="4374" width="14.28515625" style="42" customWidth="1"/>
    <col min="4375" max="4609" width="11.42578125" style="42"/>
    <col min="4610" max="4610" width="49.5703125" style="42" customWidth="1"/>
    <col min="4611" max="4611" width="18.5703125" style="42" bestFit="1" customWidth="1"/>
    <col min="4612" max="4615" width="17.28515625" style="42" bestFit="1" customWidth="1"/>
    <col min="4616" max="4616" width="1" style="42" customWidth="1"/>
    <col min="4617" max="4617" width="17.28515625" style="42" bestFit="1" customWidth="1"/>
    <col min="4618" max="4618" width="0.85546875" style="42" customWidth="1"/>
    <col min="4619" max="4619" width="18.28515625" style="42" customWidth="1"/>
    <col min="4620" max="4623" width="17.28515625" style="42" bestFit="1" customWidth="1"/>
    <col min="4624" max="4624" width="10.85546875" style="42" customWidth="1"/>
    <col min="4625" max="4626" width="14.28515625" style="42" customWidth="1"/>
    <col min="4627" max="4627" width="10.85546875" style="42" customWidth="1"/>
    <col min="4628" max="4628" width="45.42578125" style="42" customWidth="1"/>
    <col min="4629" max="4630" width="14.28515625" style="42" customWidth="1"/>
    <col min="4631" max="4865" width="11.42578125" style="42"/>
    <col min="4866" max="4866" width="49.5703125" style="42" customWidth="1"/>
    <col min="4867" max="4867" width="18.5703125" style="42" bestFit="1" customWidth="1"/>
    <col min="4868" max="4871" width="17.28515625" style="42" bestFit="1" customWidth="1"/>
    <col min="4872" max="4872" width="1" style="42" customWidth="1"/>
    <col min="4873" max="4873" width="17.28515625" style="42" bestFit="1" customWidth="1"/>
    <col min="4874" max="4874" width="0.85546875" style="42" customWidth="1"/>
    <col min="4875" max="4875" width="18.28515625" style="42" customWidth="1"/>
    <col min="4876" max="4879" width="17.28515625" style="42" bestFit="1" customWidth="1"/>
    <col min="4880" max="4880" width="10.85546875" style="42" customWidth="1"/>
    <col min="4881" max="4882" width="14.28515625" style="42" customWidth="1"/>
    <col min="4883" max="4883" width="10.85546875" style="42" customWidth="1"/>
    <col min="4884" max="4884" width="45.42578125" style="42" customWidth="1"/>
    <col min="4885" max="4886" width="14.28515625" style="42" customWidth="1"/>
    <col min="4887" max="5121" width="11.42578125" style="42"/>
    <col min="5122" max="5122" width="49.5703125" style="42" customWidth="1"/>
    <col min="5123" max="5123" width="18.5703125" style="42" bestFit="1" customWidth="1"/>
    <col min="5124" max="5127" width="17.28515625" style="42" bestFit="1" customWidth="1"/>
    <col min="5128" max="5128" width="1" style="42" customWidth="1"/>
    <col min="5129" max="5129" width="17.28515625" style="42" bestFit="1" customWidth="1"/>
    <col min="5130" max="5130" width="0.85546875" style="42" customWidth="1"/>
    <col min="5131" max="5131" width="18.28515625" style="42" customWidth="1"/>
    <col min="5132" max="5135" width="17.28515625" style="42" bestFit="1" customWidth="1"/>
    <col min="5136" max="5136" width="10.85546875" style="42" customWidth="1"/>
    <col min="5137" max="5138" width="14.28515625" style="42" customWidth="1"/>
    <col min="5139" max="5139" width="10.85546875" style="42" customWidth="1"/>
    <col min="5140" max="5140" width="45.42578125" style="42" customWidth="1"/>
    <col min="5141" max="5142" width="14.28515625" style="42" customWidth="1"/>
    <col min="5143" max="5377" width="11.42578125" style="42"/>
    <col min="5378" max="5378" width="49.5703125" style="42" customWidth="1"/>
    <col min="5379" max="5379" width="18.5703125" style="42" bestFit="1" customWidth="1"/>
    <col min="5380" max="5383" width="17.28515625" style="42" bestFit="1" customWidth="1"/>
    <col min="5384" max="5384" width="1" style="42" customWidth="1"/>
    <col min="5385" max="5385" width="17.28515625" style="42" bestFit="1" customWidth="1"/>
    <col min="5386" max="5386" width="0.85546875" style="42" customWidth="1"/>
    <col min="5387" max="5387" width="18.28515625" style="42" customWidth="1"/>
    <col min="5388" max="5391" width="17.28515625" style="42" bestFit="1" customWidth="1"/>
    <col min="5392" max="5392" width="10.85546875" style="42" customWidth="1"/>
    <col min="5393" max="5394" width="14.28515625" style="42" customWidth="1"/>
    <col min="5395" max="5395" width="10.85546875" style="42" customWidth="1"/>
    <col min="5396" max="5396" width="45.42578125" style="42" customWidth="1"/>
    <col min="5397" max="5398" width="14.28515625" style="42" customWidth="1"/>
    <col min="5399" max="5633" width="11.42578125" style="42"/>
    <col min="5634" max="5634" width="49.5703125" style="42" customWidth="1"/>
    <col min="5635" max="5635" width="18.5703125" style="42" bestFit="1" customWidth="1"/>
    <col min="5636" max="5639" width="17.28515625" style="42" bestFit="1" customWidth="1"/>
    <col min="5640" max="5640" width="1" style="42" customWidth="1"/>
    <col min="5641" max="5641" width="17.28515625" style="42" bestFit="1" customWidth="1"/>
    <col min="5642" max="5642" width="0.85546875" style="42" customWidth="1"/>
    <col min="5643" max="5643" width="18.28515625" style="42" customWidth="1"/>
    <col min="5644" max="5647" width="17.28515625" style="42" bestFit="1" customWidth="1"/>
    <col min="5648" max="5648" width="10.85546875" style="42" customWidth="1"/>
    <col min="5649" max="5650" width="14.28515625" style="42" customWidth="1"/>
    <col min="5651" max="5651" width="10.85546875" style="42" customWidth="1"/>
    <col min="5652" max="5652" width="45.42578125" style="42" customWidth="1"/>
    <col min="5653" max="5654" width="14.28515625" style="42" customWidth="1"/>
    <col min="5655" max="5889" width="11.42578125" style="42"/>
    <col min="5890" max="5890" width="49.5703125" style="42" customWidth="1"/>
    <col min="5891" max="5891" width="18.5703125" style="42" bestFit="1" customWidth="1"/>
    <col min="5892" max="5895" width="17.28515625" style="42" bestFit="1" customWidth="1"/>
    <col min="5896" max="5896" width="1" style="42" customWidth="1"/>
    <col min="5897" max="5897" width="17.28515625" style="42" bestFit="1" customWidth="1"/>
    <col min="5898" max="5898" width="0.85546875" style="42" customWidth="1"/>
    <col min="5899" max="5899" width="18.28515625" style="42" customWidth="1"/>
    <col min="5900" max="5903" width="17.28515625" style="42" bestFit="1" customWidth="1"/>
    <col min="5904" max="5904" width="10.85546875" style="42" customWidth="1"/>
    <col min="5905" max="5906" width="14.28515625" style="42" customWidth="1"/>
    <col min="5907" max="5907" width="10.85546875" style="42" customWidth="1"/>
    <col min="5908" max="5908" width="45.42578125" style="42" customWidth="1"/>
    <col min="5909" max="5910" width="14.28515625" style="42" customWidth="1"/>
    <col min="5911" max="6145" width="11.42578125" style="42"/>
    <col min="6146" max="6146" width="49.5703125" style="42" customWidth="1"/>
    <col min="6147" max="6147" width="18.5703125" style="42" bestFit="1" customWidth="1"/>
    <col min="6148" max="6151" width="17.28515625" style="42" bestFit="1" customWidth="1"/>
    <col min="6152" max="6152" width="1" style="42" customWidth="1"/>
    <col min="6153" max="6153" width="17.28515625" style="42" bestFit="1" customWidth="1"/>
    <col min="6154" max="6154" width="0.85546875" style="42" customWidth="1"/>
    <col min="6155" max="6155" width="18.28515625" style="42" customWidth="1"/>
    <col min="6156" max="6159" width="17.28515625" style="42" bestFit="1" customWidth="1"/>
    <col min="6160" max="6160" width="10.85546875" style="42" customWidth="1"/>
    <col min="6161" max="6162" width="14.28515625" style="42" customWidth="1"/>
    <col min="6163" max="6163" width="10.85546875" style="42" customWidth="1"/>
    <col min="6164" max="6164" width="45.42578125" style="42" customWidth="1"/>
    <col min="6165" max="6166" width="14.28515625" style="42" customWidth="1"/>
    <col min="6167" max="6401" width="11.42578125" style="42"/>
    <col min="6402" max="6402" width="49.5703125" style="42" customWidth="1"/>
    <col min="6403" max="6403" width="18.5703125" style="42" bestFit="1" customWidth="1"/>
    <col min="6404" max="6407" width="17.28515625" style="42" bestFit="1" customWidth="1"/>
    <col min="6408" max="6408" width="1" style="42" customWidth="1"/>
    <col min="6409" max="6409" width="17.28515625" style="42" bestFit="1" customWidth="1"/>
    <col min="6410" max="6410" width="0.85546875" style="42" customWidth="1"/>
    <col min="6411" max="6411" width="18.28515625" style="42" customWidth="1"/>
    <col min="6412" max="6415" width="17.28515625" style="42" bestFit="1" customWidth="1"/>
    <col min="6416" max="6416" width="10.85546875" style="42" customWidth="1"/>
    <col min="6417" max="6418" width="14.28515625" style="42" customWidth="1"/>
    <col min="6419" max="6419" width="10.85546875" style="42" customWidth="1"/>
    <col min="6420" max="6420" width="45.42578125" style="42" customWidth="1"/>
    <col min="6421" max="6422" width="14.28515625" style="42" customWidth="1"/>
    <col min="6423" max="6657" width="11.42578125" style="42"/>
    <col min="6658" max="6658" width="49.5703125" style="42" customWidth="1"/>
    <col min="6659" max="6659" width="18.5703125" style="42" bestFit="1" customWidth="1"/>
    <col min="6660" max="6663" width="17.28515625" style="42" bestFit="1" customWidth="1"/>
    <col min="6664" max="6664" width="1" style="42" customWidth="1"/>
    <col min="6665" max="6665" width="17.28515625" style="42" bestFit="1" customWidth="1"/>
    <col min="6666" max="6666" width="0.85546875" style="42" customWidth="1"/>
    <col min="6667" max="6667" width="18.28515625" style="42" customWidth="1"/>
    <col min="6668" max="6671" width="17.28515625" style="42" bestFit="1" customWidth="1"/>
    <col min="6672" max="6672" width="10.85546875" style="42" customWidth="1"/>
    <col min="6673" max="6674" width="14.28515625" style="42" customWidth="1"/>
    <col min="6675" max="6675" width="10.85546875" style="42" customWidth="1"/>
    <col min="6676" max="6676" width="45.42578125" style="42" customWidth="1"/>
    <col min="6677" max="6678" width="14.28515625" style="42" customWidth="1"/>
    <col min="6679" max="6913" width="11.42578125" style="42"/>
    <col min="6914" max="6914" width="49.5703125" style="42" customWidth="1"/>
    <col min="6915" max="6915" width="18.5703125" style="42" bestFit="1" customWidth="1"/>
    <col min="6916" max="6919" width="17.28515625" style="42" bestFit="1" customWidth="1"/>
    <col min="6920" max="6920" width="1" style="42" customWidth="1"/>
    <col min="6921" max="6921" width="17.28515625" style="42" bestFit="1" customWidth="1"/>
    <col min="6922" max="6922" width="0.85546875" style="42" customWidth="1"/>
    <col min="6923" max="6923" width="18.28515625" style="42" customWidth="1"/>
    <col min="6924" max="6927" width="17.28515625" style="42" bestFit="1" customWidth="1"/>
    <col min="6928" max="6928" width="10.85546875" style="42" customWidth="1"/>
    <col min="6929" max="6930" width="14.28515625" style="42" customWidth="1"/>
    <col min="6931" max="6931" width="10.85546875" style="42" customWidth="1"/>
    <col min="6932" max="6932" width="45.42578125" style="42" customWidth="1"/>
    <col min="6933" max="6934" width="14.28515625" style="42" customWidth="1"/>
    <col min="6935" max="7169" width="11.42578125" style="42"/>
    <col min="7170" max="7170" width="49.5703125" style="42" customWidth="1"/>
    <col min="7171" max="7171" width="18.5703125" style="42" bestFit="1" customWidth="1"/>
    <col min="7172" max="7175" width="17.28515625" style="42" bestFit="1" customWidth="1"/>
    <col min="7176" max="7176" width="1" style="42" customWidth="1"/>
    <col min="7177" max="7177" width="17.28515625" style="42" bestFit="1" customWidth="1"/>
    <col min="7178" max="7178" width="0.85546875" style="42" customWidth="1"/>
    <col min="7179" max="7179" width="18.28515625" style="42" customWidth="1"/>
    <col min="7180" max="7183" width="17.28515625" style="42" bestFit="1" customWidth="1"/>
    <col min="7184" max="7184" width="10.85546875" style="42" customWidth="1"/>
    <col min="7185" max="7186" width="14.28515625" style="42" customWidth="1"/>
    <col min="7187" max="7187" width="10.85546875" style="42" customWidth="1"/>
    <col min="7188" max="7188" width="45.42578125" style="42" customWidth="1"/>
    <col min="7189" max="7190" width="14.28515625" style="42" customWidth="1"/>
    <col min="7191" max="7425" width="11.42578125" style="42"/>
    <col min="7426" max="7426" width="49.5703125" style="42" customWidth="1"/>
    <col min="7427" max="7427" width="18.5703125" style="42" bestFit="1" customWidth="1"/>
    <col min="7428" max="7431" width="17.28515625" style="42" bestFit="1" customWidth="1"/>
    <col min="7432" max="7432" width="1" style="42" customWidth="1"/>
    <col min="7433" max="7433" width="17.28515625" style="42" bestFit="1" customWidth="1"/>
    <col min="7434" max="7434" width="0.85546875" style="42" customWidth="1"/>
    <col min="7435" max="7435" width="18.28515625" style="42" customWidth="1"/>
    <col min="7436" max="7439" width="17.28515625" style="42" bestFit="1" customWidth="1"/>
    <col min="7440" max="7440" width="10.85546875" style="42" customWidth="1"/>
    <col min="7441" max="7442" width="14.28515625" style="42" customWidth="1"/>
    <col min="7443" max="7443" width="10.85546875" style="42" customWidth="1"/>
    <col min="7444" max="7444" width="45.42578125" style="42" customWidth="1"/>
    <col min="7445" max="7446" width="14.28515625" style="42" customWidth="1"/>
    <col min="7447" max="7681" width="11.42578125" style="42"/>
    <col min="7682" max="7682" width="49.5703125" style="42" customWidth="1"/>
    <col min="7683" max="7683" width="18.5703125" style="42" bestFit="1" customWidth="1"/>
    <col min="7684" max="7687" width="17.28515625" style="42" bestFit="1" customWidth="1"/>
    <col min="7688" max="7688" width="1" style="42" customWidth="1"/>
    <col min="7689" max="7689" width="17.28515625" style="42" bestFit="1" customWidth="1"/>
    <col min="7690" max="7690" width="0.85546875" style="42" customWidth="1"/>
    <col min="7691" max="7691" width="18.28515625" style="42" customWidth="1"/>
    <col min="7692" max="7695" width="17.28515625" style="42" bestFit="1" customWidth="1"/>
    <col min="7696" max="7696" width="10.85546875" style="42" customWidth="1"/>
    <col min="7697" max="7698" width="14.28515625" style="42" customWidth="1"/>
    <col min="7699" max="7699" width="10.85546875" style="42" customWidth="1"/>
    <col min="7700" max="7700" width="45.42578125" style="42" customWidth="1"/>
    <col min="7701" max="7702" width="14.28515625" style="42" customWidth="1"/>
    <col min="7703" max="7937" width="11.42578125" style="42"/>
    <col min="7938" max="7938" width="49.5703125" style="42" customWidth="1"/>
    <col min="7939" max="7939" width="18.5703125" style="42" bestFit="1" customWidth="1"/>
    <col min="7940" max="7943" width="17.28515625" style="42" bestFit="1" customWidth="1"/>
    <col min="7944" max="7944" width="1" style="42" customWidth="1"/>
    <col min="7945" max="7945" width="17.28515625" style="42" bestFit="1" customWidth="1"/>
    <col min="7946" max="7946" width="0.85546875" style="42" customWidth="1"/>
    <col min="7947" max="7947" width="18.28515625" style="42" customWidth="1"/>
    <col min="7948" max="7951" width="17.28515625" style="42" bestFit="1" customWidth="1"/>
    <col min="7952" max="7952" width="10.85546875" style="42" customWidth="1"/>
    <col min="7953" max="7954" width="14.28515625" style="42" customWidth="1"/>
    <col min="7955" max="7955" width="10.85546875" style="42" customWidth="1"/>
    <col min="7956" max="7956" width="45.42578125" style="42" customWidth="1"/>
    <col min="7957" max="7958" width="14.28515625" style="42" customWidth="1"/>
    <col min="7959" max="8193" width="11.42578125" style="42"/>
    <col min="8194" max="8194" width="49.5703125" style="42" customWidth="1"/>
    <col min="8195" max="8195" width="18.5703125" style="42" bestFit="1" customWidth="1"/>
    <col min="8196" max="8199" width="17.28515625" style="42" bestFit="1" customWidth="1"/>
    <col min="8200" max="8200" width="1" style="42" customWidth="1"/>
    <col min="8201" max="8201" width="17.28515625" style="42" bestFit="1" customWidth="1"/>
    <col min="8202" max="8202" width="0.85546875" style="42" customWidth="1"/>
    <col min="8203" max="8203" width="18.28515625" style="42" customWidth="1"/>
    <col min="8204" max="8207" width="17.28515625" style="42" bestFit="1" customWidth="1"/>
    <col min="8208" max="8208" width="10.85546875" style="42" customWidth="1"/>
    <col min="8209" max="8210" width="14.28515625" style="42" customWidth="1"/>
    <col min="8211" max="8211" width="10.85546875" style="42" customWidth="1"/>
    <col min="8212" max="8212" width="45.42578125" style="42" customWidth="1"/>
    <col min="8213" max="8214" width="14.28515625" style="42" customWidth="1"/>
    <col min="8215" max="8449" width="11.42578125" style="42"/>
    <col min="8450" max="8450" width="49.5703125" style="42" customWidth="1"/>
    <col min="8451" max="8451" width="18.5703125" style="42" bestFit="1" customWidth="1"/>
    <col min="8452" max="8455" width="17.28515625" style="42" bestFit="1" customWidth="1"/>
    <col min="8456" max="8456" width="1" style="42" customWidth="1"/>
    <col min="8457" max="8457" width="17.28515625" style="42" bestFit="1" customWidth="1"/>
    <col min="8458" max="8458" width="0.85546875" style="42" customWidth="1"/>
    <col min="8459" max="8459" width="18.28515625" style="42" customWidth="1"/>
    <col min="8460" max="8463" width="17.28515625" style="42" bestFit="1" customWidth="1"/>
    <col min="8464" max="8464" width="10.85546875" style="42" customWidth="1"/>
    <col min="8465" max="8466" width="14.28515625" style="42" customWidth="1"/>
    <col min="8467" max="8467" width="10.85546875" style="42" customWidth="1"/>
    <col min="8468" max="8468" width="45.42578125" style="42" customWidth="1"/>
    <col min="8469" max="8470" width="14.28515625" style="42" customWidth="1"/>
    <col min="8471" max="8705" width="11.42578125" style="42"/>
    <col min="8706" max="8706" width="49.5703125" style="42" customWidth="1"/>
    <col min="8707" max="8707" width="18.5703125" style="42" bestFit="1" customWidth="1"/>
    <col min="8708" max="8711" width="17.28515625" style="42" bestFit="1" customWidth="1"/>
    <col min="8712" max="8712" width="1" style="42" customWidth="1"/>
    <col min="8713" max="8713" width="17.28515625" style="42" bestFit="1" customWidth="1"/>
    <col min="8714" max="8714" width="0.85546875" style="42" customWidth="1"/>
    <col min="8715" max="8715" width="18.28515625" style="42" customWidth="1"/>
    <col min="8716" max="8719" width="17.28515625" style="42" bestFit="1" customWidth="1"/>
    <col min="8720" max="8720" width="10.85546875" style="42" customWidth="1"/>
    <col min="8721" max="8722" width="14.28515625" style="42" customWidth="1"/>
    <col min="8723" max="8723" width="10.85546875" style="42" customWidth="1"/>
    <col min="8724" max="8724" width="45.42578125" style="42" customWidth="1"/>
    <col min="8725" max="8726" width="14.28515625" style="42" customWidth="1"/>
    <col min="8727" max="8961" width="11.42578125" style="42"/>
    <col min="8962" max="8962" width="49.5703125" style="42" customWidth="1"/>
    <col min="8963" max="8963" width="18.5703125" style="42" bestFit="1" customWidth="1"/>
    <col min="8964" max="8967" width="17.28515625" style="42" bestFit="1" customWidth="1"/>
    <col min="8968" max="8968" width="1" style="42" customWidth="1"/>
    <col min="8969" max="8969" width="17.28515625" style="42" bestFit="1" customWidth="1"/>
    <col min="8970" max="8970" width="0.85546875" style="42" customWidth="1"/>
    <col min="8971" max="8971" width="18.28515625" style="42" customWidth="1"/>
    <col min="8972" max="8975" width="17.28515625" style="42" bestFit="1" customWidth="1"/>
    <col min="8976" max="8976" width="10.85546875" style="42" customWidth="1"/>
    <col min="8977" max="8978" width="14.28515625" style="42" customWidth="1"/>
    <col min="8979" max="8979" width="10.85546875" style="42" customWidth="1"/>
    <col min="8980" max="8980" width="45.42578125" style="42" customWidth="1"/>
    <col min="8981" max="8982" width="14.28515625" style="42" customWidth="1"/>
    <col min="8983" max="9217" width="11.42578125" style="42"/>
    <col min="9218" max="9218" width="49.5703125" style="42" customWidth="1"/>
    <col min="9219" max="9219" width="18.5703125" style="42" bestFit="1" customWidth="1"/>
    <col min="9220" max="9223" width="17.28515625" style="42" bestFit="1" customWidth="1"/>
    <col min="9224" max="9224" width="1" style="42" customWidth="1"/>
    <col min="9225" max="9225" width="17.28515625" style="42" bestFit="1" customWidth="1"/>
    <col min="9226" max="9226" width="0.85546875" style="42" customWidth="1"/>
    <col min="9227" max="9227" width="18.28515625" style="42" customWidth="1"/>
    <col min="9228" max="9231" width="17.28515625" style="42" bestFit="1" customWidth="1"/>
    <col min="9232" max="9232" width="10.85546875" style="42" customWidth="1"/>
    <col min="9233" max="9234" width="14.28515625" style="42" customWidth="1"/>
    <col min="9235" max="9235" width="10.85546875" style="42" customWidth="1"/>
    <col min="9236" max="9236" width="45.42578125" style="42" customWidth="1"/>
    <col min="9237" max="9238" width="14.28515625" style="42" customWidth="1"/>
    <col min="9239" max="9473" width="11.42578125" style="42"/>
    <col min="9474" max="9474" width="49.5703125" style="42" customWidth="1"/>
    <col min="9475" max="9475" width="18.5703125" style="42" bestFit="1" customWidth="1"/>
    <col min="9476" max="9479" width="17.28515625" style="42" bestFit="1" customWidth="1"/>
    <col min="9480" max="9480" width="1" style="42" customWidth="1"/>
    <col min="9481" max="9481" width="17.28515625" style="42" bestFit="1" customWidth="1"/>
    <col min="9482" max="9482" width="0.85546875" style="42" customWidth="1"/>
    <col min="9483" max="9483" width="18.28515625" style="42" customWidth="1"/>
    <col min="9484" max="9487" width="17.28515625" style="42" bestFit="1" customWidth="1"/>
    <col min="9488" max="9488" width="10.85546875" style="42" customWidth="1"/>
    <col min="9489" max="9490" width="14.28515625" style="42" customWidth="1"/>
    <col min="9491" max="9491" width="10.85546875" style="42" customWidth="1"/>
    <col min="9492" max="9492" width="45.42578125" style="42" customWidth="1"/>
    <col min="9493" max="9494" width="14.28515625" style="42" customWidth="1"/>
    <col min="9495" max="9729" width="11.42578125" style="42"/>
    <col min="9730" max="9730" width="49.5703125" style="42" customWidth="1"/>
    <col min="9731" max="9731" width="18.5703125" style="42" bestFit="1" customWidth="1"/>
    <col min="9732" max="9735" width="17.28515625" style="42" bestFit="1" customWidth="1"/>
    <col min="9736" max="9736" width="1" style="42" customWidth="1"/>
    <col min="9737" max="9737" width="17.28515625" style="42" bestFit="1" customWidth="1"/>
    <col min="9738" max="9738" width="0.85546875" style="42" customWidth="1"/>
    <col min="9739" max="9739" width="18.28515625" style="42" customWidth="1"/>
    <col min="9740" max="9743" width="17.28515625" style="42" bestFit="1" customWidth="1"/>
    <col min="9744" max="9744" width="10.85546875" style="42" customWidth="1"/>
    <col min="9745" max="9746" width="14.28515625" style="42" customWidth="1"/>
    <col min="9747" max="9747" width="10.85546875" style="42" customWidth="1"/>
    <col min="9748" max="9748" width="45.42578125" style="42" customWidth="1"/>
    <col min="9749" max="9750" width="14.28515625" style="42" customWidth="1"/>
    <col min="9751" max="9985" width="11.42578125" style="42"/>
    <col min="9986" max="9986" width="49.5703125" style="42" customWidth="1"/>
    <col min="9987" max="9987" width="18.5703125" style="42" bestFit="1" customWidth="1"/>
    <col min="9988" max="9991" width="17.28515625" style="42" bestFit="1" customWidth="1"/>
    <col min="9992" max="9992" width="1" style="42" customWidth="1"/>
    <col min="9993" max="9993" width="17.28515625" style="42" bestFit="1" customWidth="1"/>
    <col min="9994" max="9994" width="0.85546875" style="42" customWidth="1"/>
    <col min="9995" max="9995" width="18.28515625" style="42" customWidth="1"/>
    <col min="9996" max="9999" width="17.28515625" style="42" bestFit="1" customWidth="1"/>
    <col min="10000" max="10000" width="10.85546875" style="42" customWidth="1"/>
    <col min="10001" max="10002" width="14.28515625" style="42" customWidth="1"/>
    <col min="10003" max="10003" width="10.85546875" style="42" customWidth="1"/>
    <col min="10004" max="10004" width="45.42578125" style="42" customWidth="1"/>
    <col min="10005" max="10006" width="14.28515625" style="42" customWidth="1"/>
    <col min="10007" max="10241" width="11.42578125" style="42"/>
    <col min="10242" max="10242" width="49.5703125" style="42" customWidth="1"/>
    <col min="10243" max="10243" width="18.5703125" style="42" bestFit="1" customWidth="1"/>
    <col min="10244" max="10247" width="17.28515625" style="42" bestFit="1" customWidth="1"/>
    <col min="10248" max="10248" width="1" style="42" customWidth="1"/>
    <col min="10249" max="10249" width="17.28515625" style="42" bestFit="1" customWidth="1"/>
    <col min="10250" max="10250" width="0.85546875" style="42" customWidth="1"/>
    <col min="10251" max="10251" width="18.28515625" style="42" customWidth="1"/>
    <col min="10252" max="10255" width="17.28515625" style="42" bestFit="1" customWidth="1"/>
    <col min="10256" max="10256" width="10.85546875" style="42" customWidth="1"/>
    <col min="10257" max="10258" width="14.28515625" style="42" customWidth="1"/>
    <col min="10259" max="10259" width="10.85546875" style="42" customWidth="1"/>
    <col min="10260" max="10260" width="45.42578125" style="42" customWidth="1"/>
    <col min="10261" max="10262" width="14.28515625" style="42" customWidth="1"/>
    <col min="10263" max="10497" width="11.42578125" style="42"/>
    <col min="10498" max="10498" width="49.5703125" style="42" customWidth="1"/>
    <col min="10499" max="10499" width="18.5703125" style="42" bestFit="1" customWidth="1"/>
    <col min="10500" max="10503" width="17.28515625" style="42" bestFit="1" customWidth="1"/>
    <col min="10504" max="10504" width="1" style="42" customWidth="1"/>
    <col min="10505" max="10505" width="17.28515625" style="42" bestFit="1" customWidth="1"/>
    <col min="10506" max="10506" width="0.85546875" style="42" customWidth="1"/>
    <col min="10507" max="10507" width="18.28515625" style="42" customWidth="1"/>
    <col min="10508" max="10511" width="17.28515625" style="42" bestFit="1" customWidth="1"/>
    <col min="10512" max="10512" width="10.85546875" style="42" customWidth="1"/>
    <col min="10513" max="10514" width="14.28515625" style="42" customWidth="1"/>
    <col min="10515" max="10515" width="10.85546875" style="42" customWidth="1"/>
    <col min="10516" max="10516" width="45.42578125" style="42" customWidth="1"/>
    <col min="10517" max="10518" width="14.28515625" style="42" customWidth="1"/>
    <col min="10519" max="10753" width="11.42578125" style="42"/>
    <col min="10754" max="10754" width="49.5703125" style="42" customWidth="1"/>
    <col min="10755" max="10755" width="18.5703125" style="42" bestFit="1" customWidth="1"/>
    <col min="10756" max="10759" width="17.28515625" style="42" bestFit="1" customWidth="1"/>
    <col min="10760" max="10760" width="1" style="42" customWidth="1"/>
    <col min="10761" max="10761" width="17.28515625" style="42" bestFit="1" customWidth="1"/>
    <col min="10762" max="10762" width="0.85546875" style="42" customWidth="1"/>
    <col min="10763" max="10763" width="18.28515625" style="42" customWidth="1"/>
    <col min="10764" max="10767" width="17.28515625" style="42" bestFit="1" customWidth="1"/>
    <col min="10768" max="10768" width="10.85546875" style="42" customWidth="1"/>
    <col min="10769" max="10770" width="14.28515625" style="42" customWidth="1"/>
    <col min="10771" max="10771" width="10.85546875" style="42" customWidth="1"/>
    <col min="10772" max="10772" width="45.42578125" style="42" customWidth="1"/>
    <col min="10773" max="10774" width="14.28515625" style="42" customWidth="1"/>
    <col min="10775" max="11009" width="11.42578125" style="42"/>
    <col min="11010" max="11010" width="49.5703125" style="42" customWidth="1"/>
    <col min="11011" max="11011" width="18.5703125" style="42" bestFit="1" customWidth="1"/>
    <col min="11012" max="11015" width="17.28515625" style="42" bestFit="1" customWidth="1"/>
    <col min="11016" max="11016" width="1" style="42" customWidth="1"/>
    <col min="11017" max="11017" width="17.28515625" style="42" bestFit="1" customWidth="1"/>
    <col min="11018" max="11018" width="0.85546875" style="42" customWidth="1"/>
    <col min="11019" max="11019" width="18.28515625" style="42" customWidth="1"/>
    <col min="11020" max="11023" width="17.28515625" style="42" bestFit="1" customWidth="1"/>
    <col min="11024" max="11024" width="10.85546875" style="42" customWidth="1"/>
    <col min="11025" max="11026" width="14.28515625" style="42" customWidth="1"/>
    <col min="11027" max="11027" width="10.85546875" style="42" customWidth="1"/>
    <col min="11028" max="11028" width="45.42578125" style="42" customWidth="1"/>
    <col min="11029" max="11030" width="14.28515625" style="42" customWidth="1"/>
    <col min="11031" max="11265" width="11.42578125" style="42"/>
    <col min="11266" max="11266" width="49.5703125" style="42" customWidth="1"/>
    <col min="11267" max="11267" width="18.5703125" style="42" bestFit="1" customWidth="1"/>
    <col min="11268" max="11271" width="17.28515625" style="42" bestFit="1" customWidth="1"/>
    <col min="11272" max="11272" width="1" style="42" customWidth="1"/>
    <col min="11273" max="11273" width="17.28515625" style="42" bestFit="1" customWidth="1"/>
    <col min="11274" max="11274" width="0.85546875" style="42" customWidth="1"/>
    <col min="11275" max="11275" width="18.28515625" style="42" customWidth="1"/>
    <col min="11276" max="11279" width="17.28515625" style="42" bestFit="1" customWidth="1"/>
    <col min="11280" max="11280" width="10.85546875" style="42" customWidth="1"/>
    <col min="11281" max="11282" width="14.28515625" style="42" customWidth="1"/>
    <col min="11283" max="11283" width="10.85546875" style="42" customWidth="1"/>
    <col min="11284" max="11284" width="45.42578125" style="42" customWidth="1"/>
    <col min="11285" max="11286" width="14.28515625" style="42" customWidth="1"/>
    <col min="11287" max="11521" width="11.42578125" style="42"/>
    <col min="11522" max="11522" width="49.5703125" style="42" customWidth="1"/>
    <col min="11523" max="11523" width="18.5703125" style="42" bestFit="1" customWidth="1"/>
    <col min="11524" max="11527" width="17.28515625" style="42" bestFit="1" customWidth="1"/>
    <col min="11528" max="11528" width="1" style="42" customWidth="1"/>
    <col min="11529" max="11529" width="17.28515625" style="42" bestFit="1" customWidth="1"/>
    <col min="11530" max="11530" width="0.85546875" style="42" customWidth="1"/>
    <col min="11531" max="11531" width="18.28515625" style="42" customWidth="1"/>
    <col min="11532" max="11535" width="17.28515625" style="42" bestFit="1" customWidth="1"/>
    <col min="11536" max="11536" width="10.85546875" style="42" customWidth="1"/>
    <col min="11537" max="11538" width="14.28515625" style="42" customWidth="1"/>
    <col min="11539" max="11539" width="10.85546875" style="42" customWidth="1"/>
    <col min="11540" max="11540" width="45.42578125" style="42" customWidth="1"/>
    <col min="11541" max="11542" width="14.28515625" style="42" customWidth="1"/>
    <col min="11543" max="11777" width="11.42578125" style="42"/>
    <col min="11778" max="11778" width="49.5703125" style="42" customWidth="1"/>
    <col min="11779" max="11779" width="18.5703125" style="42" bestFit="1" customWidth="1"/>
    <col min="11780" max="11783" width="17.28515625" style="42" bestFit="1" customWidth="1"/>
    <col min="11784" max="11784" width="1" style="42" customWidth="1"/>
    <col min="11785" max="11785" width="17.28515625" style="42" bestFit="1" customWidth="1"/>
    <col min="11786" max="11786" width="0.85546875" style="42" customWidth="1"/>
    <col min="11787" max="11787" width="18.28515625" style="42" customWidth="1"/>
    <col min="11788" max="11791" width="17.28515625" style="42" bestFit="1" customWidth="1"/>
    <col min="11792" max="11792" width="10.85546875" style="42" customWidth="1"/>
    <col min="11793" max="11794" width="14.28515625" style="42" customWidth="1"/>
    <col min="11795" max="11795" width="10.85546875" style="42" customWidth="1"/>
    <col min="11796" max="11796" width="45.42578125" style="42" customWidth="1"/>
    <col min="11797" max="11798" width="14.28515625" style="42" customWidth="1"/>
    <col min="11799" max="12033" width="11.42578125" style="42"/>
    <col min="12034" max="12034" width="49.5703125" style="42" customWidth="1"/>
    <col min="12035" max="12035" width="18.5703125" style="42" bestFit="1" customWidth="1"/>
    <col min="12036" max="12039" width="17.28515625" style="42" bestFit="1" customWidth="1"/>
    <col min="12040" max="12040" width="1" style="42" customWidth="1"/>
    <col min="12041" max="12041" width="17.28515625" style="42" bestFit="1" customWidth="1"/>
    <col min="12042" max="12042" width="0.85546875" style="42" customWidth="1"/>
    <col min="12043" max="12043" width="18.28515625" style="42" customWidth="1"/>
    <col min="12044" max="12047" width="17.28515625" style="42" bestFit="1" customWidth="1"/>
    <col min="12048" max="12048" width="10.85546875" style="42" customWidth="1"/>
    <col min="12049" max="12050" width="14.28515625" style="42" customWidth="1"/>
    <col min="12051" max="12051" width="10.85546875" style="42" customWidth="1"/>
    <col min="12052" max="12052" width="45.42578125" style="42" customWidth="1"/>
    <col min="12053" max="12054" width="14.28515625" style="42" customWidth="1"/>
    <col min="12055" max="12289" width="11.42578125" style="42"/>
    <col min="12290" max="12290" width="49.5703125" style="42" customWidth="1"/>
    <col min="12291" max="12291" width="18.5703125" style="42" bestFit="1" customWidth="1"/>
    <col min="12292" max="12295" width="17.28515625" style="42" bestFit="1" customWidth="1"/>
    <col min="12296" max="12296" width="1" style="42" customWidth="1"/>
    <col min="12297" max="12297" width="17.28515625" style="42" bestFit="1" customWidth="1"/>
    <col min="12298" max="12298" width="0.85546875" style="42" customWidth="1"/>
    <col min="12299" max="12299" width="18.28515625" style="42" customWidth="1"/>
    <col min="12300" max="12303" width="17.28515625" style="42" bestFit="1" customWidth="1"/>
    <col min="12304" max="12304" width="10.85546875" style="42" customWidth="1"/>
    <col min="12305" max="12306" width="14.28515625" style="42" customWidth="1"/>
    <col min="12307" max="12307" width="10.85546875" style="42" customWidth="1"/>
    <col min="12308" max="12308" width="45.42578125" style="42" customWidth="1"/>
    <col min="12309" max="12310" width="14.28515625" style="42" customWidth="1"/>
    <col min="12311" max="12545" width="11.42578125" style="42"/>
    <col min="12546" max="12546" width="49.5703125" style="42" customWidth="1"/>
    <col min="12547" max="12547" width="18.5703125" style="42" bestFit="1" customWidth="1"/>
    <col min="12548" max="12551" width="17.28515625" style="42" bestFit="1" customWidth="1"/>
    <col min="12552" max="12552" width="1" style="42" customWidth="1"/>
    <col min="12553" max="12553" width="17.28515625" style="42" bestFit="1" customWidth="1"/>
    <col min="12554" max="12554" width="0.85546875" style="42" customWidth="1"/>
    <col min="12555" max="12555" width="18.28515625" style="42" customWidth="1"/>
    <col min="12556" max="12559" width="17.28515625" style="42" bestFit="1" customWidth="1"/>
    <col min="12560" max="12560" width="10.85546875" style="42" customWidth="1"/>
    <col min="12561" max="12562" width="14.28515625" style="42" customWidth="1"/>
    <col min="12563" max="12563" width="10.85546875" style="42" customWidth="1"/>
    <col min="12564" max="12564" width="45.42578125" style="42" customWidth="1"/>
    <col min="12565" max="12566" width="14.28515625" style="42" customWidth="1"/>
    <col min="12567" max="12801" width="11.42578125" style="42"/>
    <col min="12802" max="12802" width="49.5703125" style="42" customWidth="1"/>
    <col min="12803" max="12803" width="18.5703125" style="42" bestFit="1" customWidth="1"/>
    <col min="12804" max="12807" width="17.28515625" style="42" bestFit="1" customWidth="1"/>
    <col min="12808" max="12808" width="1" style="42" customWidth="1"/>
    <col min="12809" max="12809" width="17.28515625" style="42" bestFit="1" customWidth="1"/>
    <col min="12810" max="12810" width="0.85546875" style="42" customWidth="1"/>
    <col min="12811" max="12811" width="18.28515625" style="42" customWidth="1"/>
    <col min="12812" max="12815" width="17.28515625" style="42" bestFit="1" customWidth="1"/>
    <col min="12816" max="12816" width="10.85546875" style="42" customWidth="1"/>
    <col min="12817" max="12818" width="14.28515625" style="42" customWidth="1"/>
    <col min="12819" max="12819" width="10.85546875" style="42" customWidth="1"/>
    <col min="12820" max="12820" width="45.42578125" style="42" customWidth="1"/>
    <col min="12821" max="12822" width="14.28515625" style="42" customWidth="1"/>
    <col min="12823" max="13057" width="11.42578125" style="42"/>
    <col min="13058" max="13058" width="49.5703125" style="42" customWidth="1"/>
    <col min="13059" max="13059" width="18.5703125" style="42" bestFit="1" customWidth="1"/>
    <col min="13060" max="13063" width="17.28515625" style="42" bestFit="1" customWidth="1"/>
    <col min="13064" max="13064" width="1" style="42" customWidth="1"/>
    <col min="13065" max="13065" width="17.28515625" style="42" bestFit="1" customWidth="1"/>
    <col min="13066" max="13066" width="0.85546875" style="42" customWidth="1"/>
    <col min="13067" max="13067" width="18.28515625" style="42" customWidth="1"/>
    <col min="13068" max="13071" width="17.28515625" style="42" bestFit="1" customWidth="1"/>
    <col min="13072" max="13072" width="10.85546875" style="42" customWidth="1"/>
    <col min="13073" max="13074" width="14.28515625" style="42" customWidth="1"/>
    <col min="13075" max="13075" width="10.85546875" style="42" customWidth="1"/>
    <col min="13076" max="13076" width="45.42578125" style="42" customWidth="1"/>
    <col min="13077" max="13078" width="14.28515625" style="42" customWidth="1"/>
    <col min="13079" max="13313" width="11.42578125" style="42"/>
    <col min="13314" max="13314" width="49.5703125" style="42" customWidth="1"/>
    <col min="13315" max="13315" width="18.5703125" style="42" bestFit="1" customWidth="1"/>
    <col min="13316" max="13319" width="17.28515625" style="42" bestFit="1" customWidth="1"/>
    <col min="13320" max="13320" width="1" style="42" customWidth="1"/>
    <col min="13321" max="13321" width="17.28515625" style="42" bestFit="1" customWidth="1"/>
    <col min="13322" max="13322" width="0.85546875" style="42" customWidth="1"/>
    <col min="13323" max="13323" width="18.28515625" style="42" customWidth="1"/>
    <col min="13324" max="13327" width="17.28515625" style="42" bestFit="1" customWidth="1"/>
    <col min="13328" max="13328" width="10.85546875" style="42" customWidth="1"/>
    <col min="13329" max="13330" width="14.28515625" style="42" customWidth="1"/>
    <col min="13331" max="13331" width="10.85546875" style="42" customWidth="1"/>
    <col min="13332" max="13332" width="45.42578125" style="42" customWidth="1"/>
    <col min="13333" max="13334" width="14.28515625" style="42" customWidth="1"/>
    <col min="13335" max="13569" width="11.42578125" style="42"/>
    <col min="13570" max="13570" width="49.5703125" style="42" customWidth="1"/>
    <col min="13571" max="13571" width="18.5703125" style="42" bestFit="1" customWidth="1"/>
    <col min="13572" max="13575" width="17.28515625" style="42" bestFit="1" customWidth="1"/>
    <col min="13576" max="13576" width="1" style="42" customWidth="1"/>
    <col min="13577" max="13577" width="17.28515625" style="42" bestFit="1" customWidth="1"/>
    <col min="13578" max="13578" width="0.85546875" style="42" customWidth="1"/>
    <col min="13579" max="13579" width="18.28515625" style="42" customWidth="1"/>
    <col min="13580" max="13583" width="17.28515625" style="42" bestFit="1" customWidth="1"/>
    <col min="13584" max="13584" width="10.85546875" style="42" customWidth="1"/>
    <col min="13585" max="13586" width="14.28515625" style="42" customWidth="1"/>
    <col min="13587" max="13587" width="10.85546875" style="42" customWidth="1"/>
    <col min="13588" max="13588" width="45.42578125" style="42" customWidth="1"/>
    <col min="13589" max="13590" width="14.28515625" style="42" customWidth="1"/>
    <col min="13591" max="13825" width="11.42578125" style="42"/>
    <col min="13826" max="13826" width="49.5703125" style="42" customWidth="1"/>
    <col min="13827" max="13827" width="18.5703125" style="42" bestFit="1" customWidth="1"/>
    <col min="13828" max="13831" width="17.28515625" style="42" bestFit="1" customWidth="1"/>
    <col min="13832" max="13832" width="1" style="42" customWidth="1"/>
    <col min="13833" max="13833" width="17.28515625" style="42" bestFit="1" customWidth="1"/>
    <col min="13834" max="13834" width="0.85546875" style="42" customWidth="1"/>
    <col min="13835" max="13835" width="18.28515625" style="42" customWidth="1"/>
    <col min="13836" max="13839" width="17.28515625" style="42" bestFit="1" customWidth="1"/>
    <col min="13840" max="13840" width="10.85546875" style="42" customWidth="1"/>
    <col min="13841" max="13842" width="14.28515625" style="42" customWidth="1"/>
    <col min="13843" max="13843" width="10.85546875" style="42" customWidth="1"/>
    <col min="13844" max="13844" width="45.42578125" style="42" customWidth="1"/>
    <col min="13845" max="13846" width="14.28515625" style="42" customWidth="1"/>
    <col min="13847" max="14081" width="11.42578125" style="42"/>
    <col min="14082" max="14082" width="49.5703125" style="42" customWidth="1"/>
    <col min="14083" max="14083" width="18.5703125" style="42" bestFit="1" customWidth="1"/>
    <col min="14084" max="14087" width="17.28515625" style="42" bestFit="1" customWidth="1"/>
    <col min="14088" max="14088" width="1" style="42" customWidth="1"/>
    <col min="14089" max="14089" width="17.28515625" style="42" bestFit="1" customWidth="1"/>
    <col min="14090" max="14090" width="0.85546875" style="42" customWidth="1"/>
    <col min="14091" max="14091" width="18.28515625" style="42" customWidth="1"/>
    <col min="14092" max="14095" width="17.28515625" style="42" bestFit="1" customWidth="1"/>
    <col min="14096" max="14096" width="10.85546875" style="42" customWidth="1"/>
    <col min="14097" max="14098" width="14.28515625" style="42" customWidth="1"/>
    <col min="14099" max="14099" width="10.85546875" style="42" customWidth="1"/>
    <col min="14100" max="14100" width="45.42578125" style="42" customWidth="1"/>
    <col min="14101" max="14102" width="14.28515625" style="42" customWidth="1"/>
    <col min="14103" max="14337" width="11.42578125" style="42"/>
    <col min="14338" max="14338" width="49.5703125" style="42" customWidth="1"/>
    <col min="14339" max="14339" width="18.5703125" style="42" bestFit="1" customWidth="1"/>
    <col min="14340" max="14343" width="17.28515625" style="42" bestFit="1" customWidth="1"/>
    <col min="14344" max="14344" width="1" style="42" customWidth="1"/>
    <col min="14345" max="14345" width="17.28515625" style="42" bestFit="1" customWidth="1"/>
    <col min="14346" max="14346" width="0.85546875" style="42" customWidth="1"/>
    <col min="14347" max="14347" width="18.28515625" style="42" customWidth="1"/>
    <col min="14348" max="14351" width="17.28515625" style="42" bestFit="1" customWidth="1"/>
    <col min="14352" max="14352" width="10.85546875" style="42" customWidth="1"/>
    <col min="14353" max="14354" width="14.28515625" style="42" customWidth="1"/>
    <col min="14355" max="14355" width="10.85546875" style="42" customWidth="1"/>
    <col min="14356" max="14356" width="45.42578125" style="42" customWidth="1"/>
    <col min="14357" max="14358" width="14.28515625" style="42" customWidth="1"/>
    <col min="14359" max="14593" width="11.42578125" style="42"/>
    <col min="14594" max="14594" width="49.5703125" style="42" customWidth="1"/>
    <col min="14595" max="14595" width="18.5703125" style="42" bestFit="1" customWidth="1"/>
    <col min="14596" max="14599" width="17.28515625" style="42" bestFit="1" customWidth="1"/>
    <col min="14600" max="14600" width="1" style="42" customWidth="1"/>
    <col min="14601" max="14601" width="17.28515625" style="42" bestFit="1" customWidth="1"/>
    <col min="14602" max="14602" width="0.85546875" style="42" customWidth="1"/>
    <col min="14603" max="14603" width="18.28515625" style="42" customWidth="1"/>
    <col min="14604" max="14607" width="17.28515625" style="42" bestFit="1" customWidth="1"/>
    <col min="14608" max="14608" width="10.85546875" style="42" customWidth="1"/>
    <col min="14609" max="14610" width="14.28515625" style="42" customWidth="1"/>
    <col min="14611" max="14611" width="10.85546875" style="42" customWidth="1"/>
    <col min="14612" max="14612" width="45.42578125" style="42" customWidth="1"/>
    <col min="14613" max="14614" width="14.28515625" style="42" customWidth="1"/>
    <col min="14615" max="14849" width="11.42578125" style="42"/>
    <col min="14850" max="14850" width="49.5703125" style="42" customWidth="1"/>
    <col min="14851" max="14851" width="18.5703125" style="42" bestFit="1" customWidth="1"/>
    <col min="14852" max="14855" width="17.28515625" style="42" bestFit="1" customWidth="1"/>
    <col min="14856" max="14856" width="1" style="42" customWidth="1"/>
    <col min="14857" max="14857" width="17.28515625" style="42" bestFit="1" customWidth="1"/>
    <col min="14858" max="14858" width="0.85546875" style="42" customWidth="1"/>
    <col min="14859" max="14859" width="18.28515625" style="42" customWidth="1"/>
    <col min="14860" max="14863" width="17.28515625" style="42" bestFit="1" customWidth="1"/>
    <col min="14864" max="14864" width="10.85546875" style="42" customWidth="1"/>
    <col min="14865" max="14866" width="14.28515625" style="42" customWidth="1"/>
    <col min="14867" max="14867" width="10.85546875" style="42" customWidth="1"/>
    <col min="14868" max="14868" width="45.42578125" style="42" customWidth="1"/>
    <col min="14869" max="14870" width="14.28515625" style="42" customWidth="1"/>
    <col min="14871" max="15105" width="11.42578125" style="42"/>
    <col min="15106" max="15106" width="49.5703125" style="42" customWidth="1"/>
    <col min="15107" max="15107" width="18.5703125" style="42" bestFit="1" customWidth="1"/>
    <col min="15108" max="15111" width="17.28515625" style="42" bestFit="1" customWidth="1"/>
    <col min="15112" max="15112" width="1" style="42" customWidth="1"/>
    <col min="15113" max="15113" width="17.28515625" style="42" bestFit="1" customWidth="1"/>
    <col min="15114" max="15114" width="0.85546875" style="42" customWidth="1"/>
    <col min="15115" max="15115" width="18.28515625" style="42" customWidth="1"/>
    <col min="15116" max="15119" width="17.28515625" style="42" bestFit="1" customWidth="1"/>
    <col min="15120" max="15120" width="10.85546875" style="42" customWidth="1"/>
    <col min="15121" max="15122" width="14.28515625" style="42" customWidth="1"/>
    <col min="15123" max="15123" width="10.85546875" style="42" customWidth="1"/>
    <col min="15124" max="15124" width="45.42578125" style="42" customWidth="1"/>
    <col min="15125" max="15126" width="14.28515625" style="42" customWidth="1"/>
    <col min="15127" max="15361" width="11.42578125" style="42"/>
    <col min="15362" max="15362" width="49.5703125" style="42" customWidth="1"/>
    <col min="15363" max="15363" width="18.5703125" style="42" bestFit="1" customWidth="1"/>
    <col min="15364" max="15367" width="17.28515625" style="42" bestFit="1" customWidth="1"/>
    <col min="15368" max="15368" width="1" style="42" customWidth="1"/>
    <col min="15369" max="15369" width="17.28515625" style="42" bestFit="1" customWidth="1"/>
    <col min="15370" max="15370" width="0.85546875" style="42" customWidth="1"/>
    <col min="15371" max="15371" width="18.28515625" style="42" customWidth="1"/>
    <col min="15372" max="15375" width="17.28515625" style="42" bestFit="1" customWidth="1"/>
    <col min="15376" max="15376" width="10.85546875" style="42" customWidth="1"/>
    <col min="15377" max="15378" width="14.28515625" style="42" customWidth="1"/>
    <col min="15379" max="15379" width="10.85546875" style="42" customWidth="1"/>
    <col min="15380" max="15380" width="45.42578125" style="42" customWidth="1"/>
    <col min="15381" max="15382" width="14.28515625" style="42" customWidth="1"/>
    <col min="15383" max="15617" width="11.42578125" style="42"/>
    <col min="15618" max="15618" width="49.5703125" style="42" customWidth="1"/>
    <col min="15619" max="15619" width="18.5703125" style="42" bestFit="1" customWidth="1"/>
    <col min="15620" max="15623" width="17.28515625" style="42" bestFit="1" customWidth="1"/>
    <col min="15624" max="15624" width="1" style="42" customWidth="1"/>
    <col min="15625" max="15625" width="17.28515625" style="42" bestFit="1" customWidth="1"/>
    <col min="15626" max="15626" width="0.85546875" style="42" customWidth="1"/>
    <col min="15627" max="15627" width="18.28515625" style="42" customWidth="1"/>
    <col min="15628" max="15631" width="17.28515625" style="42" bestFit="1" customWidth="1"/>
    <col min="15632" max="15632" width="10.85546875" style="42" customWidth="1"/>
    <col min="15633" max="15634" width="14.28515625" style="42" customWidth="1"/>
    <col min="15635" max="15635" width="10.85546875" style="42" customWidth="1"/>
    <col min="15636" max="15636" width="45.42578125" style="42" customWidth="1"/>
    <col min="15637" max="15638" width="14.28515625" style="42" customWidth="1"/>
    <col min="15639" max="15873" width="11.42578125" style="42"/>
    <col min="15874" max="15874" width="49.5703125" style="42" customWidth="1"/>
    <col min="15875" max="15875" width="18.5703125" style="42" bestFit="1" customWidth="1"/>
    <col min="15876" max="15879" width="17.28515625" style="42" bestFit="1" customWidth="1"/>
    <col min="15880" max="15880" width="1" style="42" customWidth="1"/>
    <col min="15881" max="15881" width="17.28515625" style="42" bestFit="1" customWidth="1"/>
    <col min="15882" max="15882" width="0.85546875" style="42" customWidth="1"/>
    <col min="15883" max="15883" width="18.28515625" style="42" customWidth="1"/>
    <col min="15884" max="15887" width="17.28515625" style="42" bestFit="1" customWidth="1"/>
    <col min="15888" max="15888" width="10.85546875" style="42" customWidth="1"/>
    <col min="15889" max="15890" width="14.28515625" style="42" customWidth="1"/>
    <col min="15891" max="15891" width="10.85546875" style="42" customWidth="1"/>
    <col min="15892" max="15892" width="45.42578125" style="42" customWidth="1"/>
    <col min="15893" max="15894" width="14.28515625" style="42" customWidth="1"/>
    <col min="15895" max="16129" width="11.42578125" style="42"/>
    <col min="16130" max="16130" width="49.5703125" style="42" customWidth="1"/>
    <col min="16131" max="16131" width="18.5703125" style="42" bestFit="1" customWidth="1"/>
    <col min="16132" max="16135" width="17.28515625" style="42" bestFit="1" customWidth="1"/>
    <col min="16136" max="16136" width="1" style="42" customWidth="1"/>
    <col min="16137" max="16137" width="17.28515625" style="42" bestFit="1" customWidth="1"/>
    <col min="16138" max="16138" width="0.85546875" style="42" customWidth="1"/>
    <col min="16139" max="16139" width="18.28515625" style="42" customWidth="1"/>
    <col min="16140" max="16143" width="17.28515625" style="42" bestFit="1" customWidth="1"/>
    <col min="16144" max="16144" width="10.85546875" style="42" customWidth="1"/>
    <col min="16145" max="16146" width="14.28515625" style="42" customWidth="1"/>
    <col min="16147" max="16147" width="10.85546875" style="42" customWidth="1"/>
    <col min="16148" max="16148" width="45.42578125" style="42" customWidth="1"/>
    <col min="16149" max="16150" width="14.28515625" style="42" customWidth="1"/>
    <col min="16151" max="16384" width="11.42578125" style="42"/>
  </cols>
  <sheetData>
    <row r="1" spans="1:18" ht="15" customHeight="1" x14ac:dyDescent="0.25">
      <c r="A1" s="650"/>
      <c r="B1" s="742"/>
      <c r="C1" s="742"/>
      <c r="D1" s="744"/>
      <c r="E1" s="742"/>
      <c r="F1" s="744"/>
      <c r="G1" s="742"/>
      <c r="H1" s="744"/>
      <c r="I1" s="742"/>
      <c r="J1" s="744"/>
      <c r="K1" s="742"/>
      <c r="L1" s="744"/>
      <c r="M1" s="882"/>
      <c r="N1" s="744"/>
      <c r="O1" s="882"/>
      <c r="P1" s="744"/>
      <c r="Q1" s="744"/>
      <c r="R1" s="742"/>
    </row>
    <row r="2" spans="1:18" s="44" customFormat="1" ht="48" customHeight="1" x14ac:dyDescent="0.25">
      <c r="A2" s="746" t="s">
        <v>946</v>
      </c>
      <c r="B2" s="753" t="s">
        <v>1000</v>
      </c>
      <c r="C2" s="753" t="s">
        <v>1001</v>
      </c>
      <c r="D2" s="754" t="s">
        <v>1002</v>
      </c>
      <c r="E2" s="753" t="s">
        <v>1003</v>
      </c>
      <c r="F2" s="754" t="s">
        <v>1004</v>
      </c>
      <c r="G2" s="753" t="s">
        <v>1005</v>
      </c>
      <c r="H2" s="754" t="s">
        <v>1006</v>
      </c>
      <c r="I2" s="753" t="s">
        <v>1007</v>
      </c>
      <c r="J2" s="754" t="s">
        <v>1008</v>
      </c>
      <c r="K2" s="753" t="s">
        <v>1009</v>
      </c>
      <c r="L2" s="754" t="s">
        <v>1010</v>
      </c>
      <c r="M2" s="883" t="s">
        <v>1011</v>
      </c>
      <c r="N2" s="754" t="s">
        <v>1012</v>
      </c>
      <c r="O2" s="883" t="s">
        <v>1863</v>
      </c>
      <c r="P2" s="754" t="s">
        <v>1864</v>
      </c>
      <c r="Q2" s="754" t="s">
        <v>1865</v>
      </c>
      <c r="R2" s="753" t="s">
        <v>1866</v>
      </c>
    </row>
    <row r="3" spans="1:18" s="54" customFormat="1" x14ac:dyDescent="0.25">
      <c r="A3" s="747" t="s">
        <v>949</v>
      </c>
      <c r="B3" s="755">
        <f t="shared" ref="B3:K3" si="0">+B4+B90+B149</f>
        <v>281317707775.85999</v>
      </c>
      <c r="C3" s="755">
        <f t="shared" si="0"/>
        <v>269299032046.10001</v>
      </c>
      <c r="D3" s="756">
        <f>+(C3-B3)/B3</f>
        <v>-4.2722784231328463E-2</v>
      </c>
      <c r="E3" s="755">
        <f t="shared" si="0"/>
        <v>296746834875.20001</v>
      </c>
      <c r="F3" s="756">
        <f>+(E3-C3)/C3</f>
        <v>0.10192313956925529</v>
      </c>
      <c r="G3" s="755">
        <f t="shared" si="0"/>
        <v>317040324562.40002</v>
      </c>
      <c r="H3" s="756">
        <f>+(G3-E3)/E3</f>
        <v>6.8386541328181824E-2</v>
      </c>
      <c r="I3" s="755">
        <f t="shared" si="0"/>
        <v>341899568234.72003</v>
      </c>
      <c r="J3" s="756">
        <f>+(I3-G3)/G3</f>
        <v>7.8410352710281808E-2</v>
      </c>
      <c r="K3" s="755">
        <f t="shared" si="0"/>
        <v>378605691275.53998</v>
      </c>
      <c r="L3" s="756">
        <f>+(K3-I3)/I3</f>
        <v>0.10735937231608479</v>
      </c>
      <c r="M3" s="884">
        <f>+M4+M90+M149</f>
        <v>448950658995.34998</v>
      </c>
      <c r="N3" s="756">
        <f>+(M3-K3)/K3</f>
        <v>0.18580007997981901</v>
      </c>
      <c r="O3" s="884">
        <f>+O4+O90+O149</f>
        <v>349536115738.02002</v>
      </c>
      <c r="P3" s="884">
        <f t="shared" ref="P3:Q3" si="1">+P4+P90+P149</f>
        <v>377014167752.71997</v>
      </c>
      <c r="Q3" s="884">
        <f t="shared" si="1"/>
        <v>298976807744.42999</v>
      </c>
      <c r="R3" s="755"/>
    </row>
    <row r="4" spans="1:18" s="54" customFormat="1" x14ac:dyDescent="0.25">
      <c r="A4" s="748" t="s">
        <v>950</v>
      </c>
      <c r="B4" s="757">
        <f>+B5+B51</f>
        <v>101389654267.79001</v>
      </c>
      <c r="C4" s="757">
        <f>+C5+C51</f>
        <v>102892732044.44</v>
      </c>
      <c r="D4" s="758">
        <f t="shared" ref="D4:D68" si="2">+(C4-B4)/B4</f>
        <v>1.4824764789907163E-2</v>
      </c>
      <c r="E4" s="757">
        <f>+E5+E51</f>
        <v>112750103088.58</v>
      </c>
      <c r="F4" s="758">
        <f t="shared" ref="F4:F68" si="3">+(E4-C4)/C4</f>
        <v>9.580240361275022E-2</v>
      </c>
      <c r="G4" s="757">
        <f>+G5+G51</f>
        <v>115202345676.91</v>
      </c>
      <c r="H4" s="758">
        <f t="shared" ref="H4:H68" si="4">+(G4-E4)/E4</f>
        <v>2.1749360055160601E-2</v>
      </c>
      <c r="I4" s="757">
        <f>+I5+I51</f>
        <v>118101069231.75</v>
      </c>
      <c r="J4" s="758">
        <f>+(I4-G4)/G4</f>
        <v>2.5162018514532619E-2</v>
      </c>
      <c r="K4" s="757">
        <f>+K5+K51+K88</f>
        <v>102825281279.86</v>
      </c>
      <c r="L4" s="758">
        <f t="shared" ref="L4:L68" si="5">+(K4-I4)/I4</f>
        <v>-0.12934504362457791</v>
      </c>
      <c r="M4" s="885">
        <f>+M5+M51+M88</f>
        <v>137381925380.58</v>
      </c>
      <c r="N4" s="758">
        <f t="shared" ref="N4:N66" si="6">+(M4-K4)/K4</f>
        <v>0.33607147649484215</v>
      </c>
      <c r="O4" s="885">
        <f>+O5+O51+O88</f>
        <v>110460512100</v>
      </c>
      <c r="P4" s="885">
        <f t="shared" ref="P4:Q4" si="7">+P5+P51+P88</f>
        <v>124462218257</v>
      </c>
      <c r="Q4" s="885">
        <f t="shared" si="7"/>
        <v>113031136477.57001</v>
      </c>
      <c r="R4" s="757"/>
    </row>
    <row r="5" spans="1:18" s="54" customFormat="1" x14ac:dyDescent="0.25">
      <c r="A5" s="749" t="s">
        <v>951</v>
      </c>
      <c r="B5" s="759">
        <f>+B6+B16</f>
        <v>86350066972</v>
      </c>
      <c r="C5" s="759">
        <f t="shared" ref="C5:I5" si="8">+C6+C16</f>
        <v>86675913374.399994</v>
      </c>
      <c r="D5" s="760">
        <f t="shared" si="2"/>
        <v>3.7735512412011602E-3</v>
      </c>
      <c r="E5" s="759">
        <f t="shared" si="8"/>
        <v>96019427659.580002</v>
      </c>
      <c r="F5" s="760">
        <f t="shared" si="3"/>
        <v>0.10779827891539294</v>
      </c>
      <c r="G5" s="759">
        <f t="shared" si="8"/>
        <v>97897983249.669998</v>
      </c>
      <c r="H5" s="760">
        <f t="shared" si="4"/>
        <v>1.9564328135240349E-2</v>
      </c>
      <c r="I5" s="759">
        <f t="shared" si="8"/>
        <v>100421479501</v>
      </c>
      <c r="J5" s="760">
        <f t="shared" ref="J5:J68" si="9">+(I5-G5)/G5</f>
        <v>2.5776795063227293E-2</v>
      </c>
      <c r="K5" s="759">
        <f>+K6+K16</f>
        <v>86738491060.869995</v>
      </c>
      <c r="L5" s="760">
        <f t="shared" si="5"/>
        <v>-0.13625559499941195</v>
      </c>
      <c r="M5" s="886">
        <f>+M6+M16</f>
        <v>108556427382.16</v>
      </c>
      <c r="N5" s="760">
        <f t="shared" si="6"/>
        <v>0.25153695959477729</v>
      </c>
      <c r="O5" s="886">
        <f>+O6+O16</f>
        <v>91049970957</v>
      </c>
      <c r="P5" s="886">
        <f t="shared" ref="P5:Q5" si="10">+P6+P16</f>
        <v>91049970957</v>
      </c>
      <c r="Q5" s="886">
        <f t="shared" si="10"/>
        <v>81561885908.550003</v>
      </c>
      <c r="R5" s="759"/>
    </row>
    <row r="6" spans="1:18" s="54" customFormat="1" x14ac:dyDescent="0.25">
      <c r="A6" s="750" t="s">
        <v>1021</v>
      </c>
      <c r="B6" s="761">
        <f>+B7+B9</f>
        <v>19411067015</v>
      </c>
      <c r="C6" s="761">
        <f>+C7+C9</f>
        <v>21250473507</v>
      </c>
      <c r="D6" s="762">
        <f t="shared" si="2"/>
        <v>9.4760709989749115E-2</v>
      </c>
      <c r="E6" s="761">
        <f>+E7+E9</f>
        <v>24831928061.5</v>
      </c>
      <c r="F6" s="762">
        <f t="shared" si="3"/>
        <v>0.16853528244065963</v>
      </c>
      <c r="G6" s="761">
        <f>+G7+G9</f>
        <v>26406651569.419998</v>
      </c>
      <c r="H6" s="762">
        <f t="shared" si="4"/>
        <v>6.3415273434264105E-2</v>
      </c>
      <c r="I6" s="761">
        <f>+I7+I9</f>
        <v>29966697788</v>
      </c>
      <c r="J6" s="762">
        <f t="shared" si="9"/>
        <v>0.13481626813687667</v>
      </c>
      <c r="K6" s="761">
        <f>+K7+K9</f>
        <v>30431617273.269997</v>
      </c>
      <c r="L6" s="762">
        <f t="shared" si="5"/>
        <v>1.5514538457292785E-2</v>
      </c>
      <c r="M6" s="887">
        <f>+M7+M9</f>
        <v>39856497594.900002</v>
      </c>
      <c r="N6" s="762">
        <f t="shared" si="6"/>
        <v>0.30970684985278352</v>
      </c>
      <c r="O6" s="887">
        <f>+O7+O9</f>
        <v>35968336141</v>
      </c>
      <c r="P6" s="887">
        <f t="shared" ref="P6:Q6" si="11">+P7+P9</f>
        <v>35968336141</v>
      </c>
      <c r="Q6" s="887">
        <f t="shared" si="11"/>
        <v>37062152938.150002</v>
      </c>
      <c r="R6" s="761"/>
    </row>
    <row r="7" spans="1:18" s="54" customFormat="1" x14ac:dyDescent="0.25">
      <c r="A7" s="751" t="s">
        <v>1022</v>
      </c>
      <c r="B7" s="763">
        <f>SUM(B8:B8)</f>
        <v>8853239996</v>
      </c>
      <c r="C7" s="763">
        <f t="shared" ref="C7:K7" si="12">SUM(C8:C8)</f>
        <v>9951188398</v>
      </c>
      <c r="D7" s="764">
        <f t="shared" si="2"/>
        <v>0.12401656370956467</v>
      </c>
      <c r="E7" s="763">
        <f t="shared" si="12"/>
        <v>11766990269.299999</v>
      </c>
      <c r="F7" s="764">
        <f t="shared" si="3"/>
        <v>0.182470856612959</v>
      </c>
      <c r="G7" s="763">
        <f t="shared" si="12"/>
        <v>12835717964.42</v>
      </c>
      <c r="H7" s="764">
        <f t="shared" si="4"/>
        <v>9.0824218484169605E-2</v>
      </c>
      <c r="I7" s="763">
        <f t="shared" si="12"/>
        <v>14906182505</v>
      </c>
      <c r="J7" s="764">
        <f t="shared" si="9"/>
        <v>0.16130492632505866</v>
      </c>
      <c r="K7" s="763">
        <f t="shared" si="12"/>
        <v>15384016828.440001</v>
      </c>
      <c r="L7" s="764">
        <f t="shared" si="5"/>
        <v>3.2056116532835952E-2</v>
      </c>
      <c r="M7" s="888">
        <f>SUM(M8:M8)</f>
        <v>19215877903.310001</v>
      </c>
      <c r="N7" s="764">
        <f t="shared" si="6"/>
        <v>0.24908066063644357</v>
      </c>
      <c r="O7" s="888">
        <f>SUM(O8:O8)</f>
        <v>18334260465</v>
      </c>
      <c r="P7" s="888">
        <f t="shared" ref="P7:Q7" si="13">SUM(P8:P8)</f>
        <v>18334260465</v>
      </c>
      <c r="Q7" s="888">
        <f t="shared" si="13"/>
        <v>21056414375.990002</v>
      </c>
      <c r="R7" s="763"/>
    </row>
    <row r="8" spans="1:18" x14ac:dyDescent="0.25">
      <c r="A8" s="752" t="s">
        <v>226</v>
      </c>
      <c r="B8" s="765">
        <v>8853239996</v>
      </c>
      <c r="C8" s="765">
        <v>9951188398</v>
      </c>
      <c r="D8" s="766">
        <f t="shared" si="2"/>
        <v>0.12401656370956467</v>
      </c>
      <c r="E8" s="765">
        <v>11766990269.299999</v>
      </c>
      <c r="F8" s="766">
        <f t="shared" si="3"/>
        <v>0.182470856612959</v>
      </c>
      <c r="G8" s="765">
        <v>12835717964.42</v>
      </c>
      <c r="H8" s="766">
        <f t="shared" si="4"/>
        <v>9.0824218484169605E-2</v>
      </c>
      <c r="I8" s="765">
        <v>14906182505</v>
      </c>
      <c r="J8" s="766">
        <f t="shared" si="9"/>
        <v>0.16130492632505866</v>
      </c>
      <c r="K8" s="765">
        <v>15384016828.440001</v>
      </c>
      <c r="L8" s="766">
        <f t="shared" si="5"/>
        <v>3.2056116532835952E-2</v>
      </c>
      <c r="M8" s="889">
        <v>19215877903.310001</v>
      </c>
      <c r="N8" s="766">
        <f t="shared" si="6"/>
        <v>0.24908066063644357</v>
      </c>
      <c r="O8" s="889">
        <f>+[2]MX8!G6</f>
        <v>18334260465</v>
      </c>
      <c r="P8" s="889">
        <f>+[2]MX8!H6</f>
        <v>18334260465</v>
      </c>
      <c r="Q8" s="889">
        <f>+[2]MX8!I6</f>
        <v>21056414375.990002</v>
      </c>
      <c r="R8" s="765"/>
    </row>
    <row r="9" spans="1:18" s="54" customFormat="1" x14ac:dyDescent="0.25">
      <c r="A9" s="751" t="s">
        <v>1024</v>
      </c>
      <c r="B9" s="767">
        <f t="shared" ref="B9:K9" si="14">+B10+B11</f>
        <v>10557827019</v>
      </c>
      <c r="C9" s="767">
        <f t="shared" si="14"/>
        <v>11299285109</v>
      </c>
      <c r="D9" s="768">
        <f t="shared" si="2"/>
        <v>7.0228285485797654E-2</v>
      </c>
      <c r="E9" s="767">
        <f t="shared" si="14"/>
        <v>13064937792.199999</v>
      </c>
      <c r="F9" s="768">
        <f t="shared" si="3"/>
        <v>0.15626233572897791</v>
      </c>
      <c r="G9" s="767">
        <f t="shared" si="14"/>
        <v>13570933605</v>
      </c>
      <c r="H9" s="768">
        <f t="shared" si="4"/>
        <v>3.8729293690329673E-2</v>
      </c>
      <c r="I9" s="767">
        <f t="shared" si="14"/>
        <v>15060515283</v>
      </c>
      <c r="J9" s="768">
        <f>+(I9-G9)/G9</f>
        <v>0.10976265313472514</v>
      </c>
      <c r="K9" s="767">
        <f t="shared" si="14"/>
        <v>15047600444.829998</v>
      </c>
      <c r="L9" s="768">
        <f t="shared" si="5"/>
        <v>-8.575296347648867E-4</v>
      </c>
      <c r="M9" s="890">
        <f>+M10+M11</f>
        <v>20640619691.59</v>
      </c>
      <c r="N9" s="768">
        <f t="shared" si="6"/>
        <v>0.37168844742163737</v>
      </c>
      <c r="O9" s="890">
        <f>+O10+O11</f>
        <v>17634075676</v>
      </c>
      <c r="P9" s="890">
        <f t="shared" ref="P9:Q9" si="15">+P10+P11</f>
        <v>17634075676</v>
      </c>
      <c r="Q9" s="890">
        <f t="shared" si="15"/>
        <v>16005738562.16</v>
      </c>
      <c r="R9" s="767"/>
    </row>
    <row r="10" spans="1:18" x14ac:dyDescent="0.25">
      <c r="A10" s="752" t="s">
        <v>1025</v>
      </c>
      <c r="B10" s="769">
        <v>8542748119.4099998</v>
      </c>
      <c r="C10" s="769">
        <v>8361470980.4200001</v>
      </c>
      <c r="D10" s="770">
        <f t="shared" si="2"/>
        <v>-2.1220002797240331E-2</v>
      </c>
      <c r="E10" s="769">
        <v>9668053966.2199993</v>
      </c>
      <c r="F10" s="770">
        <f t="shared" si="3"/>
        <v>0.15626233576120946</v>
      </c>
      <c r="G10" s="769">
        <v>8929674312</v>
      </c>
      <c r="H10" s="770">
        <f t="shared" si="4"/>
        <v>-7.6373141564981345E-2</v>
      </c>
      <c r="I10" s="769">
        <v>9909819056</v>
      </c>
      <c r="J10" s="770">
        <f t="shared" si="9"/>
        <v>0.10976265312194512</v>
      </c>
      <c r="K10" s="769">
        <v>9901321094.3799992</v>
      </c>
      <c r="L10" s="770">
        <f t="shared" si="5"/>
        <v>-8.5752944347209476E-4</v>
      </c>
      <c r="M10" s="891">
        <v>13746652714.610001</v>
      </c>
      <c r="N10" s="770">
        <f t="shared" si="6"/>
        <v>0.38836551037746025</v>
      </c>
      <c r="O10" s="891">
        <f>+[2]MX8!G$12+[2]MX8!G$18</f>
        <v>10580445405</v>
      </c>
      <c r="P10" s="891">
        <f>+[2]MX8!H$12+[2]MX8!H$18</f>
        <v>10580445405</v>
      </c>
      <c r="Q10" s="891">
        <f>+[2]MX8!I$12+[2]MX8!I$18</f>
        <v>9603670526.8199997</v>
      </c>
      <c r="R10" s="769"/>
    </row>
    <row r="11" spans="1:18" s="54" customFormat="1" x14ac:dyDescent="0.25">
      <c r="A11" s="750" t="s">
        <v>1026</v>
      </c>
      <c r="B11" s="763">
        <f t="shared" ref="B11:K11" si="16">SUM(B12:B15)</f>
        <v>2015078899.5900002</v>
      </c>
      <c r="C11" s="763">
        <f t="shared" si="16"/>
        <v>2937814128.5799999</v>
      </c>
      <c r="D11" s="764">
        <f t="shared" si="2"/>
        <v>0.45791518594023534</v>
      </c>
      <c r="E11" s="763">
        <f t="shared" si="16"/>
        <v>3396883825.98</v>
      </c>
      <c r="F11" s="764">
        <f t="shared" si="3"/>
        <v>0.15626233563724218</v>
      </c>
      <c r="G11" s="763">
        <f t="shared" si="16"/>
        <v>4641259293</v>
      </c>
      <c r="H11" s="764">
        <f t="shared" si="4"/>
        <v>0.3663285324928644</v>
      </c>
      <c r="I11" s="763">
        <f t="shared" si="16"/>
        <v>5150696227</v>
      </c>
      <c r="J11" s="764">
        <f t="shared" si="9"/>
        <v>0.10976265315931359</v>
      </c>
      <c r="K11" s="763">
        <f t="shared" si="16"/>
        <v>5146279350.4499998</v>
      </c>
      <c r="L11" s="764">
        <f t="shared" si="5"/>
        <v>-8.5753000280755845E-4</v>
      </c>
      <c r="M11" s="888">
        <f>SUM(M12:M15)</f>
        <v>6893966976.9799995</v>
      </c>
      <c r="N11" s="888">
        <f t="shared" ref="N11:Q11" si="17">SUM(N12:N15)</f>
        <v>1.4094755716260821</v>
      </c>
      <c r="O11" s="888">
        <f t="shared" si="17"/>
        <v>7053630271</v>
      </c>
      <c r="P11" s="888">
        <f t="shared" si="17"/>
        <v>7053630271</v>
      </c>
      <c r="Q11" s="888">
        <f t="shared" si="17"/>
        <v>6402068035.3400002</v>
      </c>
      <c r="R11" s="888"/>
    </row>
    <row r="12" spans="1:18" x14ac:dyDescent="0.25">
      <c r="A12" s="752" t="s">
        <v>1027</v>
      </c>
      <c r="B12" s="765">
        <v>591238313.05999994</v>
      </c>
      <c r="C12" s="765">
        <v>677957105.70000005</v>
      </c>
      <c r="D12" s="766">
        <f t="shared" si="2"/>
        <v>0.14667316160750854</v>
      </c>
      <c r="E12" s="765">
        <v>783896267.51999998</v>
      </c>
      <c r="F12" s="766">
        <f t="shared" si="3"/>
        <v>0.15626233714390572</v>
      </c>
      <c r="G12" s="765">
        <v>1927072572</v>
      </c>
      <c r="H12" s="766">
        <f t="shared" si="4"/>
        <v>1.4583259952195569</v>
      </c>
      <c r="I12" s="765">
        <v>2138593170</v>
      </c>
      <c r="J12" s="766">
        <f t="shared" si="9"/>
        <v>0.10976265298637648</v>
      </c>
      <c r="K12" s="765">
        <v>2136759265.45</v>
      </c>
      <c r="L12" s="766">
        <f t="shared" si="5"/>
        <v>-8.5752847980897291E-4</v>
      </c>
      <c r="M12" s="889">
        <v>2765843038.6799998</v>
      </c>
      <c r="N12" s="766">
        <f t="shared" si="6"/>
        <v>0.29441022365124281</v>
      </c>
      <c r="O12" s="889">
        <f>+[2]MX8!$G$10+[2]MX8!$G$16</f>
        <v>3526815135</v>
      </c>
      <c r="P12" s="1076">
        <f>+[2]MX8!$H$10+[2]MX8!$H$16</f>
        <v>3526815135</v>
      </c>
      <c r="Q12" s="1076">
        <f>+[2]MX8!$I$10+[2]MX8!$I$16</f>
        <v>3201223508.8600001</v>
      </c>
      <c r="R12" s="765"/>
    </row>
    <row r="13" spans="1:18" x14ac:dyDescent="0.25">
      <c r="A13" s="752" t="s">
        <v>1028</v>
      </c>
      <c r="B13" s="765">
        <v>422313080.75999999</v>
      </c>
      <c r="C13" s="765">
        <v>451971404.01999998</v>
      </c>
      <c r="D13" s="766">
        <f t="shared" si="2"/>
        <v>7.0228284680707728E-2</v>
      </c>
      <c r="E13" s="765">
        <v>522597511.70999998</v>
      </c>
      <c r="F13" s="766">
        <f t="shared" si="3"/>
        <v>0.15626233664746356</v>
      </c>
      <c r="G13" s="765">
        <v>542837344</v>
      </c>
      <c r="H13" s="766">
        <f t="shared" si="4"/>
        <v>3.8729293263898124E-2</v>
      </c>
      <c r="I13" s="765">
        <v>602420611</v>
      </c>
      <c r="J13" s="766">
        <f t="shared" si="9"/>
        <v>0.1097626529541048</v>
      </c>
      <c r="K13" s="765">
        <v>601904017</v>
      </c>
      <c r="L13" s="766">
        <f t="shared" si="5"/>
        <v>-8.5753042071795918E-4</v>
      </c>
      <c r="M13" s="889">
        <v>825624787.67000008</v>
      </c>
      <c r="N13" s="766">
        <f t="shared" si="6"/>
        <v>0.37168844923990607</v>
      </c>
      <c r="O13" s="889">
        <f>+[2]MX8!G19+[2]MX8!$G13</f>
        <v>705363027</v>
      </c>
      <c r="P13" s="889">
        <f>+[2]MX8!H19+[2]MX8!$G13</f>
        <v>705363027</v>
      </c>
      <c r="Q13" s="889">
        <f>+[2]MX8!I19+[2]MX8!$G13</f>
        <v>639865720.16999996</v>
      </c>
      <c r="R13" s="765"/>
    </row>
    <row r="14" spans="1:18" x14ac:dyDescent="0.25">
      <c r="A14" s="752" t="s">
        <v>1029</v>
      </c>
      <c r="B14" s="765">
        <v>633469621.13999999</v>
      </c>
      <c r="C14" s="765">
        <v>677957107.36000001</v>
      </c>
      <c r="D14" s="766">
        <f t="shared" si="2"/>
        <v>7.0228286780255986E-2</v>
      </c>
      <c r="E14" s="765">
        <v>783896267.52999997</v>
      </c>
      <c r="F14" s="766">
        <f t="shared" si="3"/>
        <v>0.15626233432751008</v>
      </c>
      <c r="G14" s="765">
        <v>814256016</v>
      </c>
      <c r="H14" s="766">
        <f t="shared" si="4"/>
        <v>3.8729293310276094E-2</v>
      </c>
      <c r="I14" s="765">
        <v>903630917</v>
      </c>
      <c r="J14" s="766">
        <f t="shared" si="9"/>
        <v>0.10976265356816228</v>
      </c>
      <c r="K14" s="765">
        <v>902856025</v>
      </c>
      <c r="L14" s="766">
        <f t="shared" si="5"/>
        <v>-8.5753152688997688E-4</v>
      </c>
      <c r="M14" s="889">
        <v>1238437181.47</v>
      </c>
      <c r="N14" s="766">
        <f t="shared" si="6"/>
        <v>0.37168844996077866</v>
      </c>
      <c r="O14" s="889">
        <f>+[2]MX8!G20+[2]MX8!G14</f>
        <v>1058044541</v>
      </c>
      <c r="P14" s="889">
        <f>+[2]MX8!H20+[2]MX8!H14</f>
        <v>1058044541</v>
      </c>
      <c r="Q14" s="889">
        <f>+[2]MX8!I20+[2]MX8!I14</f>
        <v>960367051.83999991</v>
      </c>
      <c r="R14" s="765"/>
    </row>
    <row r="15" spans="1:18" ht="25.5" x14ac:dyDescent="0.25">
      <c r="A15" s="752" t="s">
        <v>1030</v>
      </c>
      <c r="B15" s="765">
        <v>368057884.63</v>
      </c>
      <c r="C15" s="765">
        <v>1129928511.5</v>
      </c>
      <c r="D15" s="766">
        <f t="shared" si="2"/>
        <v>2.0699750193801467</v>
      </c>
      <c r="E15" s="765">
        <v>1306493779.22</v>
      </c>
      <c r="F15" s="766">
        <f t="shared" si="3"/>
        <v>0.1562623351149946</v>
      </c>
      <c r="G15" s="765">
        <v>1357093361</v>
      </c>
      <c r="H15" s="766">
        <f t="shared" si="4"/>
        <v>3.8729294073033257E-2</v>
      </c>
      <c r="I15" s="765">
        <v>1506051529</v>
      </c>
      <c r="J15" s="766">
        <f t="shared" si="9"/>
        <v>0.10976265324165858</v>
      </c>
      <c r="K15" s="765">
        <v>1504760043</v>
      </c>
      <c r="L15" s="766">
        <f t="shared" si="5"/>
        <v>-8.5753108385177971E-4</v>
      </c>
      <c r="M15" s="889">
        <v>2064061969.1600001</v>
      </c>
      <c r="N15" s="766">
        <f t="shared" si="6"/>
        <v>0.37168844877415452</v>
      </c>
      <c r="O15" s="889">
        <f>+[2]MX8!G11+[2]MX8!G$17</f>
        <v>1763407568</v>
      </c>
      <c r="P15" s="889">
        <f>+[2]MX8!H11+[2]MX8!H$17</f>
        <v>1763407568</v>
      </c>
      <c r="Q15" s="889">
        <f>+[2]MX8!I11+[2]MX8!I$17</f>
        <v>1600611754.47</v>
      </c>
      <c r="R15" s="765"/>
    </row>
    <row r="16" spans="1:18" s="54" customFormat="1" x14ac:dyDescent="0.25">
      <c r="A16" s="750" t="s">
        <v>1031</v>
      </c>
      <c r="B16" s="761">
        <f t="shared" ref="B16:K16" si="18">+B17+B23+B26+B30+B32+B35</f>
        <v>66938999957</v>
      </c>
      <c r="C16" s="761">
        <f t="shared" si="18"/>
        <v>65425439867.400002</v>
      </c>
      <c r="D16" s="762">
        <f t="shared" si="2"/>
        <v>-2.2611035279467472E-2</v>
      </c>
      <c r="E16" s="761">
        <f t="shared" si="18"/>
        <v>71187499598.080002</v>
      </c>
      <c r="F16" s="762">
        <f t="shared" si="3"/>
        <v>8.8070630359660798E-2</v>
      </c>
      <c r="G16" s="761">
        <f t="shared" si="18"/>
        <v>71491331680.25</v>
      </c>
      <c r="H16" s="762">
        <f t="shared" si="4"/>
        <v>4.2680538561603422E-3</v>
      </c>
      <c r="I16" s="761">
        <f t="shared" si="18"/>
        <v>70454781713</v>
      </c>
      <c r="J16" s="762">
        <f t="shared" si="9"/>
        <v>-1.4498960124089483E-2</v>
      </c>
      <c r="K16" s="761">
        <f t="shared" si="18"/>
        <v>56306873787.599998</v>
      </c>
      <c r="L16" s="762">
        <f t="shared" si="5"/>
        <v>-0.20080834233554218</v>
      </c>
      <c r="M16" s="887">
        <f>+M17+M23+M26+M30+M32+M35</f>
        <v>68699929787.259995</v>
      </c>
      <c r="N16" s="762">
        <f t="shared" si="6"/>
        <v>0.22009845629876218</v>
      </c>
      <c r="O16" s="761">
        <f t="shared" ref="O16:Q16" si="19">+O17+O23+O26+O30+O32+O35</f>
        <v>55081634816</v>
      </c>
      <c r="P16" s="761">
        <f t="shared" si="19"/>
        <v>55081634816</v>
      </c>
      <c r="Q16" s="761">
        <f t="shared" si="19"/>
        <v>44499732970.400002</v>
      </c>
      <c r="R16" s="761"/>
    </row>
    <row r="17" spans="1:19" s="54" customFormat="1" x14ac:dyDescent="0.25">
      <c r="A17" s="751" t="s">
        <v>1032</v>
      </c>
      <c r="B17" s="761">
        <f>+B18+B19</f>
        <v>2588048042</v>
      </c>
      <c r="C17" s="761">
        <f t="shared" ref="C17:K17" si="20">+C18+C19</f>
        <v>2581582049.4000001</v>
      </c>
      <c r="D17" s="762">
        <f t="shared" si="2"/>
        <v>-2.4984051667770023E-3</v>
      </c>
      <c r="E17" s="761">
        <f t="shared" si="20"/>
        <v>3517938239</v>
      </c>
      <c r="F17" s="762">
        <f t="shared" si="3"/>
        <v>0.36270634505597982</v>
      </c>
      <c r="G17" s="761">
        <f t="shared" si="20"/>
        <v>3024300667.1999998</v>
      </c>
      <c r="H17" s="762">
        <f t="shared" si="4"/>
        <v>-0.14032013590446668</v>
      </c>
      <c r="I17" s="761">
        <f t="shared" si="20"/>
        <v>4518440568</v>
      </c>
      <c r="J17" s="762">
        <f t="shared" si="9"/>
        <v>0.49404476115905688</v>
      </c>
      <c r="K17" s="761">
        <f t="shared" si="20"/>
        <v>5164830996</v>
      </c>
      <c r="L17" s="762">
        <f t="shared" si="5"/>
        <v>0.14305608722128488</v>
      </c>
      <c r="M17" s="887">
        <f>+M18+M19+M20+M22</f>
        <v>6779127361.2599993</v>
      </c>
      <c r="N17" s="762">
        <f t="shared" si="6"/>
        <v>0.31255550598078063</v>
      </c>
      <c r="O17" s="761">
        <f t="shared" ref="O17:Q17" si="21">+O18+O19+O20+O21+O22</f>
        <v>5585764723</v>
      </c>
      <c r="P17" s="761">
        <f t="shared" si="21"/>
        <v>5585764723</v>
      </c>
      <c r="Q17" s="761">
        <f t="shared" si="21"/>
        <v>2681914957.4000001</v>
      </c>
      <c r="R17" s="761"/>
    </row>
    <row r="18" spans="1:19" x14ac:dyDescent="0.25">
      <c r="A18" s="752" t="s">
        <v>1867</v>
      </c>
      <c r="B18" s="765">
        <v>818895042</v>
      </c>
      <c r="C18" s="765">
        <v>690710961.39999998</v>
      </c>
      <c r="D18" s="766">
        <f t="shared" si="2"/>
        <v>-0.15653297922885706</v>
      </c>
      <c r="E18" s="765">
        <v>710935239</v>
      </c>
      <c r="F18" s="766">
        <f t="shared" si="3"/>
        <v>2.9280377365095662E-2</v>
      </c>
      <c r="G18" s="765">
        <v>645603667.20000005</v>
      </c>
      <c r="H18" s="766">
        <f t="shared" si="4"/>
        <v>-9.1895250391435382E-2</v>
      </c>
      <c r="I18" s="765">
        <v>695202442</v>
      </c>
      <c r="J18" s="766">
        <f t="shared" si="9"/>
        <v>7.6825422964387935E-2</v>
      </c>
      <c r="K18" s="765">
        <v>1011455996</v>
      </c>
      <c r="L18" s="766">
        <f t="shared" si="5"/>
        <v>0.45490857755071007</v>
      </c>
      <c r="M18" s="889">
        <v>0</v>
      </c>
      <c r="N18" s="766">
        <f t="shared" si="6"/>
        <v>-1</v>
      </c>
      <c r="O18" s="889">
        <f>+[2]MX8!G25</f>
        <v>2713085722</v>
      </c>
      <c r="P18" s="889">
        <f>+[2]MX8!H25</f>
        <v>2713085722</v>
      </c>
      <c r="Q18" s="889">
        <f>+[2]MX8!I25</f>
        <v>606441988</v>
      </c>
      <c r="R18" s="765"/>
    </row>
    <row r="19" spans="1:19" x14ac:dyDescent="0.25">
      <c r="A19" s="752" t="s">
        <v>1868</v>
      </c>
      <c r="B19" s="771">
        <v>1769153000</v>
      </c>
      <c r="C19" s="771">
        <v>1890871088</v>
      </c>
      <c r="D19" s="772">
        <f t="shared" si="2"/>
        <v>6.8800204391593039E-2</v>
      </c>
      <c r="E19" s="771">
        <v>2807003000</v>
      </c>
      <c r="F19" s="772">
        <f t="shared" si="3"/>
        <v>0.48450257546060699</v>
      </c>
      <c r="G19" s="771">
        <v>2378697000</v>
      </c>
      <c r="H19" s="772">
        <f t="shared" si="4"/>
        <v>-0.15258480308001096</v>
      </c>
      <c r="I19" s="771">
        <v>3823238126</v>
      </c>
      <c r="J19" s="772">
        <f t="shared" si="9"/>
        <v>0.60728252736687349</v>
      </c>
      <c r="K19" s="771">
        <v>4153375000</v>
      </c>
      <c r="L19" s="772">
        <f t="shared" si="5"/>
        <v>8.6350068481190909E-2</v>
      </c>
      <c r="M19" s="892">
        <v>2985922449.3200002</v>
      </c>
      <c r="N19" s="772">
        <f t="shared" si="6"/>
        <v>-0.28108527418785922</v>
      </c>
      <c r="O19" s="892">
        <f>+[2]MX8!G27</f>
        <v>2606690204</v>
      </c>
      <c r="P19" s="892">
        <f>+[2]MX8!H27</f>
        <v>2606690204</v>
      </c>
      <c r="Q19" s="892">
        <f>+[2]MX8!I27</f>
        <v>1945446960</v>
      </c>
      <c r="R19" s="771"/>
    </row>
    <row r="20" spans="1:19" x14ac:dyDescent="0.25">
      <c r="A20" s="752" t="s">
        <v>1035</v>
      </c>
      <c r="B20" s="771"/>
      <c r="C20" s="771"/>
      <c r="D20" s="772"/>
      <c r="E20" s="771"/>
      <c r="F20" s="772"/>
      <c r="G20" s="771"/>
      <c r="H20" s="772"/>
      <c r="I20" s="771"/>
      <c r="J20" s="772"/>
      <c r="K20" s="771">
        <v>0</v>
      </c>
      <c r="L20" s="772"/>
      <c r="M20" s="892">
        <v>3439875818</v>
      </c>
      <c r="N20" s="772"/>
      <c r="O20" s="892"/>
      <c r="P20" s="772"/>
      <c r="Q20" s="772"/>
      <c r="R20" s="771"/>
    </row>
    <row r="21" spans="1:19" x14ac:dyDescent="0.25">
      <c r="A21" s="752" t="s">
        <v>1036</v>
      </c>
      <c r="B21" s="771"/>
      <c r="C21" s="771"/>
      <c r="D21" s="772"/>
      <c r="E21" s="771"/>
      <c r="F21" s="772"/>
      <c r="G21" s="771"/>
      <c r="H21" s="772"/>
      <c r="I21" s="771"/>
      <c r="J21" s="772"/>
      <c r="K21" s="771">
        <v>0</v>
      </c>
      <c r="L21" s="772"/>
      <c r="M21" s="892"/>
      <c r="N21" s="772"/>
      <c r="O21" s="892">
        <f>+[2]MX8!G24+[2]MX8!G26</f>
        <v>265988797</v>
      </c>
      <c r="P21" s="892">
        <f>+[2]MX8!H24+[2]MX8!H26</f>
        <v>265988797</v>
      </c>
      <c r="Q21" s="892">
        <f>+[2]MX8!I24+[2]MX8!I26</f>
        <v>130026009.40000001</v>
      </c>
      <c r="R21" s="771"/>
    </row>
    <row r="22" spans="1:19" x14ac:dyDescent="0.25">
      <c r="A22" s="752" t="s">
        <v>259</v>
      </c>
      <c r="B22" s="771"/>
      <c r="C22" s="771"/>
      <c r="D22" s="772"/>
      <c r="E22" s="771"/>
      <c r="F22" s="772"/>
      <c r="G22" s="771"/>
      <c r="H22" s="772"/>
      <c r="I22" s="771"/>
      <c r="J22" s="772"/>
      <c r="K22" s="771">
        <v>0</v>
      </c>
      <c r="L22" s="772"/>
      <c r="M22" s="892">
        <v>353329093.94</v>
      </c>
      <c r="N22" s="772"/>
      <c r="O22" s="892"/>
      <c r="P22" s="772"/>
      <c r="Q22" s="772"/>
      <c r="R22" s="771"/>
    </row>
    <row r="23" spans="1:19" s="54" customFormat="1" x14ac:dyDescent="0.25">
      <c r="A23" s="751" t="s">
        <v>1037</v>
      </c>
      <c r="B23" s="761">
        <f>+B24+B25</f>
        <v>14297751000</v>
      </c>
      <c r="C23" s="761">
        <f>+C24+C25</f>
        <v>15955521000</v>
      </c>
      <c r="D23" s="762">
        <f t="shared" si="2"/>
        <v>0.11594620720419596</v>
      </c>
      <c r="E23" s="761">
        <f>+E24+E25</f>
        <v>16661517001</v>
      </c>
      <c r="F23" s="762">
        <f t="shared" si="3"/>
        <v>4.4247756058858875E-2</v>
      </c>
      <c r="G23" s="761">
        <f>+G24+G25</f>
        <v>15264790000</v>
      </c>
      <c r="H23" s="762">
        <f t="shared" si="4"/>
        <v>-8.3829521700585274E-2</v>
      </c>
      <c r="I23" s="761">
        <f>+I24+I25</f>
        <v>16634310844</v>
      </c>
      <c r="J23" s="762">
        <f t="shared" si="9"/>
        <v>8.9717634110918001E-2</v>
      </c>
      <c r="K23" s="761">
        <f>+K24+K25</f>
        <v>13148122867</v>
      </c>
      <c r="L23" s="762">
        <f t="shared" si="5"/>
        <v>-0.20957814301380984</v>
      </c>
      <c r="M23" s="887">
        <f>+M24+M25</f>
        <v>17257695000</v>
      </c>
      <c r="N23" s="762">
        <f t="shared" si="6"/>
        <v>0.312559608285565</v>
      </c>
      <c r="O23" s="761">
        <f t="shared" ref="O23:Q23" si="22">+O24+O25</f>
        <v>17647340374</v>
      </c>
      <c r="P23" s="761">
        <f t="shared" si="22"/>
        <v>17647340374</v>
      </c>
      <c r="Q23" s="761">
        <f t="shared" si="22"/>
        <v>14047781000</v>
      </c>
      <c r="R23" s="761"/>
    </row>
    <row r="24" spans="1:19" x14ac:dyDescent="0.25">
      <c r="A24" s="752" t="s">
        <v>1038</v>
      </c>
      <c r="B24" s="771">
        <v>13974970000</v>
      </c>
      <c r="C24" s="771">
        <v>15690084000</v>
      </c>
      <c r="D24" s="772">
        <f t="shared" si="2"/>
        <v>0.12272756220585805</v>
      </c>
      <c r="E24" s="771">
        <v>16221634000</v>
      </c>
      <c r="F24" s="772">
        <f t="shared" si="3"/>
        <v>3.3878085037658177E-2</v>
      </c>
      <c r="G24" s="771">
        <v>14697388000</v>
      </c>
      <c r="H24" s="772">
        <f t="shared" si="4"/>
        <v>-9.3963777015311778E-2</v>
      </c>
      <c r="I24" s="771">
        <v>15833930416</v>
      </c>
      <c r="J24" s="772">
        <f t="shared" si="9"/>
        <v>7.7329551073973143E-2</v>
      </c>
      <c r="K24" s="771">
        <v>13000396867</v>
      </c>
      <c r="L24" s="772">
        <f t="shared" si="5"/>
        <v>-0.17895326520677063</v>
      </c>
      <c r="M24" s="892">
        <v>17001730000</v>
      </c>
      <c r="N24" s="772">
        <f t="shared" si="6"/>
        <v>0.30778546023905778</v>
      </c>
      <c r="O24" s="892">
        <f>+[2]MX8!G29</f>
        <v>17382630268.389999</v>
      </c>
      <c r="P24" s="892">
        <f>+[2]MX8!H29</f>
        <v>17382630268.389999</v>
      </c>
      <c r="Q24" s="892">
        <f>+[2]MX8!I29</f>
        <v>13879188000</v>
      </c>
      <c r="R24" s="771"/>
    </row>
    <row r="25" spans="1:19" x14ac:dyDescent="0.25">
      <c r="A25" s="752" t="s">
        <v>1039</v>
      </c>
      <c r="B25" s="771">
        <v>322781000</v>
      </c>
      <c r="C25" s="771">
        <v>265437000</v>
      </c>
      <c r="D25" s="772">
        <f t="shared" si="2"/>
        <v>-0.17765605782248645</v>
      </c>
      <c r="E25" s="771">
        <v>439883001</v>
      </c>
      <c r="F25" s="772">
        <f t="shared" si="3"/>
        <v>0.65720303122774892</v>
      </c>
      <c r="G25" s="771">
        <v>567402000</v>
      </c>
      <c r="H25" s="772">
        <f t="shared" si="4"/>
        <v>0.28989299134112256</v>
      </c>
      <c r="I25" s="771">
        <v>800380428</v>
      </c>
      <c r="J25" s="772">
        <f t="shared" si="9"/>
        <v>0.41060558122812396</v>
      </c>
      <c r="K25" s="771">
        <v>147726000</v>
      </c>
      <c r="L25" s="772">
        <f t="shared" si="5"/>
        <v>-0.81543026936685659</v>
      </c>
      <c r="M25" s="892">
        <v>255965000</v>
      </c>
      <c r="N25" s="772">
        <f t="shared" si="6"/>
        <v>0.73270108173239645</v>
      </c>
      <c r="O25" s="892">
        <f>+[2]MX8!G30</f>
        <v>264710105.61000001</v>
      </c>
      <c r="P25" s="892">
        <f>+[2]MX8!H30</f>
        <v>264710105.61000001</v>
      </c>
      <c r="Q25" s="892">
        <f>+[2]MX8!I30</f>
        <v>168593000</v>
      </c>
      <c r="R25" s="771"/>
    </row>
    <row r="26" spans="1:19" s="54" customFormat="1" x14ac:dyDescent="0.25">
      <c r="A26" s="751" t="s">
        <v>1040</v>
      </c>
      <c r="B26" s="761">
        <f>+B27+B28</f>
        <v>8116773000</v>
      </c>
      <c r="C26" s="761">
        <f>+C27+C28</f>
        <v>8807068000</v>
      </c>
      <c r="D26" s="762">
        <f t="shared" si="2"/>
        <v>8.5045497761240832E-2</v>
      </c>
      <c r="E26" s="761">
        <f>+E27+E28</f>
        <v>17783575000</v>
      </c>
      <c r="F26" s="762">
        <f t="shared" si="3"/>
        <v>1.0192389794197114</v>
      </c>
      <c r="G26" s="761">
        <f>+G27+G28</f>
        <v>18477533760</v>
      </c>
      <c r="H26" s="762">
        <f t="shared" si="4"/>
        <v>3.90224552712264E-2</v>
      </c>
      <c r="I26" s="761">
        <f>+I27+I28</f>
        <v>15212004711</v>
      </c>
      <c r="J26" s="762">
        <f t="shared" si="9"/>
        <v>-0.17672970275227901</v>
      </c>
      <c r="K26" s="761">
        <f>+K27+K28</f>
        <v>10458008676.07</v>
      </c>
      <c r="L26" s="762">
        <f t="shared" si="5"/>
        <v>-0.31251607695679473</v>
      </c>
      <c r="M26" s="887">
        <f>+M27+M28</f>
        <v>10520777126</v>
      </c>
      <c r="N26" s="762">
        <f t="shared" si="6"/>
        <v>6.0019504548343879E-3</v>
      </c>
      <c r="O26" s="761">
        <f t="shared" ref="O26:Q26" si="23">+O27+O28</f>
        <v>10859778214</v>
      </c>
      <c r="P26" s="761">
        <f t="shared" si="23"/>
        <v>10859778214</v>
      </c>
      <c r="Q26" s="761">
        <f t="shared" si="23"/>
        <v>7612522563</v>
      </c>
      <c r="R26" s="761"/>
    </row>
    <row r="27" spans="1:19" x14ac:dyDescent="0.25">
      <c r="A27" s="752" t="s">
        <v>1869</v>
      </c>
      <c r="B27" s="771">
        <v>6964307000</v>
      </c>
      <c r="C27" s="771">
        <v>7267520000</v>
      </c>
      <c r="D27" s="772">
        <f t="shared" si="2"/>
        <v>4.353814385264751E-2</v>
      </c>
      <c r="E27" s="771">
        <v>15285292000</v>
      </c>
      <c r="F27" s="772">
        <f t="shared" si="3"/>
        <v>1.1032335652327065</v>
      </c>
      <c r="G27" s="771">
        <v>16281139560</v>
      </c>
      <c r="H27" s="772">
        <f t="shared" si="4"/>
        <v>6.5150705658746977E-2</v>
      </c>
      <c r="I27" s="771">
        <v>8127488794</v>
      </c>
      <c r="J27" s="772">
        <f t="shared" si="9"/>
        <v>-0.50080344412943534</v>
      </c>
      <c r="K27" s="771">
        <v>0</v>
      </c>
      <c r="L27" s="772">
        <f t="shared" si="5"/>
        <v>-1</v>
      </c>
      <c r="M27" s="892"/>
      <c r="N27" s="772"/>
      <c r="O27" s="892"/>
      <c r="P27" s="772"/>
      <c r="Q27" s="772"/>
      <c r="R27" s="771"/>
    </row>
    <row r="28" spans="1:19" x14ac:dyDescent="0.25">
      <c r="A28" s="752" t="s">
        <v>1870</v>
      </c>
      <c r="B28" s="771">
        <v>1152466000</v>
      </c>
      <c r="C28" s="771">
        <v>1539548000</v>
      </c>
      <c r="D28" s="772">
        <f t="shared" si="2"/>
        <v>0.33587281533685159</v>
      </c>
      <c r="E28" s="771">
        <v>2498283000</v>
      </c>
      <c r="F28" s="772">
        <f t="shared" si="3"/>
        <v>0.6227379724438602</v>
      </c>
      <c r="G28" s="771">
        <v>2196394200</v>
      </c>
      <c r="H28" s="772">
        <f t="shared" si="4"/>
        <v>-0.12083851188996603</v>
      </c>
      <c r="I28" s="771">
        <v>7084515917</v>
      </c>
      <c r="J28" s="772">
        <f t="shared" si="9"/>
        <v>2.2255211368706038</v>
      </c>
      <c r="K28" s="771">
        <v>10458008676.07</v>
      </c>
      <c r="L28" s="772">
        <f t="shared" si="5"/>
        <v>0.47617830189003718</v>
      </c>
      <c r="M28" s="892">
        <v>10520777126</v>
      </c>
      <c r="N28" s="772">
        <f t="shared" si="6"/>
        <v>6.0019504548343879E-3</v>
      </c>
      <c r="O28" s="892">
        <f>+[2]MX8!G33</f>
        <v>10859778214</v>
      </c>
      <c r="P28" s="892">
        <f>+[2]MX8!H33</f>
        <v>10859778214</v>
      </c>
      <c r="Q28" s="892">
        <f>+[2]MX8!I33</f>
        <v>7612522563</v>
      </c>
      <c r="R28" s="771"/>
    </row>
    <row r="29" spans="1:19" x14ac:dyDescent="0.25">
      <c r="A29" s="752" t="s">
        <v>1043</v>
      </c>
      <c r="B29" s="765"/>
      <c r="C29" s="765"/>
      <c r="D29" s="766"/>
      <c r="E29" s="765">
        <v>0</v>
      </c>
      <c r="F29" s="766"/>
      <c r="G29" s="765">
        <v>0</v>
      </c>
      <c r="H29" s="766"/>
      <c r="I29" s="765">
        <v>0</v>
      </c>
      <c r="J29" s="766"/>
      <c r="K29" s="765">
        <v>0</v>
      </c>
      <c r="L29" s="766"/>
      <c r="M29" s="889"/>
      <c r="N29" s="766"/>
      <c r="O29" s="889"/>
      <c r="P29" s="766"/>
      <c r="Q29" s="766"/>
      <c r="R29" s="765"/>
    </row>
    <row r="30" spans="1:19" s="54" customFormat="1" x14ac:dyDescent="0.25">
      <c r="A30" s="751" t="s">
        <v>1044</v>
      </c>
      <c r="B30" s="767">
        <f t="shared" ref="B30:Q30" si="24">+B31</f>
        <v>610335310</v>
      </c>
      <c r="C30" s="767">
        <f t="shared" si="24"/>
        <v>615511700</v>
      </c>
      <c r="D30" s="768">
        <f t="shared" si="2"/>
        <v>8.4812232148259621E-3</v>
      </c>
      <c r="E30" s="767">
        <f t="shared" si="24"/>
        <v>537403800</v>
      </c>
      <c r="F30" s="768">
        <f t="shared" si="3"/>
        <v>-0.12689913124315916</v>
      </c>
      <c r="G30" s="767">
        <f t="shared" si="24"/>
        <v>565645500</v>
      </c>
      <c r="H30" s="768">
        <f t="shared" si="4"/>
        <v>5.2552103278763564E-2</v>
      </c>
      <c r="I30" s="767">
        <f t="shared" si="24"/>
        <v>647439300</v>
      </c>
      <c r="J30" s="768">
        <f t="shared" si="9"/>
        <v>0.14460258235944598</v>
      </c>
      <c r="K30" s="767">
        <f t="shared" si="24"/>
        <v>562423800</v>
      </c>
      <c r="L30" s="768">
        <f t="shared" si="5"/>
        <v>-0.13131037921238331</v>
      </c>
      <c r="M30" s="890">
        <f t="shared" si="24"/>
        <v>660196800</v>
      </c>
      <c r="N30" s="768">
        <f t="shared" si="6"/>
        <v>0.17384221649226081</v>
      </c>
      <c r="O30" s="767">
        <f t="shared" si="24"/>
        <v>0</v>
      </c>
      <c r="P30" s="767">
        <f t="shared" si="24"/>
        <v>0</v>
      </c>
      <c r="Q30" s="767">
        <f t="shared" si="24"/>
        <v>0</v>
      </c>
      <c r="R30" s="767"/>
    </row>
    <row r="31" spans="1:19" x14ac:dyDescent="0.25">
      <c r="A31" s="752" t="s">
        <v>1045</v>
      </c>
      <c r="B31" s="765">
        <v>610335310</v>
      </c>
      <c r="C31" s="765">
        <v>615511700</v>
      </c>
      <c r="D31" s="766">
        <f t="shared" si="2"/>
        <v>8.4812232148259621E-3</v>
      </c>
      <c r="E31" s="765">
        <v>537403800</v>
      </c>
      <c r="F31" s="766">
        <f t="shared" si="3"/>
        <v>-0.12689913124315916</v>
      </c>
      <c r="G31" s="765">
        <v>565645500</v>
      </c>
      <c r="H31" s="766">
        <f t="shared" si="4"/>
        <v>5.2552103278763564E-2</v>
      </c>
      <c r="I31" s="765">
        <v>647439300</v>
      </c>
      <c r="J31" s="766">
        <f t="shared" si="9"/>
        <v>0.14460258235944598</v>
      </c>
      <c r="K31" s="765">
        <v>562423800</v>
      </c>
      <c r="L31" s="766">
        <f t="shared" si="5"/>
        <v>-0.13131037921238331</v>
      </c>
      <c r="M31" s="889">
        <v>660196800</v>
      </c>
      <c r="N31" s="766">
        <f t="shared" si="6"/>
        <v>0.17384221649226081</v>
      </c>
      <c r="O31" s="889"/>
      <c r="P31" s="766"/>
      <c r="Q31" s="766"/>
      <c r="R31" s="765"/>
      <c r="S31" s="651"/>
    </row>
    <row r="32" spans="1:19" s="54" customFormat="1" x14ac:dyDescent="0.25">
      <c r="A32" s="751" t="s">
        <v>1046</v>
      </c>
      <c r="B32" s="767">
        <f t="shared" ref="B32:Q32" si="25">+B33</f>
        <v>5986710600</v>
      </c>
      <c r="C32" s="767">
        <f t="shared" si="25"/>
        <v>6704117400</v>
      </c>
      <c r="D32" s="768">
        <f t="shared" si="2"/>
        <v>0.11983321859586799</v>
      </c>
      <c r="E32" s="767">
        <f t="shared" si="25"/>
        <v>6713558000</v>
      </c>
      <c r="F32" s="768">
        <f t="shared" si="3"/>
        <v>1.4081793973357327E-3</v>
      </c>
      <c r="G32" s="767">
        <f t="shared" si="25"/>
        <v>6992548550</v>
      </c>
      <c r="H32" s="768">
        <f t="shared" si="4"/>
        <v>4.1556288036835309E-2</v>
      </c>
      <c r="I32" s="767">
        <f t="shared" si="25"/>
        <v>7173915300</v>
      </c>
      <c r="J32" s="768">
        <f t="shared" si="9"/>
        <v>2.5937145620533446E-2</v>
      </c>
      <c r="K32" s="767">
        <f t="shared" si="25"/>
        <v>6045453100</v>
      </c>
      <c r="L32" s="768">
        <f t="shared" si="5"/>
        <v>-0.1573007420369181</v>
      </c>
      <c r="M32" s="890">
        <f t="shared" si="25"/>
        <v>7980125400</v>
      </c>
      <c r="N32" s="768">
        <f t="shared" si="6"/>
        <v>0.32002105847120044</v>
      </c>
      <c r="O32" s="767">
        <f t="shared" si="25"/>
        <v>7947476705</v>
      </c>
      <c r="P32" s="767">
        <f t="shared" si="25"/>
        <v>7947476705</v>
      </c>
      <c r="Q32" s="767">
        <f t="shared" si="25"/>
        <v>7045126850</v>
      </c>
      <c r="R32" s="767"/>
    </row>
    <row r="33" spans="1:18" x14ac:dyDescent="0.25">
      <c r="A33" s="752" t="s">
        <v>1047</v>
      </c>
      <c r="B33" s="765">
        <v>5986710600</v>
      </c>
      <c r="C33" s="765">
        <v>6704117400</v>
      </c>
      <c r="D33" s="766">
        <f t="shared" si="2"/>
        <v>0.11983321859586799</v>
      </c>
      <c r="E33" s="765">
        <v>6713558000</v>
      </c>
      <c r="F33" s="766">
        <f t="shared" si="3"/>
        <v>1.4081793973357327E-3</v>
      </c>
      <c r="G33" s="765">
        <v>6992548550</v>
      </c>
      <c r="H33" s="766">
        <f t="shared" si="4"/>
        <v>4.1556288036835309E-2</v>
      </c>
      <c r="I33" s="765">
        <v>7173915300</v>
      </c>
      <c r="J33" s="766">
        <f t="shared" si="9"/>
        <v>2.5937145620533446E-2</v>
      </c>
      <c r="K33" s="765">
        <v>6045453100</v>
      </c>
      <c r="L33" s="766">
        <f t="shared" si="5"/>
        <v>-0.1573007420369181</v>
      </c>
      <c r="M33" s="889">
        <v>7980125400</v>
      </c>
      <c r="N33" s="766">
        <f t="shared" si="6"/>
        <v>0.32002105847120044</v>
      </c>
      <c r="O33" s="889">
        <f>+[2]MX8!$G$34</f>
        <v>7947476705</v>
      </c>
      <c r="P33" s="1076">
        <f>+[2]MX8!$H$34</f>
        <v>7947476705</v>
      </c>
      <c r="Q33" s="1076">
        <f>+[2]MX8!$I$34</f>
        <v>7045126850</v>
      </c>
      <c r="R33" s="765"/>
    </row>
    <row r="34" spans="1:18" x14ac:dyDescent="0.25">
      <c r="A34" s="752" t="s">
        <v>292</v>
      </c>
      <c r="B34" s="765"/>
      <c r="C34" s="765"/>
      <c r="D34" s="766"/>
      <c r="E34" s="765"/>
      <c r="F34" s="766"/>
      <c r="G34" s="765"/>
      <c r="H34" s="766"/>
      <c r="I34" s="765"/>
      <c r="J34" s="766"/>
      <c r="K34" s="765"/>
      <c r="L34" s="766"/>
      <c r="N34" s="766"/>
      <c r="P34" s="766"/>
      <c r="Q34" s="766"/>
      <c r="R34" s="765"/>
    </row>
    <row r="35" spans="1:18" s="54" customFormat="1" x14ac:dyDescent="0.25">
      <c r="A35" s="750" t="s">
        <v>1048</v>
      </c>
      <c r="B35" s="767">
        <f t="shared" ref="B35:K35" si="26">+B36+B40+B46+B49+B50</f>
        <v>35339382005</v>
      </c>
      <c r="C35" s="767">
        <f t="shared" si="26"/>
        <v>30761639718</v>
      </c>
      <c r="D35" s="768">
        <f t="shared" si="2"/>
        <v>-0.1295365687592476</v>
      </c>
      <c r="E35" s="767">
        <f t="shared" si="26"/>
        <v>25973507558.080002</v>
      </c>
      <c r="F35" s="768">
        <f t="shared" si="3"/>
        <v>-0.15565269614409566</v>
      </c>
      <c r="G35" s="767">
        <f t="shared" si="26"/>
        <v>27166513203.050003</v>
      </c>
      <c r="H35" s="768">
        <f t="shared" si="4"/>
        <v>4.5931634081469046E-2</v>
      </c>
      <c r="I35" s="767">
        <f t="shared" si="26"/>
        <v>26268670990</v>
      </c>
      <c r="J35" s="768">
        <f t="shared" si="9"/>
        <v>-3.3049593311415527E-2</v>
      </c>
      <c r="K35" s="767">
        <f t="shared" si="26"/>
        <v>20928034348.529999</v>
      </c>
      <c r="L35" s="768">
        <f t="shared" si="5"/>
        <v>-0.20330821622087708</v>
      </c>
      <c r="M35" s="890">
        <f>+M36+M40+M46+M49+M50</f>
        <v>25502008100</v>
      </c>
      <c r="N35" s="768">
        <f t="shared" si="6"/>
        <v>0.21855725555951605</v>
      </c>
      <c r="O35" s="767">
        <f t="shared" ref="O35:Q35" si="27">+O36+O40+O46+O49+O50</f>
        <v>13041274800</v>
      </c>
      <c r="P35" s="767">
        <f t="shared" si="27"/>
        <v>13041274800</v>
      </c>
      <c r="Q35" s="767">
        <f t="shared" si="27"/>
        <v>13112387600</v>
      </c>
      <c r="R35" s="767"/>
    </row>
    <row r="36" spans="1:18" s="54" customFormat="1" x14ac:dyDescent="0.25">
      <c r="A36" s="751" t="s">
        <v>1049</v>
      </c>
      <c r="B36" s="763">
        <v>11403197500</v>
      </c>
      <c r="C36" s="763">
        <f t="shared" ref="C36:I36" si="28">SUM(C37:C39)</f>
        <v>10458539226</v>
      </c>
      <c r="D36" s="764">
        <f t="shared" si="2"/>
        <v>-8.284152528271127E-2</v>
      </c>
      <c r="E36" s="763">
        <f t="shared" si="28"/>
        <v>10153842971.08</v>
      </c>
      <c r="F36" s="764">
        <f t="shared" si="3"/>
        <v>-2.9133729705055091E-2</v>
      </c>
      <c r="G36" s="763">
        <f t="shared" si="28"/>
        <v>10604713000.050001</v>
      </c>
      <c r="H36" s="764">
        <f t="shared" si="4"/>
        <v>4.4403880408054514E-2</v>
      </c>
      <c r="I36" s="763">
        <f t="shared" si="28"/>
        <v>9996886200</v>
      </c>
      <c r="J36" s="764">
        <f t="shared" si="9"/>
        <v>-5.7316666660110011E-2</v>
      </c>
      <c r="K36" s="763">
        <f t="shared" ref="K36" si="29">SUM(K37:K39)</f>
        <v>6509027408</v>
      </c>
      <c r="L36" s="764">
        <f t="shared" si="5"/>
        <v>-0.34889451797500703</v>
      </c>
      <c r="M36" s="888">
        <f>SUM(M37:M39)</f>
        <v>8768407000</v>
      </c>
      <c r="N36" s="764">
        <f t="shared" si="6"/>
        <v>0.34711477619883452</v>
      </c>
      <c r="O36" s="763">
        <f t="shared" ref="O36:Q36" si="30">SUM(O37:O39)</f>
        <v>7056699904</v>
      </c>
      <c r="P36" s="763">
        <f t="shared" si="30"/>
        <v>7056699904</v>
      </c>
      <c r="Q36" s="763">
        <f t="shared" si="30"/>
        <v>7854009700</v>
      </c>
      <c r="R36" s="763"/>
    </row>
    <row r="37" spans="1:18" x14ac:dyDescent="0.25">
      <c r="A37" s="752" t="s">
        <v>1050</v>
      </c>
      <c r="B37" s="765">
        <v>0</v>
      </c>
      <c r="C37" s="765">
        <v>6798050496.8699999</v>
      </c>
      <c r="D37" s="766"/>
      <c r="E37" s="765">
        <v>6599997931.1999998</v>
      </c>
      <c r="F37" s="766">
        <f t="shared" si="3"/>
        <v>-2.9133729701064835E-2</v>
      </c>
      <c r="G37" s="765">
        <v>6893063450.0299997</v>
      </c>
      <c r="H37" s="766">
        <f t="shared" si="4"/>
        <v>4.4403880407992077E-2</v>
      </c>
      <c r="I37" s="765">
        <v>6497976030</v>
      </c>
      <c r="J37" s="766">
        <f t="shared" si="9"/>
        <v>-5.7316666659767979E-2</v>
      </c>
      <c r="K37" s="765">
        <v>4230867815.1900001</v>
      </c>
      <c r="L37" s="766">
        <f t="shared" si="5"/>
        <v>-0.34889451797654597</v>
      </c>
      <c r="M37" s="889">
        <v>5472692270</v>
      </c>
      <c r="N37" s="766">
        <f t="shared" si="6"/>
        <v>0.29351530443742591</v>
      </c>
      <c r="O37" s="889">
        <f>+[2]MX8!G41</f>
        <v>3528349952</v>
      </c>
      <c r="P37" s="889">
        <f>+[2]MX8!H41</f>
        <v>3528349952</v>
      </c>
      <c r="Q37" s="889">
        <f>+[2]MX8!I41</f>
        <v>3927004849.9899998</v>
      </c>
      <c r="R37" s="765"/>
    </row>
    <row r="38" spans="1:18" x14ac:dyDescent="0.25">
      <c r="A38" s="752" t="s">
        <v>1051</v>
      </c>
      <c r="B38" s="765">
        <v>0</v>
      </c>
      <c r="C38" s="765">
        <v>2091707845.1900001</v>
      </c>
      <c r="D38" s="766"/>
      <c r="E38" s="765">
        <v>2030768594.23</v>
      </c>
      <c r="F38" s="766">
        <f t="shared" si="3"/>
        <v>-2.9133729693720505E-2</v>
      </c>
      <c r="G38" s="765">
        <v>2120942599.99</v>
      </c>
      <c r="H38" s="766">
        <f t="shared" si="4"/>
        <v>4.4403880391005839E-2</v>
      </c>
      <c r="I38" s="765">
        <v>1999377240</v>
      </c>
      <c r="J38" s="766">
        <f t="shared" si="9"/>
        <v>-5.7316666651220628E-2</v>
      </c>
      <c r="K38" s="765">
        <v>1301805481.5999999</v>
      </c>
      <c r="L38" s="766">
        <f t="shared" si="5"/>
        <v>-0.34889451797500709</v>
      </c>
      <c r="M38" s="889">
        <v>1753681400</v>
      </c>
      <c r="N38" s="766">
        <f t="shared" si="6"/>
        <v>0.34711477619883463</v>
      </c>
      <c r="O38" s="889">
        <f>+[2]MX8!G42</f>
        <v>1411339981</v>
      </c>
      <c r="P38" s="889">
        <f>+[2]MX8!H42</f>
        <v>1411339981</v>
      </c>
      <c r="Q38" s="889">
        <f>+[2]MX8!I42</f>
        <v>1570842210</v>
      </c>
      <c r="R38" s="765"/>
    </row>
    <row r="39" spans="1:18" x14ac:dyDescent="0.25">
      <c r="A39" s="752" t="s">
        <v>1871</v>
      </c>
      <c r="B39" s="765">
        <v>0</v>
      </c>
      <c r="C39" s="765">
        <v>1568780883.9400001</v>
      </c>
      <c r="D39" s="766"/>
      <c r="E39" s="765">
        <v>1523076445.6500001</v>
      </c>
      <c r="F39" s="766">
        <f t="shared" si="3"/>
        <v>-2.913372973745898E-2</v>
      </c>
      <c r="G39" s="765">
        <v>1590706950.03</v>
      </c>
      <c r="H39" s="766">
        <f t="shared" si="4"/>
        <v>4.4403880431055677E-2</v>
      </c>
      <c r="I39" s="765">
        <v>1499532930</v>
      </c>
      <c r="J39" s="766">
        <f t="shared" si="9"/>
        <v>-5.7316666673443824E-2</v>
      </c>
      <c r="K39" s="765">
        <v>976354111.21000004</v>
      </c>
      <c r="L39" s="766">
        <f t="shared" si="5"/>
        <v>-0.34889451796833831</v>
      </c>
      <c r="M39" s="889">
        <v>1542033330</v>
      </c>
      <c r="N39" s="766">
        <f t="shared" si="6"/>
        <v>0.57937915382867711</v>
      </c>
      <c r="O39" s="889">
        <f>+[2]MX8!G43</f>
        <v>2117009971</v>
      </c>
      <c r="P39" s="889">
        <f>+[2]MX8!H43</f>
        <v>2117009971</v>
      </c>
      <c r="Q39" s="889">
        <f>+[2]MX8!I43</f>
        <v>2356162640.0100002</v>
      </c>
      <c r="R39" s="765"/>
    </row>
    <row r="40" spans="1:18" s="54" customFormat="1" x14ac:dyDescent="0.25">
      <c r="A40" s="751" t="s">
        <v>1053</v>
      </c>
      <c r="B40" s="761">
        <v>2289938416</v>
      </c>
      <c r="C40" s="761">
        <f t="shared" ref="C40:Q40" si="31">SUM(C41:C45)</f>
        <v>1599285121</v>
      </c>
      <c r="D40" s="762">
        <f t="shared" si="2"/>
        <v>-0.3016034362209678</v>
      </c>
      <c r="E40" s="761">
        <f t="shared" si="31"/>
        <v>1479244550</v>
      </c>
      <c r="F40" s="762">
        <f t="shared" si="3"/>
        <v>-7.5058893141543834E-2</v>
      </c>
      <c r="G40" s="761">
        <f t="shared" si="31"/>
        <v>1829394900</v>
      </c>
      <c r="H40" s="762">
        <f t="shared" si="4"/>
        <v>0.23670889982322396</v>
      </c>
      <c r="I40" s="761">
        <f t="shared" si="31"/>
        <v>1746077600</v>
      </c>
      <c r="J40" s="762">
        <f t="shared" si="9"/>
        <v>-4.554363850035878E-2</v>
      </c>
      <c r="K40" s="761">
        <f t="shared" si="31"/>
        <v>1613225012.71</v>
      </c>
      <c r="L40" s="762">
        <f t="shared" si="5"/>
        <v>-7.6086301828738864E-2</v>
      </c>
      <c r="M40" s="887">
        <f>SUM(M41:M45)</f>
        <v>1789523700</v>
      </c>
      <c r="N40" s="762">
        <f t="shared" si="6"/>
        <v>0.10928338322367194</v>
      </c>
      <c r="O40" s="761">
        <f t="shared" si="31"/>
        <v>1743176193</v>
      </c>
      <c r="P40" s="761">
        <f t="shared" si="31"/>
        <v>1743176193</v>
      </c>
      <c r="Q40" s="761">
        <f t="shared" si="31"/>
        <v>1604554200</v>
      </c>
      <c r="R40" s="761"/>
    </row>
    <row r="41" spans="1:18" x14ac:dyDescent="0.25">
      <c r="A41" s="752" t="s">
        <v>1054</v>
      </c>
      <c r="B41" s="765">
        <v>0</v>
      </c>
      <c r="C41" s="765">
        <v>319857024.24000001</v>
      </c>
      <c r="D41" s="766"/>
      <c r="E41" s="765">
        <v>295848910.00999999</v>
      </c>
      <c r="F41" s="766">
        <f t="shared" si="3"/>
        <v>-7.5058893225949247E-2</v>
      </c>
      <c r="G41" s="765">
        <v>365878980.06</v>
      </c>
      <c r="H41" s="766">
        <f t="shared" si="4"/>
        <v>0.23670889998422817</v>
      </c>
      <c r="I41" s="765">
        <v>349215520</v>
      </c>
      <c r="J41" s="766">
        <f t="shared" si="9"/>
        <v>-4.5543638656878799E-2</v>
      </c>
      <c r="K41" s="765">
        <v>322645002.11000001</v>
      </c>
      <c r="L41" s="766">
        <f t="shared" si="5"/>
        <v>-7.6086303065797264E-2</v>
      </c>
      <c r="M41" s="889">
        <v>357904740</v>
      </c>
      <c r="N41" s="766">
        <f t="shared" si="6"/>
        <v>0.1092833847089279</v>
      </c>
      <c r="O41" s="889">
        <f>+[2]MX8!G45</f>
        <v>348635239</v>
      </c>
      <c r="P41" s="889">
        <f>+[2]MX8!H45</f>
        <v>348635239</v>
      </c>
      <c r="Q41" s="889">
        <f>+[2]MX8!I45</f>
        <v>320910840.00999999</v>
      </c>
      <c r="R41" s="765"/>
    </row>
    <row r="42" spans="1:18" x14ac:dyDescent="0.25">
      <c r="A42" s="752" t="s">
        <v>1055</v>
      </c>
      <c r="B42" s="765">
        <v>0</v>
      </c>
      <c r="C42" s="765">
        <v>159928512.06</v>
      </c>
      <c r="D42" s="766"/>
      <c r="E42" s="765">
        <v>147924455</v>
      </c>
      <c r="F42" s="766">
        <f t="shared" si="3"/>
        <v>-7.5058892910205205E-2</v>
      </c>
      <c r="G42" s="765">
        <v>182939489.97</v>
      </c>
      <c r="H42" s="766">
        <f t="shared" si="4"/>
        <v>0.23670889962041772</v>
      </c>
      <c r="I42" s="765">
        <v>174607760</v>
      </c>
      <c r="J42" s="766">
        <f t="shared" si="9"/>
        <v>-4.554363834383876E-2</v>
      </c>
      <c r="K42" s="765">
        <v>161322501.40000001</v>
      </c>
      <c r="L42" s="766">
        <f t="shared" si="5"/>
        <v>-7.6086301089940064E-2</v>
      </c>
      <c r="M42" s="889">
        <v>178952369.99000001</v>
      </c>
      <c r="N42" s="766">
        <f t="shared" si="6"/>
        <v>0.10928338227465646</v>
      </c>
      <c r="O42" s="889">
        <f>+[2]MX8!G46</f>
        <v>174317619</v>
      </c>
      <c r="P42" s="889">
        <f>+[2]MX8!H46</f>
        <v>174317619</v>
      </c>
      <c r="Q42" s="889">
        <f>+[2]MX8!I46</f>
        <v>160455419.99000001</v>
      </c>
      <c r="R42" s="765"/>
    </row>
    <row r="43" spans="1:18" x14ac:dyDescent="0.25">
      <c r="A43" s="752" t="s">
        <v>1056</v>
      </c>
      <c r="B43" s="765">
        <v>0</v>
      </c>
      <c r="C43" s="765">
        <v>159928512.06</v>
      </c>
      <c r="D43" s="766"/>
      <c r="E43" s="765">
        <v>147924455</v>
      </c>
      <c r="F43" s="766">
        <f t="shared" si="3"/>
        <v>-7.5058892910205205E-2</v>
      </c>
      <c r="G43" s="765">
        <v>182939489.97</v>
      </c>
      <c r="H43" s="766">
        <f t="shared" si="4"/>
        <v>0.23670889962041772</v>
      </c>
      <c r="I43" s="765">
        <v>174607760</v>
      </c>
      <c r="J43" s="766">
        <f t="shared" si="9"/>
        <v>-4.554363834383876E-2</v>
      </c>
      <c r="K43" s="765">
        <v>161322501.40000001</v>
      </c>
      <c r="L43" s="766">
        <f t="shared" si="5"/>
        <v>-7.6086301089940064E-2</v>
      </c>
      <c r="M43" s="889">
        <v>178952369.99000001</v>
      </c>
      <c r="N43" s="766">
        <f t="shared" si="6"/>
        <v>0.10928338227465646</v>
      </c>
      <c r="O43" s="889">
        <f>+[2]MX8!G47</f>
        <v>174317619</v>
      </c>
      <c r="P43" s="889">
        <f>+[2]MX8!H47</f>
        <v>174317619</v>
      </c>
      <c r="Q43" s="889">
        <f>+[2]MX8!I47</f>
        <v>160558539.99000001</v>
      </c>
      <c r="R43" s="765"/>
    </row>
    <row r="44" spans="1:18" x14ac:dyDescent="0.25">
      <c r="A44" s="752" t="s">
        <v>1057</v>
      </c>
      <c r="B44" s="765">
        <v>0</v>
      </c>
      <c r="C44" s="765">
        <v>799642560.58000004</v>
      </c>
      <c r="D44" s="766"/>
      <c r="E44" s="765">
        <v>739622275</v>
      </c>
      <c r="F44" s="766">
        <f t="shared" si="3"/>
        <v>-7.5058893234079341E-2</v>
      </c>
      <c r="G44" s="765">
        <v>914697450.01999998</v>
      </c>
      <c r="H44" s="766">
        <f t="shared" si="4"/>
        <v>0.23670889985026475</v>
      </c>
      <c r="I44" s="765">
        <v>873038800</v>
      </c>
      <c r="J44" s="766">
        <f t="shared" si="9"/>
        <v>-4.5543638521228093E-2</v>
      </c>
      <c r="K44" s="765">
        <v>806612506.39999998</v>
      </c>
      <c r="L44" s="766">
        <f t="shared" si="5"/>
        <v>-7.6086301777194804E-2</v>
      </c>
      <c r="M44" s="889">
        <v>894761850.03999996</v>
      </c>
      <c r="N44" s="766">
        <f t="shared" si="6"/>
        <v>0.10928338321137639</v>
      </c>
      <c r="O44" s="889">
        <f>+[2]MX8!G48</f>
        <v>871588097</v>
      </c>
      <c r="P44" s="889">
        <f>+[2]MX8!H48</f>
        <v>871588097</v>
      </c>
      <c r="Q44" s="889">
        <f>+[2]MX8!I48</f>
        <v>802173980.01999998</v>
      </c>
      <c r="R44" s="765"/>
    </row>
    <row r="45" spans="1:18" x14ac:dyDescent="0.25">
      <c r="A45" s="752" t="s">
        <v>1058</v>
      </c>
      <c r="B45" s="765">
        <v>0</v>
      </c>
      <c r="C45" s="765">
        <v>159928512.06</v>
      </c>
      <c r="D45" s="766"/>
      <c r="E45" s="765">
        <v>147924454.99000001</v>
      </c>
      <c r="F45" s="766">
        <f t="shared" si="3"/>
        <v>-7.5058892972733091E-2</v>
      </c>
      <c r="G45" s="765">
        <v>182939489.97999999</v>
      </c>
      <c r="H45" s="766">
        <f t="shared" si="4"/>
        <v>0.23670889977162374</v>
      </c>
      <c r="I45" s="765">
        <v>174607760</v>
      </c>
      <c r="J45" s="766">
        <f t="shared" si="9"/>
        <v>-4.5543638396012047E-2</v>
      </c>
      <c r="K45" s="765">
        <v>161322501.40000001</v>
      </c>
      <c r="L45" s="766">
        <f t="shared" si="5"/>
        <v>-7.6086301089940064E-2</v>
      </c>
      <c r="M45" s="889">
        <v>178952369.97999999</v>
      </c>
      <c r="N45" s="766">
        <f t="shared" si="6"/>
        <v>0.10928338221266871</v>
      </c>
      <c r="O45" s="889">
        <f>+[2]MX8!G49</f>
        <v>174317619</v>
      </c>
      <c r="P45" s="889">
        <f>+[2]MX8!H49</f>
        <v>174317619</v>
      </c>
      <c r="Q45" s="889">
        <f>+[2]MX8!I49</f>
        <v>160455419.99000001</v>
      </c>
      <c r="R45" s="765"/>
    </row>
    <row r="46" spans="1:18" s="54" customFormat="1" x14ac:dyDescent="0.25">
      <c r="A46" s="751" t="s">
        <v>1059</v>
      </c>
      <c r="B46" s="761">
        <v>5579890950</v>
      </c>
      <c r="C46" s="761">
        <f>SUM(C47:C48)</f>
        <v>3908511362</v>
      </c>
      <c r="D46" s="762">
        <f t="shared" si="2"/>
        <v>-0.29953624595477085</v>
      </c>
      <c r="E46" s="761">
        <f>SUM(E47:E48)</f>
        <v>3579000900</v>
      </c>
      <c r="F46" s="762">
        <f t="shared" si="3"/>
        <v>-8.4305872871094395E-2</v>
      </c>
      <c r="G46" s="761">
        <f>SUM(G47:G48)</f>
        <v>4454135799</v>
      </c>
      <c r="H46" s="762">
        <f t="shared" si="4"/>
        <v>0.24451932912338747</v>
      </c>
      <c r="I46" s="761">
        <f>SUM(I47:I48)</f>
        <v>4141927200</v>
      </c>
      <c r="J46" s="762">
        <f t="shared" si="9"/>
        <v>-7.0094090770670733E-2</v>
      </c>
      <c r="K46" s="761">
        <f t="shared" ref="K46:Q46" si="32">SUM(K47:K48)</f>
        <v>4130204789.8299999</v>
      </c>
      <c r="L46" s="762">
        <f t="shared" si="5"/>
        <v>-2.8301825705676518E-3</v>
      </c>
      <c r="M46" s="887">
        <f>SUM(M47:M48)</f>
        <v>4277599200</v>
      </c>
      <c r="N46" s="762">
        <f t="shared" si="6"/>
        <v>3.5686949599433027E-2</v>
      </c>
      <c r="O46" s="761">
        <f t="shared" si="32"/>
        <v>4241398703</v>
      </c>
      <c r="P46" s="761">
        <f t="shared" si="32"/>
        <v>4241398703</v>
      </c>
      <c r="Q46" s="761">
        <f t="shared" si="32"/>
        <v>3653823700</v>
      </c>
      <c r="R46" s="761"/>
    </row>
    <row r="47" spans="1:18" x14ac:dyDescent="0.25">
      <c r="A47" s="752" t="s">
        <v>1060</v>
      </c>
      <c r="B47" s="765">
        <v>0</v>
      </c>
      <c r="C47" s="765">
        <v>3126809089.6199999</v>
      </c>
      <c r="D47" s="766"/>
      <c r="E47" s="765">
        <v>2863200720</v>
      </c>
      <c r="F47" s="766">
        <f t="shared" si="3"/>
        <v>-8.4305872876951418E-2</v>
      </c>
      <c r="G47" s="765">
        <v>3563308639.25</v>
      </c>
      <c r="H47" s="766">
        <f t="shared" si="4"/>
        <v>0.24451932914085045</v>
      </c>
      <c r="I47" s="765">
        <v>3313541760</v>
      </c>
      <c r="J47" s="766">
        <f t="shared" si="9"/>
        <v>-7.0094090783719074E-2</v>
      </c>
      <c r="K47" s="765">
        <v>3304163831.8299999</v>
      </c>
      <c r="L47" s="766">
        <f t="shared" si="5"/>
        <v>-2.8301825808285802E-3</v>
      </c>
      <c r="M47" s="889">
        <v>3422079359.2399998</v>
      </c>
      <c r="N47" s="766">
        <f t="shared" si="6"/>
        <v>3.5686949380077417E-2</v>
      </c>
      <c r="O47" s="889">
        <f>+[2]MX8!$G$38</f>
        <v>3393118962</v>
      </c>
      <c r="P47" s="1076">
        <f>+[2]MX8!$H$38</f>
        <v>3393118962</v>
      </c>
      <c r="Q47" s="1076">
        <f>+[2]MX8!$I$38</f>
        <v>2923058960.6999998</v>
      </c>
      <c r="R47" s="765"/>
    </row>
    <row r="48" spans="1:18" x14ac:dyDescent="0.25">
      <c r="A48" s="752" t="s">
        <v>1061</v>
      </c>
      <c r="B48" s="765">
        <v>0</v>
      </c>
      <c r="C48" s="765">
        <v>781702272.38</v>
      </c>
      <c r="D48" s="766"/>
      <c r="E48" s="765">
        <v>715800180</v>
      </c>
      <c r="F48" s="766">
        <f t="shared" si="3"/>
        <v>-8.4305872847666177E-2</v>
      </c>
      <c r="G48" s="765">
        <v>890827159.75</v>
      </c>
      <c r="H48" s="766">
        <f t="shared" si="4"/>
        <v>0.24451932905353557</v>
      </c>
      <c r="I48" s="765">
        <v>828385440</v>
      </c>
      <c r="J48" s="766">
        <f t="shared" si="9"/>
        <v>-7.0094090718477331E-2</v>
      </c>
      <c r="K48" s="765">
        <v>826040958</v>
      </c>
      <c r="L48" s="766">
        <f t="shared" si="5"/>
        <v>-2.8301825295239374E-3</v>
      </c>
      <c r="M48" s="889">
        <v>855519840.75999999</v>
      </c>
      <c r="N48" s="766">
        <f t="shared" si="6"/>
        <v>3.5686950476855155E-2</v>
      </c>
      <c r="O48" s="889">
        <f>+[2]MX8!$G$39</f>
        <v>848279741</v>
      </c>
      <c r="P48" s="1076">
        <f>+[2]MX8!$H$39</f>
        <v>848279741</v>
      </c>
      <c r="Q48" s="1076">
        <f>+[2]MX8!$I$39</f>
        <v>730764739.29999995</v>
      </c>
      <c r="R48" s="765"/>
    </row>
    <row r="49" spans="1:18" s="54" customFormat="1" x14ac:dyDescent="0.25">
      <c r="A49" s="751" t="s">
        <v>1062</v>
      </c>
      <c r="B49" s="761">
        <v>15422931239</v>
      </c>
      <c r="C49" s="761">
        <v>14148929209</v>
      </c>
      <c r="D49" s="762">
        <f t="shared" si="2"/>
        <v>-8.2604403161600587E-2</v>
      </c>
      <c r="E49" s="761">
        <v>10219955337</v>
      </c>
      <c r="F49" s="762">
        <f t="shared" si="3"/>
        <v>-0.27768701178466687</v>
      </c>
      <c r="G49" s="761">
        <v>9685315504</v>
      </c>
      <c r="H49" s="762">
        <f t="shared" si="4"/>
        <v>-5.2313323822894511E-2</v>
      </c>
      <c r="I49" s="761">
        <v>9781893090</v>
      </c>
      <c r="J49" s="762">
        <f t="shared" si="9"/>
        <v>9.971547747733546E-3</v>
      </c>
      <c r="K49" s="761">
        <v>8675577137.9899998</v>
      </c>
      <c r="L49" s="762">
        <f t="shared" si="5"/>
        <v>-0.11309834832901453</v>
      </c>
      <c r="M49" s="893">
        <v>10666478200</v>
      </c>
      <c r="N49" s="762">
        <f t="shared" si="6"/>
        <v>0.22948341422634874</v>
      </c>
      <c r="O49" s="761"/>
      <c r="P49" s="761"/>
      <c r="Q49" s="761"/>
      <c r="R49" s="761"/>
    </row>
    <row r="50" spans="1:18" s="54" customFormat="1" x14ac:dyDescent="0.25">
      <c r="A50" s="751" t="s">
        <v>1063</v>
      </c>
      <c r="B50" s="761">
        <v>643423900</v>
      </c>
      <c r="C50" s="761">
        <v>646374800</v>
      </c>
      <c r="D50" s="762">
        <f t="shared" si="2"/>
        <v>4.5862455528928904E-3</v>
      </c>
      <c r="E50" s="761">
        <v>541463800</v>
      </c>
      <c r="F50" s="762">
        <f t="shared" si="3"/>
        <v>-0.16230676072148853</v>
      </c>
      <c r="G50" s="761">
        <v>592954000</v>
      </c>
      <c r="H50" s="762">
        <f t="shared" si="4"/>
        <v>9.5094445833682692E-2</v>
      </c>
      <c r="I50" s="761">
        <v>601886900</v>
      </c>
      <c r="J50" s="762">
        <f t="shared" si="9"/>
        <v>1.506508093376552E-2</v>
      </c>
      <c r="K50" s="761">
        <v>0</v>
      </c>
      <c r="L50" s="762">
        <f t="shared" si="5"/>
        <v>-1</v>
      </c>
      <c r="M50" s="893">
        <v>0</v>
      </c>
      <c r="N50" s="762"/>
      <c r="O50" s="761"/>
      <c r="P50" s="761"/>
      <c r="Q50" s="761"/>
      <c r="R50" s="761"/>
    </row>
    <row r="51" spans="1:18" s="54" customFormat="1" x14ac:dyDescent="0.25">
      <c r="A51" s="749" t="s">
        <v>952</v>
      </c>
      <c r="B51" s="759">
        <f t="shared" ref="B51:K51" si="33">+B52+B68+B73+B76</f>
        <v>15039587295.790001</v>
      </c>
      <c r="C51" s="759">
        <f t="shared" si="33"/>
        <v>16216818670.040001</v>
      </c>
      <c r="D51" s="760">
        <f t="shared" si="2"/>
        <v>7.8275510564012607E-2</v>
      </c>
      <c r="E51" s="759">
        <f t="shared" si="33"/>
        <v>16730675429</v>
      </c>
      <c r="F51" s="760">
        <f t="shared" si="3"/>
        <v>3.1686656268120658E-2</v>
      </c>
      <c r="G51" s="759">
        <f t="shared" si="33"/>
        <v>17304362427.239998</v>
      </c>
      <c r="H51" s="760">
        <f t="shared" si="4"/>
        <v>3.4289530071547586E-2</v>
      </c>
      <c r="I51" s="759">
        <f t="shared" si="33"/>
        <v>17679589730.75</v>
      </c>
      <c r="J51" s="760">
        <f t="shared" si="9"/>
        <v>2.1683971604716901E-2</v>
      </c>
      <c r="K51" s="759">
        <f t="shared" si="33"/>
        <v>13319806588.99</v>
      </c>
      <c r="L51" s="760">
        <f t="shared" si="5"/>
        <v>-0.24659979151988221</v>
      </c>
      <c r="M51" s="886">
        <f>+M52+M68+M73+M76</f>
        <v>28825497998.420002</v>
      </c>
      <c r="N51" s="760">
        <f t="shared" si="6"/>
        <v>1.1641078499027779</v>
      </c>
      <c r="O51" s="759">
        <f t="shared" ref="O51:Q51" si="34">+O52+O68+O73+O76</f>
        <v>19410541143</v>
      </c>
      <c r="P51" s="759">
        <f t="shared" si="34"/>
        <v>33412247300</v>
      </c>
      <c r="Q51" s="759">
        <f t="shared" si="34"/>
        <v>31469250569.02</v>
      </c>
      <c r="R51" s="759"/>
    </row>
    <row r="52" spans="1:18" s="54" customFormat="1" x14ac:dyDescent="0.25">
      <c r="A52" s="751" t="s">
        <v>1872</v>
      </c>
      <c r="B52" s="767">
        <f>+B53+B60</f>
        <v>1285161700.79</v>
      </c>
      <c r="C52" s="767">
        <f t="shared" ref="C52:I52" si="35">+C53+C60</f>
        <v>2167872203.2399998</v>
      </c>
      <c r="D52" s="768">
        <f t="shared" si="2"/>
        <v>0.68684781215265756</v>
      </c>
      <c r="E52" s="767">
        <f t="shared" si="35"/>
        <v>2582221902.5999999</v>
      </c>
      <c r="F52" s="768">
        <f t="shared" si="3"/>
        <v>0.19113197666390694</v>
      </c>
      <c r="G52" s="767">
        <f t="shared" si="35"/>
        <v>2435895854.6000004</v>
      </c>
      <c r="H52" s="768">
        <f t="shared" si="4"/>
        <v>-5.6666720955571653E-2</v>
      </c>
      <c r="I52" s="767">
        <f t="shared" si="35"/>
        <v>2167457724.8899999</v>
      </c>
      <c r="J52" s="768">
        <f t="shared" si="9"/>
        <v>-0.11020098794580069</v>
      </c>
      <c r="K52" s="767">
        <f>+K53+K60</f>
        <v>595164744.30999994</v>
      </c>
      <c r="L52" s="768">
        <f t="shared" si="5"/>
        <v>-0.72540883382617993</v>
      </c>
      <c r="M52" s="890">
        <f>+M53+M60</f>
        <v>5211993414.6400003</v>
      </c>
      <c r="N52" s="768">
        <f t="shared" si="6"/>
        <v>7.7572280859520459</v>
      </c>
      <c r="O52" s="767">
        <f t="shared" ref="O52:Q52" si="36">+O53+O60</f>
        <v>5780146918</v>
      </c>
      <c r="P52" s="767">
        <f t="shared" si="36"/>
        <v>5780146918</v>
      </c>
      <c r="Q52" s="767">
        <f t="shared" si="36"/>
        <v>4400852252.0799999</v>
      </c>
      <c r="R52" s="767"/>
    </row>
    <row r="53" spans="1:18" s="54" customFormat="1" x14ac:dyDescent="0.25">
      <c r="A53" s="751" t="s">
        <v>1067</v>
      </c>
      <c r="B53" s="767">
        <f t="shared" ref="B53:I53" si="37">SUM(B54:B58)</f>
        <v>960882495.78999996</v>
      </c>
      <c r="C53" s="767">
        <f t="shared" si="37"/>
        <v>1144636706.24</v>
      </c>
      <c r="D53" s="768">
        <f t="shared" si="2"/>
        <v>0.19123484011322792</v>
      </c>
      <c r="E53" s="767">
        <f t="shared" si="37"/>
        <v>1591770949.5999999</v>
      </c>
      <c r="F53" s="768">
        <f t="shared" si="3"/>
        <v>0.39063419941230476</v>
      </c>
      <c r="G53" s="767">
        <f t="shared" si="37"/>
        <v>1085680231.97</v>
      </c>
      <c r="H53" s="768">
        <f t="shared" si="4"/>
        <v>-0.31794192358968271</v>
      </c>
      <c r="I53" s="767">
        <f t="shared" si="37"/>
        <v>745848808.88999999</v>
      </c>
      <c r="J53" s="768">
        <f t="shared" si="9"/>
        <v>-0.31301244424738722</v>
      </c>
      <c r="K53" s="767">
        <f>SUM(K54:K58)</f>
        <v>340260354.64999998</v>
      </c>
      <c r="L53" s="768">
        <f t="shared" si="5"/>
        <v>-0.54379446532013886</v>
      </c>
      <c r="M53" s="890">
        <f>SUM(M54:M59)</f>
        <v>1181760096.96</v>
      </c>
      <c r="N53" s="768">
        <f t="shared" si="6"/>
        <v>2.4731054641249259</v>
      </c>
      <c r="O53" s="767">
        <f t="shared" ref="O53:Q53" si="38">SUM(O54:O58)</f>
        <v>580088442</v>
      </c>
      <c r="P53" s="767">
        <f t="shared" si="38"/>
        <v>580088442</v>
      </c>
      <c r="Q53" s="767">
        <f t="shared" si="38"/>
        <v>495833816.63999999</v>
      </c>
      <c r="R53" s="767"/>
    </row>
    <row r="54" spans="1:18" x14ac:dyDescent="0.25">
      <c r="A54" s="752" t="s">
        <v>1068</v>
      </c>
      <c r="B54" s="765">
        <v>578981062.78999996</v>
      </c>
      <c r="C54" s="765">
        <v>90545486.239999995</v>
      </c>
      <c r="D54" s="766">
        <f t="shared" si="2"/>
        <v>-0.84361235270169554</v>
      </c>
      <c r="E54" s="765">
        <v>260275664.59999999</v>
      </c>
      <c r="F54" s="766">
        <f t="shared" si="3"/>
        <v>1.8745294261285754</v>
      </c>
      <c r="G54" s="765">
        <v>230565301.97</v>
      </c>
      <c r="H54" s="766">
        <f t="shared" si="4"/>
        <v>-0.11414959856373755</v>
      </c>
      <c r="I54" s="765">
        <v>365701944.88999999</v>
      </c>
      <c r="J54" s="766">
        <f t="shared" si="9"/>
        <v>0.58611005977639818</v>
      </c>
      <c r="K54" s="765">
        <v>143745637.65000001</v>
      </c>
      <c r="L54" s="766">
        <f t="shared" si="5"/>
        <v>-0.60693225819939933</v>
      </c>
      <c r="M54" s="889">
        <v>176472032.95999998</v>
      </c>
      <c r="N54" s="766">
        <f t="shared" si="6"/>
        <v>0.22766878943265081</v>
      </c>
      <c r="O54" s="889">
        <f>+[2]MX8!$G$51</f>
        <v>580088442</v>
      </c>
      <c r="P54" s="1076">
        <f>+[2]MX8!$H$52</f>
        <v>580088442</v>
      </c>
      <c r="Q54" s="1076">
        <f>+[2]MX8!$I$51</f>
        <v>495833816.63999999</v>
      </c>
      <c r="R54" s="765"/>
    </row>
    <row r="55" spans="1:18" x14ac:dyDescent="0.25">
      <c r="A55" s="752" t="s">
        <v>1069</v>
      </c>
      <c r="B55" s="765">
        <v>162098133</v>
      </c>
      <c r="C55" s="765">
        <v>232799993</v>
      </c>
      <c r="D55" s="766">
        <f t="shared" si="2"/>
        <v>0.43616702235552585</v>
      </c>
      <c r="E55" s="765">
        <v>164764687</v>
      </c>
      <c r="F55" s="766">
        <f t="shared" si="3"/>
        <v>-0.29224788679439523</v>
      </c>
      <c r="G55" s="765">
        <v>127539819</v>
      </c>
      <c r="H55" s="766">
        <f t="shared" si="4"/>
        <v>-0.22592746466359021</v>
      </c>
      <c r="I55" s="765">
        <v>155876324</v>
      </c>
      <c r="J55" s="766">
        <f t="shared" si="9"/>
        <v>0.2221777106332572</v>
      </c>
      <c r="K55" s="765">
        <v>14580826</v>
      </c>
      <c r="L55" s="766">
        <f t="shared" si="5"/>
        <v>-0.90645900784778577</v>
      </c>
      <c r="M55" s="889"/>
      <c r="N55" s="766"/>
      <c r="O55" s="889"/>
      <c r="P55" s="766"/>
      <c r="Q55" s="766"/>
      <c r="R55" s="765"/>
    </row>
    <row r="56" spans="1:18" x14ac:dyDescent="0.25">
      <c r="A56" s="752" t="s">
        <v>1070</v>
      </c>
      <c r="B56" s="765">
        <v>0</v>
      </c>
      <c r="C56" s="765">
        <v>162286351</v>
      </c>
      <c r="D56" s="766"/>
      <c r="E56" s="765">
        <v>97053613</v>
      </c>
      <c r="F56" s="766">
        <f t="shared" si="3"/>
        <v>-0.40196071695518004</v>
      </c>
      <c r="G56" s="765">
        <v>94828941</v>
      </c>
      <c r="H56" s="766">
        <f t="shared" si="4"/>
        <v>-2.2922093585531947E-2</v>
      </c>
      <c r="I56" s="765">
        <v>114793540</v>
      </c>
      <c r="J56" s="766">
        <f t="shared" si="9"/>
        <v>0.21053276341027577</v>
      </c>
      <c r="K56" s="765">
        <v>6649781</v>
      </c>
      <c r="L56" s="766">
        <f t="shared" si="5"/>
        <v>-0.94207181867551082</v>
      </c>
      <c r="M56" s="889"/>
      <c r="N56" s="766"/>
      <c r="O56" s="889"/>
      <c r="P56" s="766"/>
      <c r="Q56" s="766"/>
      <c r="R56" s="765"/>
    </row>
    <row r="57" spans="1:18" x14ac:dyDescent="0.25">
      <c r="A57" s="752" t="s">
        <v>1071</v>
      </c>
      <c r="B57" s="773">
        <v>0</v>
      </c>
      <c r="C57" s="773">
        <v>514557468</v>
      </c>
      <c r="D57" s="774"/>
      <c r="E57" s="773">
        <v>948728685</v>
      </c>
      <c r="F57" s="774">
        <f t="shared" si="3"/>
        <v>0.84377595118296878</v>
      </c>
      <c r="G57" s="773">
        <v>508891370</v>
      </c>
      <c r="H57" s="774">
        <f t="shared" si="4"/>
        <v>-0.46360705853433748</v>
      </c>
      <c r="I57" s="773">
        <v>0</v>
      </c>
      <c r="J57" s="774">
        <f t="shared" si="9"/>
        <v>-1</v>
      </c>
      <c r="K57" s="773">
        <v>103197410</v>
      </c>
      <c r="L57" s="774"/>
      <c r="M57" s="894"/>
      <c r="N57" s="774"/>
      <c r="O57" s="894"/>
      <c r="P57" s="774"/>
      <c r="Q57" s="774"/>
      <c r="R57" s="773"/>
    </row>
    <row r="58" spans="1:18" x14ac:dyDescent="0.25">
      <c r="A58" s="752" t="s">
        <v>1072</v>
      </c>
      <c r="B58" s="765">
        <v>219803300</v>
      </c>
      <c r="C58" s="765">
        <v>144447408</v>
      </c>
      <c r="D58" s="766">
        <f t="shared" si="2"/>
        <v>-0.34283330596037459</v>
      </c>
      <c r="E58" s="765">
        <v>120948300</v>
      </c>
      <c r="F58" s="766">
        <f t="shared" si="3"/>
        <v>-0.16268279455731044</v>
      </c>
      <c r="G58" s="765">
        <v>123854800</v>
      </c>
      <c r="H58" s="766">
        <f t="shared" si="4"/>
        <v>2.4030928917562297E-2</v>
      </c>
      <c r="I58" s="765">
        <v>109477000</v>
      </c>
      <c r="J58" s="766">
        <f t="shared" si="9"/>
        <v>-0.11608593288269813</v>
      </c>
      <c r="K58" s="765">
        <v>72086700</v>
      </c>
      <c r="L58" s="766">
        <f t="shared" si="5"/>
        <v>-0.34153566502553045</v>
      </c>
      <c r="M58" s="889">
        <v>0</v>
      </c>
      <c r="N58" s="766">
        <f t="shared" si="6"/>
        <v>-1</v>
      </c>
      <c r="O58" s="889"/>
      <c r="P58" s="766"/>
      <c r="Q58" s="766"/>
      <c r="R58" s="765"/>
    </row>
    <row r="59" spans="1:18" x14ac:dyDescent="0.25">
      <c r="A59" s="752" t="s">
        <v>346</v>
      </c>
      <c r="B59" s="765"/>
      <c r="C59" s="765"/>
      <c r="D59" s="766"/>
      <c r="E59" s="765"/>
      <c r="F59" s="766"/>
      <c r="G59" s="765"/>
      <c r="H59" s="766"/>
      <c r="I59" s="765"/>
      <c r="J59" s="766"/>
      <c r="K59" s="765"/>
      <c r="L59" s="766"/>
      <c r="M59" s="889">
        <v>1005288064</v>
      </c>
      <c r="N59" s="766" t="e">
        <f t="shared" si="6"/>
        <v>#DIV/0!</v>
      </c>
      <c r="O59" s="889"/>
      <c r="P59" s="766"/>
      <c r="Q59" s="766"/>
      <c r="R59" s="765"/>
    </row>
    <row r="60" spans="1:18" x14ac:dyDescent="0.25">
      <c r="A60" s="751" t="s">
        <v>1873</v>
      </c>
      <c r="B60" s="761">
        <f>SUM(B61:B67)</f>
        <v>324279205</v>
      </c>
      <c r="C60" s="761">
        <f t="shared" ref="C60:I60" si="39">SUM(C61:C67)</f>
        <v>1023235497</v>
      </c>
      <c r="D60" s="762">
        <f t="shared" si="2"/>
        <v>2.1554150905236122</v>
      </c>
      <c r="E60" s="761">
        <f t="shared" si="39"/>
        <v>990450953</v>
      </c>
      <c r="F60" s="762">
        <f t="shared" si="3"/>
        <v>-3.2040076889553022E-2</v>
      </c>
      <c r="G60" s="761">
        <f t="shared" si="39"/>
        <v>1350215622.6300001</v>
      </c>
      <c r="H60" s="762">
        <f t="shared" si="4"/>
        <v>0.36323320053385838</v>
      </c>
      <c r="I60" s="761">
        <f t="shared" si="39"/>
        <v>1421608916</v>
      </c>
      <c r="J60" s="762">
        <f t="shared" si="9"/>
        <v>5.2875475719157641E-2</v>
      </c>
      <c r="K60" s="761">
        <f>SUM(K61:K67)</f>
        <v>254904389.66</v>
      </c>
      <c r="L60" s="762">
        <f t="shared" si="5"/>
        <v>-0.8206930283068089</v>
      </c>
      <c r="M60" s="887">
        <f>SUM(M61:M67)</f>
        <v>4030233317.6800003</v>
      </c>
      <c r="N60" s="762">
        <f t="shared" si="6"/>
        <v>14.810764667708</v>
      </c>
      <c r="O60" s="761">
        <f t="shared" ref="O60:Q60" si="40">SUM(O61:O67)</f>
        <v>5200058476</v>
      </c>
      <c r="P60" s="761">
        <f t="shared" si="40"/>
        <v>5200058476</v>
      </c>
      <c r="Q60" s="761">
        <f t="shared" si="40"/>
        <v>3905018435.4400001</v>
      </c>
      <c r="R60" s="761"/>
    </row>
    <row r="61" spans="1:18" ht="25.5" x14ac:dyDescent="0.25">
      <c r="A61" s="752" t="s">
        <v>1074</v>
      </c>
      <c r="B61" s="765">
        <v>19580046</v>
      </c>
      <c r="C61" s="765">
        <v>166920338</v>
      </c>
      <c r="D61" s="766">
        <f t="shared" si="2"/>
        <v>7.5250227706308763</v>
      </c>
      <c r="E61" s="765">
        <v>122557632</v>
      </c>
      <c r="F61" s="766">
        <f t="shared" si="3"/>
        <v>-0.26577172399447213</v>
      </c>
      <c r="G61" s="765">
        <v>176255892.97999999</v>
      </c>
      <c r="H61" s="766">
        <f t="shared" si="4"/>
        <v>0.43814701788624627</v>
      </c>
      <c r="I61" s="765">
        <v>195298958</v>
      </c>
      <c r="J61" s="766">
        <f t="shared" si="9"/>
        <v>0.10804214655200695</v>
      </c>
      <c r="K61" s="765">
        <v>24445612.66</v>
      </c>
      <c r="L61" s="766">
        <f t="shared" si="5"/>
        <v>-0.87482978449890147</v>
      </c>
      <c r="M61" s="889">
        <v>629122437.20000005</v>
      </c>
      <c r="N61" s="766">
        <f t="shared" si="6"/>
        <v>24.735597055803144</v>
      </c>
      <c r="O61" s="889">
        <f>+[2]MX8!G82</f>
        <v>1368223930</v>
      </c>
      <c r="P61" s="889">
        <f>+[2]MX8!H82</f>
        <v>1368223930</v>
      </c>
      <c r="Q61" s="889">
        <f>+[2]MX8!I82</f>
        <v>508062206.51999998</v>
      </c>
      <c r="R61" s="765"/>
    </row>
    <row r="62" spans="1:18" x14ac:dyDescent="0.25">
      <c r="A62" s="752" t="s">
        <v>1075</v>
      </c>
      <c r="B62" s="765">
        <v>89801666</v>
      </c>
      <c r="C62" s="765">
        <v>856315159</v>
      </c>
      <c r="D62" s="766">
        <f t="shared" si="2"/>
        <v>8.5356266441649318</v>
      </c>
      <c r="E62" s="765">
        <v>867893321</v>
      </c>
      <c r="F62" s="766">
        <f t="shared" si="3"/>
        <v>1.3520912106146657E-2</v>
      </c>
      <c r="G62" s="765">
        <v>1173959729.6500001</v>
      </c>
      <c r="H62" s="766">
        <f t="shared" si="4"/>
        <v>0.35265441183179713</v>
      </c>
      <c r="I62" s="765">
        <v>1226309958</v>
      </c>
      <c r="J62" s="766">
        <f t="shared" si="9"/>
        <v>4.4592865519848285E-2</v>
      </c>
      <c r="K62" s="765">
        <v>230458777</v>
      </c>
      <c r="L62" s="766">
        <f t="shared" si="5"/>
        <v>-0.81207134827816507</v>
      </c>
      <c r="M62" s="889">
        <v>2509500558.7800002</v>
      </c>
      <c r="N62" s="766">
        <f t="shared" si="6"/>
        <v>9.8891515933888705</v>
      </c>
      <c r="O62" s="889">
        <f>+[2]MX8!G74</f>
        <v>2382349720</v>
      </c>
      <c r="P62" s="889">
        <f>+[2]MX8!H74</f>
        <v>2382349720</v>
      </c>
      <c r="Q62" s="889">
        <f>+[2]MX8!I74</f>
        <v>2528256929.8699999</v>
      </c>
      <c r="R62" s="765"/>
    </row>
    <row r="63" spans="1:18" x14ac:dyDescent="0.25">
      <c r="A63" s="752" t="s">
        <v>352</v>
      </c>
      <c r="B63" s="765"/>
      <c r="C63" s="765"/>
      <c r="D63" s="766"/>
      <c r="E63" s="765"/>
      <c r="F63" s="766"/>
      <c r="G63" s="765"/>
      <c r="H63" s="766"/>
      <c r="I63" s="765"/>
      <c r="J63" s="766"/>
      <c r="K63" s="765"/>
      <c r="L63" s="766"/>
      <c r="M63" s="889">
        <v>43588821</v>
      </c>
      <c r="N63" s="766" t="e">
        <f t="shared" si="6"/>
        <v>#DIV/0!</v>
      </c>
      <c r="O63" s="889">
        <f>+[2]MX8!$G$69</f>
        <v>20000000</v>
      </c>
      <c r="P63" s="1076">
        <f>+[2]MX8!$H$69</f>
        <v>20000000</v>
      </c>
      <c r="Q63" s="1076">
        <f>+[2]MX8!$I$69</f>
        <v>44005869</v>
      </c>
      <c r="R63" s="765"/>
    </row>
    <row r="64" spans="1:18" x14ac:dyDescent="0.25">
      <c r="A64" s="752" t="s">
        <v>356</v>
      </c>
      <c r="B64" s="765"/>
      <c r="C64" s="765"/>
      <c r="D64" s="766"/>
      <c r="E64" s="765"/>
      <c r="F64" s="766"/>
      <c r="G64" s="765"/>
      <c r="H64" s="766"/>
      <c r="I64" s="765"/>
      <c r="J64" s="766"/>
      <c r="K64" s="765"/>
      <c r="L64" s="766"/>
      <c r="M64" s="889">
        <v>411203908</v>
      </c>
      <c r="N64" s="766" t="e">
        <f t="shared" si="6"/>
        <v>#DIV/0!</v>
      </c>
      <c r="O64" s="889">
        <f>+[2]MX8!$G$70+[2]MX8!$G$71+[2]MX8!$G$70</f>
        <v>140000000</v>
      </c>
      <c r="P64" s="1076">
        <f>+[2]MX8!$H$70+[2]MX8!$H$71+[2]MX8!$H$72</f>
        <v>140000000</v>
      </c>
      <c r="Q64" s="1076">
        <f>+[2]MX8!$I$71+[2]MX8!$I$72</f>
        <v>140559730</v>
      </c>
      <c r="R64" s="765"/>
    </row>
    <row r="65" spans="1:18" x14ac:dyDescent="0.25">
      <c r="A65" s="752" t="s">
        <v>446</v>
      </c>
      <c r="B65" s="765"/>
      <c r="C65" s="765"/>
      <c r="D65" s="766"/>
      <c r="E65" s="765"/>
      <c r="F65" s="766"/>
      <c r="G65" s="765"/>
      <c r="H65" s="766"/>
      <c r="I65" s="765"/>
      <c r="J65" s="766"/>
      <c r="K65" s="765"/>
      <c r="L65" s="766"/>
      <c r="M65" s="889">
        <v>431798676.69999999</v>
      </c>
      <c r="N65" s="766" t="e">
        <f t="shared" si="6"/>
        <v>#DIV/0!</v>
      </c>
      <c r="O65" s="889">
        <f>+[2]MX8!$G$110</f>
        <v>854197207</v>
      </c>
      <c r="P65" s="1076">
        <f>+[2]MX8!$H$110</f>
        <v>854197207</v>
      </c>
      <c r="Q65" s="1076">
        <f>+[2]MX8!$I$110</f>
        <v>454062262.25</v>
      </c>
      <c r="R65" s="765"/>
    </row>
    <row r="66" spans="1:18" s="54" customFormat="1" x14ac:dyDescent="0.25">
      <c r="A66" s="752" t="s">
        <v>1077</v>
      </c>
      <c r="B66" s="765">
        <v>2564610</v>
      </c>
      <c r="C66" s="765">
        <v>0</v>
      </c>
      <c r="D66" s="766">
        <f t="shared" si="2"/>
        <v>-1</v>
      </c>
      <c r="E66" s="765">
        <v>0</v>
      </c>
      <c r="F66" s="766"/>
      <c r="G66" s="765">
        <v>0</v>
      </c>
      <c r="H66" s="766"/>
      <c r="I66" s="765">
        <v>0</v>
      </c>
      <c r="J66" s="766"/>
      <c r="K66" s="765">
        <v>0</v>
      </c>
      <c r="L66" s="766"/>
      <c r="M66" s="889">
        <v>5018916</v>
      </c>
      <c r="N66" s="766" t="e">
        <f t="shared" si="6"/>
        <v>#DIV/0!</v>
      </c>
      <c r="O66" s="889"/>
      <c r="P66" s="766"/>
      <c r="Q66" s="766"/>
      <c r="R66" s="765"/>
    </row>
    <row r="67" spans="1:18" s="652" customFormat="1" x14ac:dyDescent="0.25">
      <c r="A67" s="752" t="s">
        <v>1078</v>
      </c>
      <c r="B67" s="765">
        <v>212332883</v>
      </c>
      <c r="C67" s="765">
        <v>0</v>
      </c>
      <c r="D67" s="766">
        <f t="shared" si="2"/>
        <v>-1</v>
      </c>
      <c r="E67" s="765">
        <v>0</v>
      </c>
      <c r="F67" s="766"/>
      <c r="G67" s="765">
        <v>0</v>
      </c>
      <c r="H67" s="766"/>
      <c r="I67" s="765">
        <v>0</v>
      </c>
      <c r="J67" s="766"/>
      <c r="K67" s="765">
        <v>0</v>
      </c>
      <c r="L67" s="766"/>
      <c r="M67" s="889"/>
      <c r="N67" s="766"/>
      <c r="O67" s="889">
        <f>+[2]MX8!G83</f>
        <v>435287619</v>
      </c>
      <c r="P67" s="889">
        <f>+[2]MX8!H83</f>
        <v>435287619</v>
      </c>
      <c r="Q67" s="889">
        <f>+[2]MX8!I83</f>
        <v>230071437.80000001</v>
      </c>
      <c r="R67" s="765"/>
    </row>
    <row r="68" spans="1:18" s="54" customFormat="1" x14ac:dyDescent="0.25">
      <c r="A68" s="751" t="s">
        <v>1079</v>
      </c>
      <c r="B68" s="767">
        <f t="shared" ref="B68:Q68" si="41">SUM(B69:B72)</f>
        <v>10116967147</v>
      </c>
      <c r="C68" s="767">
        <f t="shared" si="41"/>
        <v>9917557263.6000004</v>
      </c>
      <c r="D68" s="768">
        <f t="shared" si="2"/>
        <v>-1.971044093576314E-2</v>
      </c>
      <c r="E68" s="767">
        <f t="shared" si="41"/>
        <v>9840903469.9699993</v>
      </c>
      <c r="F68" s="768">
        <f t="shared" si="3"/>
        <v>-7.7291001798739604E-3</v>
      </c>
      <c r="G68" s="767">
        <f t="shared" si="41"/>
        <v>9955374237.0599995</v>
      </c>
      <c r="H68" s="768">
        <f t="shared" si="4"/>
        <v>1.1632140020407002E-2</v>
      </c>
      <c r="I68" s="767">
        <f t="shared" si="41"/>
        <v>11359495674</v>
      </c>
      <c r="J68" s="768">
        <f t="shared" si="9"/>
        <v>0.14104155238212951</v>
      </c>
      <c r="K68" s="767">
        <f>SUM(K69:K72)+K87+K89</f>
        <v>8783419456</v>
      </c>
      <c r="L68" s="768">
        <f t="shared" si="5"/>
        <v>-0.2267773404673423</v>
      </c>
      <c r="M68" s="890">
        <f>SUM(M69:M72)+M87+M89</f>
        <v>13832878655.059999</v>
      </c>
      <c r="N68" s="768">
        <f t="shared" ref="N68:N129" si="42">+(M68-K68)/K68</f>
        <v>0.5748853535180638</v>
      </c>
      <c r="O68" s="767">
        <f t="shared" si="41"/>
        <v>13380394225</v>
      </c>
      <c r="P68" s="767">
        <f t="shared" si="41"/>
        <v>13380394225</v>
      </c>
      <c r="Q68" s="767">
        <f t="shared" si="41"/>
        <v>13270074799.940001</v>
      </c>
      <c r="R68" s="767"/>
    </row>
    <row r="69" spans="1:18" s="54" customFormat="1" x14ac:dyDescent="0.25">
      <c r="A69" s="752" t="s">
        <v>1080</v>
      </c>
      <c r="B69" s="765">
        <v>4957313901.6400003</v>
      </c>
      <c r="C69" s="765">
        <v>4859603059.3299999</v>
      </c>
      <c r="D69" s="766">
        <f t="shared" ref="D69:D132" si="43">+(C69-B69)/B69</f>
        <v>-1.9710440825156401E-2</v>
      </c>
      <c r="E69" s="765">
        <v>4822042700.2799997</v>
      </c>
      <c r="F69" s="766">
        <f t="shared" ref="F69:F132" si="44">+(E69-C69)/C69</f>
        <v>-7.7291002148596657E-3</v>
      </c>
      <c r="G69" s="765">
        <v>7598599257.4799995</v>
      </c>
      <c r="H69" s="766">
        <f t="shared" ref="H69:H132" si="45">+(G69-E69)/E69</f>
        <v>0.57580505395333281</v>
      </c>
      <c r="I69" s="765">
        <v>8552032883.1999998</v>
      </c>
      <c r="J69" s="766">
        <f t="shared" ref="J69:J132" si="46">+(I69-G69)/G69</f>
        <v>0.12547491891764762</v>
      </c>
      <c r="K69" s="765">
        <v>6217400066</v>
      </c>
      <c r="L69" s="766">
        <f t="shared" ref="L69:L132" si="47">+(K69-I69)/I69</f>
        <v>-0.27299156225021748</v>
      </c>
      <c r="M69" s="889">
        <v>11174444262.870001</v>
      </c>
      <c r="N69" s="766">
        <f t="shared" si="42"/>
        <v>0.79728570531880594</v>
      </c>
      <c r="O69" s="889">
        <f>+[2]MX8!G139+[2]MX8!G143+[2]MX8!G148+[2]MX8!G151+[2]MX8!G154</f>
        <v>9769811656</v>
      </c>
      <c r="P69" s="889">
        <f>+[2]MX8!H139+[2]MX8!H143+[2]MX8!H148+[2]MX8!H151+[2]MX8!H154</f>
        <v>9769811656</v>
      </c>
      <c r="Q69" s="889">
        <f>+[2]MX8!I139+[2]MX8!I143+[2]MX8!I148+[2]MX8!I151+[2]MX8!I154</f>
        <v>9687396390.5400009</v>
      </c>
      <c r="R69" s="765"/>
    </row>
    <row r="70" spans="1:18" s="54" customFormat="1" x14ac:dyDescent="0.25">
      <c r="A70" s="752" t="s">
        <v>1081</v>
      </c>
      <c r="B70" s="765">
        <v>5159653245.3599997</v>
      </c>
      <c r="C70" s="765">
        <v>5057954204.2700005</v>
      </c>
      <c r="D70" s="766">
        <f t="shared" si="43"/>
        <v>-1.9710441042032359E-2</v>
      </c>
      <c r="E70" s="765">
        <v>5018860769.6899996</v>
      </c>
      <c r="F70" s="766">
        <f t="shared" si="44"/>
        <v>-7.7291001462602444E-3</v>
      </c>
      <c r="G70" s="765">
        <v>2313077275.3200002</v>
      </c>
      <c r="H70" s="766">
        <f t="shared" si="45"/>
        <v>-0.53912304376140874</v>
      </c>
      <c r="I70" s="765">
        <v>2807462790.8000002</v>
      </c>
      <c r="J70" s="766">
        <f t="shared" si="46"/>
        <v>0.21373497580689552</v>
      </c>
      <c r="K70" s="765">
        <v>1892737881</v>
      </c>
      <c r="L70" s="766">
        <f t="shared" si="47"/>
        <v>-0.32581906794901627</v>
      </c>
      <c r="M70" s="895"/>
      <c r="N70" s="766"/>
      <c r="O70" s="889">
        <f>+[2]MX8!$G$137+[2]MX8!$G$138+[2]MX8!$G$141+[2]MX8!$G$142+[2]MX8!$G$147+[2]MX8!$G$149+[2]MX8!$G$150+[2]MX8!$G$152+[2]MX8!$G$155+[2]MX8!$G$156</f>
        <v>3610582569</v>
      </c>
      <c r="P70" s="889">
        <f>+[2]MX8!H137+[2]MX8!H138+[2]MX8!H141+[2]MX8!H142+[2]MX8!H147+[2]MX8!H149+[2]MX8!H150+[2]MX8!H152+[2]MX8!H155+[2]MX8!H156</f>
        <v>3610582569</v>
      </c>
      <c r="Q70" s="889">
        <f>+[2]MX8!I137+[2]MX8!I138+[2]MX8!I141+[2]MX8!I142+[2]MX8!I147+[2]MX8!I149+[2]MX8!I150+[2]MX8!I152+[2]MX8!I155+[2]MX8!I156</f>
        <v>3582678409.4000001</v>
      </c>
      <c r="R70" s="765"/>
    </row>
    <row r="71" spans="1:18" x14ac:dyDescent="0.25">
      <c r="A71" s="752" t="s">
        <v>1874</v>
      </c>
      <c r="B71" s="765">
        <v>0</v>
      </c>
      <c r="C71" s="765">
        <v>0</v>
      </c>
      <c r="D71" s="766"/>
      <c r="E71" s="765">
        <v>0</v>
      </c>
      <c r="F71" s="766"/>
      <c r="G71" s="765">
        <v>33501573.48</v>
      </c>
      <c r="H71" s="766"/>
      <c r="I71" s="765">
        <v>0</v>
      </c>
      <c r="J71" s="766">
        <f t="shared" si="46"/>
        <v>-1</v>
      </c>
      <c r="K71" s="765">
        <v>0</v>
      </c>
      <c r="L71" s="766"/>
      <c r="M71" s="889"/>
      <c r="N71" s="766"/>
      <c r="O71" s="889"/>
      <c r="P71" s="766"/>
      <c r="Q71" s="766"/>
      <c r="R71" s="765"/>
    </row>
    <row r="72" spans="1:18" x14ac:dyDescent="0.25">
      <c r="A72" s="752" t="s">
        <v>1083</v>
      </c>
      <c r="B72" s="765">
        <v>0</v>
      </c>
      <c r="C72" s="765">
        <v>0</v>
      </c>
      <c r="D72" s="766"/>
      <c r="E72" s="765">
        <v>0</v>
      </c>
      <c r="F72" s="766"/>
      <c r="G72" s="765">
        <v>10196130.779999999</v>
      </c>
      <c r="H72" s="766"/>
      <c r="I72" s="765">
        <v>0</v>
      </c>
      <c r="J72" s="766">
        <f t="shared" si="46"/>
        <v>-1</v>
      </c>
      <c r="K72" s="765">
        <v>0</v>
      </c>
      <c r="L72" s="766"/>
      <c r="M72" s="889">
        <v>1989344899.1300001</v>
      </c>
      <c r="N72" s="766" t="e">
        <f t="shared" si="42"/>
        <v>#DIV/0!</v>
      </c>
      <c r="O72" s="889"/>
      <c r="P72" s="766"/>
      <c r="Q72" s="766"/>
      <c r="R72" s="765"/>
    </row>
    <row r="73" spans="1:18" s="54" customFormat="1" x14ac:dyDescent="0.25">
      <c r="A73" s="750" t="s">
        <v>1084</v>
      </c>
      <c r="B73" s="767">
        <f t="shared" ref="B73:I73" si="48">SUM(B74:B74)</f>
        <v>456466373</v>
      </c>
      <c r="C73" s="767">
        <f t="shared" si="48"/>
        <v>519662054</v>
      </c>
      <c r="D73" s="768">
        <f t="shared" si="43"/>
        <v>0.13844542498205009</v>
      </c>
      <c r="E73" s="767">
        <f t="shared" si="48"/>
        <v>553647274</v>
      </c>
      <c r="F73" s="768">
        <f t="shared" si="44"/>
        <v>6.5398694667823484E-2</v>
      </c>
      <c r="G73" s="767">
        <f t="shared" si="48"/>
        <v>514638803.17000002</v>
      </c>
      <c r="H73" s="768">
        <f t="shared" si="45"/>
        <v>-7.0457261621051495E-2</v>
      </c>
      <c r="I73" s="767">
        <f t="shared" si="48"/>
        <v>566653321</v>
      </c>
      <c r="J73" s="768">
        <f t="shared" si="46"/>
        <v>0.10106994946670994</v>
      </c>
      <c r="K73" s="767">
        <f>SUM(K74:K74)</f>
        <v>518294753.54000002</v>
      </c>
      <c r="L73" s="768">
        <f t="shared" si="47"/>
        <v>-8.5340658331727978E-2</v>
      </c>
      <c r="M73" s="890">
        <f>SUM(M74:M74)</f>
        <v>561617414</v>
      </c>
      <c r="N73" s="768">
        <f t="shared" si="42"/>
        <v>8.3586916834681987E-2</v>
      </c>
      <c r="O73" s="767">
        <f t="shared" ref="O73:Q73" si="49">SUM(O74:O74)</f>
        <v>0</v>
      </c>
      <c r="P73" s="767">
        <f t="shared" si="49"/>
        <v>0</v>
      </c>
      <c r="Q73" s="767">
        <f t="shared" si="49"/>
        <v>0</v>
      </c>
      <c r="R73" s="767"/>
    </row>
    <row r="74" spans="1:18" x14ac:dyDescent="0.25">
      <c r="A74" s="752" t="s">
        <v>1085</v>
      </c>
      <c r="B74" s="765">
        <v>456466373</v>
      </c>
      <c r="C74" s="765">
        <v>519662054</v>
      </c>
      <c r="D74" s="766">
        <f t="shared" si="43"/>
        <v>0.13844542498205009</v>
      </c>
      <c r="E74" s="765">
        <v>553647274</v>
      </c>
      <c r="F74" s="766">
        <f t="shared" si="44"/>
        <v>6.5398694667823484E-2</v>
      </c>
      <c r="G74" s="765">
        <v>514638803.17000002</v>
      </c>
      <c r="H74" s="766">
        <f t="shared" si="45"/>
        <v>-7.0457261621051495E-2</v>
      </c>
      <c r="I74" s="765">
        <v>566653321</v>
      </c>
      <c r="J74" s="766">
        <f t="shared" si="46"/>
        <v>0.10106994946670994</v>
      </c>
      <c r="K74" s="765">
        <v>518294753.54000002</v>
      </c>
      <c r="L74" s="766">
        <f t="shared" si="47"/>
        <v>-8.5340658331727978E-2</v>
      </c>
      <c r="M74" s="889">
        <v>561617414</v>
      </c>
      <c r="N74" s="766">
        <f t="shared" si="42"/>
        <v>8.3586916834681987E-2</v>
      </c>
      <c r="O74" s="889"/>
      <c r="P74" s="766"/>
      <c r="Q74" s="766"/>
      <c r="R74" s="765"/>
    </row>
    <row r="75" spans="1:18" x14ac:dyDescent="0.25">
      <c r="A75" s="752" t="s">
        <v>1086</v>
      </c>
      <c r="B75" s="765"/>
      <c r="C75" s="765"/>
      <c r="D75" s="766"/>
      <c r="E75" s="765"/>
      <c r="F75" s="766"/>
      <c r="G75" s="765"/>
      <c r="H75" s="766"/>
      <c r="I75" s="765"/>
      <c r="J75" s="766"/>
      <c r="K75" s="765"/>
      <c r="L75" s="766"/>
      <c r="M75" s="889"/>
      <c r="N75" s="766"/>
      <c r="O75" s="889"/>
      <c r="P75" s="766"/>
      <c r="Q75" s="766"/>
      <c r="R75" s="765"/>
    </row>
    <row r="76" spans="1:18" ht="12.75" customHeight="1" x14ac:dyDescent="0.25">
      <c r="A76" s="750" t="s">
        <v>1087</v>
      </c>
      <c r="B76" s="767">
        <f>+B77</f>
        <v>3180992075</v>
      </c>
      <c r="C76" s="767">
        <f t="shared" ref="C76:I76" si="50">+C77</f>
        <v>3611727149.1999998</v>
      </c>
      <c r="D76" s="768">
        <f t="shared" si="43"/>
        <v>0.13540903719478767</v>
      </c>
      <c r="E76" s="767">
        <f t="shared" si="50"/>
        <v>3753902782.4299998</v>
      </c>
      <c r="F76" s="768">
        <f t="shared" si="44"/>
        <v>3.9364998339227263E-2</v>
      </c>
      <c r="G76" s="767">
        <f t="shared" si="50"/>
        <v>4398453532.4099998</v>
      </c>
      <c r="H76" s="768">
        <f t="shared" si="45"/>
        <v>0.17170150303220302</v>
      </c>
      <c r="I76" s="767">
        <f t="shared" si="50"/>
        <v>3585983010.8600001</v>
      </c>
      <c r="J76" s="768">
        <f t="shared" si="46"/>
        <v>-0.18471731383844608</v>
      </c>
      <c r="K76" s="767">
        <f>+K77</f>
        <v>3422927635.1399999</v>
      </c>
      <c r="L76" s="768">
        <f t="shared" si="47"/>
        <v>-4.547020307296322E-2</v>
      </c>
      <c r="M76" s="890">
        <f>+M77</f>
        <v>9219008514.7200012</v>
      </c>
      <c r="N76" s="768">
        <f t="shared" si="42"/>
        <v>1.6933109599154406</v>
      </c>
      <c r="O76" s="767">
        <f t="shared" ref="O76:Q76" si="51">+O77</f>
        <v>250000000</v>
      </c>
      <c r="P76" s="767">
        <f t="shared" si="51"/>
        <v>14251706157</v>
      </c>
      <c r="Q76" s="767">
        <f t="shared" si="51"/>
        <v>13798323517</v>
      </c>
      <c r="R76" s="767"/>
    </row>
    <row r="77" spans="1:18" x14ac:dyDescent="0.25">
      <c r="A77" s="750" t="s">
        <v>1088</v>
      </c>
      <c r="B77" s="767">
        <f>+B80+B83+B86+B78</f>
        <v>3180992075</v>
      </c>
      <c r="C77" s="767">
        <f t="shared" ref="C77:I77" si="52">+C80+C83+C86+C78</f>
        <v>3611727149.1999998</v>
      </c>
      <c r="D77" s="768">
        <f t="shared" si="43"/>
        <v>0.13540903719478767</v>
      </c>
      <c r="E77" s="767">
        <f t="shared" si="52"/>
        <v>3753902782.4299998</v>
      </c>
      <c r="F77" s="768">
        <f t="shared" si="44"/>
        <v>3.9364998339227263E-2</v>
      </c>
      <c r="G77" s="767">
        <f t="shared" si="52"/>
        <v>4398453532.4099998</v>
      </c>
      <c r="H77" s="768">
        <f t="shared" si="45"/>
        <v>0.17170150303220302</v>
      </c>
      <c r="I77" s="767">
        <f t="shared" si="52"/>
        <v>3585983010.8600001</v>
      </c>
      <c r="J77" s="768">
        <f t="shared" si="46"/>
        <v>-0.18471731383844608</v>
      </c>
      <c r="K77" s="767">
        <f>+K80+K78+K83</f>
        <v>3422927635.1399999</v>
      </c>
      <c r="L77" s="768">
        <f t="shared" si="47"/>
        <v>-4.547020307296322E-2</v>
      </c>
      <c r="M77" s="890">
        <f>+M80+M78+M83+M79</f>
        <v>9219008514.7200012</v>
      </c>
      <c r="N77" s="768">
        <f t="shared" si="42"/>
        <v>1.6933109599154406</v>
      </c>
      <c r="O77" s="767">
        <f t="shared" ref="O77:Q77" si="53">+O80+O83+O86+O78</f>
        <v>250000000</v>
      </c>
      <c r="P77" s="767">
        <f t="shared" si="53"/>
        <v>14251706157</v>
      </c>
      <c r="Q77" s="767">
        <f t="shared" si="53"/>
        <v>13798323517</v>
      </c>
      <c r="R77" s="767"/>
    </row>
    <row r="78" spans="1:18" s="54" customFormat="1" ht="23.25" customHeight="1" x14ac:dyDescent="0.25">
      <c r="A78" s="752" t="s">
        <v>1799</v>
      </c>
      <c r="B78" s="765">
        <v>0</v>
      </c>
      <c r="C78" s="765">
        <v>318519904</v>
      </c>
      <c r="D78" s="766"/>
      <c r="E78" s="765">
        <v>368742584.51999998</v>
      </c>
      <c r="F78" s="766">
        <f t="shared" si="44"/>
        <v>0.15767517159618377</v>
      </c>
      <c r="G78" s="765">
        <v>1235675250</v>
      </c>
      <c r="H78" s="766">
        <f t="shared" si="45"/>
        <v>2.3510511177018096</v>
      </c>
      <c r="I78" s="765">
        <v>272414720.86000001</v>
      </c>
      <c r="J78" s="766">
        <f t="shared" si="46"/>
        <v>-0.77954181662212618</v>
      </c>
      <c r="K78" s="765">
        <v>147570542.13999999</v>
      </c>
      <c r="L78" s="766">
        <f t="shared" si="47"/>
        <v>-0.45828719654309807</v>
      </c>
      <c r="M78" s="889">
        <v>4420597120.7200003</v>
      </c>
      <c r="N78" s="766">
        <f t="shared" si="42"/>
        <v>28.955823544553937</v>
      </c>
      <c r="O78" s="889">
        <f>+[2]MX8!G105</f>
        <v>250000000</v>
      </c>
      <c r="P78" s="889">
        <f>+[2]MX8!H105</f>
        <v>14251706157</v>
      </c>
      <c r="Q78" s="889">
        <f>+[2]MX8!I105</f>
        <v>13798323517</v>
      </c>
      <c r="R78" s="765"/>
    </row>
    <row r="79" spans="1:18" x14ac:dyDescent="0.25">
      <c r="A79" s="752" t="s">
        <v>1071</v>
      </c>
      <c r="B79" s="765">
        <v>0</v>
      </c>
      <c r="C79" s="765">
        <v>514557468</v>
      </c>
      <c r="D79" s="766"/>
      <c r="E79" s="765">
        <v>948728685</v>
      </c>
      <c r="F79" s="766">
        <f t="shared" si="44"/>
        <v>0.84377595118296878</v>
      </c>
      <c r="G79" s="765">
        <v>508891370</v>
      </c>
      <c r="H79" s="766">
        <f t="shared" si="45"/>
        <v>-0.46360705853433748</v>
      </c>
      <c r="I79" s="765">
        <v>186428977</v>
      </c>
      <c r="J79" s="766">
        <f t="shared" si="46"/>
        <v>-0.63365663481383072</v>
      </c>
      <c r="K79" s="765">
        <v>0</v>
      </c>
      <c r="L79" s="766">
        <f t="shared" si="47"/>
        <v>-1</v>
      </c>
      <c r="M79" s="889">
        <v>4998651</v>
      </c>
      <c r="N79" s="766" t="e">
        <f t="shared" si="42"/>
        <v>#DIV/0!</v>
      </c>
      <c r="O79" s="889"/>
      <c r="P79" s="766"/>
      <c r="Q79" s="766"/>
      <c r="R79" s="765"/>
    </row>
    <row r="80" spans="1:18" s="54" customFormat="1" x14ac:dyDescent="0.25">
      <c r="A80" s="751" t="s">
        <v>145</v>
      </c>
      <c r="B80" s="761">
        <f>SUM(B81:B82)</f>
        <v>2287233345</v>
      </c>
      <c r="C80" s="761">
        <f>SUM(C81:C82)</f>
        <v>2410945833</v>
      </c>
      <c r="D80" s="762">
        <f t="shared" si="43"/>
        <v>5.4088267063105447E-2</v>
      </c>
      <c r="E80" s="761">
        <f>SUM(E81:E82)</f>
        <v>2269932364</v>
      </c>
      <c r="F80" s="762">
        <f t="shared" si="44"/>
        <v>-5.8488858218989276E-2</v>
      </c>
      <c r="G80" s="761">
        <f>SUM(G81:G82)</f>
        <v>2329571431</v>
      </c>
      <c r="H80" s="762">
        <f t="shared" si="45"/>
        <v>2.6273499574633142E-2</v>
      </c>
      <c r="I80" s="761">
        <f>SUM(I81:I82)</f>
        <v>2335055953</v>
      </c>
      <c r="J80" s="762">
        <f t="shared" si="46"/>
        <v>2.3543051425753856E-3</v>
      </c>
      <c r="K80" s="761">
        <f>SUM(K81:K82)</f>
        <v>3056158641</v>
      </c>
      <c r="L80" s="762">
        <f t="shared" si="47"/>
        <v>0.30881602090671617</v>
      </c>
      <c r="M80" s="887">
        <f>SUM(M81:M82)</f>
        <v>4652248940</v>
      </c>
      <c r="N80" s="762">
        <f t="shared" si="42"/>
        <v>0.52225374612024267</v>
      </c>
      <c r="O80" s="887"/>
      <c r="P80" s="762"/>
      <c r="Q80" s="762"/>
      <c r="R80" s="761"/>
    </row>
    <row r="81" spans="1:18" s="54" customFormat="1" x14ac:dyDescent="0.25">
      <c r="A81" s="752" t="s">
        <v>1090</v>
      </c>
      <c r="B81" s="765">
        <v>2287233345</v>
      </c>
      <c r="C81" s="765">
        <v>451574124.73097914</v>
      </c>
      <c r="D81" s="766">
        <f t="shared" si="43"/>
        <v>-0.80256753176577211</v>
      </c>
      <c r="E81" s="765">
        <v>2269932364</v>
      </c>
      <c r="F81" s="766">
        <f t="shared" si="44"/>
        <v>4.026710432871436</v>
      </c>
      <c r="G81" s="765">
        <v>618776355.79999995</v>
      </c>
      <c r="H81" s="766">
        <f t="shared" si="45"/>
        <v>-0.72740317481988204</v>
      </c>
      <c r="I81" s="765">
        <v>857974331.57088304</v>
      </c>
      <c r="J81" s="766">
        <f t="shared" si="46"/>
        <v>0.38656612123071543</v>
      </c>
      <c r="K81" s="765">
        <v>3056158641</v>
      </c>
      <c r="L81" s="766">
        <f t="shared" si="47"/>
        <v>2.56206302279978</v>
      </c>
      <c r="M81" s="889">
        <v>4652248940</v>
      </c>
      <c r="N81" s="766">
        <f t="shared" si="42"/>
        <v>0.52225374612024267</v>
      </c>
      <c r="O81" s="889">
        <f>+[2]MX8!$G$98</f>
        <v>2995430273</v>
      </c>
      <c r="P81" s="1076">
        <f>+[2]MX8!$H$98</f>
        <v>2995430273</v>
      </c>
      <c r="Q81" s="1076">
        <f>+[2]MX8!$I$98</f>
        <v>2478270418</v>
      </c>
      <c r="R81" s="765"/>
    </row>
    <row r="82" spans="1:18" x14ac:dyDescent="0.25">
      <c r="A82" s="752" t="s">
        <v>1091</v>
      </c>
      <c r="B82" s="765">
        <v>0</v>
      </c>
      <c r="C82" s="765">
        <v>1959371708.2690208</v>
      </c>
      <c r="D82" s="766"/>
      <c r="E82" s="765">
        <v>0</v>
      </c>
      <c r="F82" s="766">
        <f t="shared" si="44"/>
        <v>-1</v>
      </c>
      <c r="G82" s="765">
        <v>1710795075.2</v>
      </c>
      <c r="H82" s="766"/>
      <c r="I82" s="765">
        <v>1477081621.4291172</v>
      </c>
      <c r="J82" s="766">
        <f t="shared" si="46"/>
        <v>-0.13661101622212737</v>
      </c>
      <c r="K82" s="765">
        <v>0</v>
      </c>
      <c r="L82" s="766">
        <f t="shared" si="47"/>
        <v>-1</v>
      </c>
      <c r="M82" s="889"/>
      <c r="N82" s="766"/>
      <c r="O82" s="889"/>
      <c r="P82" s="766"/>
      <c r="Q82" s="766"/>
      <c r="R82" s="765"/>
    </row>
    <row r="83" spans="1:18" s="54" customFormat="1" x14ac:dyDescent="0.25">
      <c r="A83" s="751" t="s">
        <v>1092</v>
      </c>
      <c r="B83" s="761">
        <f t="shared" ref="B83:I83" si="54">SUM(B84:B85)</f>
        <v>446695888</v>
      </c>
      <c r="C83" s="761">
        <f t="shared" si="54"/>
        <v>435938414.19999999</v>
      </c>
      <c r="D83" s="762">
        <f t="shared" si="43"/>
        <v>-2.4082321080152885E-2</v>
      </c>
      <c r="E83" s="761">
        <f t="shared" si="54"/>
        <v>413355286</v>
      </c>
      <c r="F83" s="762">
        <f t="shared" si="44"/>
        <v>-5.1803482933346849E-2</v>
      </c>
      <c r="G83" s="761">
        <f t="shared" si="54"/>
        <v>176268649</v>
      </c>
      <c r="H83" s="762">
        <f t="shared" si="45"/>
        <v>-0.5735662395762855</v>
      </c>
      <c r="I83" s="761">
        <f t="shared" si="54"/>
        <v>173782366</v>
      </c>
      <c r="J83" s="762">
        <f t="shared" si="46"/>
        <v>-1.4105077755489009E-2</v>
      </c>
      <c r="K83" s="761">
        <f>SUM(K84:K85)</f>
        <v>219198452</v>
      </c>
      <c r="L83" s="762">
        <f t="shared" si="47"/>
        <v>0.26133886334589324</v>
      </c>
      <c r="M83" s="887">
        <f>SUM(M84:M85)</f>
        <v>141163803</v>
      </c>
      <c r="N83" s="762">
        <f t="shared" si="42"/>
        <v>-0.35600000040146268</v>
      </c>
      <c r="O83" s="887"/>
      <c r="P83" s="762"/>
      <c r="Q83" s="762"/>
      <c r="R83" s="761"/>
    </row>
    <row r="84" spans="1:18" s="54" customFormat="1" x14ac:dyDescent="0.25">
      <c r="A84" s="752" t="s">
        <v>1093</v>
      </c>
      <c r="B84" s="765">
        <v>223347944</v>
      </c>
      <c r="C84" s="765">
        <v>217969207</v>
      </c>
      <c r="D84" s="766">
        <f t="shared" si="43"/>
        <v>-2.408232152788476E-2</v>
      </c>
      <c r="E84" s="765">
        <v>206677643</v>
      </c>
      <c r="F84" s="766">
        <f t="shared" si="44"/>
        <v>-5.1803482498332894E-2</v>
      </c>
      <c r="G84" s="765">
        <v>176268649</v>
      </c>
      <c r="H84" s="766">
        <f t="shared" si="45"/>
        <v>-0.14713247915257094</v>
      </c>
      <c r="I84" s="765">
        <v>173782366</v>
      </c>
      <c r="J84" s="766">
        <f t="shared" si="46"/>
        <v>-1.4105077755489009E-2</v>
      </c>
      <c r="K84" s="765">
        <v>219198452</v>
      </c>
      <c r="L84" s="766">
        <f t="shared" si="47"/>
        <v>0.26133886334589324</v>
      </c>
      <c r="M84" s="889">
        <v>141163803</v>
      </c>
      <c r="N84" s="766">
        <f t="shared" si="42"/>
        <v>-0.35600000040146268</v>
      </c>
      <c r="O84" s="889">
        <f>+[2]MX8!$G$99</f>
        <v>141163803</v>
      </c>
      <c r="P84" s="1076">
        <f>+[2]MX8!$H$99</f>
        <v>103859422</v>
      </c>
      <c r="Q84" s="1076">
        <f>+[2]MX8!$I$99</f>
        <v>95209422</v>
      </c>
      <c r="R84" s="765"/>
    </row>
    <row r="85" spans="1:18" x14ac:dyDescent="0.25">
      <c r="A85" s="752" t="s">
        <v>1094</v>
      </c>
      <c r="B85" s="765">
        <v>223347944</v>
      </c>
      <c r="C85" s="765">
        <v>217969207.19999999</v>
      </c>
      <c r="D85" s="766">
        <f t="shared" si="43"/>
        <v>-2.4082320632421009E-2</v>
      </c>
      <c r="E85" s="765">
        <v>206677643</v>
      </c>
      <c r="F85" s="766">
        <f t="shared" si="44"/>
        <v>-5.1803483368360798E-2</v>
      </c>
      <c r="G85" s="765">
        <v>0</v>
      </c>
      <c r="H85" s="766">
        <f t="shared" si="45"/>
        <v>-1</v>
      </c>
      <c r="I85" s="765">
        <v>0</v>
      </c>
      <c r="J85" s="766"/>
      <c r="K85" s="765">
        <v>0</v>
      </c>
      <c r="L85" s="766"/>
      <c r="M85" s="889"/>
      <c r="N85" s="766"/>
      <c r="O85" s="889"/>
      <c r="P85" s="766"/>
      <c r="Q85" s="766"/>
      <c r="R85" s="765"/>
    </row>
    <row r="86" spans="1:18" s="54" customFormat="1" x14ac:dyDescent="0.25">
      <c r="A86" s="751" t="s">
        <v>1095</v>
      </c>
      <c r="B86" s="767">
        <f t="shared" ref="B86:I86" si="55">SUM(B87:B89)</f>
        <v>447062842</v>
      </c>
      <c r="C86" s="767">
        <f t="shared" si="55"/>
        <v>446322998</v>
      </c>
      <c r="D86" s="768">
        <f t="shared" si="43"/>
        <v>-1.6548993351587918E-3</v>
      </c>
      <c r="E86" s="767">
        <f t="shared" si="55"/>
        <v>701872547.90999997</v>
      </c>
      <c r="F86" s="768">
        <f t="shared" si="44"/>
        <v>0.57256639486455496</v>
      </c>
      <c r="G86" s="767">
        <f t="shared" si="55"/>
        <v>656938202.41000009</v>
      </c>
      <c r="H86" s="768">
        <f t="shared" si="45"/>
        <v>-6.4020662488942004E-2</v>
      </c>
      <c r="I86" s="767">
        <f t="shared" si="55"/>
        <v>804729971</v>
      </c>
      <c r="J86" s="768">
        <f t="shared" si="46"/>
        <v>0.224970580258266</v>
      </c>
      <c r="K86" s="767">
        <f>+K87</f>
        <v>422511777</v>
      </c>
      <c r="L86" s="768">
        <f t="shared" si="47"/>
        <v>-0.47496453192247268</v>
      </c>
      <c r="M86" s="890">
        <f>+M87</f>
        <v>0</v>
      </c>
      <c r="N86" s="768"/>
      <c r="O86" s="890"/>
      <c r="P86" s="768"/>
      <c r="Q86" s="768"/>
      <c r="R86" s="767"/>
    </row>
    <row r="87" spans="1:18" x14ac:dyDescent="0.25">
      <c r="A87" s="752" t="s">
        <v>1096</v>
      </c>
      <c r="B87" s="765">
        <v>447062842</v>
      </c>
      <c r="C87" s="765">
        <v>446322998</v>
      </c>
      <c r="D87" s="766">
        <f t="shared" si="43"/>
        <v>-1.6548993351587918E-3</v>
      </c>
      <c r="E87" s="765">
        <v>701872547.90999997</v>
      </c>
      <c r="F87" s="766">
        <f t="shared" si="44"/>
        <v>0.57256639486455496</v>
      </c>
      <c r="G87" s="765">
        <v>157789808.06</v>
      </c>
      <c r="H87" s="766">
        <f t="shared" si="45"/>
        <v>-0.77518737763735246</v>
      </c>
      <c r="I87" s="765">
        <v>234634941.90000001</v>
      </c>
      <c r="J87" s="766">
        <f t="shared" si="46"/>
        <v>0.48700948929971088</v>
      </c>
      <c r="K87" s="765">
        <v>422511777</v>
      </c>
      <c r="L87" s="766">
        <f t="shared" si="47"/>
        <v>0.80071976312919313</v>
      </c>
      <c r="M87" s="889"/>
      <c r="N87" s="766"/>
      <c r="O87" s="889"/>
      <c r="P87" s="766"/>
      <c r="Q87" s="766"/>
      <c r="R87" s="765"/>
    </row>
    <row r="88" spans="1:18" x14ac:dyDescent="0.25">
      <c r="A88" s="750" t="s">
        <v>1097</v>
      </c>
      <c r="B88" s="765"/>
      <c r="C88" s="765"/>
      <c r="D88" s="766"/>
      <c r="E88" s="765"/>
      <c r="F88" s="766"/>
      <c r="G88" s="765"/>
      <c r="H88" s="766"/>
      <c r="I88" s="765"/>
      <c r="J88" s="766"/>
      <c r="K88" s="765">
        <v>2766983630</v>
      </c>
      <c r="L88" s="766"/>
      <c r="M88" s="889"/>
      <c r="N88" s="766"/>
      <c r="O88" s="889"/>
      <c r="P88" s="766"/>
      <c r="Q88" s="766"/>
      <c r="R88" s="765"/>
    </row>
    <row r="89" spans="1:18" x14ac:dyDescent="0.25">
      <c r="A89" s="752" t="s">
        <v>1098</v>
      </c>
      <c r="B89" s="765">
        <v>0</v>
      </c>
      <c r="C89" s="765">
        <v>0</v>
      </c>
      <c r="D89" s="766"/>
      <c r="E89" s="765">
        <v>0</v>
      </c>
      <c r="F89" s="766"/>
      <c r="G89" s="765">
        <v>499148394.35000002</v>
      </c>
      <c r="H89" s="766"/>
      <c r="I89" s="765">
        <v>570095029.10000002</v>
      </c>
      <c r="J89" s="766">
        <f t="shared" si="46"/>
        <v>0.14213535604454458</v>
      </c>
      <c r="K89" s="765">
        <v>250769732</v>
      </c>
      <c r="L89" s="766">
        <f t="shared" si="47"/>
        <v>-0.56012643647167704</v>
      </c>
      <c r="M89" s="889">
        <v>669089493.05999994</v>
      </c>
      <c r="N89" s="766">
        <f t="shared" si="42"/>
        <v>1.6681429521964795</v>
      </c>
      <c r="O89" s="889"/>
      <c r="P89" s="766"/>
      <c r="Q89" s="766"/>
      <c r="R89" s="765"/>
    </row>
    <row r="90" spans="1:18" s="54" customFormat="1" x14ac:dyDescent="0.25">
      <c r="A90" s="1078" t="s">
        <v>953</v>
      </c>
      <c r="B90" s="1077">
        <f>+B92+B110+B144+B147</f>
        <v>155051759491.47</v>
      </c>
      <c r="C90" s="1077">
        <f>+C92+C110+C144+C147</f>
        <v>165445661532.92999</v>
      </c>
      <c r="D90" s="1079">
        <f t="shared" si="43"/>
        <v>6.7035047364501527E-2</v>
      </c>
      <c r="E90" s="1077">
        <f>+E92+E110+E144+E147</f>
        <v>182369314876.69</v>
      </c>
      <c r="F90" s="1079">
        <f t="shared" si="44"/>
        <v>0.10229130934564613</v>
      </c>
      <c r="G90" s="1077">
        <f>+G92+G110+G144+G147</f>
        <v>197483349462.87</v>
      </c>
      <c r="H90" s="1079">
        <f t="shared" si="45"/>
        <v>8.2875973934537342E-2</v>
      </c>
      <c r="I90" s="1077">
        <f>+I92+I110+I144+I147</f>
        <v>213064679792.67001</v>
      </c>
      <c r="J90" s="1079">
        <f t="shared" si="46"/>
        <v>7.8899463535428621E-2</v>
      </c>
      <c r="K90" s="1077">
        <f>+K92+K110+K144+K147+K91</f>
        <v>224176154573.15997</v>
      </c>
      <c r="L90" s="1077">
        <f t="shared" ref="L90:Q90" si="56">+L92+L110+L144+L147+L91</f>
        <v>1564274686.2942429</v>
      </c>
      <c r="M90" s="1077">
        <f t="shared" si="56"/>
        <v>264310991749.94998</v>
      </c>
      <c r="N90" s="1077" t="e">
        <f t="shared" si="56"/>
        <v>#DIV/0!</v>
      </c>
      <c r="O90" s="1077">
        <f t="shared" si="56"/>
        <v>239075603638.01999</v>
      </c>
      <c r="P90" s="1077">
        <f t="shared" si="56"/>
        <v>252551949495.72</v>
      </c>
      <c r="Q90" s="1077">
        <f t="shared" si="56"/>
        <v>185945671266.85999</v>
      </c>
      <c r="R90" s="1077"/>
    </row>
    <row r="91" spans="1:18" s="54" customFormat="1" x14ac:dyDescent="0.25">
      <c r="A91" s="1080" t="s">
        <v>1099</v>
      </c>
      <c r="B91" s="761"/>
      <c r="C91" s="761"/>
      <c r="D91" s="762"/>
      <c r="E91" s="761"/>
      <c r="F91" s="762"/>
      <c r="G91" s="761"/>
      <c r="H91" s="762"/>
      <c r="I91" s="761"/>
      <c r="J91" s="762"/>
      <c r="K91" s="761">
        <v>1564274678.02</v>
      </c>
      <c r="L91" s="761">
        <v>1564274679.02</v>
      </c>
      <c r="M91" s="761">
        <v>1564274680.02</v>
      </c>
      <c r="N91" s="761">
        <v>1564274681.02</v>
      </c>
      <c r="O91" s="761">
        <v>1564274682.02</v>
      </c>
      <c r="P91" s="761">
        <v>1564274683.02</v>
      </c>
      <c r="Q91" s="761">
        <v>1564274684.02</v>
      </c>
      <c r="R91" s="761"/>
    </row>
    <row r="92" spans="1:18" s="54" customFormat="1" ht="12.75" customHeight="1" x14ac:dyDescent="0.25">
      <c r="A92" s="750" t="s">
        <v>1100</v>
      </c>
      <c r="B92" s="767">
        <f>SUM(B93:B108)</f>
        <v>107742794290.12999</v>
      </c>
      <c r="C92" s="767">
        <f>SUM(C93:C108)</f>
        <v>121790223603.26999</v>
      </c>
      <c r="D92" s="768">
        <f t="shared" si="43"/>
        <v>0.13037929270066131</v>
      </c>
      <c r="E92" s="767">
        <f>SUM(E93:E108)</f>
        <v>138720661080</v>
      </c>
      <c r="F92" s="768">
        <f t="shared" si="44"/>
        <v>0.13901310775059156</v>
      </c>
      <c r="G92" s="767">
        <f>SUM(G93:G108)</f>
        <v>143891587484.09998</v>
      </c>
      <c r="H92" s="768">
        <f t="shared" si="45"/>
        <v>3.7275820082185954E-2</v>
      </c>
      <c r="I92" s="767">
        <f>SUM(I93:I108)</f>
        <v>159829593376.34003</v>
      </c>
      <c r="J92" s="768">
        <f t="shared" si="46"/>
        <v>0.11076398676886653</v>
      </c>
      <c r="K92" s="767">
        <f>SUM(K93:K109)</f>
        <v>171706788244.69998</v>
      </c>
      <c r="L92" s="767">
        <f t="shared" ref="L92:Q92" si="57">SUM(L93:L109)</f>
        <v>9.2389883885972921</v>
      </c>
      <c r="M92" s="767">
        <f t="shared" si="57"/>
        <v>182122210136.75</v>
      </c>
      <c r="N92" s="767" t="e">
        <f t="shared" si="57"/>
        <v>#DIV/0!</v>
      </c>
      <c r="O92" s="767">
        <f t="shared" si="57"/>
        <v>190482000000</v>
      </c>
      <c r="P92" s="767">
        <f t="shared" si="57"/>
        <v>188262177787</v>
      </c>
      <c r="Q92" s="767">
        <f t="shared" si="57"/>
        <v>130899349351.72</v>
      </c>
      <c r="R92" s="767"/>
    </row>
    <row r="93" spans="1:18" ht="25.5" x14ac:dyDescent="0.25">
      <c r="A93" s="752" t="s">
        <v>1101</v>
      </c>
      <c r="B93" s="765">
        <v>87690630035</v>
      </c>
      <c r="C93" s="765">
        <v>93842849807</v>
      </c>
      <c r="D93" s="766">
        <f t="shared" si="43"/>
        <v>7.0158234346639564E-2</v>
      </c>
      <c r="E93" s="765">
        <v>104784789015</v>
      </c>
      <c r="F93" s="766">
        <f t="shared" si="44"/>
        <v>0.11659853926541572</v>
      </c>
      <c r="G93" s="765">
        <v>112348234883</v>
      </c>
      <c r="H93" s="766">
        <f t="shared" si="45"/>
        <v>7.2180761531306689E-2</v>
      </c>
      <c r="I93" s="765">
        <v>121574561361</v>
      </c>
      <c r="J93" s="766">
        <f t="shared" si="46"/>
        <v>8.2122576181177576E-2</v>
      </c>
      <c r="K93" s="765">
        <v>129499737226</v>
      </c>
      <c r="L93" s="766">
        <f t="shared" si="47"/>
        <v>6.5187780866979322E-2</v>
      </c>
      <c r="M93" s="889">
        <v>137464911058</v>
      </c>
      <c r="N93" s="766">
        <f t="shared" si="42"/>
        <v>6.1507258644852382E-2</v>
      </c>
      <c r="O93" s="889"/>
      <c r="P93" s="889"/>
      <c r="Q93" s="889"/>
      <c r="R93" s="765"/>
    </row>
    <row r="94" spans="1:18" ht="25.5" x14ac:dyDescent="0.25">
      <c r="A94" s="752" t="s">
        <v>1102</v>
      </c>
      <c r="B94" s="765">
        <v>10919071675</v>
      </c>
      <c r="C94" s="765">
        <v>11873114014</v>
      </c>
      <c r="D94" s="766">
        <f t="shared" si="43"/>
        <v>8.7373942345698535E-2</v>
      </c>
      <c r="E94" s="765">
        <v>13041415193</v>
      </c>
      <c r="F94" s="766">
        <f t="shared" si="44"/>
        <v>9.8398884877414272E-2</v>
      </c>
      <c r="G94" s="765">
        <v>11304023703</v>
      </c>
      <c r="H94" s="766">
        <f t="shared" si="45"/>
        <v>-0.1332210856174986</v>
      </c>
      <c r="I94" s="765">
        <v>15004128114</v>
      </c>
      <c r="J94" s="766">
        <f t="shared" si="46"/>
        <v>0.32732631390520006</v>
      </c>
      <c r="K94" s="765">
        <v>15490716241</v>
      </c>
      <c r="L94" s="766">
        <f t="shared" si="47"/>
        <v>3.2430283406203124E-2</v>
      </c>
      <c r="M94" s="889">
        <v>28315024554</v>
      </c>
      <c r="N94" s="766">
        <f t="shared" si="42"/>
        <v>0.82787058477369213</v>
      </c>
      <c r="O94" s="889"/>
      <c r="P94" s="889"/>
      <c r="Q94" s="889"/>
      <c r="R94" s="765"/>
    </row>
    <row r="95" spans="1:18" x14ac:dyDescent="0.25">
      <c r="A95" s="752" t="s">
        <v>1103</v>
      </c>
      <c r="B95" s="765">
        <v>4872244561</v>
      </c>
      <c r="C95" s="765">
        <v>5172005441</v>
      </c>
      <c r="D95" s="766">
        <f t="shared" si="43"/>
        <v>6.1524185875118674E-2</v>
      </c>
      <c r="E95" s="765">
        <v>5799474816</v>
      </c>
      <c r="F95" s="766">
        <f t="shared" si="44"/>
        <v>0.12132032383915661</v>
      </c>
      <c r="G95" s="765">
        <v>6252280399</v>
      </c>
      <c r="H95" s="766">
        <f t="shared" si="45"/>
        <v>7.8076997894838351E-2</v>
      </c>
      <c r="I95" s="765">
        <v>6820702500</v>
      </c>
      <c r="J95" s="766">
        <f t="shared" si="46"/>
        <v>9.0914364795749464E-2</v>
      </c>
      <c r="K95" s="765">
        <v>7546055176</v>
      </c>
      <c r="L95" s="766">
        <f t="shared" si="47"/>
        <v>0.1063457431254332</v>
      </c>
      <c r="M95" s="889"/>
      <c r="N95" s="766"/>
      <c r="O95" s="889">
        <f>+[2]MX8!G230</f>
        <v>29000000000</v>
      </c>
      <c r="P95" s="889">
        <f>+[2]MX8!H230</f>
        <v>29000000000</v>
      </c>
      <c r="Q95" s="889">
        <f>+[2]MX8!I230</f>
        <v>19254725762</v>
      </c>
      <c r="R95" s="765"/>
    </row>
    <row r="96" spans="1:18" ht="25.5" x14ac:dyDescent="0.25">
      <c r="A96" s="752" t="s">
        <v>1104</v>
      </c>
      <c r="B96" s="765">
        <v>497850292</v>
      </c>
      <c r="C96" s="765">
        <v>331053944</v>
      </c>
      <c r="D96" s="766">
        <f t="shared" si="43"/>
        <v>-0.33503314285492075</v>
      </c>
      <c r="E96" s="765">
        <v>1165770164</v>
      </c>
      <c r="F96" s="766">
        <f t="shared" si="44"/>
        <v>2.5213903508124345</v>
      </c>
      <c r="G96" s="765">
        <v>0</v>
      </c>
      <c r="H96" s="766">
        <f t="shared" si="45"/>
        <v>-1</v>
      </c>
      <c r="I96" s="765">
        <v>0</v>
      </c>
      <c r="J96" s="766"/>
      <c r="K96" s="765">
        <v>0</v>
      </c>
      <c r="L96" s="766"/>
      <c r="M96" s="889"/>
      <c r="N96" s="766"/>
      <c r="O96" s="889">
        <f>+[2]MX8!G229</f>
        <v>150387000000</v>
      </c>
      <c r="P96" s="889">
        <f>+[2]MX8!H229</f>
        <v>150199703020</v>
      </c>
      <c r="Q96" s="889">
        <f>+[2]MX8!I229</f>
        <v>102199618972</v>
      </c>
      <c r="R96" s="765"/>
    </row>
    <row r="97" spans="1:19" x14ac:dyDescent="0.25">
      <c r="A97" s="752" t="s">
        <v>1105</v>
      </c>
      <c r="B97" s="765">
        <v>0</v>
      </c>
      <c r="C97" s="765">
        <v>2286422317</v>
      </c>
      <c r="D97" s="766"/>
      <c r="E97" s="765">
        <v>1674921512</v>
      </c>
      <c r="F97" s="766">
        <f t="shared" si="44"/>
        <v>-0.26744875627453912</v>
      </c>
      <c r="G97" s="765">
        <v>473723491</v>
      </c>
      <c r="H97" s="766">
        <f t="shared" si="45"/>
        <v>-0.71716675222928294</v>
      </c>
      <c r="I97" s="765">
        <v>208780149</v>
      </c>
      <c r="J97" s="766">
        <f t="shared" si="46"/>
        <v>-0.55927845469668713</v>
      </c>
      <c r="K97" s="765">
        <v>2132055875</v>
      </c>
      <c r="L97" s="766">
        <f t="shared" si="47"/>
        <v>9.2119664403534838</v>
      </c>
      <c r="M97" s="889"/>
      <c r="N97" s="766"/>
      <c r="O97" s="889"/>
      <c r="P97" s="889"/>
      <c r="Q97" s="889"/>
      <c r="R97" s="765"/>
    </row>
    <row r="98" spans="1:19" x14ac:dyDescent="0.25">
      <c r="A98" s="752" t="s">
        <v>1106</v>
      </c>
      <c r="B98" s="765">
        <v>0</v>
      </c>
      <c r="C98" s="765">
        <v>0</v>
      </c>
      <c r="D98" s="766"/>
      <c r="E98" s="765">
        <v>0</v>
      </c>
      <c r="F98" s="766"/>
      <c r="G98" s="765">
        <v>1398927989</v>
      </c>
      <c r="H98" s="766"/>
      <c r="I98" s="765">
        <v>1066978976</v>
      </c>
      <c r="J98" s="766">
        <f t="shared" si="46"/>
        <v>-0.23728813463607096</v>
      </c>
      <c r="K98" s="765"/>
      <c r="L98" s="766">
        <f t="shared" si="47"/>
        <v>-1</v>
      </c>
      <c r="M98" s="889">
        <v>1522780551</v>
      </c>
      <c r="N98" s="766" t="e">
        <f t="shared" si="42"/>
        <v>#DIV/0!</v>
      </c>
      <c r="O98" s="889"/>
      <c r="P98" s="889"/>
      <c r="Q98" s="889"/>
      <c r="R98" s="765"/>
    </row>
    <row r="99" spans="1:19" s="54" customFormat="1" x14ac:dyDescent="0.25">
      <c r="A99" s="752" t="s">
        <v>1107</v>
      </c>
      <c r="B99" s="765">
        <v>1047079382</v>
      </c>
      <c r="C99" s="765">
        <v>900118982</v>
      </c>
      <c r="D99" s="766">
        <f t="shared" si="43"/>
        <v>-0.14035268244829216</v>
      </c>
      <c r="E99" s="765">
        <v>6689359708</v>
      </c>
      <c r="F99" s="766">
        <f t="shared" si="44"/>
        <v>6.4316394185318932</v>
      </c>
      <c r="G99" s="765">
        <v>6824682132</v>
      </c>
      <c r="H99" s="766">
        <f t="shared" si="45"/>
        <v>2.0229503256965532E-2</v>
      </c>
      <c r="I99" s="765">
        <v>11854075866</v>
      </c>
      <c r="J99" s="766">
        <f t="shared" si="46"/>
        <v>0.73694182919052909</v>
      </c>
      <c r="K99" s="765">
        <v>394351422</v>
      </c>
      <c r="L99" s="766">
        <f t="shared" si="47"/>
        <v>-0.96673284139077564</v>
      </c>
      <c r="M99" s="889">
        <v>10566387719</v>
      </c>
      <c r="N99" s="766">
        <f t="shared" si="42"/>
        <v>25.794344154792981</v>
      </c>
      <c r="O99" s="889"/>
      <c r="P99" s="889"/>
      <c r="Q99" s="889"/>
      <c r="R99" s="765"/>
    </row>
    <row r="100" spans="1:19" x14ac:dyDescent="0.25">
      <c r="A100" s="752" t="s">
        <v>1108</v>
      </c>
      <c r="B100" s="765">
        <v>358399623</v>
      </c>
      <c r="C100" s="765">
        <v>1007986508</v>
      </c>
      <c r="D100" s="766">
        <f t="shared" si="43"/>
        <v>1.812465313335444</v>
      </c>
      <c r="E100" s="765">
        <v>865977334</v>
      </c>
      <c r="F100" s="766">
        <f t="shared" si="44"/>
        <v>-0.14088400278468807</v>
      </c>
      <c r="G100" s="765">
        <v>0</v>
      </c>
      <c r="H100" s="766">
        <f t="shared" si="45"/>
        <v>-1</v>
      </c>
      <c r="I100" s="765">
        <v>0</v>
      </c>
      <c r="J100" s="766"/>
      <c r="K100" s="765">
        <v>0</v>
      </c>
      <c r="L100" s="766"/>
      <c r="M100" s="889"/>
      <c r="N100" s="766"/>
      <c r="O100" s="889"/>
      <c r="P100" s="889"/>
      <c r="Q100" s="889"/>
      <c r="R100" s="765"/>
    </row>
    <row r="101" spans="1:19" x14ac:dyDescent="0.25">
      <c r="A101" s="752" t="s">
        <v>1109</v>
      </c>
      <c r="B101" s="765">
        <v>0</v>
      </c>
      <c r="C101" s="765">
        <v>0</v>
      </c>
      <c r="D101" s="766"/>
      <c r="E101" s="765">
        <f>736918016.46+133472408</f>
        <v>870390424.46000004</v>
      </c>
      <c r="F101" s="766"/>
      <c r="G101" s="765">
        <v>541130170</v>
      </c>
      <c r="H101" s="766">
        <f t="shared" si="45"/>
        <v>-0.37829029962533972</v>
      </c>
      <c r="I101" s="765">
        <v>909383464.76999998</v>
      </c>
      <c r="J101" s="766">
        <f t="shared" si="46"/>
        <v>0.68052626740438438</v>
      </c>
      <c r="K101" s="765">
        <v>1577225437.5699999</v>
      </c>
      <c r="L101" s="766">
        <f t="shared" si="47"/>
        <v>0.73438983517135936</v>
      </c>
      <c r="M101" s="889">
        <v>562401771.39999998</v>
      </c>
      <c r="N101" s="766">
        <f t="shared" si="42"/>
        <v>-0.64342334456228323</v>
      </c>
      <c r="O101" s="889"/>
      <c r="P101" s="889"/>
      <c r="Q101" s="889"/>
      <c r="R101" s="765"/>
    </row>
    <row r="102" spans="1:19" ht="25.5" x14ac:dyDescent="0.25">
      <c r="A102" s="752" t="s">
        <v>1110</v>
      </c>
      <c r="B102" s="765"/>
      <c r="C102" s="765"/>
      <c r="D102" s="766"/>
      <c r="E102" s="765"/>
      <c r="F102" s="766"/>
      <c r="G102" s="765"/>
      <c r="H102" s="766"/>
      <c r="I102" s="765"/>
      <c r="J102" s="766"/>
      <c r="K102" s="765">
        <v>11808385933</v>
      </c>
      <c r="L102" s="766"/>
      <c r="M102" s="889"/>
      <c r="N102" s="766"/>
      <c r="O102" s="889">
        <f>+[2]MX8!G237</f>
        <v>11000000000</v>
      </c>
      <c r="P102" s="889">
        <f>+[2]MX8!H237</f>
        <v>8967474767</v>
      </c>
      <c r="Q102" s="889">
        <f>+[2]MX8!I237</f>
        <v>9333161322</v>
      </c>
      <c r="R102" s="765"/>
    </row>
    <row r="103" spans="1:19" x14ac:dyDescent="0.25">
      <c r="A103" s="752" t="s">
        <v>1111</v>
      </c>
      <c r="B103" s="765">
        <v>198879475.44999999</v>
      </c>
      <c r="C103" s="765">
        <v>235082680.68000001</v>
      </c>
      <c r="D103" s="766">
        <f t="shared" si="43"/>
        <v>0.18203590465071301</v>
      </c>
      <c r="E103" s="765">
        <v>157562150.88999999</v>
      </c>
      <c r="F103" s="766">
        <f t="shared" si="44"/>
        <v>-0.32975857500758537</v>
      </c>
      <c r="G103" s="765">
        <v>73380582.859999999</v>
      </c>
      <c r="H103" s="766">
        <f t="shared" si="45"/>
        <v>-0.53427531646715254</v>
      </c>
      <c r="I103" s="765">
        <v>38632920.229999997</v>
      </c>
      <c r="J103" s="766">
        <f t="shared" si="46"/>
        <v>-0.47352666435334451</v>
      </c>
      <c r="K103" s="765">
        <v>20045809.960000001</v>
      </c>
      <c r="L103" s="766">
        <f t="shared" si="47"/>
        <v>-0.48112102733477463</v>
      </c>
      <c r="M103" s="889">
        <v>5298684.09</v>
      </c>
      <c r="N103" s="766">
        <f t="shared" si="42"/>
        <v>-0.73567123999613138</v>
      </c>
      <c r="O103" s="889">
        <f>+[2]MX8!G239</f>
        <v>15000000</v>
      </c>
      <c r="P103" s="889">
        <f>+[2]MX8!H239</f>
        <v>15000000</v>
      </c>
      <c r="Q103" s="889">
        <f>+[2]MX8!I239</f>
        <v>105008284.72</v>
      </c>
      <c r="R103" s="765"/>
    </row>
    <row r="104" spans="1:19" x14ac:dyDescent="0.25">
      <c r="A104" s="752" t="s">
        <v>606</v>
      </c>
      <c r="B104" s="765">
        <v>24474611</v>
      </c>
      <c r="C104" s="765">
        <v>0</v>
      </c>
      <c r="D104" s="766">
        <f t="shared" si="43"/>
        <v>-1</v>
      </c>
      <c r="E104" s="765">
        <v>0</v>
      </c>
      <c r="F104" s="766"/>
      <c r="G104" s="765">
        <v>93678610</v>
      </c>
      <c r="H104" s="766"/>
      <c r="I104" s="765">
        <v>21516737</v>
      </c>
      <c r="J104" s="766">
        <f t="shared" si="46"/>
        <v>-0.77031323372539362</v>
      </c>
      <c r="K104" s="765">
        <v>20634024</v>
      </c>
      <c r="L104" s="766">
        <f t="shared" si="47"/>
        <v>-4.1024482476130095E-2</v>
      </c>
      <c r="M104" s="889">
        <v>253619883</v>
      </c>
      <c r="N104" s="766">
        <f t="shared" si="42"/>
        <v>11.291343801868216</v>
      </c>
      <c r="O104" s="889">
        <f>+[2]MX8!G263</f>
        <v>80000000</v>
      </c>
      <c r="P104" s="889">
        <f>+[2]MX8!H263</f>
        <v>80000000</v>
      </c>
      <c r="Q104" s="889">
        <f>+[2]MX8!I263</f>
        <v>6835011</v>
      </c>
      <c r="R104" s="765"/>
    </row>
    <row r="105" spans="1:19" s="54" customFormat="1" x14ac:dyDescent="0.25">
      <c r="A105" s="752">
        <v>0</v>
      </c>
      <c r="B105" s="765">
        <v>0</v>
      </c>
      <c r="C105" s="765">
        <v>0</v>
      </c>
      <c r="D105" s="766"/>
      <c r="E105" s="765">
        <v>0</v>
      </c>
      <c r="F105" s="766"/>
      <c r="G105" s="765">
        <v>0</v>
      </c>
      <c r="H105" s="766"/>
      <c r="I105" s="765">
        <v>0</v>
      </c>
      <c r="J105" s="766"/>
      <c r="K105" s="765">
        <v>0</v>
      </c>
      <c r="L105" s="766"/>
      <c r="M105" s="889"/>
      <c r="N105" s="766"/>
      <c r="O105" s="889"/>
      <c r="P105" s="889"/>
      <c r="Q105" s="889"/>
      <c r="R105" s="765"/>
    </row>
    <row r="106" spans="1:19" x14ac:dyDescent="0.2">
      <c r="A106" s="752" t="s">
        <v>1112</v>
      </c>
      <c r="B106" s="765">
        <v>5881374.3399999999</v>
      </c>
      <c r="C106" s="765">
        <v>8053072.2999999998</v>
      </c>
      <c r="D106" s="766">
        <f t="shared" si="43"/>
        <v>0.36925008245606755</v>
      </c>
      <c r="E106" s="765">
        <v>4959871</v>
      </c>
      <c r="F106" s="766">
        <f t="shared" si="44"/>
        <v>-0.3841020153264984</v>
      </c>
      <c r="G106" s="765">
        <v>90796581.239999995</v>
      </c>
      <c r="H106" s="766">
        <f t="shared" si="45"/>
        <v>17.306238456605019</v>
      </c>
      <c r="I106" s="765">
        <v>58528086.950000003</v>
      </c>
      <c r="J106" s="766">
        <f t="shared" si="46"/>
        <v>-0.35539327416640948</v>
      </c>
      <c r="K106" s="765">
        <v>177233425.88</v>
      </c>
      <c r="L106" s="766">
        <f t="shared" si="47"/>
        <v>2.0281773267492724</v>
      </c>
      <c r="M106" s="889">
        <v>4410980.9400000004</v>
      </c>
      <c r="N106" s="766">
        <f t="shared" si="42"/>
        <v>-0.97511202574740863</v>
      </c>
      <c r="O106" s="889"/>
      <c r="P106" s="889"/>
      <c r="Q106" s="889"/>
      <c r="R106" s="765"/>
      <c r="S106" s="653"/>
    </row>
    <row r="107" spans="1:19" x14ac:dyDescent="0.2">
      <c r="A107" s="752" t="s">
        <v>1113</v>
      </c>
      <c r="B107" s="765"/>
      <c r="C107" s="765"/>
      <c r="D107" s="766"/>
      <c r="E107" s="765"/>
      <c r="F107" s="766"/>
      <c r="G107" s="765"/>
      <c r="H107" s="766"/>
      <c r="I107" s="765"/>
      <c r="J107" s="766"/>
      <c r="K107" s="765"/>
      <c r="L107" s="766"/>
      <c r="M107" s="889"/>
      <c r="N107" s="766"/>
      <c r="O107" s="889"/>
      <c r="P107" s="889"/>
      <c r="Q107" s="889"/>
      <c r="R107" s="765"/>
      <c r="S107" s="653"/>
    </row>
    <row r="108" spans="1:19" x14ac:dyDescent="0.25">
      <c r="A108" s="752" t="s">
        <v>1114</v>
      </c>
      <c r="B108" s="765">
        <v>2128283261.3399999</v>
      </c>
      <c r="C108" s="765">
        <v>6133536837.29</v>
      </c>
      <c r="D108" s="766">
        <f t="shared" si="43"/>
        <v>1.8819175288858074</v>
      </c>
      <c r="E108" s="765">
        <v>3666040891.6500001</v>
      </c>
      <c r="F108" s="766">
        <f t="shared" si="44"/>
        <v>-0.40229577340081996</v>
      </c>
      <c r="G108" s="765">
        <v>4490728943</v>
      </c>
      <c r="H108" s="766">
        <f t="shared" si="45"/>
        <v>0.22495331495847742</v>
      </c>
      <c r="I108" s="765">
        <v>2272305201.3899999</v>
      </c>
      <c r="J108" s="766">
        <f t="shared" si="46"/>
        <v>-0.49400081139789248</v>
      </c>
      <c r="K108" s="765">
        <v>1248334786.3299999</v>
      </c>
      <c r="L108" s="766">
        <f t="shared" si="47"/>
        <v>-0.45063066987375788</v>
      </c>
      <c r="M108" s="889">
        <v>3427374935.3200002</v>
      </c>
      <c r="N108" s="766">
        <f t="shared" si="42"/>
        <v>1.7455575001608314</v>
      </c>
      <c r="O108" s="889"/>
      <c r="P108" s="889"/>
      <c r="Q108" s="889"/>
      <c r="R108" s="765"/>
    </row>
    <row r="109" spans="1:19" x14ac:dyDescent="0.25">
      <c r="A109" s="752" t="s">
        <v>1115</v>
      </c>
      <c r="B109" s="765"/>
      <c r="C109" s="765"/>
      <c r="D109" s="766"/>
      <c r="E109" s="765"/>
      <c r="F109" s="766"/>
      <c r="G109" s="765"/>
      <c r="H109" s="766"/>
      <c r="I109" s="765"/>
      <c r="J109" s="766"/>
      <c r="K109" s="765">
        <v>1792012887.96</v>
      </c>
      <c r="L109" s="766"/>
      <c r="M109" s="889"/>
      <c r="N109" s="766"/>
      <c r="O109" s="889"/>
      <c r="P109" s="889"/>
      <c r="Q109" s="889"/>
      <c r="R109" s="765"/>
    </row>
    <row r="110" spans="1:19" s="54" customFormat="1" x14ac:dyDescent="0.25">
      <c r="A110" s="750" t="s">
        <v>1116</v>
      </c>
      <c r="B110" s="767">
        <f t="shared" ref="B110:I110" si="58">+B111+B120</f>
        <v>37602321159.610001</v>
      </c>
      <c r="C110" s="767">
        <f t="shared" si="58"/>
        <v>37962033916.790001</v>
      </c>
      <c r="D110" s="768">
        <f t="shared" si="43"/>
        <v>9.5662380961306359E-3</v>
      </c>
      <c r="E110" s="767">
        <f t="shared" si="58"/>
        <v>39877666683.590004</v>
      </c>
      <c r="F110" s="768">
        <f t="shared" si="44"/>
        <v>5.0461805365827603E-2</v>
      </c>
      <c r="G110" s="767">
        <f t="shared" si="58"/>
        <v>48951107958.570007</v>
      </c>
      <c r="H110" s="768">
        <f t="shared" si="45"/>
        <v>0.22753190017293065</v>
      </c>
      <c r="I110" s="767">
        <f t="shared" si="58"/>
        <v>49171571939.529999</v>
      </c>
      <c r="J110" s="768">
        <f t="shared" si="46"/>
        <v>4.5037587534603333E-3</v>
      </c>
      <c r="K110" s="767">
        <f>+K111+K120</f>
        <v>50905091650.440002</v>
      </c>
      <c r="L110" s="768">
        <f t="shared" si="47"/>
        <v>3.5254510737257778E-2</v>
      </c>
      <c r="M110" s="890">
        <f>+M111+M120</f>
        <v>76106464640.550003</v>
      </c>
      <c r="N110" s="890" t="e">
        <f t="shared" ref="N110:Q110" si="59">+N111+N120</f>
        <v>#DIV/0!</v>
      </c>
      <c r="O110" s="890">
        <f t="shared" si="59"/>
        <v>47029328956</v>
      </c>
      <c r="P110" s="890">
        <f t="shared" si="59"/>
        <v>62725497025.700005</v>
      </c>
      <c r="Q110" s="890">
        <f t="shared" si="59"/>
        <v>53482047231.119995</v>
      </c>
      <c r="R110" s="767"/>
    </row>
    <row r="111" spans="1:19" ht="22.5" customHeight="1" x14ac:dyDescent="0.25">
      <c r="A111" s="750" t="s">
        <v>1117</v>
      </c>
      <c r="B111" s="767">
        <f>+B112+B113+B114+B115</f>
        <v>10862223177.360001</v>
      </c>
      <c r="C111" s="767">
        <f t="shared" ref="C111:I111" si="60">+C112+C113+C114+C115</f>
        <v>10606672958.790001</v>
      </c>
      <c r="D111" s="768">
        <f t="shared" si="43"/>
        <v>-2.3526511506653618E-2</v>
      </c>
      <c r="E111" s="767">
        <f t="shared" si="60"/>
        <v>11972030911.469999</v>
      </c>
      <c r="F111" s="768">
        <f t="shared" si="44"/>
        <v>0.12872631766670001</v>
      </c>
      <c r="G111" s="767">
        <f t="shared" si="60"/>
        <v>12552476761.440001</v>
      </c>
      <c r="H111" s="768">
        <f t="shared" si="45"/>
        <v>4.8483490751255548E-2</v>
      </c>
      <c r="I111" s="767">
        <f t="shared" si="60"/>
        <v>13736315057.25</v>
      </c>
      <c r="J111" s="768">
        <f t="shared" si="46"/>
        <v>9.431113224177691E-2</v>
      </c>
      <c r="K111" s="767">
        <f>+K112+K113+K114+K115+K116+K117+K118+K119</f>
        <v>9922867082.1499996</v>
      </c>
      <c r="L111" s="768">
        <f t="shared" si="47"/>
        <v>-0.27761797535993976</v>
      </c>
      <c r="M111" s="890">
        <f>+M112+M113+M114+M115+M116+M117+M118+M119</f>
        <v>12746774694.959999</v>
      </c>
      <c r="N111" s="890">
        <f t="shared" ref="N111:Q111" si="61">+N112+N113+N114+N115+N116+N117+N118+N119</f>
        <v>-0.59377942486506852</v>
      </c>
      <c r="O111" s="890">
        <f t="shared" si="61"/>
        <v>5999240891</v>
      </c>
      <c r="P111" s="890">
        <f t="shared" si="61"/>
        <v>6352112887</v>
      </c>
      <c r="Q111" s="890">
        <f t="shared" si="61"/>
        <v>4769780501</v>
      </c>
      <c r="R111" s="767"/>
    </row>
    <row r="112" spans="1:19" x14ac:dyDescent="0.25">
      <c r="A112" s="752" t="s">
        <v>1118</v>
      </c>
      <c r="B112" s="765">
        <v>3268453697</v>
      </c>
      <c r="C112" s="765">
        <v>2679025225</v>
      </c>
      <c r="D112" s="766">
        <f t="shared" si="43"/>
        <v>-0.18033863307931083</v>
      </c>
      <c r="E112" s="765">
        <v>4023301690</v>
      </c>
      <c r="F112" s="766">
        <f t="shared" si="44"/>
        <v>0.50177820367480863</v>
      </c>
      <c r="G112" s="765">
        <v>4015575201</v>
      </c>
      <c r="H112" s="766">
        <f t="shared" si="45"/>
        <v>-1.9204349052929213E-3</v>
      </c>
      <c r="I112" s="765">
        <v>5489644949</v>
      </c>
      <c r="J112" s="766">
        <f t="shared" si="46"/>
        <v>0.3670880693836619</v>
      </c>
      <c r="K112" s="765">
        <v>653194793</v>
      </c>
      <c r="L112" s="766">
        <f t="shared" si="47"/>
        <v>-0.88101328973579851</v>
      </c>
      <c r="M112" s="889">
        <v>0</v>
      </c>
      <c r="N112" s="766">
        <f t="shared" si="42"/>
        <v>-1</v>
      </c>
      <c r="O112" s="889"/>
      <c r="P112" s="889"/>
      <c r="Q112" s="889"/>
      <c r="R112" s="765"/>
    </row>
    <row r="113" spans="1:21" s="54" customFormat="1" x14ac:dyDescent="0.25">
      <c r="A113" s="752" t="s">
        <v>1119</v>
      </c>
      <c r="B113" s="765">
        <v>3071600187</v>
      </c>
      <c r="C113" s="765">
        <v>3336122674</v>
      </c>
      <c r="D113" s="766">
        <f t="shared" si="43"/>
        <v>8.6118788545314018E-2</v>
      </c>
      <c r="E113" s="765">
        <v>3766060273</v>
      </c>
      <c r="F113" s="766">
        <f t="shared" si="44"/>
        <v>0.12887343812345672</v>
      </c>
      <c r="G113" s="765">
        <v>3649631270</v>
      </c>
      <c r="H113" s="766">
        <f t="shared" si="45"/>
        <v>-3.0915331821615804E-2</v>
      </c>
      <c r="I113" s="765">
        <v>4170349428</v>
      </c>
      <c r="J113" s="766">
        <f t="shared" si="46"/>
        <v>0.14267692253743761</v>
      </c>
      <c r="K113" s="765">
        <v>4088510241</v>
      </c>
      <c r="L113" s="766">
        <f t="shared" si="47"/>
        <v>-1.9624059905034894E-2</v>
      </c>
      <c r="M113" s="889">
        <v>4274847597</v>
      </c>
      <c r="N113" s="766">
        <f t="shared" si="42"/>
        <v>4.5575856489581436E-2</v>
      </c>
      <c r="O113" s="889">
        <f>+[2]MX8!G316</f>
        <v>4274847597</v>
      </c>
      <c r="P113" s="889">
        <f>+[2]MX8!H316</f>
        <v>4595895597</v>
      </c>
      <c r="Q113" s="889">
        <f>+[2]MX8!I316</f>
        <v>3454773309</v>
      </c>
      <c r="R113" s="765"/>
    </row>
    <row r="114" spans="1:21" x14ac:dyDescent="0.25">
      <c r="A114" s="752" t="s">
        <v>1120</v>
      </c>
      <c r="B114" s="765">
        <v>4240932615</v>
      </c>
      <c r="C114" s="765">
        <v>4368160593</v>
      </c>
      <c r="D114" s="766">
        <f t="shared" si="43"/>
        <v>2.9999999893891263E-2</v>
      </c>
      <c r="E114" s="765">
        <v>3775114443</v>
      </c>
      <c r="F114" s="766">
        <f t="shared" si="44"/>
        <v>-0.13576564720407933</v>
      </c>
      <c r="G114" s="765">
        <v>3775114443</v>
      </c>
      <c r="H114" s="766">
        <f t="shared" si="45"/>
        <v>0</v>
      </c>
      <c r="I114" s="765">
        <v>3775114443</v>
      </c>
      <c r="J114" s="766">
        <f t="shared" si="46"/>
        <v>0</v>
      </c>
      <c r="K114" s="765">
        <v>1496346983</v>
      </c>
      <c r="L114" s="766">
        <f t="shared" si="47"/>
        <v>-0.60362870964757132</v>
      </c>
      <c r="M114" s="889">
        <v>1724393294</v>
      </c>
      <c r="N114" s="766">
        <f t="shared" si="42"/>
        <v>0.15240202545989295</v>
      </c>
      <c r="O114" s="889">
        <f>+[2]MX8!G317</f>
        <v>1724393294</v>
      </c>
      <c r="P114" s="889">
        <f>+[2]MX8!H317</f>
        <v>1756217290</v>
      </c>
      <c r="Q114" s="889">
        <f>+[2]MX8!I317</f>
        <v>1315007192</v>
      </c>
      <c r="R114" s="765"/>
    </row>
    <row r="115" spans="1:21" x14ac:dyDescent="0.25">
      <c r="A115" s="750" t="s">
        <v>1121</v>
      </c>
      <c r="B115" s="775">
        <f>+B116+B119</f>
        <v>281236678.36000001</v>
      </c>
      <c r="C115" s="775">
        <f>+C116+C119</f>
        <v>223364466.78999999</v>
      </c>
      <c r="D115" s="776">
        <f t="shared" si="43"/>
        <v>-0.20577761018753066</v>
      </c>
      <c r="E115" s="775">
        <f>+E116+E119</f>
        <v>407554505.46999997</v>
      </c>
      <c r="F115" s="776">
        <f t="shared" si="44"/>
        <v>0.82461656201194011</v>
      </c>
      <c r="G115" s="775">
        <f>+G116+G119</f>
        <v>1112155847.4400001</v>
      </c>
      <c r="H115" s="776">
        <f t="shared" si="45"/>
        <v>1.7288518039015168</v>
      </c>
      <c r="I115" s="775">
        <f>+I116+I119</f>
        <v>301206237.25000006</v>
      </c>
      <c r="J115" s="776">
        <f t="shared" si="46"/>
        <v>-0.72916903872480887</v>
      </c>
      <c r="K115" s="775">
        <v>0</v>
      </c>
      <c r="L115" s="776">
        <f t="shared" si="47"/>
        <v>-1</v>
      </c>
      <c r="M115" s="896"/>
      <c r="N115" s="776"/>
      <c r="O115" s="896"/>
      <c r="P115" s="896"/>
      <c r="Q115" s="896"/>
      <c r="R115" s="775"/>
    </row>
    <row r="116" spans="1:21" x14ac:dyDescent="0.25">
      <c r="A116" s="752" t="s">
        <v>1122</v>
      </c>
      <c r="B116" s="765">
        <v>272945318.36000001</v>
      </c>
      <c r="C116" s="765">
        <v>216964466.78999999</v>
      </c>
      <c r="D116" s="766">
        <f t="shared" si="43"/>
        <v>-0.20509914552249006</v>
      </c>
      <c r="E116" s="765">
        <v>377820579.46999997</v>
      </c>
      <c r="F116" s="766">
        <f t="shared" si="44"/>
        <v>0.74139381005504779</v>
      </c>
      <c r="G116" s="765">
        <v>1108946309.4400001</v>
      </c>
      <c r="H116" s="766">
        <f t="shared" si="45"/>
        <v>1.9351135689739565</v>
      </c>
      <c r="I116" s="765">
        <v>301206237.25000006</v>
      </c>
      <c r="J116" s="766">
        <f t="shared" si="46"/>
        <v>-0.72838519350670428</v>
      </c>
      <c r="K116" s="765">
        <v>54947427.200000003</v>
      </c>
      <c r="L116" s="766">
        <f t="shared" si="47"/>
        <v>-0.81757540049081445</v>
      </c>
      <c r="M116" s="889">
        <v>73668570.230000004</v>
      </c>
      <c r="N116" s="766">
        <f t="shared" si="42"/>
        <v>0.34071009297410743</v>
      </c>
      <c r="O116" s="889"/>
      <c r="P116" s="889"/>
      <c r="Q116" s="889"/>
      <c r="R116" s="765"/>
    </row>
    <row r="117" spans="1:21" x14ac:dyDescent="0.25">
      <c r="A117" s="752" t="s">
        <v>1123</v>
      </c>
      <c r="B117" s="765"/>
      <c r="C117" s="765"/>
      <c r="D117" s="766"/>
      <c r="E117" s="765"/>
      <c r="F117" s="766"/>
      <c r="G117" s="765"/>
      <c r="H117" s="766"/>
      <c r="I117" s="765"/>
      <c r="J117" s="766"/>
      <c r="K117" s="765">
        <v>3573627166.1199999</v>
      </c>
      <c r="L117" s="766"/>
      <c r="M117" s="889">
        <v>6673865233.7300005</v>
      </c>
      <c r="N117" s="766">
        <f t="shared" si="42"/>
        <v>0.8675326002113497</v>
      </c>
      <c r="O117" s="889"/>
      <c r="P117" s="889"/>
      <c r="Q117" s="889"/>
      <c r="R117" s="765"/>
    </row>
    <row r="118" spans="1:21" x14ac:dyDescent="0.25">
      <c r="A118" s="752" t="s">
        <v>1124</v>
      </c>
      <c r="B118" s="765"/>
      <c r="C118" s="765"/>
      <c r="D118" s="766"/>
      <c r="E118" s="765"/>
      <c r="F118" s="766"/>
      <c r="G118" s="765"/>
      <c r="H118" s="766"/>
      <c r="I118" s="765"/>
      <c r="J118" s="766"/>
      <c r="K118" s="765">
        <v>51987321.829999998</v>
      </c>
      <c r="L118" s="766"/>
      <c r="M118" s="889"/>
      <c r="N118" s="766"/>
      <c r="O118" s="889"/>
      <c r="P118" s="889"/>
      <c r="Q118" s="889"/>
      <c r="R118" s="765"/>
    </row>
    <row r="119" spans="1:21" s="54" customFormat="1" x14ac:dyDescent="0.25">
      <c r="A119" s="752" t="s">
        <v>606</v>
      </c>
      <c r="B119" s="765">
        <v>8291360</v>
      </c>
      <c r="C119" s="765">
        <v>6400000</v>
      </c>
      <c r="D119" s="766">
        <f t="shared" si="43"/>
        <v>-0.22811215530383436</v>
      </c>
      <c r="E119" s="765">
        <v>29733926</v>
      </c>
      <c r="F119" s="766">
        <f t="shared" si="44"/>
        <v>3.6459259374999999</v>
      </c>
      <c r="G119" s="765">
        <v>3209538</v>
      </c>
      <c r="H119" s="766">
        <f t="shared" si="45"/>
        <v>-0.89205804843934833</v>
      </c>
      <c r="I119" s="765">
        <v>0</v>
      </c>
      <c r="J119" s="766">
        <f t="shared" si="46"/>
        <v>-1</v>
      </c>
      <c r="K119" s="765">
        <v>4253150</v>
      </c>
      <c r="L119" s="766"/>
      <c r="M119" s="889">
        <v>0</v>
      </c>
      <c r="N119" s="766">
        <f t="shared" si="42"/>
        <v>-1</v>
      </c>
      <c r="O119" s="889"/>
      <c r="P119" s="889"/>
      <c r="Q119" s="889"/>
      <c r="R119" s="765"/>
    </row>
    <row r="120" spans="1:21" s="54" customFormat="1" x14ac:dyDescent="0.25">
      <c r="A120" s="750" t="s">
        <v>1125</v>
      </c>
      <c r="B120" s="767">
        <f>SUM(B121:B142)</f>
        <v>26740097982.25</v>
      </c>
      <c r="C120" s="767">
        <f>SUM(C121:C142)</f>
        <v>27355360958</v>
      </c>
      <c r="D120" s="768">
        <f t="shared" si="43"/>
        <v>2.300900229155517E-2</v>
      </c>
      <c r="E120" s="767">
        <f>SUM(E121:E142)</f>
        <v>27905635772.120003</v>
      </c>
      <c r="F120" s="768">
        <f t="shared" si="44"/>
        <v>2.0115794303166613E-2</v>
      </c>
      <c r="G120" s="767">
        <f>SUM(G121:G142)</f>
        <v>36398631197.130005</v>
      </c>
      <c r="H120" s="768">
        <f t="shared" si="45"/>
        <v>0.30434696039053138</v>
      </c>
      <c r="I120" s="767">
        <f>SUM(I121:I142)</f>
        <v>35435256882.279999</v>
      </c>
      <c r="J120" s="768">
        <f t="shared" si="46"/>
        <v>-2.6467322620801387E-2</v>
      </c>
      <c r="K120" s="767">
        <f>SUM(K121:K148)</f>
        <v>40982224568.290001</v>
      </c>
      <c r="L120" s="768">
        <f t="shared" si="47"/>
        <v>0.15653809719618139</v>
      </c>
      <c r="M120" s="890">
        <f>SUM(M142+M141+M140+M139+M138+M137+M135+M136+M134+M133+M132+M131+M130+M129+M128+M127+M126+M125+M124+M123+M122+M121)</f>
        <v>63359689945.590004</v>
      </c>
      <c r="N120" s="890" t="e">
        <f t="shared" ref="N120" si="62">SUM(N142+N141+N140+N139+N138+N137+N135+N136+N134+N133+N132+N131+N130+N129+N128+N127+N126+N125+N124+N123+N122+N121)</f>
        <v>#DIV/0!</v>
      </c>
      <c r="O120" s="890">
        <f>SUM(O142+O141+O140+O139+O138+O137+O135+O136+O134+O133+O132+O131+O130+O129+O128+O127+O126+O125+O124+O123+O122+O121)</f>
        <v>41030088065</v>
      </c>
      <c r="P120" s="890">
        <f t="shared" ref="P120:Q120" si="63">SUM(P142+P141+P140+P139+P138+P137+P135+P136+P134+P133+P132+P131+P130+P129+P128+P127+P126+P125+P124+P123+P122+P121)</f>
        <v>56373384138.700005</v>
      </c>
      <c r="Q120" s="890">
        <f t="shared" si="63"/>
        <v>48712266730.119995</v>
      </c>
      <c r="R120" s="767"/>
    </row>
    <row r="121" spans="1:21" s="54" customFormat="1" x14ac:dyDescent="0.25">
      <c r="A121" s="752" t="s">
        <v>1126</v>
      </c>
      <c r="B121" s="765">
        <v>5789206170.0200005</v>
      </c>
      <c r="C121" s="765">
        <v>5672144131.0300007</v>
      </c>
      <c r="D121" s="766">
        <f t="shared" si="43"/>
        <v>-2.0220741074349291E-2</v>
      </c>
      <c r="E121" s="765">
        <v>6027990334.6000004</v>
      </c>
      <c r="F121" s="766">
        <f t="shared" si="44"/>
        <v>6.2735747778923559E-2</v>
      </c>
      <c r="G121" s="765">
        <v>7130051158.6499996</v>
      </c>
      <c r="H121" s="766">
        <f t="shared" si="45"/>
        <v>0.18282392022500293</v>
      </c>
      <c r="I121" s="765">
        <v>7726424298.9000006</v>
      </c>
      <c r="J121" s="766">
        <f t="shared" si="46"/>
        <v>8.3642196525686358E-2</v>
      </c>
      <c r="K121" s="765">
        <v>5002236005</v>
      </c>
      <c r="L121" s="766">
        <f t="shared" si="47"/>
        <v>-0.35258072667428308</v>
      </c>
      <c r="M121" s="889">
        <v>10032307360.9</v>
      </c>
      <c r="N121" s="766">
        <f t="shared" si="42"/>
        <v>1.0055645816935019</v>
      </c>
      <c r="O121" s="889">
        <f>+[2]MX8!G352</f>
        <v>7858326764.2399998</v>
      </c>
      <c r="P121" s="889">
        <f>+[2]MX8!H352</f>
        <v>8165239751.5500002</v>
      </c>
      <c r="Q121" s="889">
        <f>+[2]MX8!I352</f>
        <v>7788828132.0600004</v>
      </c>
      <c r="R121" s="765"/>
    </row>
    <row r="122" spans="1:21" s="54" customFormat="1" x14ac:dyDescent="0.25">
      <c r="A122" s="752" t="s">
        <v>1127</v>
      </c>
      <c r="B122" s="765">
        <v>2957581000</v>
      </c>
      <c r="C122" s="765">
        <v>3187608000</v>
      </c>
      <c r="D122" s="766">
        <f t="shared" si="43"/>
        <v>7.7775384680926749E-2</v>
      </c>
      <c r="E122" s="765">
        <v>3328047000</v>
      </c>
      <c r="F122" s="766">
        <f t="shared" si="44"/>
        <v>4.4057801335672393E-2</v>
      </c>
      <c r="G122" s="765">
        <v>3182829400</v>
      </c>
      <c r="H122" s="766">
        <f t="shared" si="45"/>
        <v>-4.3634479921707839E-2</v>
      </c>
      <c r="I122" s="765">
        <v>3319978393</v>
      </c>
      <c r="J122" s="766">
        <f t="shared" si="46"/>
        <v>4.3090274646828387E-2</v>
      </c>
      <c r="K122" s="765">
        <v>2619617298</v>
      </c>
      <c r="L122" s="766">
        <f t="shared" si="47"/>
        <v>-0.21095350996159329</v>
      </c>
      <c r="M122" s="889">
        <v>3455972404</v>
      </c>
      <c r="N122" s="766">
        <f t="shared" si="42"/>
        <v>0.31926614114150653</v>
      </c>
      <c r="O122" s="889">
        <f>+[2]MX8!G295</f>
        <v>3359643356.5700002</v>
      </c>
      <c r="P122" s="889">
        <f>+[2]MX8!H295</f>
        <v>3359643356.5700002</v>
      </c>
      <c r="Q122" s="889">
        <f>+[2]MX8!I295</f>
        <v>2802705117</v>
      </c>
      <c r="R122" s="765"/>
    </row>
    <row r="123" spans="1:21" s="54" customFormat="1" x14ac:dyDescent="0.25">
      <c r="A123" s="752" t="s">
        <v>1128</v>
      </c>
      <c r="B123" s="765">
        <v>4627445394.1199999</v>
      </c>
      <c r="C123" s="765">
        <v>5032134083</v>
      </c>
      <c r="D123" s="766">
        <f t="shared" si="43"/>
        <v>8.745401715474152E-2</v>
      </c>
      <c r="E123" s="765">
        <v>5297644865</v>
      </c>
      <c r="F123" s="766">
        <f t="shared" si="44"/>
        <v>5.2763057903598393E-2</v>
      </c>
      <c r="G123" s="765">
        <v>5036484170</v>
      </c>
      <c r="H123" s="766">
        <f t="shared" si="45"/>
        <v>-4.9297508922391688E-2</v>
      </c>
      <c r="I123" s="765">
        <v>6526968883</v>
      </c>
      <c r="J123" s="766">
        <f t="shared" si="46"/>
        <v>0.29593753552887669</v>
      </c>
      <c r="K123" s="765">
        <v>1038735962</v>
      </c>
      <c r="L123" s="766">
        <f t="shared" si="47"/>
        <v>-0.84085477031988476</v>
      </c>
      <c r="M123" s="889">
        <v>5194747951</v>
      </c>
      <c r="N123" s="766">
        <f t="shared" si="42"/>
        <v>4.001028308481728</v>
      </c>
      <c r="O123" s="889">
        <f>+[2]MX8!G329</f>
        <v>9069307195.9699993</v>
      </c>
      <c r="P123" s="889">
        <f>+[2]MX8!H329</f>
        <v>9746548090.0300007</v>
      </c>
      <c r="Q123" s="889">
        <f>+[2]MX8!I329</f>
        <v>8503901757</v>
      </c>
      <c r="R123" s="765"/>
    </row>
    <row r="124" spans="1:21" s="54" customFormat="1" x14ac:dyDescent="0.25">
      <c r="A124" s="752" t="s">
        <v>1129</v>
      </c>
      <c r="B124" s="765">
        <v>0</v>
      </c>
      <c r="C124" s="765">
        <v>41033484</v>
      </c>
      <c r="D124" s="766"/>
      <c r="E124" s="765">
        <v>47527970</v>
      </c>
      <c r="F124" s="766">
        <f t="shared" si="44"/>
        <v>0.15827283883571769</v>
      </c>
      <c r="G124" s="765">
        <v>59649303</v>
      </c>
      <c r="H124" s="766">
        <f t="shared" si="45"/>
        <v>0.25503578208789479</v>
      </c>
      <c r="I124" s="765">
        <v>71070097</v>
      </c>
      <c r="J124" s="766">
        <f t="shared" si="46"/>
        <v>0.19146567395766553</v>
      </c>
      <c r="K124" s="765">
        <v>90556978</v>
      </c>
      <c r="L124" s="766">
        <f t="shared" si="47"/>
        <v>0.27419240753252383</v>
      </c>
      <c r="M124" s="889">
        <v>417861126</v>
      </c>
      <c r="N124" s="766">
        <f t="shared" si="42"/>
        <v>3.614344860315458</v>
      </c>
      <c r="O124" s="889"/>
      <c r="P124" s="889"/>
      <c r="Q124" s="889"/>
      <c r="R124" s="765"/>
    </row>
    <row r="125" spans="1:21" s="654" customFormat="1" ht="15" x14ac:dyDescent="0.25">
      <c r="A125" s="752" t="s">
        <v>1130</v>
      </c>
      <c r="B125" s="765">
        <v>0</v>
      </c>
      <c r="C125" s="765">
        <v>118492987</v>
      </c>
      <c r="D125" s="766"/>
      <c r="E125" s="765">
        <v>70127429</v>
      </c>
      <c r="F125" s="766">
        <f t="shared" si="44"/>
        <v>-0.40817232500012851</v>
      </c>
      <c r="G125" s="765">
        <v>45202420</v>
      </c>
      <c r="H125" s="766">
        <f t="shared" si="45"/>
        <v>-0.35542453723777612</v>
      </c>
      <c r="I125" s="765">
        <v>30401876</v>
      </c>
      <c r="J125" s="766">
        <f t="shared" si="46"/>
        <v>-0.32742813327251064</v>
      </c>
      <c r="K125" s="765">
        <v>10457404</v>
      </c>
      <c r="L125" s="766">
        <f t="shared" si="47"/>
        <v>-0.65602767408169149</v>
      </c>
      <c r="M125" s="889">
        <v>24649009</v>
      </c>
      <c r="N125" s="766">
        <f t="shared" si="42"/>
        <v>1.3570868066300201</v>
      </c>
      <c r="O125" s="889"/>
      <c r="P125" s="889"/>
      <c r="Q125" s="889"/>
      <c r="R125" s="765"/>
      <c r="T125" s="655"/>
      <c r="U125" s="165"/>
    </row>
    <row r="126" spans="1:21" s="54" customFormat="1" x14ac:dyDescent="0.25">
      <c r="A126" s="752" t="s">
        <v>1131</v>
      </c>
      <c r="B126" s="765">
        <v>0</v>
      </c>
      <c r="C126" s="765">
        <v>413847</v>
      </c>
      <c r="D126" s="766"/>
      <c r="E126" s="765">
        <v>0</v>
      </c>
      <c r="F126" s="766">
        <f t="shared" si="44"/>
        <v>-1</v>
      </c>
      <c r="G126" s="765">
        <v>0</v>
      </c>
      <c r="H126" s="766"/>
      <c r="I126" s="765">
        <v>0</v>
      </c>
      <c r="J126" s="766"/>
      <c r="K126" s="765">
        <v>1381314919</v>
      </c>
      <c r="L126" s="766"/>
      <c r="M126" s="889">
        <v>243153284</v>
      </c>
      <c r="N126" s="766">
        <f t="shared" si="42"/>
        <v>-0.82396969680452714</v>
      </c>
      <c r="O126" s="889"/>
      <c r="P126" s="889"/>
      <c r="Q126" s="889"/>
      <c r="R126" s="765"/>
    </row>
    <row r="127" spans="1:21" s="54" customFormat="1" x14ac:dyDescent="0.25">
      <c r="A127" s="752" t="s">
        <v>1132</v>
      </c>
      <c r="B127" s="765">
        <v>1043283322</v>
      </c>
      <c r="C127" s="765">
        <v>1041273320.97</v>
      </c>
      <c r="D127" s="766">
        <f t="shared" si="43"/>
        <v>-1.9266109096297539E-3</v>
      </c>
      <c r="E127" s="765">
        <v>2029088019.1899998</v>
      </c>
      <c r="F127" s="766">
        <f t="shared" si="44"/>
        <v>0.94866033569341734</v>
      </c>
      <c r="G127" s="765">
        <v>1703248316.7400002</v>
      </c>
      <c r="H127" s="766">
        <f t="shared" si="45"/>
        <v>-0.16058431145834318</v>
      </c>
      <c r="I127" s="765">
        <v>2208629340.0999999</v>
      </c>
      <c r="J127" s="766">
        <f t="shared" si="46"/>
        <v>0.29671599754009664</v>
      </c>
      <c r="K127" s="765">
        <v>3511597224</v>
      </c>
      <c r="L127" s="766">
        <f t="shared" si="47"/>
        <v>0.5899441161281529</v>
      </c>
      <c r="M127" s="889">
        <v>3741964532.7800002</v>
      </c>
      <c r="N127" s="766">
        <f t="shared" si="42"/>
        <v>6.5601859804864743E-2</v>
      </c>
      <c r="O127" s="889">
        <f>+[2]MX8!G283+[2]MX8!G287</f>
        <v>4642596291.1599998</v>
      </c>
      <c r="P127" s="889">
        <f>+[2]MX8!H283+[2]MX8!H287</f>
        <v>4947286945.1599998</v>
      </c>
      <c r="Q127" s="889">
        <f>+[2]MX8!I283+[2]MX8!I287</f>
        <v>2759991952.5999999</v>
      </c>
      <c r="R127" s="765"/>
      <c r="S127" s="654"/>
      <c r="T127" s="654"/>
    </row>
    <row r="128" spans="1:21" s="54" customFormat="1" x14ac:dyDescent="0.25">
      <c r="A128" s="752" t="s">
        <v>1133</v>
      </c>
      <c r="B128" s="765">
        <v>912762320.5</v>
      </c>
      <c r="C128" s="765">
        <v>597808425</v>
      </c>
      <c r="D128" s="766">
        <f t="shared" si="43"/>
        <v>-0.34505575923365472</v>
      </c>
      <c r="E128" s="765">
        <v>642062850</v>
      </c>
      <c r="F128" s="766">
        <f t="shared" si="44"/>
        <v>7.4027770685901592E-2</v>
      </c>
      <c r="G128" s="765">
        <v>563195220.63</v>
      </c>
      <c r="H128" s="766">
        <f t="shared" si="45"/>
        <v>-0.1228347495420425</v>
      </c>
      <c r="I128" s="765">
        <v>708543122.5</v>
      </c>
      <c r="J128" s="766">
        <f t="shared" si="46"/>
        <v>0.25807729992348177</v>
      </c>
      <c r="K128" s="765">
        <v>529115555</v>
      </c>
      <c r="L128" s="766">
        <f t="shared" si="47"/>
        <v>-0.25323450585041846</v>
      </c>
      <c r="M128" s="889">
        <v>722318852.79999995</v>
      </c>
      <c r="N128" s="766">
        <f t="shared" si="42"/>
        <v>0.36514386313968777</v>
      </c>
      <c r="O128" s="889">
        <f>+[2]MX8!G278</f>
        <v>625919989.35000002</v>
      </c>
      <c r="P128" s="889">
        <f>+[2]MX8!H278</f>
        <v>625919989.35000002</v>
      </c>
      <c r="Q128" s="889">
        <f>+[2]MX8!I278</f>
        <v>616428905</v>
      </c>
      <c r="R128" s="765"/>
      <c r="S128" s="654"/>
      <c r="T128" s="654"/>
    </row>
    <row r="129" spans="1:20" s="54" customFormat="1" x14ac:dyDescent="0.25">
      <c r="A129" s="752" t="s">
        <v>1134</v>
      </c>
      <c r="B129" s="765"/>
      <c r="C129" s="765"/>
      <c r="D129" s="766"/>
      <c r="E129" s="765"/>
      <c r="F129" s="766"/>
      <c r="G129" s="765"/>
      <c r="H129" s="766"/>
      <c r="I129" s="765"/>
      <c r="J129" s="766"/>
      <c r="K129" s="765">
        <v>4557301442</v>
      </c>
      <c r="L129" s="766"/>
      <c r="M129" s="889">
        <v>175275046</v>
      </c>
      <c r="N129" s="766">
        <f t="shared" si="42"/>
        <v>-0.96153972954593947</v>
      </c>
      <c r="O129" s="889"/>
      <c r="P129" s="889"/>
      <c r="Q129" s="889"/>
      <c r="R129" s="765"/>
      <c r="S129" s="654"/>
      <c r="T129" s="654"/>
    </row>
    <row r="130" spans="1:20" s="54" customFormat="1" ht="25.5" x14ac:dyDescent="0.25">
      <c r="A130" s="752" t="s">
        <v>1135</v>
      </c>
      <c r="B130" s="765"/>
      <c r="C130" s="765"/>
      <c r="D130" s="766"/>
      <c r="E130" s="765"/>
      <c r="F130" s="766"/>
      <c r="G130" s="765"/>
      <c r="H130" s="766"/>
      <c r="I130" s="765"/>
      <c r="J130" s="766"/>
      <c r="K130" s="765">
        <v>62326453</v>
      </c>
      <c r="L130" s="766"/>
      <c r="M130" s="889"/>
      <c r="N130" s="766"/>
      <c r="O130" s="889"/>
      <c r="P130" s="889"/>
      <c r="Q130" s="889"/>
      <c r="R130" s="765"/>
      <c r="S130" s="654"/>
      <c r="T130" s="654"/>
    </row>
    <row r="131" spans="1:20" s="54" customFormat="1" x14ac:dyDescent="0.25">
      <c r="A131" s="750" t="s">
        <v>1087</v>
      </c>
      <c r="B131" s="765">
        <v>0</v>
      </c>
      <c r="C131" s="765">
        <v>0</v>
      </c>
      <c r="D131" s="766"/>
      <c r="E131" s="765">
        <v>0</v>
      </c>
      <c r="F131" s="766"/>
      <c r="G131" s="765">
        <v>0</v>
      </c>
      <c r="H131" s="766"/>
      <c r="I131" s="765">
        <v>0</v>
      </c>
      <c r="J131" s="766"/>
      <c r="K131" s="765">
        <v>7530176928</v>
      </c>
      <c r="L131" s="766"/>
      <c r="M131" s="889"/>
      <c r="N131" s="766"/>
      <c r="O131" s="889"/>
      <c r="P131" s="889"/>
      <c r="Q131" s="889"/>
      <c r="R131" s="765"/>
      <c r="S131" s="654"/>
      <c r="T131" s="654"/>
    </row>
    <row r="132" spans="1:20" s="54" customFormat="1" x14ac:dyDescent="0.25">
      <c r="A132" s="752" t="s">
        <v>1136</v>
      </c>
      <c r="B132" s="765">
        <v>47138056</v>
      </c>
      <c r="C132" s="765">
        <v>1816194200</v>
      </c>
      <c r="D132" s="766">
        <f t="shared" si="43"/>
        <v>37.529255427928554</v>
      </c>
      <c r="E132" s="765">
        <v>1955694040</v>
      </c>
      <c r="F132" s="766">
        <f t="shared" si="44"/>
        <v>7.6808878698103975E-2</v>
      </c>
      <c r="G132" s="765">
        <v>1783764309.4000001</v>
      </c>
      <c r="H132" s="766">
        <f t="shared" si="45"/>
        <v>-8.791238664305584E-2</v>
      </c>
      <c r="I132" s="765">
        <v>2105691489</v>
      </c>
      <c r="J132" s="766">
        <f t="shared" si="46"/>
        <v>0.1804762982999058</v>
      </c>
      <c r="K132" s="765">
        <v>0</v>
      </c>
      <c r="L132" s="766">
        <f t="shared" si="47"/>
        <v>-1</v>
      </c>
      <c r="M132" s="889"/>
      <c r="N132" s="766"/>
      <c r="O132" s="889"/>
      <c r="P132" s="889"/>
      <c r="Q132" s="889"/>
      <c r="R132" s="765"/>
      <c r="S132" s="654"/>
      <c r="T132" s="654"/>
    </row>
    <row r="133" spans="1:20" s="54" customFormat="1" x14ac:dyDescent="0.25">
      <c r="A133" s="777" t="s">
        <v>1137</v>
      </c>
      <c r="B133" s="765">
        <v>0</v>
      </c>
      <c r="C133" s="765">
        <v>464640827</v>
      </c>
      <c r="D133" s="766"/>
      <c r="E133" s="765">
        <v>0</v>
      </c>
      <c r="F133" s="766">
        <f t="shared" ref="F133:F196" si="64">+(E133-C133)/C133</f>
        <v>-1</v>
      </c>
      <c r="G133" s="765">
        <v>0</v>
      </c>
      <c r="H133" s="766"/>
      <c r="I133" s="765">
        <v>0</v>
      </c>
      <c r="J133" s="766"/>
      <c r="K133" s="765">
        <v>0</v>
      </c>
      <c r="L133" s="766"/>
      <c r="M133" s="889">
        <v>2239045157</v>
      </c>
      <c r="N133" s="766" t="e">
        <f t="shared" ref="N133:N194" si="65">+(M133-K133)/K133</f>
        <v>#DIV/0!</v>
      </c>
      <c r="O133" s="889"/>
      <c r="P133" s="889"/>
      <c r="Q133" s="889"/>
      <c r="R133" s="765"/>
      <c r="S133" s="654"/>
      <c r="T133" s="654"/>
    </row>
    <row r="134" spans="1:20" s="54" customFormat="1" x14ac:dyDescent="0.25">
      <c r="A134" s="752" t="s">
        <v>1138</v>
      </c>
      <c r="B134" s="765">
        <v>684784985</v>
      </c>
      <c r="C134" s="765">
        <v>1064354210</v>
      </c>
      <c r="D134" s="766">
        <f>+(C134-B134)/B134</f>
        <v>0.55428964319362228</v>
      </c>
      <c r="E134" s="765">
        <v>1239020388</v>
      </c>
      <c r="F134" s="766">
        <f t="shared" si="64"/>
        <v>0.16410531039286255</v>
      </c>
      <c r="G134" s="765">
        <v>1078823905.21</v>
      </c>
      <c r="H134" s="766">
        <f t="shared" ref="H134:H196" si="66">+(G134-E134)/E134</f>
        <v>-0.12929285453372213</v>
      </c>
      <c r="I134" s="765">
        <v>795058320.86000001</v>
      </c>
      <c r="J134" s="766">
        <f t="shared" ref="J134:J196" si="67">+(I134-G134)/G134</f>
        <v>-0.26303234752177951</v>
      </c>
      <c r="K134" s="765">
        <v>728514356</v>
      </c>
      <c r="L134" s="766">
        <f t="shared" ref="L134:L196" si="68">+(K134-I134)/I134</f>
        <v>-8.3696960479604343E-2</v>
      </c>
      <c r="M134" s="889">
        <v>739661509</v>
      </c>
      <c r="N134" s="766">
        <f t="shared" si="65"/>
        <v>1.5301212540552873E-2</v>
      </c>
      <c r="O134" s="889">
        <f>+[2]MX8!G270</f>
        <v>1092098811.71</v>
      </c>
      <c r="P134" s="889">
        <f>+[2]MX8!H270</f>
        <v>1092098811.71</v>
      </c>
      <c r="Q134" s="889">
        <f>+[2]MX8!I270</f>
        <v>666380392</v>
      </c>
      <c r="R134" s="765"/>
      <c r="S134" s="654"/>
      <c r="T134" s="654"/>
    </row>
    <row r="135" spans="1:20" s="54" customFormat="1" x14ac:dyDescent="0.25">
      <c r="A135" s="752" t="s">
        <v>1139</v>
      </c>
      <c r="B135" s="765">
        <v>602528086</v>
      </c>
      <c r="C135" s="765">
        <v>818609100</v>
      </c>
      <c r="D135" s="766">
        <f>+(C135-B135)/B135</f>
        <v>0.35862396960529402</v>
      </c>
      <c r="E135" s="765">
        <v>812733409</v>
      </c>
      <c r="F135" s="766">
        <f t="shared" si="64"/>
        <v>-7.1776517021371984E-3</v>
      </c>
      <c r="G135" s="765">
        <v>761346773.5</v>
      </c>
      <c r="H135" s="766">
        <f t="shared" si="66"/>
        <v>-6.3226926481620746E-2</v>
      </c>
      <c r="I135" s="765">
        <v>909043192</v>
      </c>
      <c r="J135" s="766">
        <f t="shared" si="67"/>
        <v>0.19399362240812071</v>
      </c>
      <c r="K135" s="765">
        <v>1006078654.36</v>
      </c>
      <c r="L135" s="766">
        <f t="shared" si="68"/>
        <v>0.10674461149256373</v>
      </c>
      <c r="M135" s="889">
        <v>871443943.11000001</v>
      </c>
      <c r="N135" s="766">
        <f t="shared" si="65"/>
        <v>-0.13382125807613482</v>
      </c>
      <c r="O135" s="889">
        <f>+[2]MX8!G309</f>
        <v>960000000</v>
      </c>
      <c r="P135" s="889">
        <f>+[2]MX8!H309</f>
        <v>960000000</v>
      </c>
      <c r="Q135" s="889">
        <f>+[2]MX8!I309</f>
        <v>286496115.45999998</v>
      </c>
      <c r="R135" s="765"/>
      <c r="S135" s="654"/>
      <c r="T135" s="654"/>
    </row>
    <row r="136" spans="1:20" s="54" customFormat="1" x14ac:dyDescent="0.25">
      <c r="A136" s="752" t="s">
        <v>1140</v>
      </c>
      <c r="B136" s="765">
        <v>0</v>
      </c>
      <c r="C136" s="765">
        <v>16600000</v>
      </c>
      <c r="D136" s="766"/>
      <c r="E136" s="765">
        <v>39163732.329999998</v>
      </c>
      <c r="F136" s="766">
        <f t="shared" si="64"/>
        <v>1.3592609837349396</v>
      </c>
      <c r="G136" s="765">
        <v>0</v>
      </c>
      <c r="H136" s="766">
        <f t="shared" si="66"/>
        <v>-1</v>
      </c>
      <c r="I136" s="765">
        <v>0</v>
      </c>
      <c r="J136" s="766"/>
      <c r="K136" s="765">
        <v>2310250113</v>
      </c>
      <c r="L136" s="766"/>
      <c r="M136" s="889"/>
      <c r="N136" s="766"/>
      <c r="O136" s="889"/>
      <c r="P136" s="889"/>
      <c r="Q136" s="889"/>
      <c r="R136" s="765"/>
    </row>
    <row r="137" spans="1:20" s="54" customFormat="1" x14ac:dyDescent="0.25">
      <c r="A137" s="752" t="s">
        <v>1141</v>
      </c>
      <c r="B137" s="765">
        <v>2843942000</v>
      </c>
      <c r="C137" s="765">
        <v>3086366000</v>
      </c>
      <c r="D137" s="766">
        <f>+(C137-B137)/B137</f>
        <v>8.5242244743387874E-2</v>
      </c>
      <c r="E137" s="765">
        <v>3937884000</v>
      </c>
      <c r="F137" s="766">
        <f t="shared" si="64"/>
        <v>0.27589663701583028</v>
      </c>
      <c r="G137" s="765">
        <v>3706252307</v>
      </c>
      <c r="H137" s="766">
        <f t="shared" si="66"/>
        <v>-5.8821360151797258E-2</v>
      </c>
      <c r="I137" s="765">
        <v>7650487373</v>
      </c>
      <c r="J137" s="766">
        <f t="shared" si="67"/>
        <v>1.064211159761175</v>
      </c>
      <c r="K137" s="765">
        <v>10190311043.93</v>
      </c>
      <c r="L137" s="766">
        <f t="shared" si="68"/>
        <v>0.33198194403842984</v>
      </c>
      <c r="M137" s="889">
        <v>5218324702</v>
      </c>
      <c r="N137" s="766">
        <f t="shared" si="65"/>
        <v>-0.48791310888313194</v>
      </c>
      <c r="O137" s="889">
        <f>+[2]MX8!G304</f>
        <v>3749209145</v>
      </c>
      <c r="P137" s="889">
        <f>+[2]MX8!H304</f>
        <v>10766854092.65</v>
      </c>
      <c r="Q137" s="889">
        <f>+[2]MX8!I304</f>
        <v>11885694983</v>
      </c>
      <c r="R137" s="765"/>
    </row>
    <row r="138" spans="1:20" s="54" customFormat="1" x14ac:dyDescent="0.2">
      <c r="A138" s="752" t="s">
        <v>1142</v>
      </c>
      <c r="B138" s="765">
        <v>0</v>
      </c>
      <c r="C138" s="765">
        <v>0</v>
      </c>
      <c r="D138" s="766"/>
      <c r="E138" s="765">
        <v>0</v>
      </c>
      <c r="F138" s="766"/>
      <c r="G138" s="765">
        <v>9241365080</v>
      </c>
      <c r="H138" s="766"/>
      <c r="I138" s="765">
        <v>0</v>
      </c>
      <c r="J138" s="766">
        <f t="shared" si="67"/>
        <v>-1</v>
      </c>
      <c r="K138" s="765">
        <v>413634233</v>
      </c>
      <c r="L138" s="766"/>
      <c r="M138" s="889">
        <v>16515214542</v>
      </c>
      <c r="N138" s="766">
        <f t="shared" si="65"/>
        <v>38.92709796338351</v>
      </c>
      <c r="O138" s="889">
        <f>+[2]MX8!G306</f>
        <v>7157581679</v>
      </c>
      <c r="P138" s="889">
        <f>+[2]MX8!H306</f>
        <v>7157581679</v>
      </c>
      <c r="Q138" s="889">
        <f>+[2]MX8!I306</f>
        <v>3035288648</v>
      </c>
      <c r="R138" s="765"/>
      <c r="S138" s="653"/>
    </row>
    <row r="139" spans="1:20" s="54" customFormat="1" x14ac:dyDescent="0.25">
      <c r="A139" s="752" t="s">
        <v>1143</v>
      </c>
      <c r="B139" s="765">
        <v>417748176.28000003</v>
      </c>
      <c r="C139" s="765">
        <v>719672899</v>
      </c>
      <c r="D139" s="766">
        <f t="shared" ref="D139:D152" si="69">+(C139-B139)/B139</f>
        <v>0.72274336517421878</v>
      </c>
      <c r="E139" s="765">
        <v>736429255</v>
      </c>
      <c r="F139" s="766">
        <f t="shared" si="64"/>
        <v>2.3283294429015312E-2</v>
      </c>
      <c r="G139" s="765">
        <v>656436513</v>
      </c>
      <c r="H139" s="766">
        <f t="shared" si="66"/>
        <v>-0.10862243923212964</v>
      </c>
      <c r="I139" s="765">
        <v>785124839</v>
      </c>
      <c r="J139" s="766">
        <f t="shared" si="67"/>
        <v>0.19604077995582186</v>
      </c>
      <c r="K139" s="765">
        <v>0</v>
      </c>
      <c r="L139" s="766">
        <f t="shared" si="68"/>
        <v>-1</v>
      </c>
      <c r="M139" s="889">
        <v>1734657224</v>
      </c>
      <c r="N139" s="766" t="e">
        <f t="shared" si="65"/>
        <v>#DIV/0!</v>
      </c>
      <c r="O139" s="889">
        <f>+[2]MX8!G394</f>
        <v>393715436</v>
      </c>
      <c r="P139" s="889">
        <f>+[2]MX8!H394</f>
        <v>571954102.67999995</v>
      </c>
      <c r="Q139" s="889">
        <f>+[2]MX8!I394</f>
        <v>1248577703</v>
      </c>
      <c r="R139" s="765"/>
    </row>
    <row r="140" spans="1:20" s="54" customFormat="1" x14ac:dyDescent="0.25">
      <c r="A140" s="752" t="s">
        <v>1144</v>
      </c>
      <c r="B140" s="765">
        <v>166048524</v>
      </c>
      <c r="C140" s="765">
        <v>165741571.37</v>
      </c>
      <c r="D140" s="766">
        <f t="shared" si="69"/>
        <v>-1.8485718668598055E-3</v>
      </c>
      <c r="E140" s="765">
        <v>3632811</v>
      </c>
      <c r="F140" s="766">
        <f t="shared" si="64"/>
        <v>-0.97808147364616116</v>
      </c>
      <c r="G140" s="765">
        <v>0</v>
      </c>
      <c r="H140" s="766">
        <f t="shared" si="66"/>
        <v>-1</v>
      </c>
      <c r="I140" s="765">
        <v>0</v>
      </c>
      <c r="J140" s="766"/>
      <c r="K140" s="765">
        <v>0</v>
      </c>
      <c r="L140" s="766"/>
      <c r="M140" s="889"/>
      <c r="N140" s="766"/>
      <c r="O140" s="889"/>
      <c r="P140" s="889"/>
      <c r="Q140" s="889"/>
      <c r="R140" s="765"/>
    </row>
    <row r="141" spans="1:20" s="54" customFormat="1" x14ac:dyDescent="0.25">
      <c r="A141" s="752" t="s">
        <v>1145</v>
      </c>
      <c r="B141" s="765">
        <v>644863450</v>
      </c>
      <c r="C141" s="765">
        <v>632049200.63</v>
      </c>
      <c r="D141" s="766">
        <f t="shared" si="69"/>
        <v>-1.9871260140421985E-2</v>
      </c>
      <c r="E141" s="765">
        <v>58652919</v>
      </c>
      <c r="F141" s="766">
        <f t="shared" si="64"/>
        <v>-0.90720197266045544</v>
      </c>
      <c r="G141" s="765">
        <v>0</v>
      </c>
      <c r="H141" s="766">
        <f t="shared" si="66"/>
        <v>-1</v>
      </c>
      <c r="I141" s="765">
        <v>0</v>
      </c>
      <c r="J141" s="766"/>
      <c r="K141" s="765">
        <v>0</v>
      </c>
      <c r="L141" s="766"/>
      <c r="M141" s="889"/>
      <c r="N141" s="766"/>
      <c r="O141" s="889"/>
      <c r="P141" s="889"/>
      <c r="Q141" s="889"/>
      <c r="R141" s="765"/>
    </row>
    <row r="142" spans="1:20" s="54" customFormat="1" x14ac:dyDescent="0.25">
      <c r="A142" s="752" t="s">
        <v>1146</v>
      </c>
      <c r="B142" s="765">
        <v>6002766498.3300018</v>
      </c>
      <c r="C142" s="765">
        <v>2880224672</v>
      </c>
      <c r="D142" s="766">
        <f t="shared" si="69"/>
        <v>-0.52018378979070867</v>
      </c>
      <c r="E142" s="765">
        <v>1679936750</v>
      </c>
      <c r="F142" s="766">
        <f t="shared" si="64"/>
        <v>-0.41673412969083823</v>
      </c>
      <c r="G142" s="765">
        <v>1449982320</v>
      </c>
      <c r="H142" s="766">
        <f t="shared" si="66"/>
        <v>-0.13688279037886397</v>
      </c>
      <c r="I142" s="765">
        <v>2597835657.9200001</v>
      </c>
      <c r="J142" s="766">
        <f t="shared" si="67"/>
        <v>0.79163264412768841</v>
      </c>
      <c r="K142" s="765">
        <v>0</v>
      </c>
      <c r="L142" s="766">
        <f t="shared" si="68"/>
        <v>-1</v>
      </c>
      <c r="M142" s="889">
        <v>12033093302</v>
      </c>
      <c r="N142" s="766" t="e">
        <f t="shared" si="65"/>
        <v>#DIV/0!</v>
      </c>
      <c r="O142" s="889">
        <f>+[2]MX8!G318</f>
        <v>2121689396</v>
      </c>
      <c r="P142" s="889">
        <f>+[2]MX8!H318</f>
        <v>8980257320</v>
      </c>
      <c r="Q142" s="889">
        <f>+[2]MX8!I318</f>
        <v>9117973025</v>
      </c>
      <c r="R142" s="765"/>
    </row>
    <row r="143" spans="1:20" s="54" customFormat="1" x14ac:dyDescent="0.25">
      <c r="A143" s="752" t="s">
        <v>1147</v>
      </c>
      <c r="B143" s="765"/>
      <c r="C143" s="765"/>
      <c r="D143" s="766"/>
      <c r="E143" s="765"/>
      <c r="F143" s="766"/>
      <c r="G143" s="765"/>
      <c r="H143" s="766"/>
      <c r="I143" s="765"/>
      <c r="J143" s="766"/>
      <c r="K143" s="765"/>
      <c r="L143" s="766"/>
      <c r="M143" s="889"/>
      <c r="N143" s="766"/>
      <c r="O143" s="889">
        <f>+[2]MX8!G380</f>
        <v>7000000</v>
      </c>
      <c r="P143" s="889">
        <f>+[2]MX8!H380</f>
        <v>7000000</v>
      </c>
      <c r="Q143" s="889">
        <f>+[2]MX8!I380</f>
        <v>109899940.81</v>
      </c>
      <c r="R143" s="765"/>
    </row>
    <row r="144" spans="1:20" s="54" customFormat="1" x14ac:dyDescent="0.25">
      <c r="A144" s="750" t="s">
        <v>1065</v>
      </c>
      <c r="B144" s="767">
        <f>+B145+B146</f>
        <v>5894008780</v>
      </c>
      <c r="C144" s="767">
        <f>+C145+C146</f>
        <v>2141958658</v>
      </c>
      <c r="D144" s="768">
        <f t="shared" si="69"/>
        <v>-0.63658712805650075</v>
      </c>
      <c r="E144" s="767">
        <f>+E145+E146</f>
        <v>2318525351</v>
      </c>
      <c r="F144" s="768">
        <f t="shared" si="64"/>
        <v>8.2432353369912711E-2</v>
      </c>
      <c r="G144" s="767">
        <f>+G145+G146</f>
        <v>2514716632</v>
      </c>
      <c r="H144" s="768">
        <f t="shared" si="66"/>
        <v>8.4618993238689849E-2</v>
      </c>
      <c r="I144" s="767">
        <f>+I145+I146</f>
        <v>2591680073</v>
      </c>
      <c r="J144" s="768">
        <f t="shared" si="67"/>
        <v>3.0605214130543835E-2</v>
      </c>
      <c r="K144" s="767">
        <f>+K145+K146</f>
        <v>0</v>
      </c>
      <c r="L144" s="768">
        <f t="shared" si="68"/>
        <v>-1</v>
      </c>
      <c r="M144" s="890">
        <f>+M145+M146</f>
        <v>2876730086</v>
      </c>
      <c r="N144" s="768" t="e">
        <f t="shared" si="65"/>
        <v>#DIV/0!</v>
      </c>
      <c r="O144" s="890"/>
      <c r="P144" s="768"/>
      <c r="Q144" s="768"/>
      <c r="R144" s="767"/>
    </row>
    <row r="145" spans="1:18" s="54" customFormat="1" x14ac:dyDescent="0.25">
      <c r="A145" s="752" t="s">
        <v>1066</v>
      </c>
      <c r="B145" s="765">
        <v>1895949147</v>
      </c>
      <c r="C145" s="765">
        <v>2141958658</v>
      </c>
      <c r="D145" s="766">
        <f t="shared" si="69"/>
        <v>0.12975533198728773</v>
      </c>
      <c r="E145" s="765">
        <v>2318525351</v>
      </c>
      <c r="F145" s="766">
        <f t="shared" si="64"/>
        <v>8.2432353369912711E-2</v>
      </c>
      <c r="G145" s="765">
        <v>2514716632</v>
      </c>
      <c r="H145" s="766">
        <f t="shared" si="66"/>
        <v>8.4618993238689849E-2</v>
      </c>
      <c r="I145" s="765">
        <v>2591680073</v>
      </c>
      <c r="J145" s="766">
        <f t="shared" si="67"/>
        <v>3.0605214130543835E-2</v>
      </c>
      <c r="K145" s="765">
        <v>0</v>
      </c>
      <c r="L145" s="766">
        <f t="shared" si="68"/>
        <v>-1</v>
      </c>
      <c r="M145" s="889">
        <v>2876730086</v>
      </c>
      <c r="N145" s="766" t="e">
        <f t="shared" si="65"/>
        <v>#DIV/0!</v>
      </c>
      <c r="O145" s="889">
        <f>+[2]MX8!G95</f>
        <v>2991799289</v>
      </c>
      <c r="P145" s="889">
        <f>+[2]MX8!H95</f>
        <v>2866612086</v>
      </c>
      <c r="Q145" s="889">
        <f>+[2]MX8!I95</f>
        <v>2147235980</v>
      </c>
      <c r="R145" s="765"/>
    </row>
    <row r="146" spans="1:18" s="54" customFormat="1" x14ac:dyDescent="0.25">
      <c r="A146" s="752" t="s">
        <v>1148</v>
      </c>
      <c r="B146" s="765">
        <v>3998059633</v>
      </c>
      <c r="C146" s="765">
        <v>0</v>
      </c>
      <c r="D146" s="766">
        <f t="shared" si="69"/>
        <v>-1</v>
      </c>
      <c r="E146" s="765">
        <v>0</v>
      </c>
      <c r="F146" s="766"/>
      <c r="G146" s="765">
        <v>0</v>
      </c>
      <c r="H146" s="766"/>
      <c r="I146" s="765">
        <v>0</v>
      </c>
      <c r="J146" s="766"/>
      <c r="K146" s="765">
        <v>0</v>
      </c>
      <c r="L146" s="766"/>
      <c r="M146" s="889"/>
      <c r="N146" s="766"/>
      <c r="O146" s="889"/>
      <c r="P146" s="766"/>
      <c r="Q146" s="766"/>
      <c r="R146" s="765"/>
    </row>
    <row r="147" spans="1:18" s="54" customFormat="1" x14ac:dyDescent="0.25">
      <c r="A147" s="750" t="s">
        <v>961</v>
      </c>
      <c r="B147" s="767">
        <f>+B148</f>
        <v>3812635261.73</v>
      </c>
      <c r="C147" s="767">
        <f>+C148</f>
        <v>3551445354.8699999</v>
      </c>
      <c r="D147" s="768">
        <f t="shared" si="69"/>
        <v>-6.8506397525548796E-2</v>
      </c>
      <c r="E147" s="767">
        <f>+E148</f>
        <v>1452461762.0999999</v>
      </c>
      <c r="F147" s="768">
        <f t="shared" si="64"/>
        <v>-0.59102235372753831</v>
      </c>
      <c r="G147" s="767">
        <f>+G148</f>
        <v>2125937388.2</v>
      </c>
      <c r="H147" s="768">
        <f t="shared" si="66"/>
        <v>0.46367873060305204</v>
      </c>
      <c r="I147" s="767">
        <f>+I148</f>
        <v>1471834403.8</v>
      </c>
      <c r="J147" s="768">
        <f t="shared" si="67"/>
        <v>-0.30767744526748242</v>
      </c>
      <c r="K147" s="767">
        <f>+K148</f>
        <v>0</v>
      </c>
      <c r="L147" s="768">
        <f t="shared" si="68"/>
        <v>-1</v>
      </c>
      <c r="M147" s="767">
        <f>+M148</f>
        <v>1641312206.6300001</v>
      </c>
      <c r="N147" s="768" t="e">
        <f t="shared" si="65"/>
        <v>#DIV/0!</v>
      </c>
      <c r="O147" s="767"/>
      <c r="P147" s="768"/>
      <c r="Q147" s="768"/>
      <c r="R147" s="767"/>
    </row>
    <row r="148" spans="1:18" x14ac:dyDescent="0.25">
      <c r="A148" s="752" t="s">
        <v>1149</v>
      </c>
      <c r="B148" s="765">
        <v>3812635261.73</v>
      </c>
      <c r="C148" s="765">
        <v>3551445354.8699999</v>
      </c>
      <c r="D148" s="766">
        <f t="shared" si="69"/>
        <v>-6.8506397525548796E-2</v>
      </c>
      <c r="E148" s="765">
        <v>1452461762.0999999</v>
      </c>
      <c r="F148" s="766">
        <f t="shared" si="64"/>
        <v>-0.59102235372753831</v>
      </c>
      <c r="G148" s="765">
        <v>2125937388.2</v>
      </c>
      <c r="H148" s="766">
        <f t="shared" si="66"/>
        <v>0.46367873060305204</v>
      </c>
      <c r="I148" s="765">
        <v>1471834403.8</v>
      </c>
      <c r="J148" s="766">
        <f t="shared" si="67"/>
        <v>-0.30767744526748242</v>
      </c>
      <c r="K148" s="765">
        <v>0</v>
      </c>
      <c r="L148" s="766">
        <f t="shared" si="68"/>
        <v>-1</v>
      </c>
      <c r="M148" s="889">
        <v>1641312206.6300001</v>
      </c>
      <c r="N148" s="766" t="e">
        <f t="shared" si="65"/>
        <v>#DIV/0!</v>
      </c>
      <c r="O148" s="889"/>
      <c r="P148" s="766"/>
      <c r="Q148" s="766"/>
      <c r="R148" s="765"/>
    </row>
    <row r="149" spans="1:18" s="54" customFormat="1" x14ac:dyDescent="0.25">
      <c r="A149" s="748" t="s">
        <v>954</v>
      </c>
      <c r="B149" s="757">
        <f t="shared" ref="B149:I149" si="70">+B150+B164</f>
        <v>24876294016.599998</v>
      </c>
      <c r="C149" s="757">
        <f t="shared" si="70"/>
        <v>960638468.73000002</v>
      </c>
      <c r="D149" s="758">
        <f t="shared" si="69"/>
        <v>-0.96138337695763831</v>
      </c>
      <c r="E149" s="757">
        <f t="shared" si="70"/>
        <v>1627416909.9299998</v>
      </c>
      <c r="F149" s="758">
        <f t="shared" si="64"/>
        <v>0.69409925055521238</v>
      </c>
      <c r="G149" s="757">
        <f t="shared" si="70"/>
        <v>4354629422.6199999</v>
      </c>
      <c r="H149" s="758">
        <f t="shared" si="66"/>
        <v>1.6757921685889978</v>
      </c>
      <c r="I149" s="757">
        <f t="shared" si="70"/>
        <v>10733819210.299999</v>
      </c>
      <c r="J149" s="758">
        <f t="shared" si="67"/>
        <v>1.4649213902205955</v>
      </c>
      <c r="K149" s="757">
        <f>+K150+K155+K164+K191+K197</f>
        <v>51604255422.519997</v>
      </c>
      <c r="L149" s="758">
        <f t="shared" si="68"/>
        <v>3.8076322519948342</v>
      </c>
      <c r="M149" s="885">
        <f>+M150+M155+M164+M191+M197+M193+M190+M189</f>
        <v>47257741864.820007</v>
      </c>
      <c r="N149" s="758">
        <f t="shared" si="65"/>
        <v>-8.4227812650566392E-2</v>
      </c>
      <c r="O149" s="885"/>
      <c r="P149" s="758"/>
      <c r="Q149" s="758"/>
      <c r="R149" s="757"/>
    </row>
    <row r="150" spans="1:18" x14ac:dyDescent="0.25">
      <c r="A150" s="750" t="s">
        <v>165</v>
      </c>
      <c r="B150" s="763">
        <f>+B151</f>
        <v>24000000000</v>
      </c>
      <c r="C150" s="763">
        <f>+C151</f>
        <v>0</v>
      </c>
      <c r="D150" s="764">
        <f t="shared" si="69"/>
        <v>-1</v>
      </c>
      <c r="E150" s="763">
        <f>+E151</f>
        <v>0</v>
      </c>
      <c r="F150" s="764"/>
      <c r="G150" s="763">
        <f>+G151</f>
        <v>3600000000</v>
      </c>
      <c r="H150" s="764"/>
      <c r="I150" s="763">
        <f>+I151</f>
        <v>9953658033.5</v>
      </c>
      <c r="J150" s="764">
        <f t="shared" si="67"/>
        <v>1.7649050093055556</v>
      </c>
      <c r="K150" s="763">
        <f>+K151</f>
        <v>0</v>
      </c>
      <c r="L150" s="764">
        <f t="shared" si="68"/>
        <v>-1</v>
      </c>
      <c r="M150" s="888">
        <f>+M151</f>
        <v>0</v>
      </c>
      <c r="N150" s="764"/>
      <c r="O150" s="888"/>
      <c r="P150" s="764"/>
      <c r="Q150" s="764"/>
      <c r="R150" s="763"/>
    </row>
    <row r="151" spans="1:18" s="54" customFormat="1" ht="16.5" customHeight="1" x14ac:dyDescent="0.25">
      <c r="A151" s="750" t="s">
        <v>1150</v>
      </c>
      <c r="B151" s="767">
        <f t="shared" ref="B151:I151" si="71">SUM(B152:B153)</f>
        <v>24000000000</v>
      </c>
      <c r="C151" s="767">
        <f t="shared" si="71"/>
        <v>0</v>
      </c>
      <c r="D151" s="768">
        <f t="shared" si="69"/>
        <v>-1</v>
      </c>
      <c r="E151" s="767">
        <f t="shared" si="71"/>
        <v>0</v>
      </c>
      <c r="F151" s="768"/>
      <c r="G151" s="767">
        <f t="shared" si="71"/>
        <v>3600000000</v>
      </c>
      <c r="H151" s="768"/>
      <c r="I151" s="767">
        <f t="shared" si="71"/>
        <v>9953658033.5</v>
      </c>
      <c r="J151" s="768">
        <f t="shared" si="67"/>
        <v>1.7649050093055556</v>
      </c>
      <c r="K151" s="767">
        <f>SUM(K152:K154)</f>
        <v>0</v>
      </c>
      <c r="L151" s="768">
        <f t="shared" si="68"/>
        <v>-1</v>
      </c>
      <c r="M151" s="890">
        <f>SUM(M152:M154)</f>
        <v>0</v>
      </c>
      <c r="N151" s="768"/>
      <c r="O151" s="890"/>
      <c r="P151" s="768"/>
      <c r="Q151" s="768"/>
      <c r="R151" s="767"/>
    </row>
    <row r="152" spans="1:18" s="54" customFormat="1" x14ac:dyDescent="0.25">
      <c r="A152" s="752" t="s">
        <v>1151</v>
      </c>
      <c r="B152" s="765">
        <v>24000000000</v>
      </c>
      <c r="C152" s="765">
        <v>0</v>
      </c>
      <c r="D152" s="766">
        <f t="shared" si="69"/>
        <v>-1</v>
      </c>
      <c r="E152" s="765">
        <v>0</v>
      </c>
      <c r="F152" s="766"/>
      <c r="G152" s="765">
        <v>0</v>
      </c>
      <c r="H152" s="766"/>
      <c r="I152" s="765">
        <v>0</v>
      </c>
      <c r="J152" s="766"/>
      <c r="K152" s="765">
        <v>0</v>
      </c>
      <c r="L152" s="766"/>
      <c r="M152" s="889"/>
      <c r="N152" s="766"/>
      <c r="O152" s="889"/>
      <c r="P152" s="766"/>
      <c r="Q152" s="766"/>
      <c r="R152" s="765"/>
    </row>
    <row r="153" spans="1:18" s="54" customFormat="1" x14ac:dyDescent="0.25">
      <c r="A153" s="752" t="s">
        <v>1152</v>
      </c>
      <c r="B153" s="765">
        <v>0</v>
      </c>
      <c r="C153" s="765">
        <v>0</v>
      </c>
      <c r="D153" s="766"/>
      <c r="E153" s="765">
        <v>0</v>
      </c>
      <c r="F153" s="766"/>
      <c r="G153" s="765">
        <v>3600000000</v>
      </c>
      <c r="H153" s="766"/>
      <c r="I153" s="765">
        <v>9953658033.5</v>
      </c>
      <c r="J153" s="766">
        <f t="shared" si="67"/>
        <v>1.7649050093055556</v>
      </c>
      <c r="K153" s="765">
        <v>0</v>
      </c>
      <c r="L153" s="766">
        <f t="shared" si="68"/>
        <v>-1</v>
      </c>
      <c r="M153" s="889"/>
      <c r="N153" s="766"/>
      <c r="O153" s="889"/>
      <c r="P153" s="766"/>
      <c r="Q153" s="766"/>
      <c r="R153" s="765"/>
    </row>
    <row r="154" spans="1:18" s="54" customFormat="1" x14ac:dyDescent="0.25">
      <c r="A154" s="778" t="s">
        <v>1153</v>
      </c>
      <c r="B154" s="767">
        <v>0</v>
      </c>
      <c r="C154" s="767">
        <v>0</v>
      </c>
      <c r="D154" s="768"/>
      <c r="E154" s="767">
        <v>0</v>
      </c>
      <c r="F154" s="768"/>
      <c r="G154" s="767">
        <v>0</v>
      </c>
      <c r="H154" s="768"/>
      <c r="I154" s="767">
        <v>0</v>
      </c>
      <c r="J154" s="768"/>
      <c r="K154" s="767">
        <v>0</v>
      </c>
      <c r="L154" s="768"/>
      <c r="M154" s="897"/>
      <c r="N154" s="768"/>
      <c r="O154" s="897"/>
      <c r="P154" s="768"/>
      <c r="Q154" s="768"/>
      <c r="R154" s="767"/>
    </row>
    <row r="155" spans="1:18" s="54" customFormat="1" x14ac:dyDescent="0.25">
      <c r="A155" s="750" t="s">
        <v>1154</v>
      </c>
      <c r="B155" s="767">
        <f t="shared" ref="B155:I155" si="72">+B156</f>
        <v>6153080985.46</v>
      </c>
      <c r="C155" s="767">
        <f t="shared" si="72"/>
        <v>3905012763.3299999</v>
      </c>
      <c r="D155" s="768">
        <f>+(C155-B155)/B155</f>
        <v>-0.36535651447498968</v>
      </c>
      <c r="E155" s="767">
        <f t="shared" si="72"/>
        <v>3443110206.2899995</v>
      </c>
      <c r="F155" s="768">
        <f t="shared" si="64"/>
        <v>-0.11828451916405851</v>
      </c>
      <c r="G155" s="767">
        <f t="shared" si="72"/>
        <v>3595668921.52</v>
      </c>
      <c r="H155" s="768">
        <f t="shared" si="66"/>
        <v>4.4308403184800955E-2</v>
      </c>
      <c r="I155" s="767">
        <f t="shared" si="72"/>
        <v>4688609197.9800005</v>
      </c>
      <c r="J155" s="768">
        <f t="shared" si="67"/>
        <v>0.30396020888318631</v>
      </c>
      <c r="K155" s="767">
        <f>+K156+K160+K162</f>
        <v>4565106047.46</v>
      </c>
      <c r="L155" s="768">
        <f t="shared" si="68"/>
        <v>-2.6341105710667778E-2</v>
      </c>
      <c r="M155" s="890">
        <f>+M156+M160+M162</f>
        <v>0</v>
      </c>
      <c r="N155" s="768"/>
      <c r="O155" s="890"/>
      <c r="P155" s="768"/>
      <c r="Q155" s="768"/>
      <c r="R155" s="767"/>
    </row>
    <row r="156" spans="1:18" x14ac:dyDescent="0.25">
      <c r="A156" s="750" t="s">
        <v>1155</v>
      </c>
      <c r="B156" s="763">
        <f t="shared" ref="B156:I156" si="73">+B157+B158+B159+B160+B161</f>
        <v>6153080985.46</v>
      </c>
      <c r="C156" s="763">
        <f t="shared" si="73"/>
        <v>3905012763.3299999</v>
      </c>
      <c r="D156" s="764">
        <f>+(C156-B156)/B156</f>
        <v>-0.36535651447498968</v>
      </c>
      <c r="E156" s="763">
        <f t="shared" si="73"/>
        <v>3443110206.2899995</v>
      </c>
      <c r="F156" s="764">
        <f t="shared" si="64"/>
        <v>-0.11828451916405851</v>
      </c>
      <c r="G156" s="763">
        <f t="shared" si="73"/>
        <v>3595668921.52</v>
      </c>
      <c r="H156" s="764">
        <f t="shared" si="66"/>
        <v>4.4308403184800955E-2</v>
      </c>
      <c r="I156" s="763">
        <f t="shared" si="73"/>
        <v>4688609197.9800005</v>
      </c>
      <c r="J156" s="764">
        <f t="shared" si="67"/>
        <v>0.30396020888318631</v>
      </c>
      <c r="K156" s="763">
        <f>+K157+K158+K159</f>
        <v>3279067135.9799995</v>
      </c>
      <c r="L156" s="764">
        <f t="shared" si="68"/>
        <v>-0.30063116853656213</v>
      </c>
      <c r="M156" s="888">
        <f>+M157+M158+M159</f>
        <v>0</v>
      </c>
      <c r="N156" s="764"/>
      <c r="O156" s="888"/>
      <c r="P156" s="764"/>
      <c r="Q156" s="764"/>
      <c r="R156" s="763"/>
    </row>
    <row r="157" spans="1:18" ht="25.5" x14ac:dyDescent="0.25">
      <c r="A157" s="752" t="s">
        <v>1156</v>
      </c>
      <c r="B157" s="765">
        <v>5132581247.0500002</v>
      </c>
      <c r="C157" s="765">
        <v>652748755.49000001</v>
      </c>
      <c r="D157" s="766">
        <f>+(C157-B157)/B157</f>
        <v>-0.87282251871508643</v>
      </c>
      <c r="E157" s="765">
        <v>861037129.29999995</v>
      </c>
      <c r="F157" s="766">
        <f t="shared" si="64"/>
        <v>0.31909424883337195</v>
      </c>
      <c r="G157" s="765">
        <v>904915252.80999994</v>
      </c>
      <c r="H157" s="766">
        <f t="shared" si="66"/>
        <v>5.0959618368224983E-2</v>
      </c>
      <c r="I157" s="765">
        <v>1359031530.9100001</v>
      </c>
      <c r="J157" s="766">
        <f t="shared" si="67"/>
        <v>0.50183293594604539</v>
      </c>
      <c r="K157" s="765">
        <v>2258764112.2399998</v>
      </c>
      <c r="L157" s="766">
        <f t="shared" si="68"/>
        <v>0.66203951922112036</v>
      </c>
      <c r="M157" s="889"/>
      <c r="N157" s="766"/>
      <c r="O157" s="889"/>
      <c r="P157" s="766"/>
      <c r="Q157" s="766"/>
      <c r="R157" s="765"/>
    </row>
    <row r="158" spans="1:18" x14ac:dyDescent="0.25">
      <c r="A158" s="752" t="s">
        <v>1157</v>
      </c>
      <c r="B158" s="765">
        <v>0</v>
      </c>
      <c r="C158" s="765">
        <v>459946134.55000001</v>
      </c>
      <c r="D158" s="766"/>
      <c r="E158" s="765">
        <v>554208481.19000006</v>
      </c>
      <c r="F158" s="766">
        <f t="shared" si="64"/>
        <v>0.20494214334951202</v>
      </c>
      <c r="G158" s="765">
        <v>481640007.06999999</v>
      </c>
      <c r="H158" s="766">
        <f t="shared" si="66"/>
        <v>-0.13094074988563972</v>
      </c>
      <c r="I158" s="765">
        <v>724565975.5</v>
      </c>
      <c r="J158" s="766">
        <f t="shared" si="67"/>
        <v>0.5043724874679979</v>
      </c>
      <c r="K158" s="765">
        <v>243148522.19</v>
      </c>
      <c r="L158" s="766">
        <f t="shared" si="68"/>
        <v>-0.66442183263958687</v>
      </c>
      <c r="M158" s="889"/>
      <c r="N158" s="766"/>
      <c r="O158" s="889"/>
      <c r="P158" s="766"/>
      <c r="Q158" s="766"/>
      <c r="R158" s="765"/>
    </row>
    <row r="159" spans="1:18" x14ac:dyDescent="0.25">
      <c r="A159" s="752" t="s">
        <v>1158</v>
      </c>
      <c r="B159" s="765">
        <v>0</v>
      </c>
      <c r="C159" s="765">
        <v>1361112632.4400001</v>
      </c>
      <c r="D159" s="766"/>
      <c r="E159" s="765">
        <v>1487037414.6199999</v>
      </c>
      <c r="F159" s="766">
        <f t="shared" si="64"/>
        <v>9.251606309336842E-2</v>
      </c>
      <c r="G159" s="765">
        <v>1423742945.45</v>
      </c>
      <c r="H159" s="766">
        <f t="shared" si="66"/>
        <v>-4.256414031530889E-2</v>
      </c>
      <c r="I159" s="765">
        <v>1813347131.9300001</v>
      </c>
      <c r="J159" s="766">
        <f t="shared" si="67"/>
        <v>0.27364784333091707</v>
      </c>
      <c r="K159" s="765">
        <v>777154501.54999995</v>
      </c>
      <c r="L159" s="766">
        <f t="shared" si="68"/>
        <v>-0.57142541112751477</v>
      </c>
      <c r="M159" s="889"/>
      <c r="N159" s="766"/>
      <c r="O159" s="889"/>
      <c r="P159" s="766"/>
      <c r="Q159" s="766"/>
      <c r="R159" s="765"/>
    </row>
    <row r="160" spans="1:18" s="54" customFormat="1" x14ac:dyDescent="0.25">
      <c r="A160" s="752" t="s">
        <v>1159</v>
      </c>
      <c r="B160" s="765">
        <v>16838327</v>
      </c>
      <c r="C160" s="765">
        <v>1431205240.8499999</v>
      </c>
      <c r="D160" s="766">
        <f t="shared" ref="D160:D167" si="74">+(C160-B160)/B160</f>
        <v>83.99687889717309</v>
      </c>
      <c r="E160" s="765">
        <v>0</v>
      </c>
      <c r="F160" s="766">
        <f t="shared" si="64"/>
        <v>-1</v>
      </c>
      <c r="G160" s="765">
        <v>0</v>
      </c>
      <c r="H160" s="766"/>
      <c r="I160" s="765">
        <v>0</v>
      </c>
      <c r="J160" s="766"/>
      <c r="K160" s="765">
        <f>+K161</f>
        <v>463984312.81999999</v>
      </c>
      <c r="L160" s="766"/>
      <c r="M160" s="898">
        <f>+M161</f>
        <v>0</v>
      </c>
      <c r="N160" s="766"/>
      <c r="O160" s="898"/>
      <c r="P160" s="766"/>
      <c r="Q160" s="766"/>
      <c r="R160" s="765"/>
    </row>
    <row r="161" spans="1:19" x14ac:dyDescent="0.25">
      <c r="A161" s="752" t="s">
        <v>1160</v>
      </c>
      <c r="B161" s="765">
        <v>1003661411.41</v>
      </c>
      <c r="C161" s="765">
        <v>0</v>
      </c>
      <c r="D161" s="766">
        <f t="shared" si="74"/>
        <v>-1</v>
      </c>
      <c r="E161" s="765">
        <v>540827181.17999995</v>
      </c>
      <c r="F161" s="766"/>
      <c r="G161" s="765">
        <v>785370716.19000006</v>
      </c>
      <c r="H161" s="766">
        <f t="shared" si="66"/>
        <v>0.45216576296414046</v>
      </c>
      <c r="I161" s="765">
        <v>791664559.63999999</v>
      </c>
      <c r="J161" s="766">
        <f t="shared" si="67"/>
        <v>8.0138504279007212E-3</v>
      </c>
      <c r="K161" s="765">
        <v>463984312.81999999</v>
      </c>
      <c r="L161" s="766">
        <f t="shared" si="68"/>
        <v>-0.41391299235247903</v>
      </c>
      <c r="M161" s="889"/>
      <c r="N161" s="766"/>
      <c r="O161" s="889"/>
      <c r="P161" s="766"/>
      <c r="Q161" s="766"/>
      <c r="R161" s="765"/>
    </row>
    <row r="162" spans="1:19" s="54" customFormat="1" x14ac:dyDescent="0.25">
      <c r="A162" s="779" t="s">
        <v>1161</v>
      </c>
      <c r="B162" s="763">
        <f>+B163</f>
        <v>8947353002.9300003</v>
      </c>
      <c r="C162" s="763">
        <f t="shared" ref="C162:I162" si="75">+C163</f>
        <v>288578661.56999999</v>
      </c>
      <c r="D162" s="764">
        <f t="shared" si="74"/>
        <v>-0.96774703518733429</v>
      </c>
      <c r="E162" s="763">
        <f t="shared" si="75"/>
        <v>314586355.63999999</v>
      </c>
      <c r="F162" s="764">
        <f t="shared" si="64"/>
        <v>9.0123413590271137E-2</v>
      </c>
      <c r="G162" s="763">
        <f t="shared" si="75"/>
        <v>518340794.77999997</v>
      </c>
      <c r="H162" s="764">
        <f t="shared" si="66"/>
        <v>0.64769000780557817</v>
      </c>
      <c r="I162" s="763">
        <f t="shared" si="75"/>
        <v>389188180.72000003</v>
      </c>
      <c r="J162" s="764">
        <f t="shared" si="67"/>
        <v>-0.24916544358584847</v>
      </c>
      <c r="K162" s="763">
        <f>+K163</f>
        <v>822054598.65999997</v>
      </c>
      <c r="L162" s="764">
        <f t="shared" si="68"/>
        <v>1.1122290947767093</v>
      </c>
      <c r="M162" s="888">
        <f>+M163</f>
        <v>0</v>
      </c>
      <c r="N162" s="764"/>
      <c r="O162" s="888"/>
      <c r="P162" s="764"/>
      <c r="Q162" s="764"/>
      <c r="R162" s="763"/>
    </row>
    <row r="163" spans="1:19" s="54" customFormat="1" x14ac:dyDescent="0.25">
      <c r="A163" s="752" t="s">
        <v>606</v>
      </c>
      <c r="B163" s="765">
        <v>8947353002.9300003</v>
      </c>
      <c r="C163" s="765">
        <v>288578661.56999999</v>
      </c>
      <c r="D163" s="766">
        <f t="shared" si="74"/>
        <v>-0.96774703518733429</v>
      </c>
      <c r="E163" s="765">
        <v>314586355.63999999</v>
      </c>
      <c r="F163" s="766">
        <f t="shared" si="64"/>
        <v>9.0123413590271137E-2</v>
      </c>
      <c r="G163" s="765">
        <v>518340794.77999997</v>
      </c>
      <c r="H163" s="766">
        <f t="shared" si="66"/>
        <v>0.64769000780557817</v>
      </c>
      <c r="I163" s="765">
        <v>389188180.72000003</v>
      </c>
      <c r="J163" s="766">
        <f t="shared" si="67"/>
        <v>-0.24916544358584847</v>
      </c>
      <c r="K163" s="765">
        <v>822054598.65999997</v>
      </c>
      <c r="L163" s="766">
        <f t="shared" si="68"/>
        <v>1.1122290947767093</v>
      </c>
      <c r="M163" s="889"/>
      <c r="N163" s="766"/>
      <c r="O163" s="889"/>
      <c r="P163" s="766"/>
      <c r="Q163" s="766"/>
      <c r="R163" s="765"/>
    </row>
    <row r="164" spans="1:19" s="54" customFormat="1" x14ac:dyDescent="0.25">
      <c r="A164" s="750" t="s">
        <v>1162</v>
      </c>
      <c r="B164" s="767">
        <f t="shared" ref="B164:K164" si="76">+B165+B195</f>
        <v>876294016.60000002</v>
      </c>
      <c r="C164" s="767">
        <f t="shared" si="76"/>
        <v>960638468.73000002</v>
      </c>
      <c r="D164" s="768">
        <f t="shared" si="74"/>
        <v>9.6251315805229928E-2</v>
      </c>
      <c r="E164" s="767">
        <f t="shared" si="76"/>
        <v>1627416909.9299998</v>
      </c>
      <c r="F164" s="768">
        <f t="shared" si="64"/>
        <v>0.69409925055521238</v>
      </c>
      <c r="G164" s="767">
        <f t="shared" si="76"/>
        <v>754629422.62</v>
      </c>
      <c r="H164" s="768">
        <f t="shared" si="66"/>
        <v>-0.53630233407587058</v>
      </c>
      <c r="I164" s="767">
        <f t="shared" si="76"/>
        <v>780161176.79999995</v>
      </c>
      <c r="J164" s="768">
        <f t="shared" si="67"/>
        <v>3.3833499482906697E-2</v>
      </c>
      <c r="K164" s="767">
        <f t="shared" si="76"/>
        <v>8955844257.0100002</v>
      </c>
      <c r="L164" s="768">
        <f t="shared" si="68"/>
        <v>10.479479527223253</v>
      </c>
      <c r="M164" s="890">
        <f>+M165+M195</f>
        <v>8918473402.6200008</v>
      </c>
      <c r="N164" s="768">
        <f t="shared" si="65"/>
        <v>-4.1727896686845727E-3</v>
      </c>
      <c r="O164" s="890"/>
      <c r="P164" s="768"/>
      <c r="Q164" s="768"/>
      <c r="R164" s="767"/>
    </row>
    <row r="165" spans="1:19" s="54" customFormat="1" x14ac:dyDescent="0.25">
      <c r="A165" s="750" t="s">
        <v>1163</v>
      </c>
      <c r="B165" s="767">
        <f t="shared" ref="B165:I165" si="77">+B166+B167</f>
        <v>708585739.50999999</v>
      </c>
      <c r="C165" s="767">
        <f t="shared" si="77"/>
        <v>761666920.5</v>
      </c>
      <c r="D165" s="768">
        <f t="shared" si="74"/>
        <v>7.4911444064209673E-2</v>
      </c>
      <c r="E165" s="767">
        <f t="shared" si="77"/>
        <v>1431994847.9699998</v>
      </c>
      <c r="F165" s="768">
        <f t="shared" si="64"/>
        <v>0.88008013664287765</v>
      </c>
      <c r="G165" s="767">
        <f t="shared" si="77"/>
        <v>599536601.62</v>
      </c>
      <c r="H165" s="768">
        <f t="shared" si="66"/>
        <v>-0.58132768251931566</v>
      </c>
      <c r="I165" s="767">
        <f t="shared" si="77"/>
        <v>558757624.79999995</v>
      </c>
      <c r="J165" s="768">
        <f t="shared" si="67"/>
        <v>-6.8017493360391534E-2</v>
      </c>
      <c r="K165" s="767">
        <f>+K166+K167</f>
        <v>8955844257.0100002</v>
      </c>
      <c r="L165" s="768">
        <f t="shared" si="68"/>
        <v>15.028137889331941</v>
      </c>
      <c r="M165" s="890">
        <f>+M166+M167</f>
        <v>8918473402.6200008</v>
      </c>
      <c r="N165" s="768">
        <f t="shared" si="65"/>
        <v>-4.1727896686845727E-3</v>
      </c>
      <c r="O165" s="890"/>
      <c r="P165" s="768"/>
      <c r="Q165" s="768"/>
      <c r="R165" s="767"/>
    </row>
    <row r="166" spans="1:19" s="54" customFormat="1" x14ac:dyDescent="0.25">
      <c r="A166" s="752" t="s">
        <v>1164</v>
      </c>
      <c r="B166" s="773">
        <v>391674231.25</v>
      </c>
      <c r="C166" s="773">
        <v>463287974.17000002</v>
      </c>
      <c r="D166" s="774">
        <f t="shared" si="74"/>
        <v>0.18284006760273694</v>
      </c>
      <c r="E166" s="773">
        <v>817422371.61000001</v>
      </c>
      <c r="F166" s="774">
        <f t="shared" si="64"/>
        <v>0.76439367560629379</v>
      </c>
      <c r="G166" s="773">
        <v>388313126.95999998</v>
      </c>
      <c r="H166" s="774">
        <f t="shared" si="66"/>
        <v>-0.5249541235393691</v>
      </c>
      <c r="I166" s="773">
        <v>385612146.57999998</v>
      </c>
      <c r="J166" s="774">
        <f t="shared" si="67"/>
        <v>-6.9556762119922424E-3</v>
      </c>
      <c r="K166" s="773">
        <v>254989335.63999999</v>
      </c>
      <c r="L166" s="774">
        <f t="shared" si="68"/>
        <v>-0.33874143254691458</v>
      </c>
      <c r="M166" s="894">
        <v>305194983</v>
      </c>
      <c r="N166" s="774">
        <f t="shared" si="65"/>
        <v>0.19689312587912125</v>
      </c>
      <c r="O166" s="894"/>
      <c r="P166" s="774"/>
      <c r="Q166" s="774"/>
      <c r="R166" s="773"/>
    </row>
    <row r="167" spans="1:19" s="54" customFormat="1" x14ac:dyDescent="0.25">
      <c r="A167" s="750" t="s">
        <v>1165</v>
      </c>
      <c r="B167" s="767">
        <v>316911508.25999999</v>
      </c>
      <c r="C167" s="767">
        <f>SUM(C168:C192)</f>
        <v>298378946.33000004</v>
      </c>
      <c r="D167" s="768">
        <f t="shared" si="74"/>
        <v>-5.8478665012049659E-2</v>
      </c>
      <c r="E167" s="767">
        <f>SUM(E168:E192)</f>
        <v>614572476.3599999</v>
      </c>
      <c r="F167" s="768">
        <f t="shared" si="64"/>
        <v>1.0597045599869412</v>
      </c>
      <c r="G167" s="767">
        <f>SUM(G168:G192)</f>
        <v>211223474.66</v>
      </c>
      <c r="H167" s="768">
        <f t="shared" si="66"/>
        <v>-0.65630827480098375</v>
      </c>
      <c r="I167" s="767">
        <f>SUM(I168:I192)</f>
        <v>173145478.22</v>
      </c>
      <c r="J167" s="768">
        <f t="shared" si="67"/>
        <v>-0.18027350653753324</v>
      </c>
      <c r="K167" s="767">
        <f>SUM(K168:K186)+K194</f>
        <v>8700854921.3700008</v>
      </c>
      <c r="L167" s="768">
        <f t="shared" si="68"/>
        <v>49.251701695118058</v>
      </c>
      <c r="M167" s="890">
        <f>SUM(M168:M186)+M194</f>
        <v>8613278419.6200008</v>
      </c>
      <c r="N167" s="890" t="e">
        <f t="shared" ref="N167:Q167" si="78">SUM(N168:N186)+N194</f>
        <v>#DIV/0!</v>
      </c>
      <c r="O167" s="890">
        <f t="shared" si="78"/>
        <v>7723689268</v>
      </c>
      <c r="P167" s="890">
        <f t="shared" si="78"/>
        <v>7723689268</v>
      </c>
      <c r="Q167" s="890">
        <f t="shared" si="78"/>
        <v>431394464.26999992</v>
      </c>
      <c r="R167" s="767"/>
    </row>
    <row r="168" spans="1:19" s="54" customFormat="1" x14ac:dyDescent="0.25">
      <c r="A168" s="752" t="s">
        <v>1050</v>
      </c>
      <c r="B168" s="761">
        <v>0</v>
      </c>
      <c r="C168" s="761">
        <v>93819087.760000005</v>
      </c>
      <c r="D168" s="762"/>
      <c r="E168" s="761">
        <v>69195431.610500008</v>
      </c>
      <c r="F168" s="762">
        <f t="shared" si="64"/>
        <v>-0.26245891680902012</v>
      </c>
      <c r="G168" s="761">
        <v>12808894.51</v>
      </c>
      <c r="H168" s="762">
        <f t="shared" si="66"/>
        <v>-0.8148881477884109</v>
      </c>
      <c r="I168" s="761">
        <v>15150697.939999999</v>
      </c>
      <c r="J168" s="762">
        <f t="shared" si="67"/>
        <v>0.1828263499376731</v>
      </c>
      <c r="K168" s="761">
        <v>8564550.9399999995</v>
      </c>
      <c r="L168" s="762">
        <f t="shared" si="68"/>
        <v>-0.43470914845524272</v>
      </c>
      <c r="M168" s="889">
        <v>18961910.350000001</v>
      </c>
      <c r="N168" s="762">
        <f t="shared" si="65"/>
        <v>1.2139993658558359</v>
      </c>
      <c r="O168" s="889">
        <f>+[2]MX8!G164</f>
        <v>1664967</v>
      </c>
      <c r="P168" s="889">
        <f>+[2]MX8!H164</f>
        <v>1664967</v>
      </c>
      <c r="Q168" s="889">
        <f>+[2]MX8!I164</f>
        <v>38805350.18</v>
      </c>
      <c r="R168" s="761"/>
    </row>
    <row r="169" spans="1:19" s="54" customFormat="1" x14ac:dyDescent="0.25">
      <c r="A169" s="752" t="s">
        <v>1167</v>
      </c>
      <c r="B169" s="761">
        <v>0</v>
      </c>
      <c r="C169" s="761">
        <v>0</v>
      </c>
      <c r="D169" s="762"/>
      <c r="E169" s="761">
        <v>21290902.034000002</v>
      </c>
      <c r="F169" s="762"/>
      <c r="G169" s="761">
        <v>3941198.31</v>
      </c>
      <c r="H169" s="762">
        <f t="shared" si="66"/>
        <v>-0.81488814782454044</v>
      </c>
      <c r="I169" s="761">
        <v>4661753.17</v>
      </c>
      <c r="J169" s="762">
        <f t="shared" si="67"/>
        <v>0.1828263394338053</v>
      </c>
      <c r="K169" s="761">
        <v>2635246.46</v>
      </c>
      <c r="L169" s="762">
        <f t="shared" si="68"/>
        <v>-0.43470913969475566</v>
      </c>
      <c r="M169" s="889">
        <v>6320426.5999999996</v>
      </c>
      <c r="N169" s="762">
        <f t="shared" si="65"/>
        <v>1.3984195390969236</v>
      </c>
      <c r="O169" s="889">
        <f>+[2]MX8!G165</f>
        <v>481528</v>
      </c>
      <c r="P169" s="889">
        <f>+[2]MX8!H165</f>
        <v>481528</v>
      </c>
      <c r="Q169" s="889">
        <f>+[2]MX8!I165</f>
        <v>15522140.039999999</v>
      </c>
      <c r="R169" s="761"/>
    </row>
    <row r="170" spans="1:19" s="54" customFormat="1" ht="25.5" x14ac:dyDescent="0.25">
      <c r="A170" s="752" t="s">
        <v>1168</v>
      </c>
      <c r="B170" s="761">
        <v>0</v>
      </c>
      <c r="C170" s="761">
        <v>0</v>
      </c>
      <c r="D170" s="762"/>
      <c r="E170" s="761">
        <v>15968176.5255</v>
      </c>
      <c r="F170" s="762"/>
      <c r="G170" s="761">
        <v>2955898.71</v>
      </c>
      <c r="H170" s="762">
        <f t="shared" si="66"/>
        <v>-0.81488814923359287</v>
      </c>
      <c r="I170" s="761">
        <v>3496314.8799999999</v>
      </c>
      <c r="J170" s="762">
        <f t="shared" si="67"/>
        <v>0.18282634928312544</v>
      </c>
      <c r="K170" s="761">
        <v>1976434.84</v>
      </c>
      <c r="L170" s="762">
        <f t="shared" si="68"/>
        <v>-0.4347091415290375</v>
      </c>
      <c r="M170" s="889">
        <v>6319796.04</v>
      </c>
      <c r="N170" s="762">
        <f t="shared" si="65"/>
        <v>2.1975736877821888</v>
      </c>
      <c r="O170" s="889">
        <f>+[2]MX8!G177</f>
        <v>0</v>
      </c>
      <c r="P170" s="889">
        <f>+[2]MX8!H177</f>
        <v>0</v>
      </c>
      <c r="Q170" s="889">
        <f>+[2]MX8!I177</f>
        <v>23283210.050000001</v>
      </c>
      <c r="R170" s="761"/>
    </row>
    <row r="171" spans="1:19" s="54" customFormat="1" x14ac:dyDescent="0.25">
      <c r="A171" s="752" t="s">
        <v>1054</v>
      </c>
      <c r="B171" s="761">
        <v>0</v>
      </c>
      <c r="C171" s="761">
        <v>5351954.2820000006</v>
      </c>
      <c r="D171" s="762"/>
      <c r="E171" s="761">
        <v>10789578.84</v>
      </c>
      <c r="F171" s="762">
        <f t="shared" si="64"/>
        <v>1.0160072884568783</v>
      </c>
      <c r="G171" s="761">
        <v>3779495.92</v>
      </c>
      <c r="H171" s="762">
        <f t="shared" si="66"/>
        <v>-0.64970867018568446</v>
      </c>
      <c r="I171" s="761">
        <v>3976503.65</v>
      </c>
      <c r="J171" s="762">
        <f t="shared" si="67"/>
        <v>5.2125398246229616E-2</v>
      </c>
      <c r="K171" s="761">
        <v>866603.49</v>
      </c>
      <c r="L171" s="762">
        <f t="shared" si="68"/>
        <v>-0.78206898162912541</v>
      </c>
      <c r="M171" s="889">
        <v>1723833.62</v>
      </c>
      <c r="N171" s="762">
        <f t="shared" si="65"/>
        <v>0.98918379615572527</v>
      </c>
      <c r="O171" s="889">
        <f>+[2]MX8!G166</f>
        <v>316121</v>
      </c>
      <c r="P171" s="889">
        <f>+[2]MX8!H166</f>
        <v>316121</v>
      </c>
      <c r="Q171" s="889">
        <f>+[2]MX8!I166</f>
        <v>2218944.34</v>
      </c>
      <c r="R171" s="761"/>
      <c r="S171" s="654"/>
    </row>
    <row r="172" spans="1:19" s="54" customFormat="1" x14ac:dyDescent="0.25">
      <c r="A172" s="752" t="s">
        <v>1055</v>
      </c>
      <c r="B172" s="761">
        <v>0</v>
      </c>
      <c r="C172" s="761">
        <v>2675977.1410000003</v>
      </c>
      <c r="D172" s="762"/>
      <c r="E172" s="761">
        <v>5394789.4199999999</v>
      </c>
      <c r="F172" s="762">
        <f t="shared" si="64"/>
        <v>1.0160072884568783</v>
      </c>
      <c r="G172" s="761">
        <v>1889748</v>
      </c>
      <c r="H172" s="762">
        <f t="shared" si="66"/>
        <v>-0.6497086627711226</v>
      </c>
      <c r="I172" s="761">
        <v>1988251.74</v>
      </c>
      <c r="J172" s="762">
        <f t="shared" si="67"/>
        <v>5.2125330996513813E-2</v>
      </c>
      <c r="K172" s="761">
        <v>433301.69</v>
      </c>
      <c r="L172" s="762">
        <f t="shared" si="68"/>
        <v>-0.78206899997482215</v>
      </c>
      <c r="M172" s="889">
        <v>861916.82</v>
      </c>
      <c r="N172" s="762">
        <f t="shared" si="65"/>
        <v>0.98918407172609912</v>
      </c>
      <c r="O172" s="889">
        <f>+[2]MX8!G167</f>
        <v>158060</v>
      </c>
      <c r="P172" s="889">
        <f>+[2]MX8!H167</f>
        <v>158060</v>
      </c>
      <c r="Q172" s="889">
        <f>+[2]MX8!I167</f>
        <v>1109472.1599999999</v>
      </c>
      <c r="R172" s="761"/>
    </row>
    <row r="173" spans="1:19" s="54" customFormat="1" x14ac:dyDescent="0.25">
      <c r="A173" s="752" t="s">
        <v>1056</v>
      </c>
      <c r="B173" s="761">
        <v>0</v>
      </c>
      <c r="C173" s="761">
        <v>2675977.1410000003</v>
      </c>
      <c r="D173" s="762"/>
      <c r="E173" s="761">
        <v>5394789.4199999999</v>
      </c>
      <c r="F173" s="762">
        <f t="shared" si="64"/>
        <v>1.0160072884568783</v>
      </c>
      <c r="G173" s="761">
        <v>1889748</v>
      </c>
      <c r="H173" s="762">
        <f t="shared" si="66"/>
        <v>-0.6497086627711226</v>
      </c>
      <c r="I173" s="761">
        <v>1988251.74</v>
      </c>
      <c r="J173" s="762">
        <f t="shared" si="67"/>
        <v>5.2125330996513813E-2</v>
      </c>
      <c r="K173" s="761">
        <v>433301.69</v>
      </c>
      <c r="L173" s="762">
        <f t="shared" si="68"/>
        <v>-0.78206899997482215</v>
      </c>
      <c r="M173" s="889">
        <v>861916.82</v>
      </c>
      <c r="N173" s="762">
        <f t="shared" si="65"/>
        <v>0.98918407172609912</v>
      </c>
      <c r="O173" s="889">
        <f>+[2]MX8!G168</f>
        <v>158060</v>
      </c>
      <c r="P173" s="889">
        <f>+[2]MX8!H168</f>
        <v>158060</v>
      </c>
      <c r="Q173" s="889">
        <f>+[2]MX8!I168</f>
        <v>1109472.1599999999</v>
      </c>
      <c r="R173" s="761"/>
    </row>
    <row r="174" spans="1:19" s="54" customFormat="1" x14ac:dyDescent="0.25">
      <c r="A174" s="752" t="s">
        <v>1057</v>
      </c>
      <c r="B174" s="761">
        <v>0</v>
      </c>
      <c r="C174" s="761">
        <v>13379885.705</v>
      </c>
      <c r="D174" s="762"/>
      <c r="E174" s="761">
        <v>26973947.010000002</v>
      </c>
      <c r="F174" s="762">
        <f t="shared" si="64"/>
        <v>1.0160072817303638</v>
      </c>
      <c r="G174" s="761">
        <v>9448739.9900000002</v>
      </c>
      <c r="H174" s="762">
        <f t="shared" si="66"/>
        <v>-0.64970866197308519</v>
      </c>
      <c r="I174" s="761">
        <v>9941258.9499999993</v>
      </c>
      <c r="J174" s="762">
        <f t="shared" si="67"/>
        <v>5.2125358568576613E-2</v>
      </c>
      <c r="K174" s="761">
        <v>2166508.64</v>
      </c>
      <c r="L174" s="762">
        <f t="shared" si="68"/>
        <v>-0.78206898634302235</v>
      </c>
      <c r="M174" s="889">
        <v>4309584.01</v>
      </c>
      <c r="N174" s="762">
        <f t="shared" si="65"/>
        <v>0.98918385573574241</v>
      </c>
      <c r="O174" s="889">
        <f>+[2]MX8!G169</f>
        <v>790301</v>
      </c>
      <c r="P174" s="889">
        <f>+[2]MX8!H169</f>
        <v>790301</v>
      </c>
      <c r="Q174" s="889">
        <f>+[2]MX8!I169</f>
        <v>4759073.42</v>
      </c>
      <c r="R174" s="761"/>
    </row>
    <row r="175" spans="1:19" s="54" customFormat="1" x14ac:dyDescent="0.25">
      <c r="A175" s="752" t="s">
        <v>1058</v>
      </c>
      <c r="B175" s="761">
        <v>0</v>
      </c>
      <c r="C175" s="761">
        <v>2675977.1410000003</v>
      </c>
      <c r="D175" s="762"/>
      <c r="E175" s="761">
        <v>5394789.4199999999</v>
      </c>
      <c r="F175" s="762">
        <f t="shared" si="64"/>
        <v>1.0160072884568783</v>
      </c>
      <c r="G175" s="761">
        <v>1889748</v>
      </c>
      <c r="H175" s="762">
        <f t="shared" si="66"/>
        <v>-0.6497086627711226</v>
      </c>
      <c r="I175" s="761">
        <v>1988251.74</v>
      </c>
      <c r="J175" s="762">
        <f t="shared" si="67"/>
        <v>5.2125330996513813E-2</v>
      </c>
      <c r="K175" s="761">
        <v>433301.69</v>
      </c>
      <c r="L175" s="762">
        <f t="shared" si="68"/>
        <v>-0.78206899997482215</v>
      </c>
      <c r="M175" s="889">
        <v>861916.82</v>
      </c>
      <c r="N175" s="762">
        <f t="shared" si="65"/>
        <v>0.98918407172609912</v>
      </c>
      <c r="O175" s="889">
        <f>+[2]MX8!G170</f>
        <v>158060</v>
      </c>
      <c r="P175" s="889">
        <f>+[2]MX8!H170</f>
        <v>158060</v>
      </c>
      <c r="Q175" s="889">
        <f>+[2]MX8!I170</f>
        <v>1897759.54</v>
      </c>
      <c r="R175" s="761"/>
    </row>
    <row r="176" spans="1:19" s="54" customFormat="1" x14ac:dyDescent="0.25">
      <c r="A176" s="752" t="s">
        <v>1060</v>
      </c>
      <c r="B176" s="761">
        <v>0</v>
      </c>
      <c r="C176" s="761">
        <v>38259325.719999999</v>
      </c>
      <c r="D176" s="762"/>
      <c r="E176" s="761">
        <v>9739380.3760000002</v>
      </c>
      <c r="F176" s="762">
        <f t="shared" si="64"/>
        <v>-0.7454377411855756</v>
      </c>
      <c r="G176" s="761">
        <v>3334722.42</v>
      </c>
      <c r="H176" s="762">
        <f t="shared" si="66"/>
        <v>-0.6576042529135121</v>
      </c>
      <c r="I176" s="761">
        <v>2385270.66</v>
      </c>
      <c r="J176" s="762">
        <f t="shared" si="67"/>
        <v>-0.28471687907385101</v>
      </c>
      <c r="K176" s="761">
        <v>3407490.18</v>
      </c>
      <c r="L176" s="762">
        <f t="shared" si="68"/>
        <v>0.42855493807985712</v>
      </c>
      <c r="M176" s="889">
        <v>14259553.98</v>
      </c>
      <c r="N176" s="762">
        <f t="shared" si="65"/>
        <v>3.1847674466372196</v>
      </c>
      <c r="O176" s="889">
        <f>+[2]MX8!G171</f>
        <v>1400016</v>
      </c>
      <c r="P176" s="889">
        <f>+[2]MX8!H171</f>
        <v>1400016</v>
      </c>
      <c r="Q176" s="889">
        <f>+[2]MX8!I171</f>
        <v>32273965.030000001</v>
      </c>
      <c r="R176" s="761"/>
    </row>
    <row r="177" spans="1:18" s="54" customFormat="1" x14ac:dyDescent="0.25">
      <c r="A177" s="752" t="s">
        <v>1169</v>
      </c>
      <c r="B177" s="761">
        <v>0</v>
      </c>
      <c r="C177" s="761">
        <v>0</v>
      </c>
      <c r="D177" s="762"/>
      <c r="E177" s="761">
        <v>2434845.094</v>
      </c>
      <c r="F177" s="762"/>
      <c r="G177" s="761">
        <v>833680.59</v>
      </c>
      <c r="H177" s="762">
        <f t="shared" si="66"/>
        <v>-0.65760425907406828</v>
      </c>
      <c r="I177" s="761">
        <v>596317.63</v>
      </c>
      <c r="J177" s="762">
        <f t="shared" si="67"/>
        <v>-0.28471690818662332</v>
      </c>
      <c r="K177" s="761">
        <v>851872.54</v>
      </c>
      <c r="L177" s="762">
        <f t="shared" si="68"/>
        <v>0.42855501354202796</v>
      </c>
      <c r="M177" s="889">
        <v>3564888.44</v>
      </c>
      <c r="N177" s="762">
        <f t="shared" si="65"/>
        <v>3.1847674066357388</v>
      </c>
      <c r="O177" s="889">
        <f>+[2]MX8!G172</f>
        <v>325004</v>
      </c>
      <c r="P177" s="889">
        <f>+[2]MX8!H172</f>
        <v>325004</v>
      </c>
      <c r="Q177" s="889">
        <f>+[2]MX8!I172</f>
        <v>8068491.2400000002</v>
      </c>
      <c r="R177" s="761"/>
    </row>
    <row r="178" spans="1:18" s="54" customFormat="1" x14ac:dyDescent="0.25">
      <c r="A178" s="752" t="s">
        <v>1166</v>
      </c>
      <c r="B178" s="761"/>
      <c r="C178" s="761"/>
      <c r="D178" s="762"/>
      <c r="E178" s="761"/>
      <c r="F178" s="762"/>
      <c r="G178" s="761"/>
      <c r="H178" s="762"/>
      <c r="I178" s="761"/>
      <c r="J178" s="762"/>
      <c r="K178" s="761"/>
      <c r="L178" s="762"/>
      <c r="M178" s="889">
        <v>559439006.14999998</v>
      </c>
      <c r="N178" s="762" t="e">
        <f t="shared" si="65"/>
        <v>#DIV/0!</v>
      </c>
      <c r="O178" s="889">
        <f>+[2]MX8!G176</f>
        <v>412620217</v>
      </c>
      <c r="P178" s="889">
        <f>+[2]MX8!H176</f>
        <v>412620217</v>
      </c>
      <c r="Q178" s="889">
        <f>+[2]MX8!I176</f>
        <v>209177515.41999999</v>
      </c>
      <c r="R178" s="761"/>
    </row>
    <row r="179" spans="1:18" s="54" customFormat="1" x14ac:dyDescent="0.25">
      <c r="A179" s="752" t="s">
        <v>1170</v>
      </c>
      <c r="B179" s="761">
        <v>0</v>
      </c>
      <c r="C179" s="761">
        <v>100062981.03</v>
      </c>
      <c r="D179" s="762"/>
      <c r="E179" s="761">
        <v>222303814.28</v>
      </c>
      <c r="F179" s="762">
        <f t="shared" si="64"/>
        <v>1.221638931717923</v>
      </c>
      <c r="G179" s="761">
        <v>139166344.66999999</v>
      </c>
      <c r="H179" s="762">
        <f t="shared" si="66"/>
        <v>-0.37398130067748298</v>
      </c>
      <c r="I179" s="761">
        <v>71809525.689999998</v>
      </c>
      <c r="J179" s="762">
        <f t="shared" si="67"/>
        <v>-0.48400221432646467</v>
      </c>
      <c r="K179" s="761">
        <v>9183334.4499999993</v>
      </c>
      <c r="L179" s="762">
        <f t="shared" si="68"/>
        <v>-0.8721153724139018</v>
      </c>
      <c r="M179" s="889">
        <v>29657891.350000001</v>
      </c>
      <c r="N179" s="762">
        <f t="shared" si="65"/>
        <v>2.2295340555738994</v>
      </c>
      <c r="O179" s="889">
        <f>+[2]MX8!G174</f>
        <v>2314305</v>
      </c>
      <c r="P179" s="889">
        <f>+[2]MX8!H174</f>
        <v>2314305</v>
      </c>
      <c r="Q179" s="889">
        <f>+[2]MX8!I174</f>
        <v>73545579.719999999</v>
      </c>
      <c r="R179" s="761"/>
    </row>
    <row r="180" spans="1:18" s="54" customFormat="1" x14ac:dyDescent="0.25">
      <c r="A180" s="752" t="s">
        <v>1171</v>
      </c>
      <c r="B180" s="761">
        <v>0</v>
      </c>
      <c r="C180" s="761">
        <v>648763.80000000005</v>
      </c>
      <c r="D180" s="762"/>
      <c r="E180" s="761">
        <v>911017.83</v>
      </c>
      <c r="F180" s="762">
        <f t="shared" si="64"/>
        <v>0.40423653415927319</v>
      </c>
      <c r="G180" s="761">
        <v>616829.43000000005</v>
      </c>
      <c r="H180" s="762">
        <f t="shared" si="66"/>
        <v>-0.3229227687014643</v>
      </c>
      <c r="I180" s="761">
        <v>513341.79</v>
      </c>
      <c r="J180" s="762">
        <f t="shared" si="67"/>
        <v>-0.16777351236305321</v>
      </c>
      <c r="K180" s="761">
        <v>1104368.04</v>
      </c>
      <c r="L180" s="762">
        <f t="shared" si="68"/>
        <v>1.1513308706076706</v>
      </c>
      <c r="M180" s="889"/>
      <c r="N180" s="762"/>
      <c r="O180" s="889">
        <f>+[2]MX8!G178</f>
        <v>0</v>
      </c>
      <c r="P180" s="889">
        <f>+[2]MX8!H178</f>
        <v>0</v>
      </c>
      <c r="Q180" s="889">
        <f>+[2]MX8!I178</f>
        <v>1592523.35</v>
      </c>
      <c r="R180" s="761"/>
    </row>
    <row r="181" spans="1:18" s="654" customFormat="1" x14ac:dyDescent="0.25">
      <c r="A181" s="752" t="s">
        <v>1172</v>
      </c>
      <c r="B181" s="761">
        <v>0</v>
      </c>
      <c r="C181" s="761">
        <v>5201062.96</v>
      </c>
      <c r="D181" s="762"/>
      <c r="E181" s="761">
        <v>12693804.279999999</v>
      </c>
      <c r="F181" s="762">
        <f t="shared" si="64"/>
        <v>1.4406173079666007</v>
      </c>
      <c r="G181" s="761">
        <v>0</v>
      </c>
      <c r="H181" s="762">
        <f t="shared" si="66"/>
        <v>-1</v>
      </c>
      <c r="I181" s="761">
        <v>2375500.21</v>
      </c>
      <c r="J181" s="762"/>
      <c r="K181" s="761">
        <v>0</v>
      </c>
      <c r="L181" s="762">
        <f t="shared" si="68"/>
        <v>-1</v>
      </c>
      <c r="M181" s="889"/>
      <c r="N181" s="762"/>
      <c r="O181" s="889"/>
      <c r="P181" s="889"/>
      <c r="Q181" s="889"/>
      <c r="R181" s="761"/>
    </row>
    <row r="182" spans="1:18" s="54" customFormat="1" x14ac:dyDescent="0.25">
      <c r="A182" s="752" t="s">
        <v>1173</v>
      </c>
      <c r="B182" s="761">
        <v>0</v>
      </c>
      <c r="C182" s="761">
        <v>4233144.68</v>
      </c>
      <c r="D182" s="762"/>
      <c r="E182" s="761">
        <v>4139524.78</v>
      </c>
      <c r="F182" s="762">
        <f t="shared" si="64"/>
        <v>-2.2115922576971765E-2</v>
      </c>
      <c r="G182" s="761">
        <v>5187876.97</v>
      </c>
      <c r="H182" s="762">
        <f t="shared" si="66"/>
        <v>0.25325423707211148</v>
      </c>
      <c r="I182" s="761">
        <v>1672883.23</v>
      </c>
      <c r="J182" s="762">
        <f t="shared" si="67"/>
        <v>-0.67753991860759177</v>
      </c>
      <c r="K182" s="761">
        <v>4976678.5599999996</v>
      </c>
      <c r="L182" s="762">
        <f t="shared" si="68"/>
        <v>1.974910902777117</v>
      </c>
      <c r="M182" s="889">
        <v>638010.12</v>
      </c>
      <c r="N182" s="762">
        <f t="shared" si="65"/>
        <v>-0.87180001434531063</v>
      </c>
      <c r="O182" s="889">
        <f>+[2]MX8!G175</f>
        <v>311522</v>
      </c>
      <c r="P182" s="889">
        <f>+[2]MX8!H175</f>
        <v>311522</v>
      </c>
      <c r="Q182" s="889">
        <f>+[2]MX8!I175</f>
        <v>12379705.84</v>
      </c>
      <c r="R182" s="761"/>
    </row>
    <row r="183" spans="1:18" s="54" customFormat="1" x14ac:dyDescent="0.25">
      <c r="A183" s="752" t="s">
        <v>1174</v>
      </c>
      <c r="B183" s="761">
        <v>0</v>
      </c>
      <c r="C183" s="761">
        <v>29207171</v>
      </c>
      <c r="D183" s="762"/>
      <c r="E183" s="761">
        <v>196980313</v>
      </c>
      <c r="F183" s="762">
        <f t="shared" si="64"/>
        <v>5.7442448637014518</v>
      </c>
      <c r="G183" s="761">
        <v>23477839.699999999</v>
      </c>
      <c r="H183" s="762">
        <f t="shared" si="66"/>
        <v>-0.88081123771998482</v>
      </c>
      <c r="I183" s="761">
        <v>48746536.670000002</v>
      </c>
      <c r="J183" s="762">
        <f t="shared" si="67"/>
        <v>1.0762786224321994</v>
      </c>
      <c r="K183" s="761">
        <v>92368682.219999999</v>
      </c>
      <c r="L183" s="762">
        <f t="shared" si="68"/>
        <v>0.8948768164866634</v>
      </c>
      <c r="M183" s="889">
        <v>26459132.280000001</v>
      </c>
      <c r="N183" s="762">
        <f t="shared" si="65"/>
        <v>-0.71354866558580199</v>
      </c>
      <c r="O183" s="889">
        <f>+[2]MX8!G173</f>
        <v>39724450</v>
      </c>
      <c r="P183" s="889">
        <f>+[2]MX8!H173</f>
        <v>39724450</v>
      </c>
      <c r="Q183" s="889">
        <f>+[2]MX8!I173</f>
        <v>4958264.82</v>
      </c>
      <c r="R183" s="761"/>
    </row>
    <row r="184" spans="1:18" s="54" customFormat="1" x14ac:dyDescent="0.25">
      <c r="A184" s="752" t="s">
        <v>1175</v>
      </c>
      <c r="B184" s="765">
        <v>0</v>
      </c>
      <c r="C184" s="765">
        <v>187637.97</v>
      </c>
      <c r="D184" s="766"/>
      <c r="E184" s="765">
        <v>292809.44</v>
      </c>
      <c r="F184" s="766">
        <f t="shared" si="64"/>
        <v>0.56050206682581361</v>
      </c>
      <c r="G184" s="765">
        <v>2709.44</v>
      </c>
      <c r="H184" s="766">
        <f t="shared" si="66"/>
        <v>-0.99074674641637239</v>
      </c>
      <c r="I184" s="765">
        <v>882.69</v>
      </c>
      <c r="J184" s="766">
        <f t="shared" si="67"/>
        <v>-0.67421681233022324</v>
      </c>
      <c r="K184" s="765">
        <v>62.1</v>
      </c>
      <c r="L184" s="766">
        <f t="shared" si="68"/>
        <v>-0.9296468748937905</v>
      </c>
      <c r="M184" s="889">
        <v>84.09</v>
      </c>
      <c r="N184" s="766">
        <f t="shared" si="65"/>
        <v>0.35410628019323676</v>
      </c>
      <c r="O184" s="889">
        <f>+[2]MX8!G179</f>
        <v>0</v>
      </c>
      <c r="P184" s="889">
        <f>+[2]MX8!H179</f>
        <v>0</v>
      </c>
      <c r="Q184" s="889">
        <f>+[2]MX8!I179</f>
        <v>119.26</v>
      </c>
      <c r="R184" s="765"/>
    </row>
    <row r="185" spans="1:18" s="54" customFormat="1" x14ac:dyDescent="0.25">
      <c r="A185" s="752" t="s">
        <v>1176</v>
      </c>
      <c r="B185" s="765"/>
      <c r="C185" s="765"/>
      <c r="D185" s="766"/>
      <c r="E185" s="765"/>
      <c r="F185" s="766"/>
      <c r="G185" s="765"/>
      <c r="H185" s="766"/>
      <c r="I185" s="765"/>
      <c r="J185" s="766"/>
      <c r="K185" s="765">
        <v>1438981.93</v>
      </c>
      <c r="L185" s="766"/>
      <c r="M185" s="889"/>
      <c r="N185" s="766"/>
      <c r="O185" s="889">
        <f>+[2]MX8!G181</f>
        <v>0</v>
      </c>
      <c r="P185" s="889">
        <f>+[2]MX8!H181</f>
        <v>0</v>
      </c>
      <c r="Q185" s="889">
        <f>+[2]MX8!I181</f>
        <v>571514.89</v>
      </c>
      <c r="R185" s="765"/>
    </row>
    <row r="186" spans="1:18" s="54" customFormat="1" x14ac:dyDescent="0.25">
      <c r="A186" s="752" t="s">
        <v>1177</v>
      </c>
      <c r="B186" s="765"/>
      <c r="C186" s="765"/>
      <c r="D186" s="766"/>
      <c r="E186" s="765"/>
      <c r="F186" s="766"/>
      <c r="G186" s="765"/>
      <c r="H186" s="766"/>
      <c r="I186" s="765"/>
      <c r="J186" s="766"/>
      <c r="K186" s="765">
        <v>2180426.91</v>
      </c>
      <c r="L186" s="766"/>
      <c r="M186" s="889">
        <v>2330959.13</v>
      </c>
      <c r="N186" s="766">
        <f t="shared" si="65"/>
        <v>6.9037957342032497E-2</v>
      </c>
      <c r="O186" s="889">
        <f>+[2]MX8!G180</f>
        <v>0</v>
      </c>
      <c r="P186" s="889">
        <f>+[2]MX8!H180</f>
        <v>0</v>
      </c>
      <c r="Q186" s="889">
        <f>+[2]MX8!I180</f>
        <v>121362.81</v>
      </c>
      <c r="R186" s="765"/>
    </row>
    <row r="187" spans="1:18" s="54" customFormat="1" x14ac:dyDescent="0.25">
      <c r="A187" s="752" t="s">
        <v>1178</v>
      </c>
      <c r="B187" s="765"/>
      <c r="C187" s="765"/>
      <c r="D187" s="766"/>
      <c r="E187" s="765"/>
      <c r="F187" s="766"/>
      <c r="G187" s="765"/>
      <c r="H187" s="766"/>
      <c r="I187" s="765"/>
      <c r="J187" s="766"/>
      <c r="K187" s="765">
        <v>11170164505.58</v>
      </c>
      <c r="L187" s="766"/>
      <c r="M187" s="889"/>
      <c r="N187" s="766"/>
      <c r="O187" s="889"/>
      <c r="P187" s="766"/>
      <c r="Q187" s="1076">
        <f>+[2]MX8!$I$185</f>
        <v>20203853901.18</v>
      </c>
      <c r="R187" s="765"/>
    </row>
    <row r="188" spans="1:18" s="54" customFormat="1" x14ac:dyDescent="0.25">
      <c r="A188" s="752" t="s">
        <v>1179</v>
      </c>
      <c r="B188" s="765"/>
      <c r="C188" s="765"/>
      <c r="D188" s="766"/>
      <c r="E188" s="765"/>
      <c r="F188" s="766"/>
      <c r="G188" s="765"/>
      <c r="H188" s="766"/>
      <c r="I188" s="765"/>
      <c r="J188" s="766"/>
      <c r="K188" s="765">
        <v>26536575024.48</v>
      </c>
      <c r="L188" s="766"/>
      <c r="M188" s="889"/>
      <c r="N188" s="766"/>
      <c r="O188" s="889"/>
      <c r="P188" s="766"/>
      <c r="Q188" s="1076">
        <f>+[2]MX8!$I$186</f>
        <v>27403753414.459999</v>
      </c>
      <c r="R188" s="765"/>
    </row>
    <row r="189" spans="1:18" s="54" customFormat="1" x14ac:dyDescent="0.25">
      <c r="A189" s="752" t="s">
        <v>1180</v>
      </c>
      <c r="B189" s="765"/>
      <c r="C189" s="765"/>
      <c r="D189" s="766"/>
      <c r="E189" s="765"/>
      <c r="F189" s="766"/>
      <c r="G189" s="765"/>
      <c r="H189" s="766"/>
      <c r="I189" s="765"/>
      <c r="J189" s="766"/>
      <c r="K189" s="765"/>
      <c r="L189" s="766"/>
      <c r="M189" s="889">
        <v>140356392.34</v>
      </c>
      <c r="N189" s="766" t="e">
        <f t="shared" si="65"/>
        <v>#DIV/0!</v>
      </c>
      <c r="O189" s="889"/>
      <c r="P189" s="766"/>
      <c r="Q189" s="766"/>
      <c r="R189" s="765"/>
    </row>
    <row r="190" spans="1:18" s="54" customFormat="1" x14ac:dyDescent="0.25">
      <c r="A190" s="752" t="s">
        <v>1181</v>
      </c>
      <c r="B190" s="765"/>
      <c r="C190" s="765"/>
      <c r="D190" s="766"/>
      <c r="E190" s="765"/>
      <c r="F190" s="766"/>
      <c r="G190" s="765"/>
      <c r="H190" s="766"/>
      <c r="I190" s="765"/>
      <c r="J190" s="766"/>
      <c r="K190" s="765"/>
      <c r="L190" s="766"/>
      <c r="M190" s="889">
        <v>38099344723.860008</v>
      </c>
      <c r="N190" s="766" t="e">
        <f t="shared" si="65"/>
        <v>#DIV/0!</v>
      </c>
      <c r="O190" s="889"/>
      <c r="P190" s="766"/>
      <c r="Q190" s="766"/>
      <c r="R190" s="765"/>
    </row>
    <row r="191" spans="1:18" s="656" customFormat="1" ht="15" x14ac:dyDescent="0.25">
      <c r="A191" s="780" t="s">
        <v>1182</v>
      </c>
      <c r="B191" s="781"/>
      <c r="C191" s="781"/>
      <c r="D191" s="782"/>
      <c r="E191" s="781"/>
      <c r="F191" s="782"/>
      <c r="G191" s="781"/>
      <c r="H191" s="782"/>
      <c r="I191" s="781"/>
      <c r="J191" s="782"/>
      <c r="K191" s="781">
        <v>376565587.99000001</v>
      </c>
      <c r="L191" s="782"/>
      <c r="M191" s="899"/>
      <c r="N191" s="782"/>
      <c r="O191" s="899"/>
      <c r="P191" s="782"/>
      <c r="Q191" s="782"/>
      <c r="R191" s="781"/>
    </row>
    <row r="192" spans="1:18" s="654" customFormat="1" x14ac:dyDescent="0.25">
      <c r="A192" s="752" t="s">
        <v>1183</v>
      </c>
      <c r="B192" s="765">
        <v>0</v>
      </c>
      <c r="C192" s="765">
        <v>0</v>
      </c>
      <c r="D192" s="766"/>
      <c r="E192" s="765">
        <v>4674563</v>
      </c>
      <c r="F192" s="766"/>
      <c r="G192" s="765">
        <v>0</v>
      </c>
      <c r="H192" s="766">
        <f t="shared" si="66"/>
        <v>-1</v>
      </c>
      <c r="I192" s="765">
        <v>1853935.84</v>
      </c>
      <c r="J192" s="766"/>
      <c r="K192" s="765">
        <v>0</v>
      </c>
      <c r="L192" s="766">
        <f t="shared" si="68"/>
        <v>-1</v>
      </c>
      <c r="M192" s="889"/>
      <c r="N192" s="766"/>
      <c r="O192" s="889"/>
      <c r="P192" s="766"/>
      <c r="Q192" s="766"/>
      <c r="R192" s="765"/>
    </row>
    <row r="193" spans="1:18" s="654" customFormat="1" x14ac:dyDescent="0.25">
      <c r="A193" s="752" t="s">
        <v>1184</v>
      </c>
      <c r="B193" s="765"/>
      <c r="C193" s="765"/>
      <c r="D193" s="766"/>
      <c r="E193" s="765"/>
      <c r="F193" s="766"/>
      <c r="G193" s="765"/>
      <c r="H193" s="766"/>
      <c r="I193" s="765"/>
      <c r="J193" s="766"/>
      <c r="K193" s="765">
        <v>0</v>
      </c>
      <c r="L193" s="766"/>
      <c r="M193" s="889">
        <v>99567346</v>
      </c>
      <c r="N193" s="766" t="e">
        <f t="shared" si="65"/>
        <v>#DIV/0!</v>
      </c>
      <c r="O193" s="889">
        <f>+[2]MX8!$G$159</f>
        <v>150000000</v>
      </c>
      <c r="P193" s="1076">
        <f>+[2]MX8!$H$160</f>
        <v>150000000</v>
      </c>
      <c r="Q193" s="766"/>
      <c r="R193" s="765"/>
    </row>
    <row r="194" spans="1:18" s="654" customFormat="1" x14ac:dyDescent="0.25">
      <c r="A194" s="752" t="s">
        <v>1185</v>
      </c>
      <c r="B194" s="765"/>
      <c r="C194" s="765"/>
      <c r="D194" s="766"/>
      <c r="E194" s="765"/>
      <c r="F194" s="766"/>
      <c r="G194" s="765"/>
      <c r="H194" s="766"/>
      <c r="I194" s="765"/>
      <c r="J194" s="766"/>
      <c r="K194" s="765">
        <v>8567833775</v>
      </c>
      <c r="L194" s="766"/>
      <c r="M194" s="889">
        <v>7936707593</v>
      </c>
      <c r="N194" s="766">
        <f t="shared" si="65"/>
        <v>-7.3662281339019087E-2</v>
      </c>
      <c r="O194" s="889">
        <f>+[2]MX8!G213</f>
        <v>7263266657</v>
      </c>
      <c r="P194" s="889">
        <f>+[2]MX8!H213</f>
        <v>7263266657</v>
      </c>
      <c r="Q194" s="889">
        <f>+[2]MX8!I213</f>
        <v>0</v>
      </c>
      <c r="R194" s="765"/>
    </row>
    <row r="195" spans="1:18" s="54" customFormat="1" x14ac:dyDescent="0.25">
      <c r="A195" s="750" t="s">
        <v>1187</v>
      </c>
      <c r="B195" s="767">
        <f>+B196</f>
        <v>167708277.09</v>
      </c>
      <c r="C195" s="767">
        <f>+C196</f>
        <v>198971548.22999999</v>
      </c>
      <c r="D195" s="768">
        <f>+(C195-B195)/B195</f>
        <v>0.18641459850680281</v>
      </c>
      <c r="E195" s="767">
        <f>+E196</f>
        <v>195422061.95999998</v>
      </c>
      <c r="F195" s="768">
        <f t="shared" si="64"/>
        <v>-1.7839164953860655E-2</v>
      </c>
      <c r="G195" s="767">
        <f>+G196</f>
        <v>155092821</v>
      </c>
      <c r="H195" s="768">
        <f t="shared" si="66"/>
        <v>-0.20636994899918096</v>
      </c>
      <c r="I195" s="767">
        <f>+I196</f>
        <v>221403552</v>
      </c>
      <c r="J195" s="768">
        <f t="shared" si="67"/>
        <v>0.42755512842209503</v>
      </c>
      <c r="K195" s="767">
        <f>+K196</f>
        <v>0</v>
      </c>
      <c r="L195" s="768">
        <f t="shared" si="68"/>
        <v>-1</v>
      </c>
      <c r="M195" s="897"/>
      <c r="N195" s="768"/>
      <c r="O195" s="897"/>
      <c r="P195" s="768"/>
      <c r="Q195" s="768"/>
      <c r="R195" s="767"/>
    </row>
    <row r="196" spans="1:18" x14ac:dyDescent="0.25">
      <c r="A196" s="783" t="s">
        <v>1184</v>
      </c>
      <c r="B196" s="765">
        <v>167708277.09</v>
      </c>
      <c r="C196" s="765">
        <v>198971548.22999999</v>
      </c>
      <c r="D196" s="766">
        <f>+(C196-B196)/B196</f>
        <v>0.18641459850680281</v>
      </c>
      <c r="E196" s="765">
        <v>195422061.95999998</v>
      </c>
      <c r="F196" s="766">
        <f t="shared" si="64"/>
        <v>-1.7839164953860655E-2</v>
      </c>
      <c r="G196" s="765">
        <v>155092821</v>
      </c>
      <c r="H196" s="766">
        <f t="shared" si="66"/>
        <v>-0.20636994899918096</v>
      </c>
      <c r="I196" s="765">
        <v>221403552</v>
      </c>
      <c r="J196" s="766">
        <f t="shared" si="67"/>
        <v>0.42755512842209503</v>
      </c>
      <c r="K196" s="765">
        <v>0</v>
      </c>
      <c r="L196" s="766">
        <f t="shared" si="68"/>
        <v>-1</v>
      </c>
      <c r="M196" s="889"/>
      <c r="N196" s="766"/>
      <c r="O196" s="889"/>
      <c r="P196" s="766"/>
      <c r="Q196" s="766"/>
      <c r="R196" s="765"/>
    </row>
    <row r="197" spans="1:18" s="656" customFormat="1" ht="15" x14ac:dyDescent="0.25">
      <c r="A197" s="784" t="s">
        <v>1875</v>
      </c>
      <c r="B197" s="781"/>
      <c r="C197" s="781"/>
      <c r="D197" s="782"/>
      <c r="E197" s="781"/>
      <c r="F197" s="782"/>
      <c r="G197" s="781"/>
      <c r="H197" s="782"/>
      <c r="I197" s="781"/>
      <c r="J197" s="782"/>
      <c r="K197" s="781">
        <v>37706739530.059998</v>
      </c>
      <c r="L197" s="782"/>
      <c r="M197" s="899"/>
      <c r="N197" s="782"/>
      <c r="O197" s="899"/>
      <c r="P197" s="782"/>
      <c r="Q197" s="782"/>
      <c r="R197" s="781"/>
    </row>
  </sheetData>
  <autoFilter ref="A1:W197" xr:uid="{00000000-0009-0000-0000-00000B00000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106"/>
  <sheetViews>
    <sheetView topLeftCell="A4" workbookViewId="0">
      <selection activeCell="A30" sqref="A30"/>
    </sheetView>
  </sheetViews>
  <sheetFormatPr baseColWidth="10" defaultColWidth="11.42578125" defaultRowHeight="12.75" x14ac:dyDescent="0.25"/>
  <cols>
    <col min="1" max="1" width="11.42578125" style="42"/>
    <col min="2" max="2" width="35.5703125" style="95" customWidth="1"/>
    <col min="3" max="3" width="18.5703125" style="42" bestFit="1" customWidth="1"/>
    <col min="4" max="5" width="14.7109375" style="42" bestFit="1" customWidth="1"/>
    <col min="6" max="6" width="16" style="42" customWidth="1"/>
    <col min="7" max="8" width="13.7109375" style="42" bestFit="1" customWidth="1"/>
    <col min="9" max="9" width="13.28515625" style="42" bestFit="1" customWidth="1"/>
    <col min="10" max="10" width="13.7109375" style="42" bestFit="1" customWidth="1"/>
    <col min="11" max="11" width="17.5703125" style="42" bestFit="1" customWidth="1"/>
    <col min="12" max="241" width="11.42578125" style="42"/>
    <col min="242" max="242" width="30.42578125" style="42" customWidth="1"/>
    <col min="243" max="243" width="23.28515625" style="42" bestFit="1" customWidth="1"/>
    <col min="244" max="244" width="18.140625" style="42" bestFit="1" customWidth="1"/>
    <col min="245" max="245" width="15.85546875" style="42" bestFit="1" customWidth="1"/>
    <col min="246" max="497" width="11.42578125" style="42"/>
    <col min="498" max="498" width="30.42578125" style="42" customWidth="1"/>
    <col min="499" max="499" width="23.28515625" style="42" bestFit="1" customWidth="1"/>
    <col min="500" max="500" width="18.140625" style="42" bestFit="1" customWidth="1"/>
    <col min="501" max="501" width="15.85546875" style="42" bestFit="1" customWidth="1"/>
    <col min="502" max="753" width="11.42578125" style="42"/>
    <col min="754" max="754" width="30.42578125" style="42" customWidth="1"/>
    <col min="755" max="755" width="23.28515625" style="42" bestFit="1" customWidth="1"/>
    <col min="756" max="756" width="18.140625" style="42" bestFit="1" customWidth="1"/>
    <col min="757" max="757" width="15.85546875" style="42" bestFit="1" customWidth="1"/>
    <col min="758" max="1009" width="11.42578125" style="42"/>
    <col min="1010" max="1010" width="30.42578125" style="42" customWidth="1"/>
    <col min="1011" max="1011" width="23.28515625" style="42" bestFit="1" customWidth="1"/>
    <col min="1012" max="1012" width="18.140625" style="42" bestFit="1" customWidth="1"/>
    <col min="1013" max="1013" width="15.85546875" style="42" bestFit="1" customWidth="1"/>
    <col min="1014" max="1265" width="11.42578125" style="42"/>
    <col min="1266" max="1266" width="30.42578125" style="42" customWidth="1"/>
    <col min="1267" max="1267" width="23.28515625" style="42" bestFit="1" customWidth="1"/>
    <col min="1268" max="1268" width="18.140625" style="42" bestFit="1" customWidth="1"/>
    <col min="1269" max="1269" width="15.85546875" style="42" bestFit="1" customWidth="1"/>
    <col min="1270" max="1521" width="11.42578125" style="42"/>
    <col min="1522" max="1522" width="30.42578125" style="42" customWidth="1"/>
    <col min="1523" max="1523" width="23.28515625" style="42" bestFit="1" customWidth="1"/>
    <col min="1524" max="1524" width="18.140625" style="42" bestFit="1" customWidth="1"/>
    <col min="1525" max="1525" width="15.85546875" style="42" bestFit="1" customWidth="1"/>
    <col min="1526" max="1777" width="11.42578125" style="42"/>
    <col min="1778" max="1778" width="30.42578125" style="42" customWidth="1"/>
    <col min="1779" max="1779" width="23.28515625" style="42" bestFit="1" customWidth="1"/>
    <col min="1780" max="1780" width="18.140625" style="42" bestFit="1" customWidth="1"/>
    <col min="1781" max="1781" width="15.85546875" style="42" bestFit="1" customWidth="1"/>
    <col min="1782" max="2033" width="11.42578125" style="42"/>
    <col min="2034" max="2034" width="30.42578125" style="42" customWidth="1"/>
    <col min="2035" max="2035" width="23.28515625" style="42" bestFit="1" customWidth="1"/>
    <col min="2036" max="2036" width="18.140625" style="42" bestFit="1" customWidth="1"/>
    <col min="2037" max="2037" width="15.85546875" style="42" bestFit="1" customWidth="1"/>
    <col min="2038" max="2289" width="11.42578125" style="42"/>
    <col min="2290" max="2290" width="30.42578125" style="42" customWidth="1"/>
    <col min="2291" max="2291" width="23.28515625" style="42" bestFit="1" customWidth="1"/>
    <col min="2292" max="2292" width="18.140625" style="42" bestFit="1" customWidth="1"/>
    <col min="2293" max="2293" width="15.85546875" style="42" bestFit="1" customWidth="1"/>
    <col min="2294" max="2545" width="11.42578125" style="42"/>
    <col min="2546" max="2546" width="30.42578125" style="42" customWidth="1"/>
    <col min="2547" max="2547" width="23.28515625" style="42" bestFit="1" customWidth="1"/>
    <col min="2548" max="2548" width="18.140625" style="42" bestFit="1" customWidth="1"/>
    <col min="2549" max="2549" width="15.85546875" style="42" bestFit="1" customWidth="1"/>
    <col min="2550" max="2801" width="11.42578125" style="42"/>
    <col min="2802" max="2802" width="30.42578125" style="42" customWidth="1"/>
    <col min="2803" max="2803" width="23.28515625" style="42" bestFit="1" customWidth="1"/>
    <col min="2804" max="2804" width="18.140625" style="42" bestFit="1" customWidth="1"/>
    <col min="2805" max="2805" width="15.85546875" style="42" bestFit="1" customWidth="1"/>
    <col min="2806" max="3057" width="11.42578125" style="42"/>
    <col min="3058" max="3058" width="30.42578125" style="42" customWidth="1"/>
    <col min="3059" max="3059" width="23.28515625" style="42" bestFit="1" customWidth="1"/>
    <col min="3060" max="3060" width="18.140625" style="42" bestFit="1" customWidth="1"/>
    <col min="3061" max="3061" width="15.85546875" style="42" bestFit="1" customWidth="1"/>
    <col min="3062" max="3313" width="11.42578125" style="42"/>
    <col min="3314" max="3314" width="30.42578125" style="42" customWidth="1"/>
    <col min="3315" max="3315" width="23.28515625" style="42" bestFit="1" customWidth="1"/>
    <col min="3316" max="3316" width="18.140625" style="42" bestFit="1" customWidth="1"/>
    <col min="3317" max="3317" width="15.85546875" style="42" bestFit="1" customWidth="1"/>
    <col min="3318" max="3569" width="11.42578125" style="42"/>
    <col min="3570" max="3570" width="30.42578125" style="42" customWidth="1"/>
    <col min="3571" max="3571" width="23.28515625" style="42" bestFit="1" customWidth="1"/>
    <col min="3572" max="3572" width="18.140625" style="42" bestFit="1" customWidth="1"/>
    <col min="3573" max="3573" width="15.85546875" style="42" bestFit="1" customWidth="1"/>
    <col min="3574" max="3825" width="11.42578125" style="42"/>
    <col min="3826" max="3826" width="30.42578125" style="42" customWidth="1"/>
    <col min="3827" max="3827" width="23.28515625" style="42" bestFit="1" customWidth="1"/>
    <col min="3828" max="3828" width="18.140625" style="42" bestFit="1" customWidth="1"/>
    <col min="3829" max="3829" width="15.85546875" style="42" bestFit="1" customWidth="1"/>
    <col min="3830" max="4081" width="11.42578125" style="42"/>
    <col min="4082" max="4082" width="30.42578125" style="42" customWidth="1"/>
    <col min="4083" max="4083" width="23.28515625" style="42" bestFit="1" customWidth="1"/>
    <col min="4084" max="4084" width="18.140625" style="42" bestFit="1" customWidth="1"/>
    <col min="4085" max="4085" width="15.85546875" style="42" bestFit="1" customWidth="1"/>
    <col min="4086" max="4337" width="11.42578125" style="42"/>
    <col min="4338" max="4338" width="30.42578125" style="42" customWidth="1"/>
    <col min="4339" max="4339" width="23.28515625" style="42" bestFit="1" customWidth="1"/>
    <col min="4340" max="4340" width="18.140625" style="42" bestFit="1" customWidth="1"/>
    <col min="4341" max="4341" width="15.85546875" style="42" bestFit="1" customWidth="1"/>
    <col min="4342" max="4593" width="11.42578125" style="42"/>
    <col min="4594" max="4594" width="30.42578125" style="42" customWidth="1"/>
    <col min="4595" max="4595" width="23.28515625" style="42" bestFit="1" customWidth="1"/>
    <col min="4596" max="4596" width="18.140625" style="42" bestFit="1" customWidth="1"/>
    <col min="4597" max="4597" width="15.85546875" style="42" bestFit="1" customWidth="1"/>
    <col min="4598" max="4849" width="11.42578125" style="42"/>
    <col min="4850" max="4850" width="30.42578125" style="42" customWidth="1"/>
    <col min="4851" max="4851" width="23.28515625" style="42" bestFit="1" customWidth="1"/>
    <col min="4852" max="4852" width="18.140625" style="42" bestFit="1" customWidth="1"/>
    <col min="4853" max="4853" width="15.85546875" style="42" bestFit="1" customWidth="1"/>
    <col min="4854" max="5105" width="11.42578125" style="42"/>
    <col min="5106" max="5106" width="30.42578125" style="42" customWidth="1"/>
    <col min="5107" max="5107" width="23.28515625" style="42" bestFit="1" customWidth="1"/>
    <col min="5108" max="5108" width="18.140625" style="42" bestFit="1" customWidth="1"/>
    <col min="5109" max="5109" width="15.85546875" style="42" bestFit="1" customWidth="1"/>
    <col min="5110" max="5361" width="11.42578125" style="42"/>
    <col min="5362" max="5362" width="30.42578125" style="42" customWidth="1"/>
    <col min="5363" max="5363" width="23.28515625" style="42" bestFit="1" customWidth="1"/>
    <col min="5364" max="5364" width="18.140625" style="42" bestFit="1" customWidth="1"/>
    <col min="5365" max="5365" width="15.85546875" style="42" bestFit="1" customWidth="1"/>
    <col min="5366" max="5617" width="11.42578125" style="42"/>
    <col min="5618" max="5618" width="30.42578125" style="42" customWidth="1"/>
    <col min="5619" max="5619" width="23.28515625" style="42" bestFit="1" customWidth="1"/>
    <col min="5620" max="5620" width="18.140625" style="42" bestFit="1" customWidth="1"/>
    <col min="5621" max="5621" width="15.85546875" style="42" bestFit="1" customWidth="1"/>
    <col min="5622" max="5873" width="11.42578125" style="42"/>
    <col min="5874" max="5874" width="30.42578125" style="42" customWidth="1"/>
    <col min="5875" max="5875" width="23.28515625" style="42" bestFit="1" customWidth="1"/>
    <col min="5876" max="5876" width="18.140625" style="42" bestFit="1" customWidth="1"/>
    <col min="5877" max="5877" width="15.85546875" style="42" bestFit="1" customWidth="1"/>
    <col min="5878" max="6129" width="11.42578125" style="42"/>
    <col min="6130" max="6130" width="30.42578125" style="42" customWidth="1"/>
    <col min="6131" max="6131" width="23.28515625" style="42" bestFit="1" customWidth="1"/>
    <col min="6132" max="6132" width="18.140625" style="42" bestFit="1" customWidth="1"/>
    <col min="6133" max="6133" width="15.85546875" style="42" bestFit="1" customWidth="1"/>
    <col min="6134" max="6385" width="11.42578125" style="42"/>
    <col min="6386" max="6386" width="30.42578125" style="42" customWidth="1"/>
    <col min="6387" max="6387" width="23.28515625" style="42" bestFit="1" customWidth="1"/>
    <col min="6388" max="6388" width="18.140625" style="42" bestFit="1" customWidth="1"/>
    <col min="6389" max="6389" width="15.85546875" style="42" bestFit="1" customWidth="1"/>
    <col min="6390" max="6641" width="11.42578125" style="42"/>
    <col min="6642" max="6642" width="30.42578125" style="42" customWidth="1"/>
    <col min="6643" max="6643" width="23.28515625" style="42" bestFit="1" customWidth="1"/>
    <col min="6644" max="6644" width="18.140625" style="42" bestFit="1" customWidth="1"/>
    <col min="6645" max="6645" width="15.85546875" style="42" bestFit="1" customWidth="1"/>
    <col min="6646" max="6897" width="11.42578125" style="42"/>
    <col min="6898" max="6898" width="30.42578125" style="42" customWidth="1"/>
    <col min="6899" max="6899" width="23.28515625" style="42" bestFit="1" customWidth="1"/>
    <col min="6900" max="6900" width="18.140625" style="42" bestFit="1" customWidth="1"/>
    <col min="6901" max="6901" width="15.85546875" style="42" bestFit="1" customWidth="1"/>
    <col min="6902" max="7153" width="11.42578125" style="42"/>
    <col min="7154" max="7154" width="30.42578125" style="42" customWidth="1"/>
    <col min="7155" max="7155" width="23.28515625" style="42" bestFit="1" customWidth="1"/>
    <col min="7156" max="7156" width="18.140625" style="42" bestFit="1" customWidth="1"/>
    <col min="7157" max="7157" width="15.85546875" style="42" bestFit="1" customWidth="1"/>
    <col min="7158" max="7409" width="11.42578125" style="42"/>
    <col min="7410" max="7410" width="30.42578125" style="42" customWidth="1"/>
    <col min="7411" max="7411" width="23.28515625" style="42" bestFit="1" customWidth="1"/>
    <col min="7412" max="7412" width="18.140625" style="42" bestFit="1" customWidth="1"/>
    <col min="7413" max="7413" width="15.85546875" style="42" bestFit="1" customWidth="1"/>
    <col min="7414" max="7665" width="11.42578125" style="42"/>
    <col min="7666" max="7666" width="30.42578125" style="42" customWidth="1"/>
    <col min="7667" max="7667" width="23.28515625" style="42" bestFit="1" customWidth="1"/>
    <col min="7668" max="7668" width="18.140625" style="42" bestFit="1" customWidth="1"/>
    <col min="7669" max="7669" width="15.85546875" style="42" bestFit="1" customWidth="1"/>
    <col min="7670" max="7921" width="11.42578125" style="42"/>
    <col min="7922" max="7922" width="30.42578125" style="42" customWidth="1"/>
    <col min="7923" max="7923" width="23.28515625" style="42" bestFit="1" customWidth="1"/>
    <col min="7924" max="7924" width="18.140625" style="42" bestFit="1" customWidth="1"/>
    <col min="7925" max="7925" width="15.85546875" style="42" bestFit="1" customWidth="1"/>
    <col min="7926" max="8177" width="11.42578125" style="42"/>
    <col min="8178" max="8178" width="30.42578125" style="42" customWidth="1"/>
    <col min="8179" max="8179" width="23.28515625" style="42" bestFit="1" customWidth="1"/>
    <col min="8180" max="8180" width="18.140625" style="42" bestFit="1" customWidth="1"/>
    <col min="8181" max="8181" width="15.85546875" style="42" bestFit="1" customWidth="1"/>
    <col min="8182" max="8433" width="11.42578125" style="42"/>
    <col min="8434" max="8434" width="30.42578125" style="42" customWidth="1"/>
    <col min="8435" max="8435" width="23.28515625" style="42" bestFit="1" customWidth="1"/>
    <col min="8436" max="8436" width="18.140625" style="42" bestFit="1" customWidth="1"/>
    <col min="8437" max="8437" width="15.85546875" style="42" bestFit="1" customWidth="1"/>
    <col min="8438" max="8689" width="11.42578125" style="42"/>
    <col min="8690" max="8690" width="30.42578125" style="42" customWidth="1"/>
    <col min="8691" max="8691" width="23.28515625" style="42" bestFit="1" customWidth="1"/>
    <col min="8692" max="8692" width="18.140625" style="42" bestFit="1" customWidth="1"/>
    <col min="8693" max="8693" width="15.85546875" style="42" bestFit="1" customWidth="1"/>
    <col min="8694" max="8945" width="11.42578125" style="42"/>
    <col min="8946" max="8946" width="30.42578125" style="42" customWidth="1"/>
    <col min="8947" max="8947" width="23.28515625" style="42" bestFit="1" customWidth="1"/>
    <col min="8948" max="8948" width="18.140625" style="42" bestFit="1" customWidth="1"/>
    <col min="8949" max="8949" width="15.85546875" style="42" bestFit="1" customWidth="1"/>
    <col min="8950" max="9201" width="11.42578125" style="42"/>
    <col min="9202" max="9202" width="30.42578125" style="42" customWidth="1"/>
    <col min="9203" max="9203" width="23.28515625" style="42" bestFit="1" customWidth="1"/>
    <col min="9204" max="9204" width="18.140625" style="42" bestFit="1" customWidth="1"/>
    <col min="9205" max="9205" width="15.85546875" style="42" bestFit="1" customWidth="1"/>
    <col min="9206" max="9457" width="11.42578125" style="42"/>
    <col min="9458" max="9458" width="30.42578125" style="42" customWidth="1"/>
    <col min="9459" max="9459" width="23.28515625" style="42" bestFit="1" customWidth="1"/>
    <col min="9460" max="9460" width="18.140625" style="42" bestFit="1" customWidth="1"/>
    <col min="9461" max="9461" width="15.85546875" style="42" bestFit="1" customWidth="1"/>
    <col min="9462" max="9713" width="11.42578125" style="42"/>
    <col min="9714" max="9714" width="30.42578125" style="42" customWidth="1"/>
    <col min="9715" max="9715" width="23.28515625" style="42" bestFit="1" customWidth="1"/>
    <col min="9716" max="9716" width="18.140625" style="42" bestFit="1" customWidth="1"/>
    <col min="9717" max="9717" width="15.85546875" style="42" bestFit="1" customWidth="1"/>
    <col min="9718" max="9969" width="11.42578125" style="42"/>
    <col min="9970" max="9970" width="30.42578125" style="42" customWidth="1"/>
    <col min="9971" max="9971" width="23.28515625" style="42" bestFit="1" customWidth="1"/>
    <col min="9972" max="9972" width="18.140625" style="42" bestFit="1" customWidth="1"/>
    <col min="9973" max="9973" width="15.85546875" style="42" bestFit="1" customWidth="1"/>
    <col min="9974" max="10225" width="11.42578125" style="42"/>
    <col min="10226" max="10226" width="30.42578125" style="42" customWidth="1"/>
    <col min="10227" max="10227" width="23.28515625" style="42" bestFit="1" customWidth="1"/>
    <col min="10228" max="10228" width="18.140625" style="42" bestFit="1" customWidth="1"/>
    <col min="10229" max="10229" width="15.85546875" style="42" bestFit="1" customWidth="1"/>
    <col min="10230" max="10481" width="11.42578125" style="42"/>
    <col min="10482" max="10482" width="30.42578125" style="42" customWidth="1"/>
    <col min="10483" max="10483" width="23.28515625" style="42" bestFit="1" customWidth="1"/>
    <col min="10484" max="10484" width="18.140625" style="42" bestFit="1" customWidth="1"/>
    <col min="10485" max="10485" width="15.85546875" style="42" bestFit="1" customWidth="1"/>
    <col min="10486" max="10737" width="11.42578125" style="42"/>
    <col min="10738" max="10738" width="30.42578125" style="42" customWidth="1"/>
    <col min="10739" max="10739" width="23.28515625" style="42" bestFit="1" customWidth="1"/>
    <col min="10740" max="10740" width="18.140625" style="42" bestFit="1" customWidth="1"/>
    <col min="10741" max="10741" width="15.85546875" style="42" bestFit="1" customWidth="1"/>
    <col min="10742" max="10993" width="11.42578125" style="42"/>
    <col min="10994" max="10994" width="30.42578125" style="42" customWidth="1"/>
    <col min="10995" max="10995" width="23.28515625" style="42" bestFit="1" customWidth="1"/>
    <col min="10996" max="10996" width="18.140625" style="42" bestFit="1" customWidth="1"/>
    <col min="10997" max="10997" width="15.85546875" style="42" bestFit="1" customWidth="1"/>
    <col min="10998" max="11249" width="11.42578125" style="42"/>
    <col min="11250" max="11250" width="30.42578125" style="42" customWidth="1"/>
    <col min="11251" max="11251" width="23.28515625" style="42" bestFit="1" customWidth="1"/>
    <col min="11252" max="11252" width="18.140625" style="42" bestFit="1" customWidth="1"/>
    <col min="11253" max="11253" width="15.85546875" style="42" bestFit="1" customWidth="1"/>
    <col min="11254" max="11505" width="11.42578125" style="42"/>
    <col min="11506" max="11506" width="30.42578125" style="42" customWidth="1"/>
    <col min="11507" max="11507" width="23.28515625" style="42" bestFit="1" customWidth="1"/>
    <col min="11508" max="11508" width="18.140625" style="42" bestFit="1" customWidth="1"/>
    <col min="11509" max="11509" width="15.85546875" style="42" bestFit="1" customWidth="1"/>
    <col min="11510" max="11761" width="11.42578125" style="42"/>
    <col min="11762" max="11762" width="30.42578125" style="42" customWidth="1"/>
    <col min="11763" max="11763" width="23.28515625" style="42" bestFit="1" customWidth="1"/>
    <col min="11764" max="11764" width="18.140625" style="42" bestFit="1" customWidth="1"/>
    <col min="11765" max="11765" width="15.85546875" style="42" bestFit="1" customWidth="1"/>
    <col min="11766" max="12017" width="11.42578125" style="42"/>
    <col min="12018" max="12018" width="30.42578125" style="42" customWidth="1"/>
    <col min="12019" max="12019" width="23.28515625" style="42" bestFit="1" customWidth="1"/>
    <col min="12020" max="12020" width="18.140625" style="42" bestFit="1" customWidth="1"/>
    <col min="12021" max="12021" width="15.85546875" style="42" bestFit="1" customWidth="1"/>
    <col min="12022" max="12273" width="11.42578125" style="42"/>
    <col min="12274" max="12274" width="30.42578125" style="42" customWidth="1"/>
    <col min="12275" max="12275" width="23.28515625" style="42" bestFit="1" customWidth="1"/>
    <col min="12276" max="12276" width="18.140625" style="42" bestFit="1" customWidth="1"/>
    <col min="12277" max="12277" width="15.85546875" style="42" bestFit="1" customWidth="1"/>
    <col min="12278" max="12529" width="11.42578125" style="42"/>
    <col min="12530" max="12530" width="30.42578125" style="42" customWidth="1"/>
    <col min="12531" max="12531" width="23.28515625" style="42" bestFit="1" customWidth="1"/>
    <col min="12532" max="12532" width="18.140625" style="42" bestFit="1" customWidth="1"/>
    <col min="12533" max="12533" width="15.85546875" style="42" bestFit="1" customWidth="1"/>
    <col min="12534" max="12785" width="11.42578125" style="42"/>
    <col min="12786" max="12786" width="30.42578125" style="42" customWidth="1"/>
    <col min="12787" max="12787" width="23.28515625" style="42" bestFit="1" customWidth="1"/>
    <col min="12788" max="12788" width="18.140625" style="42" bestFit="1" customWidth="1"/>
    <col min="12789" max="12789" width="15.85546875" style="42" bestFit="1" customWidth="1"/>
    <col min="12790" max="13041" width="11.42578125" style="42"/>
    <col min="13042" max="13042" width="30.42578125" style="42" customWidth="1"/>
    <col min="13043" max="13043" width="23.28515625" style="42" bestFit="1" customWidth="1"/>
    <col min="13044" max="13044" width="18.140625" style="42" bestFit="1" customWidth="1"/>
    <col min="13045" max="13045" width="15.85546875" style="42" bestFit="1" customWidth="1"/>
    <col min="13046" max="13297" width="11.42578125" style="42"/>
    <col min="13298" max="13298" width="30.42578125" style="42" customWidth="1"/>
    <col min="13299" max="13299" width="23.28515625" style="42" bestFit="1" customWidth="1"/>
    <col min="13300" max="13300" width="18.140625" style="42" bestFit="1" customWidth="1"/>
    <col min="13301" max="13301" width="15.85546875" style="42" bestFit="1" customWidth="1"/>
    <col min="13302" max="13553" width="11.42578125" style="42"/>
    <col min="13554" max="13554" width="30.42578125" style="42" customWidth="1"/>
    <col min="13555" max="13555" width="23.28515625" style="42" bestFit="1" customWidth="1"/>
    <col min="13556" max="13556" width="18.140625" style="42" bestFit="1" customWidth="1"/>
    <col min="13557" max="13557" width="15.85546875" style="42" bestFit="1" customWidth="1"/>
    <col min="13558" max="13809" width="11.42578125" style="42"/>
    <col min="13810" max="13810" width="30.42578125" style="42" customWidth="1"/>
    <col min="13811" max="13811" width="23.28515625" style="42" bestFit="1" customWidth="1"/>
    <col min="13812" max="13812" width="18.140625" style="42" bestFit="1" customWidth="1"/>
    <col min="13813" max="13813" width="15.85546875" style="42" bestFit="1" customWidth="1"/>
    <col min="13814" max="14065" width="11.42578125" style="42"/>
    <col min="14066" max="14066" width="30.42578125" style="42" customWidth="1"/>
    <col min="14067" max="14067" width="23.28515625" style="42" bestFit="1" customWidth="1"/>
    <col min="14068" max="14068" width="18.140625" style="42" bestFit="1" customWidth="1"/>
    <col min="14069" max="14069" width="15.85546875" style="42" bestFit="1" customWidth="1"/>
    <col min="14070" max="14321" width="11.42578125" style="42"/>
    <col min="14322" max="14322" width="30.42578125" style="42" customWidth="1"/>
    <col min="14323" max="14323" width="23.28515625" style="42" bestFit="1" customWidth="1"/>
    <col min="14324" max="14324" width="18.140625" style="42" bestFit="1" customWidth="1"/>
    <col min="14325" max="14325" width="15.85546875" style="42" bestFit="1" customWidth="1"/>
    <col min="14326" max="14577" width="11.42578125" style="42"/>
    <col min="14578" max="14578" width="30.42578125" style="42" customWidth="1"/>
    <col min="14579" max="14579" width="23.28515625" style="42" bestFit="1" customWidth="1"/>
    <col min="14580" max="14580" width="18.140625" style="42" bestFit="1" customWidth="1"/>
    <col min="14581" max="14581" width="15.85546875" style="42" bestFit="1" customWidth="1"/>
    <col min="14582" max="14833" width="11.42578125" style="42"/>
    <col min="14834" max="14834" width="30.42578125" style="42" customWidth="1"/>
    <col min="14835" max="14835" width="23.28515625" style="42" bestFit="1" customWidth="1"/>
    <col min="14836" max="14836" width="18.140625" style="42" bestFit="1" customWidth="1"/>
    <col min="14837" max="14837" width="15.85546875" style="42" bestFit="1" customWidth="1"/>
    <col min="14838" max="15089" width="11.42578125" style="42"/>
    <col min="15090" max="15090" width="30.42578125" style="42" customWidth="1"/>
    <col min="15091" max="15091" width="23.28515625" style="42" bestFit="1" customWidth="1"/>
    <col min="15092" max="15092" width="18.140625" style="42" bestFit="1" customWidth="1"/>
    <col min="15093" max="15093" width="15.85546875" style="42" bestFit="1" customWidth="1"/>
    <col min="15094" max="15345" width="11.42578125" style="42"/>
    <col min="15346" max="15346" width="30.42578125" style="42" customWidth="1"/>
    <col min="15347" max="15347" width="23.28515625" style="42" bestFit="1" customWidth="1"/>
    <col min="15348" max="15348" width="18.140625" style="42" bestFit="1" customWidth="1"/>
    <col min="15349" max="15349" width="15.85546875" style="42" bestFit="1" customWidth="1"/>
    <col min="15350" max="15601" width="11.42578125" style="42"/>
    <col min="15602" max="15602" width="30.42578125" style="42" customWidth="1"/>
    <col min="15603" max="15603" width="23.28515625" style="42" bestFit="1" customWidth="1"/>
    <col min="15604" max="15604" width="18.140625" style="42" bestFit="1" customWidth="1"/>
    <col min="15605" max="15605" width="15.85546875" style="42" bestFit="1" customWidth="1"/>
    <col min="15606" max="15857" width="11.42578125" style="42"/>
    <col min="15858" max="15858" width="30.42578125" style="42" customWidth="1"/>
    <col min="15859" max="15859" width="23.28515625" style="42" bestFit="1" customWidth="1"/>
    <col min="15860" max="15860" width="18.140625" style="42" bestFit="1" customWidth="1"/>
    <col min="15861" max="15861" width="15.85546875" style="42" bestFit="1" customWidth="1"/>
    <col min="15862" max="16113" width="11.42578125" style="42"/>
    <col min="16114" max="16114" width="30.42578125" style="42" customWidth="1"/>
    <col min="16115" max="16115" width="23.28515625" style="42" bestFit="1" customWidth="1"/>
    <col min="16116" max="16116" width="18.140625" style="42" bestFit="1" customWidth="1"/>
    <col min="16117" max="16117" width="15.85546875" style="42" bestFit="1" customWidth="1"/>
    <col min="16118" max="16384" width="11.42578125" style="42"/>
  </cols>
  <sheetData>
    <row r="1" spans="1:5" ht="15" customHeight="1" x14ac:dyDescent="0.25">
      <c r="A1" s="1741" t="s">
        <v>1767</v>
      </c>
      <c r="B1" s="1742"/>
      <c r="C1" s="1743"/>
    </row>
    <row r="2" spans="1:5" ht="15" customHeight="1" x14ac:dyDescent="0.25">
      <c r="A2" s="1741" t="s">
        <v>1768</v>
      </c>
      <c r="B2" s="1742"/>
      <c r="C2" s="1743"/>
    </row>
    <row r="3" spans="1:5" ht="15" customHeight="1" x14ac:dyDescent="0.25">
      <c r="A3" s="1741" t="s">
        <v>1769</v>
      </c>
      <c r="B3" s="1742"/>
      <c r="C3" s="1743"/>
    </row>
    <row r="4" spans="1:5" ht="15" customHeight="1" x14ac:dyDescent="0.25">
      <c r="A4" s="1741" t="s">
        <v>1876</v>
      </c>
      <c r="B4" s="1742"/>
      <c r="C4" s="1743"/>
    </row>
    <row r="5" spans="1:5" s="95" customFormat="1" ht="26.25" customHeight="1" x14ac:dyDescent="0.25">
      <c r="A5" s="634" t="s">
        <v>1771</v>
      </c>
      <c r="B5" s="634" t="s">
        <v>1772</v>
      </c>
      <c r="C5" s="634" t="s">
        <v>1877</v>
      </c>
    </row>
    <row r="6" spans="1:5" s="204" customFormat="1" x14ac:dyDescent="0.25">
      <c r="A6" s="604">
        <v>20</v>
      </c>
      <c r="B6" s="602" t="s">
        <v>1878</v>
      </c>
      <c r="C6" s="916">
        <f>'F Y U 2023 Prespupuesto'!C124</f>
        <v>953349864</v>
      </c>
      <c r="D6" s="204">
        <f>SUM(C6:C29)</f>
        <v>41218449327.162262</v>
      </c>
      <c r="E6" s="204">
        <f>+'F Y U 2023 Prespupuesto'!C159+'F Y U 2023 Prespupuesto'!C158</f>
        <v>41218449327.162262</v>
      </c>
    </row>
    <row r="7" spans="1:5" s="204" customFormat="1" x14ac:dyDescent="0.25">
      <c r="A7" s="604">
        <v>20</v>
      </c>
      <c r="B7" s="602" t="s">
        <v>1879</v>
      </c>
      <c r="C7" s="916">
        <f>'F Y U 2023 Prespupuesto'!C138</f>
        <v>16420415546.631279</v>
      </c>
    </row>
    <row r="8" spans="1:5" x14ac:dyDescent="0.25">
      <c r="A8" s="604">
        <v>52</v>
      </c>
      <c r="B8" s="602" t="s">
        <v>1028</v>
      </c>
      <c r="C8" s="916">
        <f>+'F Y U 2023 Prespupuesto'!D13</f>
        <v>864000000</v>
      </c>
    </row>
    <row r="9" spans="1:5" x14ac:dyDescent="0.25">
      <c r="A9" s="604">
        <v>4</v>
      </c>
      <c r="B9" s="602" t="s">
        <v>1050</v>
      </c>
      <c r="C9" s="916">
        <f>+'F Y U 2023 Prespupuesto'!D25</f>
        <v>5264872080</v>
      </c>
    </row>
    <row r="10" spans="1:5" ht="25.5" x14ac:dyDescent="0.25">
      <c r="A10" s="604">
        <v>33</v>
      </c>
      <c r="B10" s="602" t="s">
        <v>1055</v>
      </c>
      <c r="C10" s="916">
        <f>+'F Y U 2023 Prespupuesto'!D29</f>
        <v>249547148</v>
      </c>
    </row>
    <row r="11" spans="1:5" x14ac:dyDescent="0.25">
      <c r="A11" s="604">
        <v>34</v>
      </c>
      <c r="B11" s="602" t="s">
        <v>1056</v>
      </c>
      <c r="C11" s="916">
        <f>+'F Y U 2023 Prespupuesto'!D30</f>
        <v>249547148</v>
      </c>
    </row>
    <row r="12" spans="1:5" ht="25.5" x14ac:dyDescent="0.25">
      <c r="A12" s="604">
        <v>39</v>
      </c>
      <c r="B12" s="602" t="s">
        <v>1057</v>
      </c>
      <c r="C12" s="916">
        <f>+'F Y U 2023 Prespupuesto'!D31</f>
        <v>1247735740</v>
      </c>
    </row>
    <row r="13" spans="1:5" x14ac:dyDescent="0.25">
      <c r="A13" s="604">
        <v>41</v>
      </c>
      <c r="B13" s="602" t="s">
        <v>1058</v>
      </c>
      <c r="C13" s="916">
        <f>+'F Y U 2023 Prespupuesto'!D32</f>
        <v>249547148</v>
      </c>
    </row>
    <row r="14" spans="1:5" x14ac:dyDescent="0.25">
      <c r="A14" s="604">
        <v>6</v>
      </c>
      <c r="B14" s="602" t="s">
        <v>1060</v>
      </c>
      <c r="C14" s="916">
        <f>+'F Y U 2023 Prespupuesto'!D33</f>
        <v>4406063424</v>
      </c>
    </row>
    <row r="15" spans="1:5" s="54" customFormat="1" x14ac:dyDescent="0.25">
      <c r="A15" s="604">
        <v>35</v>
      </c>
      <c r="B15" s="602" t="s">
        <v>1880</v>
      </c>
      <c r="C15" s="916">
        <v>2852985417.7109857</v>
      </c>
      <c r="E15" s="924"/>
    </row>
    <row r="16" spans="1:5" s="54" customFormat="1" x14ac:dyDescent="0.25">
      <c r="A16" s="604">
        <v>35</v>
      </c>
      <c r="B16" s="602" t="s">
        <v>1881</v>
      </c>
      <c r="C16" s="916">
        <v>700000000</v>
      </c>
      <c r="D16" s="920"/>
    </row>
    <row r="17" spans="1:6" s="54" customFormat="1" ht="25.5" x14ac:dyDescent="0.25">
      <c r="A17" s="604">
        <v>56</v>
      </c>
      <c r="B17" s="602" t="s">
        <v>1799</v>
      </c>
      <c r="C17" s="916">
        <f>'F Y U 2023 Prespupuesto'!D49</f>
        <v>250000000</v>
      </c>
    </row>
    <row r="18" spans="1:6" x14ac:dyDescent="0.25">
      <c r="A18" s="604">
        <v>23</v>
      </c>
      <c r="B18" s="602" t="s">
        <v>1800</v>
      </c>
      <c r="C18" s="913">
        <f>'F Y U 2023 Prespupuesto'!C50</f>
        <v>1245561481.1900001</v>
      </c>
      <c r="E18" s="912"/>
    </row>
    <row r="19" spans="1:6" x14ac:dyDescent="0.25">
      <c r="A19" s="604">
        <v>47</v>
      </c>
      <c r="B19" s="602" t="s">
        <v>1093</v>
      </c>
      <c r="C19" s="916">
        <f>'F Y U 2023 Prespupuesto'!D52</f>
        <v>145398717.09</v>
      </c>
    </row>
    <row r="20" spans="1:6" ht="25.5" x14ac:dyDescent="0.25">
      <c r="A20" s="604">
        <v>4</v>
      </c>
      <c r="B20" s="602" t="s">
        <v>1805</v>
      </c>
      <c r="C20" s="916">
        <f>'F Y U 2023 Prespupuesto'!D59</f>
        <v>1664967</v>
      </c>
    </row>
    <row r="21" spans="1:6" ht="25.5" x14ac:dyDescent="0.25">
      <c r="A21" s="604">
        <v>33</v>
      </c>
      <c r="B21" s="602" t="s">
        <v>1808</v>
      </c>
      <c r="C21" s="916">
        <f>'F Y U 2023 Prespupuesto'!D62</f>
        <v>158060</v>
      </c>
    </row>
    <row r="22" spans="1:6" ht="25.5" x14ac:dyDescent="0.25">
      <c r="A22" s="604">
        <v>34</v>
      </c>
      <c r="B22" s="602" t="s">
        <v>1809</v>
      </c>
      <c r="C22" s="916">
        <f>'F Y U 2023 Prespupuesto'!D63</f>
        <v>158060</v>
      </c>
    </row>
    <row r="23" spans="1:6" ht="25.5" x14ac:dyDescent="0.25">
      <c r="A23" s="604">
        <v>39</v>
      </c>
      <c r="B23" s="602" t="s">
        <v>1810</v>
      </c>
      <c r="C23" s="916">
        <f>'F Y U 2023 Prespupuesto'!D64</f>
        <v>790301</v>
      </c>
    </row>
    <row r="24" spans="1:6" ht="25.5" x14ac:dyDescent="0.25">
      <c r="A24" s="604">
        <v>41</v>
      </c>
      <c r="B24" s="602" t="s">
        <v>1811</v>
      </c>
      <c r="C24" s="916">
        <f>'F Y U 2023 Prespupuesto'!D65</f>
        <v>158060</v>
      </c>
    </row>
    <row r="25" spans="1:6" ht="25.5" x14ac:dyDescent="0.25">
      <c r="A25" s="604">
        <v>6</v>
      </c>
      <c r="B25" s="602" t="s">
        <v>1812</v>
      </c>
      <c r="C25" s="916">
        <f>'F Y U 2023 Prespupuesto'!D66</f>
        <v>1400016</v>
      </c>
    </row>
    <row r="26" spans="1:6" ht="25.5" x14ac:dyDescent="0.25">
      <c r="A26" s="604">
        <v>42</v>
      </c>
      <c r="B26" s="602" t="s">
        <v>1814</v>
      </c>
      <c r="C26" s="916">
        <f>'F Y U 2023 Prespupuesto'!D68</f>
        <v>2314305</v>
      </c>
    </row>
    <row r="27" spans="1:6" ht="25.5" x14ac:dyDescent="0.25">
      <c r="A27" s="604">
        <v>27</v>
      </c>
      <c r="B27" s="602" t="s">
        <v>1815</v>
      </c>
      <c r="C27" s="916">
        <f>'F Y U 2023 Prespupuesto'!D69</f>
        <v>311522</v>
      </c>
    </row>
    <row r="28" spans="1:6" ht="25.5" x14ac:dyDescent="0.25">
      <c r="A28" s="604">
        <v>27</v>
      </c>
      <c r="B28" s="602" t="s">
        <v>1066</v>
      </c>
      <c r="C28" s="604">
        <f>'F Y U 2023 Prespupuesto'!C112</f>
        <v>2952931316</v>
      </c>
    </row>
    <row r="29" spans="1:6" ht="25.5" x14ac:dyDescent="0.25">
      <c r="A29" s="604">
        <v>42</v>
      </c>
      <c r="B29" s="602" t="s">
        <v>1149</v>
      </c>
      <c r="C29" s="604">
        <f>'F Y U 2023 Prespupuesto'!C116</f>
        <v>3159539005.54</v>
      </c>
    </row>
    <row r="30" spans="1:6" s="54" customFormat="1" x14ac:dyDescent="0.25">
      <c r="A30" s="604"/>
      <c r="B30" s="633" t="s">
        <v>953</v>
      </c>
      <c r="C30" s="605"/>
    </row>
    <row r="31" spans="1:6" ht="25.5" x14ac:dyDescent="0.25">
      <c r="A31" s="604"/>
      <c r="B31" s="633" t="s">
        <v>1100</v>
      </c>
      <c r="C31" s="605"/>
    </row>
    <row r="32" spans="1:6" ht="25.5" x14ac:dyDescent="0.25">
      <c r="A32" s="604">
        <v>25</v>
      </c>
      <c r="B32" s="602" t="s">
        <v>1101</v>
      </c>
      <c r="C32" s="604">
        <f>'F Y U 2023 Prespupuesto'!C77</f>
        <v>154899000000</v>
      </c>
      <c r="D32" s="42">
        <f>SUM(C32:C39)</f>
        <v>196054000000</v>
      </c>
      <c r="E32" s="42">
        <f>+'F Y U 2023 Prespupuesto'!C85</f>
        <v>196054000000</v>
      </c>
      <c r="F32" s="42">
        <f>+D32-E32</f>
        <v>0</v>
      </c>
    </row>
    <row r="33" spans="1:11" s="54" customFormat="1" ht="25.5" x14ac:dyDescent="0.25">
      <c r="A33" s="604">
        <v>26</v>
      </c>
      <c r="B33" s="602" t="s">
        <v>1102</v>
      </c>
      <c r="C33" s="604">
        <f>'F Y U 2023 Prespupuesto'!C78</f>
        <v>29870000000</v>
      </c>
    </row>
    <row r="34" spans="1:11" x14ac:dyDescent="0.25">
      <c r="A34" s="604">
        <v>25</v>
      </c>
      <c r="B34" s="602" t="s">
        <v>1105</v>
      </c>
      <c r="C34" s="604">
        <f>'F Y U 2023 Prespupuesto'!C79</f>
        <v>611000000</v>
      </c>
    </row>
    <row r="35" spans="1:11" x14ac:dyDescent="0.25">
      <c r="A35" s="604">
        <v>25</v>
      </c>
      <c r="B35" s="602" t="s">
        <v>1106</v>
      </c>
      <c r="C35" s="604">
        <f>'F Y U 2023 Prespupuesto'!C80</f>
        <v>1343000000</v>
      </c>
    </row>
    <row r="36" spans="1:11" x14ac:dyDescent="0.25">
      <c r="A36" s="604">
        <v>81</v>
      </c>
      <c r="B36" s="602" t="s">
        <v>1107</v>
      </c>
      <c r="C36" s="604">
        <f>'F Y U 2023 Prespupuesto'!C81</f>
        <v>9236000000</v>
      </c>
    </row>
    <row r="37" spans="1:11" s="54" customFormat="1" ht="25.5" x14ac:dyDescent="0.25">
      <c r="A37" s="604">
        <v>21</v>
      </c>
      <c r="B37" s="602" t="s">
        <v>1113</v>
      </c>
      <c r="C37" s="604">
        <f>'F Y U 2023 Prespupuesto'!C82</f>
        <v>5000000</v>
      </c>
    </row>
    <row r="38" spans="1:11" s="54" customFormat="1" ht="25.5" x14ac:dyDescent="0.25">
      <c r="A38" s="604">
        <v>81</v>
      </c>
      <c r="B38" s="602" t="s">
        <v>1818</v>
      </c>
      <c r="C38" s="604">
        <f>'F Y U 2023 Prespupuesto'!C83</f>
        <v>10000000</v>
      </c>
    </row>
    <row r="39" spans="1:11" s="54" customFormat="1" x14ac:dyDescent="0.25">
      <c r="A39" s="604">
        <v>9</v>
      </c>
      <c r="B39" s="602" t="s">
        <v>606</v>
      </c>
      <c r="C39" s="604">
        <f>'F Y U 2023 Prespupuesto'!C84</f>
        <v>80000000</v>
      </c>
    </row>
    <row r="40" spans="1:11" s="54" customFormat="1" x14ac:dyDescent="0.25">
      <c r="A40" s="604"/>
      <c r="B40" s="633" t="s">
        <v>1116</v>
      </c>
      <c r="C40" s="605"/>
      <c r="D40" s="54">
        <f>SUM(C41:C62)</f>
        <v>48106164560.943283</v>
      </c>
      <c r="E40" s="54">
        <f>+'Salud 2023'!H25+'Salud 2023'!I25+'Salud 2023'!M25</f>
        <v>48106164560.943283</v>
      </c>
      <c r="F40" s="54">
        <f>+E40-D40</f>
        <v>0</v>
      </c>
      <c r="K40" s="919"/>
    </row>
    <row r="41" spans="1:11" s="54" customFormat="1" x14ac:dyDescent="0.25">
      <c r="A41" s="604"/>
      <c r="B41" s="602" t="s">
        <v>1882</v>
      </c>
      <c r="C41" s="604">
        <f>'Salud 2023'!I4</f>
        <v>1809933808.7</v>
      </c>
      <c r="K41" s="919"/>
    </row>
    <row r="42" spans="1:11" s="54" customFormat="1" x14ac:dyDescent="0.25">
      <c r="A42" s="604"/>
      <c r="B42" s="602" t="s">
        <v>1883</v>
      </c>
      <c r="C42" s="604">
        <f>'Salud 2023'!M5</f>
        <v>4758262654.4000006</v>
      </c>
      <c r="K42" s="919"/>
    </row>
    <row r="43" spans="1:11" s="54" customFormat="1" x14ac:dyDescent="0.25">
      <c r="A43" s="604"/>
      <c r="B43" s="602" t="s">
        <v>1884</v>
      </c>
      <c r="C43" s="604">
        <f>'Salud 2023'!M6</f>
        <v>399000000</v>
      </c>
    </row>
    <row r="44" spans="1:11" s="54" customFormat="1" x14ac:dyDescent="0.25">
      <c r="A44" s="604"/>
      <c r="B44" s="602" t="s">
        <v>1885</v>
      </c>
      <c r="C44" s="604">
        <f>'Salud 2023'!H7+'Salud 2023'!I7</f>
        <v>7042524667</v>
      </c>
    </row>
    <row r="45" spans="1:11" s="54" customFormat="1" ht="25.5" x14ac:dyDescent="0.25">
      <c r="A45" s="604"/>
      <c r="B45" s="602" t="s">
        <v>1886</v>
      </c>
      <c r="C45" s="604">
        <f>'Salud 2023'!H8+'Salud 2023'!I8</f>
        <v>1546910086</v>
      </c>
    </row>
    <row r="46" spans="1:11" s="54" customFormat="1" ht="25.5" x14ac:dyDescent="0.25">
      <c r="A46" s="604"/>
      <c r="B46" s="602" t="s">
        <v>1887</v>
      </c>
      <c r="C46" s="604">
        <f>'Salud 2023'!H9+'Salud 2023'!I9</f>
        <v>2888533385</v>
      </c>
    </row>
    <row r="47" spans="1:11" s="54" customFormat="1" ht="25.5" x14ac:dyDescent="0.25">
      <c r="A47" s="604"/>
      <c r="B47" s="602" t="s">
        <v>1888</v>
      </c>
      <c r="C47" s="604">
        <f>'Salud 2023'!M10</f>
        <v>3000000</v>
      </c>
    </row>
    <row r="48" spans="1:11" s="54" customFormat="1" ht="25.5" x14ac:dyDescent="0.25">
      <c r="A48" s="604"/>
      <c r="B48" s="602" t="s">
        <v>1889</v>
      </c>
      <c r="C48" s="604">
        <f>'Salud 2023'!I11</f>
        <v>1000000</v>
      </c>
    </row>
    <row r="49" spans="1:9" s="54" customFormat="1" ht="25.5" x14ac:dyDescent="0.25">
      <c r="A49" s="604"/>
      <c r="B49" s="602" t="s">
        <v>1890</v>
      </c>
      <c r="C49" s="604">
        <f>'Salud 2023'!M12</f>
        <v>1000000</v>
      </c>
    </row>
    <row r="50" spans="1:9" s="54" customFormat="1" ht="25.5" x14ac:dyDescent="0.25">
      <c r="A50" s="604"/>
      <c r="B50" s="602" t="s">
        <v>1891</v>
      </c>
      <c r="C50" s="604">
        <f>'Salud 2023'!I13+'Salud 2023'!M13</f>
        <v>2000000</v>
      </c>
    </row>
    <row r="51" spans="1:9" ht="25.5" x14ac:dyDescent="0.25">
      <c r="A51" s="604"/>
      <c r="B51" s="602" t="s">
        <v>1892</v>
      </c>
      <c r="C51" s="604">
        <f>'Salud 2023'!H14</f>
        <v>4326818719</v>
      </c>
      <c r="D51" s="54"/>
      <c r="G51" s="54"/>
      <c r="I51" s="54"/>
    </row>
    <row r="52" spans="1:9" s="1000" customFormat="1" x14ac:dyDescent="0.25">
      <c r="A52" s="998"/>
      <c r="B52" s="999" t="s">
        <v>1893</v>
      </c>
      <c r="C52" s="998">
        <f>'Salud 2023'!H17</f>
        <v>429881850</v>
      </c>
    </row>
    <row r="53" spans="1:9" x14ac:dyDescent="0.25">
      <c r="A53" s="604"/>
      <c r="B53" s="602" t="s">
        <v>1894</v>
      </c>
      <c r="C53" s="604">
        <f>'Salud 2023'!H16</f>
        <v>841228452</v>
      </c>
      <c r="D53" s="54"/>
      <c r="G53" s="54"/>
      <c r="I53" s="54"/>
    </row>
    <row r="54" spans="1:9" s="1001" customFormat="1" x14ac:dyDescent="0.25">
      <c r="A54" s="998"/>
      <c r="B54" s="999" t="s">
        <v>1895</v>
      </c>
      <c r="C54" s="998">
        <f>'Salud 2023'!H15</f>
        <v>1475878147</v>
      </c>
      <c r="D54" s="1000"/>
      <c r="G54" s="1000"/>
      <c r="I54" s="1000"/>
    </row>
    <row r="55" spans="1:9" s="54" customFormat="1" ht="25.5" x14ac:dyDescent="0.25">
      <c r="A55" s="604"/>
      <c r="B55" s="602" t="s">
        <v>1896</v>
      </c>
      <c r="C55" s="604">
        <f>'Salud 2023'!H18</f>
        <v>631401116</v>
      </c>
    </row>
    <row r="56" spans="1:9" x14ac:dyDescent="0.25">
      <c r="A56" s="604"/>
      <c r="B56" s="602" t="s">
        <v>809</v>
      </c>
      <c r="C56" s="604">
        <f>'Salud 2023'!H19</f>
        <v>21173714</v>
      </c>
      <c r="D56" s="54"/>
      <c r="G56" s="54"/>
      <c r="I56" s="54"/>
    </row>
    <row r="57" spans="1:9" s="54" customFormat="1" ht="25.5" x14ac:dyDescent="0.25">
      <c r="A57" s="604"/>
      <c r="B57" s="602" t="s">
        <v>1897</v>
      </c>
      <c r="C57" s="604">
        <f>'Salud 2023'!H20</f>
        <v>914303973</v>
      </c>
    </row>
    <row r="58" spans="1:9" s="54" customFormat="1" ht="25.5" x14ac:dyDescent="0.25">
      <c r="A58" s="604"/>
      <c r="B58" s="602" t="s">
        <v>1898</v>
      </c>
      <c r="C58" s="604">
        <f>'Salud 2023'!H21</f>
        <v>13809428000</v>
      </c>
    </row>
    <row r="59" spans="1:9" s="54" customFormat="1" ht="38.25" x14ac:dyDescent="0.25">
      <c r="A59" s="604"/>
      <c r="B59" s="602" t="s">
        <v>1899</v>
      </c>
      <c r="C59" s="604">
        <f>'Salud 2023'!H22</f>
        <v>4335092422.8432827</v>
      </c>
    </row>
    <row r="60" spans="1:9" s="54" customFormat="1" ht="25.5" x14ac:dyDescent="0.25">
      <c r="A60" s="604"/>
      <c r="B60" s="602" t="s">
        <v>1900</v>
      </c>
      <c r="C60" s="604">
        <f>'Salud 2023'!H23</f>
        <v>636817959</v>
      </c>
    </row>
    <row r="61" spans="1:9" s="54" customFormat="1" ht="25.5" x14ac:dyDescent="0.25">
      <c r="A61" s="604"/>
      <c r="B61" s="602" t="s">
        <v>1901</v>
      </c>
      <c r="C61" s="604">
        <v>0</v>
      </c>
    </row>
    <row r="62" spans="1:9" s="54" customFormat="1" x14ac:dyDescent="0.25">
      <c r="A62" s="604"/>
      <c r="B62" s="602" t="s">
        <v>1146</v>
      </c>
      <c r="C62" s="604">
        <f>'Salud 2023'!I24+'Salud 2023'!M24</f>
        <v>2231975607</v>
      </c>
    </row>
    <row r="63" spans="1:9" s="54" customFormat="1" ht="15" customHeight="1" x14ac:dyDescent="0.25">
      <c r="A63" s="1744" t="s">
        <v>1902</v>
      </c>
      <c r="B63" s="1744"/>
      <c r="C63" s="605">
        <f>SUM(C6:C62)</f>
        <v>285378613888.10553</v>
      </c>
      <c r="D63" s="54">
        <f>+'F Y U 2023 Prespupuesto'!C161</f>
        <v>285537748889.24841</v>
      </c>
      <c r="E63" s="54">
        <f>C63-D63</f>
        <v>-159135001.1428833</v>
      </c>
    </row>
    <row r="64" spans="1:9" s="54" customFormat="1" ht="15" customHeight="1" x14ac:dyDescent="0.25">
      <c r="A64" s="44"/>
      <c r="B64" s="204"/>
    </row>
    <row r="65" spans="1:3" s="54" customFormat="1" ht="25.5" x14ac:dyDescent="0.25">
      <c r="A65" s="44"/>
      <c r="B65" s="633" t="s">
        <v>1903</v>
      </c>
      <c r="C65" s="605">
        <f>C63</f>
        <v>285378613888.10553</v>
      </c>
    </row>
    <row r="66" spans="1:3" s="54" customFormat="1" ht="15" customHeight="1" x14ac:dyDescent="0.25">
      <c r="A66" s="44"/>
      <c r="B66" s="204"/>
    </row>
    <row r="67" spans="1:3" s="54" customFormat="1" ht="25.5" x14ac:dyDescent="0.25">
      <c r="A67" s="44"/>
      <c r="B67" s="633" t="s">
        <v>1904</v>
      </c>
      <c r="C67" s="914">
        <f>+'Salud 2023'!K25</f>
        <v>6812203986</v>
      </c>
    </row>
    <row r="68" spans="1:3" s="54" customFormat="1" ht="25.5" x14ac:dyDescent="0.25">
      <c r="A68" s="44"/>
      <c r="B68" s="633" t="s">
        <v>1905</v>
      </c>
      <c r="C68" s="914">
        <f>+'Salud 2023'!J25</f>
        <v>795362853</v>
      </c>
    </row>
    <row r="69" spans="1:3" s="54" customFormat="1" ht="15" customHeight="1" x14ac:dyDescent="0.25">
      <c r="A69" s="44"/>
      <c r="B69" s="204"/>
    </row>
    <row r="70" spans="1:3" s="54" customFormat="1" ht="15" customHeight="1" x14ac:dyDescent="0.25">
      <c r="A70" s="44"/>
      <c r="B70" s="204"/>
    </row>
    <row r="71" spans="1:3" s="54" customFormat="1" x14ac:dyDescent="0.25">
      <c r="B71" s="598"/>
    </row>
    <row r="72" spans="1:3" hidden="1" x14ac:dyDescent="0.25">
      <c r="B72" s="77"/>
      <c r="C72" s="411"/>
    </row>
    <row r="73" spans="1:3" hidden="1" x14ac:dyDescent="0.25"/>
    <row r="74" spans="1:3" ht="39" hidden="1" customHeight="1" x14ac:dyDescent="0.25">
      <c r="B74" s="1739" t="s">
        <v>1906</v>
      </c>
      <c r="C74" s="1740"/>
    </row>
    <row r="75" spans="1:3" hidden="1" x14ac:dyDescent="0.25">
      <c r="B75" s="634" t="s">
        <v>1772</v>
      </c>
      <c r="C75" s="634" t="s">
        <v>971</v>
      </c>
    </row>
    <row r="76" spans="1:3" ht="25.5" hidden="1" x14ac:dyDescent="0.25">
      <c r="B76" s="635" t="s">
        <v>1907</v>
      </c>
      <c r="C76" s="636">
        <v>2062474898.8399999</v>
      </c>
    </row>
    <row r="77" spans="1:3" ht="25.5" hidden="1" x14ac:dyDescent="0.25">
      <c r="B77" s="635" t="s">
        <v>1908</v>
      </c>
      <c r="C77" s="636">
        <v>286689647</v>
      </c>
    </row>
    <row r="78" spans="1:3" hidden="1" x14ac:dyDescent="0.25">
      <c r="B78" s="637" t="s">
        <v>1909</v>
      </c>
      <c r="C78" s="637">
        <f>SUM(C76:C77)</f>
        <v>2349164545.8400002</v>
      </c>
    </row>
    <row r="79" spans="1:3" ht="25.5" hidden="1" x14ac:dyDescent="0.25">
      <c r="B79" s="637" t="s">
        <v>1910</v>
      </c>
      <c r="C79" s="637">
        <v>0</v>
      </c>
    </row>
    <row r="80" spans="1:3" hidden="1" x14ac:dyDescent="0.25">
      <c r="B80" s="379"/>
      <c r="C80" s="632"/>
    </row>
    <row r="81" spans="2:3" hidden="1" x14ac:dyDescent="0.25">
      <c r="B81" s="379"/>
      <c r="C81" s="632"/>
    </row>
    <row r="82" spans="2:3" hidden="1" x14ac:dyDescent="0.25">
      <c r="B82" s="631"/>
      <c r="C82" s="632"/>
    </row>
    <row r="83" spans="2:3" ht="33.75" hidden="1" customHeight="1" x14ac:dyDescent="0.25">
      <c r="B83" s="1737" t="s">
        <v>1911</v>
      </c>
      <c r="C83" s="1738"/>
    </row>
    <row r="84" spans="2:3" hidden="1" x14ac:dyDescent="0.25">
      <c r="B84" s="634" t="s">
        <v>1772</v>
      </c>
      <c r="C84" s="634" t="s">
        <v>971</v>
      </c>
    </row>
    <row r="85" spans="2:3" hidden="1" x14ac:dyDescent="0.25">
      <c r="B85" s="635" t="s">
        <v>1912</v>
      </c>
      <c r="C85" s="638">
        <v>265988797</v>
      </c>
    </row>
    <row r="86" spans="2:3" hidden="1" x14ac:dyDescent="0.25">
      <c r="B86" s="635" t="s">
        <v>1913</v>
      </c>
      <c r="C86" s="638">
        <v>637161630</v>
      </c>
    </row>
    <row r="87" spans="2:3" ht="25.5" hidden="1" x14ac:dyDescent="0.25">
      <c r="B87" s="635" t="s">
        <v>1914</v>
      </c>
      <c r="C87" s="638">
        <v>608504542.79999995</v>
      </c>
    </row>
    <row r="88" spans="2:3" hidden="1" x14ac:dyDescent="0.25">
      <c r="B88" s="635" t="s">
        <v>1915</v>
      </c>
      <c r="C88" s="638">
        <v>5321293168</v>
      </c>
    </row>
    <row r="89" spans="2:3" hidden="1" x14ac:dyDescent="0.25">
      <c r="B89" s="635" t="s">
        <v>1916</v>
      </c>
      <c r="C89" s="638">
        <v>15000000</v>
      </c>
    </row>
    <row r="90" spans="2:3" ht="25.5" hidden="1" x14ac:dyDescent="0.25">
      <c r="B90" s="635" t="s">
        <v>1917</v>
      </c>
      <c r="C90" s="638">
        <v>620558755</v>
      </c>
    </row>
    <row r="91" spans="2:3" hidden="1" x14ac:dyDescent="0.25">
      <c r="B91" s="635" t="s">
        <v>1918</v>
      </c>
      <c r="C91" s="638">
        <v>1000000000</v>
      </c>
    </row>
    <row r="92" spans="2:3" hidden="1" x14ac:dyDescent="0.25">
      <c r="B92" s="635" t="s">
        <v>1919</v>
      </c>
      <c r="C92" s="638">
        <v>1708758090.2</v>
      </c>
    </row>
    <row r="93" spans="2:3" hidden="1" x14ac:dyDescent="0.25">
      <c r="B93" s="637" t="s">
        <v>1920</v>
      </c>
      <c r="C93" s="642">
        <v>10177264983</v>
      </c>
    </row>
    <row r="94" spans="2:3" hidden="1" x14ac:dyDescent="0.25">
      <c r="B94" s="637" t="s">
        <v>1921</v>
      </c>
      <c r="C94" s="637">
        <v>8468506892.8000002</v>
      </c>
    </row>
    <row r="95" spans="2:3" hidden="1" x14ac:dyDescent="0.25"/>
    <row r="96" spans="2:3" hidden="1" x14ac:dyDescent="0.25"/>
    <row r="97" spans="2:3" hidden="1" x14ac:dyDescent="0.25">
      <c r="B97" s="1739" t="s">
        <v>1922</v>
      </c>
      <c r="C97" s="1740"/>
    </row>
    <row r="98" spans="2:3" hidden="1" x14ac:dyDescent="0.25">
      <c r="B98" s="634" t="s">
        <v>1772</v>
      </c>
      <c r="C98" s="634" t="s">
        <v>971</v>
      </c>
    </row>
    <row r="99" spans="2:3" hidden="1" x14ac:dyDescent="0.25">
      <c r="B99" s="635" t="s">
        <v>1923</v>
      </c>
      <c r="C99" s="639">
        <v>1058044541</v>
      </c>
    </row>
    <row r="100" spans="2:3" hidden="1" x14ac:dyDescent="0.25">
      <c r="B100" s="635" t="s">
        <v>1924</v>
      </c>
      <c r="C100" s="639">
        <v>2117009971</v>
      </c>
    </row>
    <row r="101" spans="2:3" hidden="1" x14ac:dyDescent="0.25">
      <c r="B101" s="635" t="s">
        <v>1925</v>
      </c>
      <c r="C101" s="639">
        <v>1150000000</v>
      </c>
    </row>
    <row r="102" spans="2:3" hidden="1" x14ac:dyDescent="0.25">
      <c r="B102" s="637" t="s">
        <v>1926</v>
      </c>
      <c r="C102" s="637">
        <v>4325054512</v>
      </c>
    </row>
    <row r="103" spans="2:3" ht="25.5" hidden="1" x14ac:dyDescent="0.25">
      <c r="B103" s="637" t="s">
        <v>1927</v>
      </c>
      <c r="C103" s="637">
        <v>3175054512</v>
      </c>
    </row>
    <row r="104" spans="2:3" hidden="1" x14ac:dyDescent="0.25"/>
    <row r="105" spans="2:3" hidden="1" x14ac:dyDescent="0.25"/>
    <row r="106" spans="2:3" ht="25.5" hidden="1" x14ac:dyDescent="0.25">
      <c r="B106" s="640" t="s">
        <v>1928</v>
      </c>
      <c r="C106" s="641">
        <v>279194902394.53802</v>
      </c>
    </row>
  </sheetData>
  <mergeCells count="8">
    <mergeCell ref="B83:C83"/>
    <mergeCell ref="B97:C97"/>
    <mergeCell ref="A1:C1"/>
    <mergeCell ref="A2:C2"/>
    <mergeCell ref="A3:C3"/>
    <mergeCell ref="A4:C4"/>
    <mergeCell ref="A63:B63"/>
    <mergeCell ref="B74:C7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N53"/>
  <sheetViews>
    <sheetView workbookViewId="0">
      <selection activeCell="B40" sqref="B40"/>
    </sheetView>
  </sheetViews>
  <sheetFormatPr baseColWidth="10" defaultColWidth="11.42578125" defaultRowHeight="14.25" x14ac:dyDescent="0.2"/>
  <cols>
    <col min="1" max="1" width="60.28515625" style="391" bestFit="1" customWidth="1"/>
    <col min="2" max="2" width="21" style="391" customWidth="1"/>
    <col min="3" max="3" width="20.7109375" style="390" bestFit="1" customWidth="1"/>
    <col min="4" max="4" width="18.85546875" style="391" hidden="1" customWidth="1"/>
    <col min="5" max="5" width="17.85546875" style="390" hidden="1" customWidth="1"/>
    <col min="6" max="6" width="17.85546875" style="391" hidden="1" customWidth="1"/>
    <col min="7" max="7" width="18.140625" style="391" hidden="1" customWidth="1"/>
    <col min="8" max="8" width="37.42578125" style="391" hidden="1" customWidth="1"/>
    <col min="9" max="9" width="0" style="391" hidden="1" customWidth="1"/>
    <col min="10" max="10" width="17.85546875" style="390" hidden="1" customWidth="1"/>
    <col min="11" max="11" width="20.85546875" style="410" hidden="1" customWidth="1"/>
    <col min="12" max="12" width="19.7109375" style="391" hidden="1" customWidth="1"/>
    <col min="13" max="13" width="15.5703125" style="391" bestFit="1" customWidth="1"/>
    <col min="14" max="14" width="12.7109375" style="391" bestFit="1" customWidth="1"/>
    <col min="15" max="255" width="11.42578125" style="391"/>
    <col min="256" max="256" width="60.28515625" style="391" bestFit="1" customWidth="1"/>
    <col min="257" max="258" width="21" style="391" bestFit="1" customWidth="1"/>
    <col min="259" max="259" width="20.7109375" style="391" bestFit="1" customWidth="1"/>
    <col min="260" max="266" width="0" style="391" hidden="1" customWidth="1"/>
    <col min="267" max="268" width="18.85546875" style="391" bestFit="1" customWidth="1"/>
    <col min="269" max="269" width="15.140625" style="391" bestFit="1" customWidth="1"/>
    <col min="270" max="511" width="11.42578125" style="391"/>
    <col min="512" max="512" width="60.28515625" style="391" bestFit="1" customWidth="1"/>
    <col min="513" max="514" width="21" style="391" bestFit="1" customWidth="1"/>
    <col min="515" max="515" width="20.7109375" style="391" bestFit="1" customWidth="1"/>
    <col min="516" max="522" width="0" style="391" hidden="1" customWidth="1"/>
    <col min="523" max="524" width="18.85546875" style="391" bestFit="1" customWidth="1"/>
    <col min="525" max="525" width="15.140625" style="391" bestFit="1" customWidth="1"/>
    <col min="526" max="767" width="11.42578125" style="391"/>
    <col min="768" max="768" width="60.28515625" style="391" bestFit="1" customWidth="1"/>
    <col min="769" max="770" width="21" style="391" bestFit="1" customWidth="1"/>
    <col min="771" max="771" width="20.7109375" style="391" bestFit="1" customWidth="1"/>
    <col min="772" max="778" width="0" style="391" hidden="1" customWidth="1"/>
    <col min="779" max="780" width="18.85546875" style="391" bestFit="1" customWidth="1"/>
    <col min="781" max="781" width="15.140625" style="391" bestFit="1" customWidth="1"/>
    <col min="782" max="1023" width="11.42578125" style="391"/>
    <col min="1024" max="1024" width="60.28515625" style="391" bestFit="1" customWidth="1"/>
    <col min="1025" max="1026" width="21" style="391" bestFit="1" customWidth="1"/>
    <col min="1027" max="1027" width="20.7109375" style="391" bestFit="1" customWidth="1"/>
    <col min="1028" max="1034" width="0" style="391" hidden="1" customWidth="1"/>
    <col min="1035" max="1036" width="18.85546875" style="391" bestFit="1" customWidth="1"/>
    <col min="1037" max="1037" width="15.140625" style="391" bestFit="1" customWidth="1"/>
    <col min="1038" max="1279" width="11.42578125" style="391"/>
    <col min="1280" max="1280" width="60.28515625" style="391" bestFit="1" customWidth="1"/>
    <col min="1281" max="1282" width="21" style="391" bestFit="1" customWidth="1"/>
    <col min="1283" max="1283" width="20.7109375" style="391" bestFit="1" customWidth="1"/>
    <col min="1284" max="1290" width="0" style="391" hidden="1" customWidth="1"/>
    <col min="1291" max="1292" width="18.85546875" style="391" bestFit="1" customWidth="1"/>
    <col min="1293" max="1293" width="15.140625" style="391" bestFit="1" customWidth="1"/>
    <col min="1294" max="1535" width="11.42578125" style="391"/>
    <col min="1536" max="1536" width="60.28515625" style="391" bestFit="1" customWidth="1"/>
    <col min="1537" max="1538" width="21" style="391" bestFit="1" customWidth="1"/>
    <col min="1539" max="1539" width="20.7109375" style="391" bestFit="1" customWidth="1"/>
    <col min="1540" max="1546" width="0" style="391" hidden="1" customWidth="1"/>
    <col min="1547" max="1548" width="18.85546875" style="391" bestFit="1" customWidth="1"/>
    <col min="1549" max="1549" width="15.140625" style="391" bestFit="1" customWidth="1"/>
    <col min="1550" max="1791" width="11.42578125" style="391"/>
    <col min="1792" max="1792" width="60.28515625" style="391" bestFit="1" customWidth="1"/>
    <col min="1793" max="1794" width="21" style="391" bestFit="1" customWidth="1"/>
    <col min="1795" max="1795" width="20.7109375" style="391" bestFit="1" customWidth="1"/>
    <col min="1796" max="1802" width="0" style="391" hidden="1" customWidth="1"/>
    <col min="1803" max="1804" width="18.85546875" style="391" bestFit="1" customWidth="1"/>
    <col min="1805" max="1805" width="15.140625" style="391" bestFit="1" customWidth="1"/>
    <col min="1806" max="2047" width="11.42578125" style="391"/>
    <col min="2048" max="2048" width="60.28515625" style="391" bestFit="1" customWidth="1"/>
    <col min="2049" max="2050" width="21" style="391" bestFit="1" customWidth="1"/>
    <col min="2051" max="2051" width="20.7109375" style="391" bestFit="1" customWidth="1"/>
    <col min="2052" max="2058" width="0" style="391" hidden="1" customWidth="1"/>
    <col min="2059" max="2060" width="18.85546875" style="391" bestFit="1" customWidth="1"/>
    <col min="2061" max="2061" width="15.140625" style="391" bestFit="1" customWidth="1"/>
    <col min="2062" max="2303" width="11.42578125" style="391"/>
    <col min="2304" max="2304" width="60.28515625" style="391" bestFit="1" customWidth="1"/>
    <col min="2305" max="2306" width="21" style="391" bestFit="1" customWidth="1"/>
    <col min="2307" max="2307" width="20.7109375" style="391" bestFit="1" customWidth="1"/>
    <col min="2308" max="2314" width="0" style="391" hidden="1" customWidth="1"/>
    <col min="2315" max="2316" width="18.85546875" style="391" bestFit="1" customWidth="1"/>
    <col min="2317" max="2317" width="15.140625" style="391" bestFit="1" customWidth="1"/>
    <col min="2318" max="2559" width="11.42578125" style="391"/>
    <col min="2560" max="2560" width="60.28515625" style="391" bestFit="1" customWidth="1"/>
    <col min="2561" max="2562" width="21" style="391" bestFit="1" customWidth="1"/>
    <col min="2563" max="2563" width="20.7109375" style="391" bestFit="1" customWidth="1"/>
    <col min="2564" max="2570" width="0" style="391" hidden="1" customWidth="1"/>
    <col min="2571" max="2572" width="18.85546875" style="391" bestFit="1" customWidth="1"/>
    <col min="2573" max="2573" width="15.140625" style="391" bestFit="1" customWidth="1"/>
    <col min="2574" max="2815" width="11.42578125" style="391"/>
    <col min="2816" max="2816" width="60.28515625" style="391" bestFit="1" customWidth="1"/>
    <col min="2817" max="2818" width="21" style="391" bestFit="1" customWidth="1"/>
    <col min="2819" max="2819" width="20.7109375" style="391" bestFit="1" customWidth="1"/>
    <col min="2820" max="2826" width="0" style="391" hidden="1" customWidth="1"/>
    <col min="2827" max="2828" width="18.85546875" style="391" bestFit="1" customWidth="1"/>
    <col min="2829" max="2829" width="15.140625" style="391" bestFit="1" customWidth="1"/>
    <col min="2830" max="3071" width="11.42578125" style="391"/>
    <col min="3072" max="3072" width="60.28515625" style="391" bestFit="1" customWidth="1"/>
    <col min="3073" max="3074" width="21" style="391" bestFit="1" customWidth="1"/>
    <col min="3075" max="3075" width="20.7109375" style="391" bestFit="1" customWidth="1"/>
    <col min="3076" max="3082" width="0" style="391" hidden="1" customWidth="1"/>
    <col min="3083" max="3084" width="18.85546875" style="391" bestFit="1" customWidth="1"/>
    <col min="3085" max="3085" width="15.140625" style="391" bestFit="1" customWidth="1"/>
    <col min="3086" max="3327" width="11.42578125" style="391"/>
    <col min="3328" max="3328" width="60.28515625" style="391" bestFit="1" customWidth="1"/>
    <col min="3329" max="3330" width="21" style="391" bestFit="1" customWidth="1"/>
    <col min="3331" max="3331" width="20.7109375" style="391" bestFit="1" customWidth="1"/>
    <col min="3332" max="3338" width="0" style="391" hidden="1" customWidth="1"/>
    <col min="3339" max="3340" width="18.85546875" style="391" bestFit="1" customWidth="1"/>
    <col min="3341" max="3341" width="15.140625" style="391" bestFit="1" customWidth="1"/>
    <col min="3342" max="3583" width="11.42578125" style="391"/>
    <col min="3584" max="3584" width="60.28515625" style="391" bestFit="1" customWidth="1"/>
    <col min="3585" max="3586" width="21" style="391" bestFit="1" customWidth="1"/>
    <col min="3587" max="3587" width="20.7109375" style="391" bestFit="1" customWidth="1"/>
    <col min="3588" max="3594" width="0" style="391" hidden="1" customWidth="1"/>
    <col min="3595" max="3596" width="18.85546875" style="391" bestFit="1" customWidth="1"/>
    <col min="3597" max="3597" width="15.140625" style="391" bestFit="1" customWidth="1"/>
    <col min="3598" max="3839" width="11.42578125" style="391"/>
    <col min="3840" max="3840" width="60.28515625" style="391" bestFit="1" customWidth="1"/>
    <col min="3841" max="3842" width="21" style="391" bestFit="1" customWidth="1"/>
    <col min="3843" max="3843" width="20.7109375" style="391" bestFit="1" customWidth="1"/>
    <col min="3844" max="3850" width="0" style="391" hidden="1" customWidth="1"/>
    <col min="3851" max="3852" width="18.85546875" style="391" bestFit="1" customWidth="1"/>
    <col min="3853" max="3853" width="15.140625" style="391" bestFit="1" customWidth="1"/>
    <col min="3854" max="4095" width="11.42578125" style="391"/>
    <col min="4096" max="4096" width="60.28515625" style="391" bestFit="1" customWidth="1"/>
    <col min="4097" max="4098" width="21" style="391" bestFit="1" customWidth="1"/>
    <col min="4099" max="4099" width="20.7109375" style="391" bestFit="1" customWidth="1"/>
    <col min="4100" max="4106" width="0" style="391" hidden="1" customWidth="1"/>
    <col min="4107" max="4108" width="18.85546875" style="391" bestFit="1" customWidth="1"/>
    <col min="4109" max="4109" width="15.140625" style="391" bestFit="1" customWidth="1"/>
    <col min="4110" max="4351" width="11.42578125" style="391"/>
    <col min="4352" max="4352" width="60.28515625" style="391" bestFit="1" customWidth="1"/>
    <col min="4353" max="4354" width="21" style="391" bestFit="1" customWidth="1"/>
    <col min="4355" max="4355" width="20.7109375" style="391" bestFit="1" customWidth="1"/>
    <col min="4356" max="4362" width="0" style="391" hidden="1" customWidth="1"/>
    <col min="4363" max="4364" width="18.85546875" style="391" bestFit="1" customWidth="1"/>
    <col min="4365" max="4365" width="15.140625" style="391" bestFit="1" customWidth="1"/>
    <col min="4366" max="4607" width="11.42578125" style="391"/>
    <col min="4608" max="4608" width="60.28515625" style="391" bestFit="1" customWidth="1"/>
    <col min="4609" max="4610" width="21" style="391" bestFit="1" customWidth="1"/>
    <col min="4611" max="4611" width="20.7109375" style="391" bestFit="1" customWidth="1"/>
    <col min="4612" max="4618" width="0" style="391" hidden="1" customWidth="1"/>
    <col min="4619" max="4620" width="18.85546875" style="391" bestFit="1" customWidth="1"/>
    <col min="4621" max="4621" width="15.140625" style="391" bestFit="1" customWidth="1"/>
    <col min="4622" max="4863" width="11.42578125" style="391"/>
    <col min="4864" max="4864" width="60.28515625" style="391" bestFit="1" customWidth="1"/>
    <col min="4865" max="4866" width="21" style="391" bestFit="1" customWidth="1"/>
    <col min="4867" max="4867" width="20.7109375" style="391" bestFit="1" customWidth="1"/>
    <col min="4868" max="4874" width="0" style="391" hidden="1" customWidth="1"/>
    <col min="4875" max="4876" width="18.85546875" style="391" bestFit="1" customWidth="1"/>
    <col min="4877" max="4877" width="15.140625" style="391" bestFit="1" customWidth="1"/>
    <col min="4878" max="5119" width="11.42578125" style="391"/>
    <col min="5120" max="5120" width="60.28515625" style="391" bestFit="1" customWidth="1"/>
    <col min="5121" max="5122" width="21" style="391" bestFit="1" customWidth="1"/>
    <col min="5123" max="5123" width="20.7109375" style="391" bestFit="1" customWidth="1"/>
    <col min="5124" max="5130" width="0" style="391" hidden="1" customWidth="1"/>
    <col min="5131" max="5132" width="18.85546875" style="391" bestFit="1" customWidth="1"/>
    <col min="5133" max="5133" width="15.140625" style="391" bestFit="1" customWidth="1"/>
    <col min="5134" max="5375" width="11.42578125" style="391"/>
    <col min="5376" max="5376" width="60.28515625" style="391" bestFit="1" customWidth="1"/>
    <col min="5377" max="5378" width="21" style="391" bestFit="1" customWidth="1"/>
    <col min="5379" max="5379" width="20.7109375" style="391" bestFit="1" customWidth="1"/>
    <col min="5380" max="5386" width="0" style="391" hidden="1" customWidth="1"/>
    <col min="5387" max="5388" width="18.85546875" style="391" bestFit="1" customWidth="1"/>
    <col min="5389" max="5389" width="15.140625" style="391" bestFit="1" customWidth="1"/>
    <col min="5390" max="5631" width="11.42578125" style="391"/>
    <col min="5632" max="5632" width="60.28515625" style="391" bestFit="1" customWidth="1"/>
    <col min="5633" max="5634" width="21" style="391" bestFit="1" customWidth="1"/>
    <col min="5635" max="5635" width="20.7109375" style="391" bestFit="1" customWidth="1"/>
    <col min="5636" max="5642" width="0" style="391" hidden="1" customWidth="1"/>
    <col min="5643" max="5644" width="18.85546875" style="391" bestFit="1" customWidth="1"/>
    <col min="5645" max="5645" width="15.140625" style="391" bestFit="1" customWidth="1"/>
    <col min="5646" max="5887" width="11.42578125" style="391"/>
    <col min="5888" max="5888" width="60.28515625" style="391" bestFit="1" customWidth="1"/>
    <col min="5889" max="5890" width="21" style="391" bestFit="1" customWidth="1"/>
    <col min="5891" max="5891" width="20.7109375" style="391" bestFit="1" customWidth="1"/>
    <col min="5892" max="5898" width="0" style="391" hidden="1" customWidth="1"/>
    <col min="5899" max="5900" width="18.85546875" style="391" bestFit="1" customWidth="1"/>
    <col min="5901" max="5901" width="15.140625" style="391" bestFit="1" customWidth="1"/>
    <col min="5902" max="6143" width="11.42578125" style="391"/>
    <col min="6144" max="6144" width="60.28515625" style="391" bestFit="1" customWidth="1"/>
    <col min="6145" max="6146" width="21" style="391" bestFit="1" customWidth="1"/>
    <col min="6147" max="6147" width="20.7109375" style="391" bestFit="1" customWidth="1"/>
    <col min="6148" max="6154" width="0" style="391" hidden="1" customWidth="1"/>
    <col min="6155" max="6156" width="18.85546875" style="391" bestFit="1" customWidth="1"/>
    <col min="6157" max="6157" width="15.140625" style="391" bestFit="1" customWidth="1"/>
    <col min="6158" max="6399" width="11.42578125" style="391"/>
    <col min="6400" max="6400" width="60.28515625" style="391" bestFit="1" customWidth="1"/>
    <col min="6401" max="6402" width="21" style="391" bestFit="1" customWidth="1"/>
    <col min="6403" max="6403" width="20.7109375" style="391" bestFit="1" customWidth="1"/>
    <col min="6404" max="6410" width="0" style="391" hidden="1" customWidth="1"/>
    <col min="6411" max="6412" width="18.85546875" style="391" bestFit="1" customWidth="1"/>
    <col min="6413" max="6413" width="15.140625" style="391" bestFit="1" customWidth="1"/>
    <col min="6414" max="6655" width="11.42578125" style="391"/>
    <col min="6656" max="6656" width="60.28515625" style="391" bestFit="1" customWidth="1"/>
    <col min="6657" max="6658" width="21" style="391" bestFit="1" customWidth="1"/>
    <col min="6659" max="6659" width="20.7109375" style="391" bestFit="1" customWidth="1"/>
    <col min="6660" max="6666" width="0" style="391" hidden="1" customWidth="1"/>
    <col min="6667" max="6668" width="18.85546875" style="391" bestFit="1" customWidth="1"/>
    <col min="6669" max="6669" width="15.140625" style="391" bestFit="1" customWidth="1"/>
    <col min="6670" max="6911" width="11.42578125" style="391"/>
    <col min="6912" max="6912" width="60.28515625" style="391" bestFit="1" customWidth="1"/>
    <col min="6913" max="6914" width="21" style="391" bestFit="1" customWidth="1"/>
    <col min="6915" max="6915" width="20.7109375" style="391" bestFit="1" customWidth="1"/>
    <col min="6916" max="6922" width="0" style="391" hidden="1" customWidth="1"/>
    <col min="6923" max="6924" width="18.85546875" style="391" bestFit="1" customWidth="1"/>
    <col min="6925" max="6925" width="15.140625" style="391" bestFit="1" customWidth="1"/>
    <col min="6926" max="7167" width="11.42578125" style="391"/>
    <col min="7168" max="7168" width="60.28515625" style="391" bestFit="1" customWidth="1"/>
    <col min="7169" max="7170" width="21" style="391" bestFit="1" customWidth="1"/>
    <col min="7171" max="7171" width="20.7109375" style="391" bestFit="1" customWidth="1"/>
    <col min="7172" max="7178" width="0" style="391" hidden="1" customWidth="1"/>
    <col min="7179" max="7180" width="18.85546875" style="391" bestFit="1" customWidth="1"/>
    <col min="7181" max="7181" width="15.140625" style="391" bestFit="1" customWidth="1"/>
    <col min="7182" max="7423" width="11.42578125" style="391"/>
    <col min="7424" max="7424" width="60.28515625" style="391" bestFit="1" customWidth="1"/>
    <col min="7425" max="7426" width="21" style="391" bestFit="1" customWidth="1"/>
    <col min="7427" max="7427" width="20.7109375" style="391" bestFit="1" customWidth="1"/>
    <col min="7428" max="7434" width="0" style="391" hidden="1" customWidth="1"/>
    <col min="7435" max="7436" width="18.85546875" style="391" bestFit="1" customWidth="1"/>
    <col min="7437" max="7437" width="15.140625" style="391" bestFit="1" customWidth="1"/>
    <col min="7438" max="7679" width="11.42578125" style="391"/>
    <col min="7680" max="7680" width="60.28515625" style="391" bestFit="1" customWidth="1"/>
    <col min="7681" max="7682" width="21" style="391" bestFit="1" customWidth="1"/>
    <col min="7683" max="7683" width="20.7109375" style="391" bestFit="1" customWidth="1"/>
    <col min="7684" max="7690" width="0" style="391" hidden="1" customWidth="1"/>
    <col min="7691" max="7692" width="18.85546875" style="391" bestFit="1" customWidth="1"/>
    <col min="7693" max="7693" width="15.140625" style="391" bestFit="1" customWidth="1"/>
    <col min="7694" max="7935" width="11.42578125" style="391"/>
    <col min="7936" max="7936" width="60.28515625" style="391" bestFit="1" customWidth="1"/>
    <col min="7937" max="7938" width="21" style="391" bestFit="1" customWidth="1"/>
    <col min="7939" max="7939" width="20.7109375" style="391" bestFit="1" customWidth="1"/>
    <col min="7940" max="7946" width="0" style="391" hidden="1" customWidth="1"/>
    <col min="7947" max="7948" width="18.85546875" style="391" bestFit="1" customWidth="1"/>
    <col min="7949" max="7949" width="15.140625" style="391" bestFit="1" customWidth="1"/>
    <col min="7950" max="8191" width="11.42578125" style="391"/>
    <col min="8192" max="8192" width="60.28515625" style="391" bestFit="1" customWidth="1"/>
    <col min="8193" max="8194" width="21" style="391" bestFit="1" customWidth="1"/>
    <col min="8195" max="8195" width="20.7109375" style="391" bestFit="1" customWidth="1"/>
    <col min="8196" max="8202" width="0" style="391" hidden="1" customWidth="1"/>
    <col min="8203" max="8204" width="18.85546875" style="391" bestFit="1" customWidth="1"/>
    <col min="8205" max="8205" width="15.140625" style="391" bestFit="1" customWidth="1"/>
    <col min="8206" max="8447" width="11.42578125" style="391"/>
    <col min="8448" max="8448" width="60.28515625" style="391" bestFit="1" customWidth="1"/>
    <col min="8449" max="8450" width="21" style="391" bestFit="1" customWidth="1"/>
    <col min="8451" max="8451" width="20.7109375" style="391" bestFit="1" customWidth="1"/>
    <col min="8452" max="8458" width="0" style="391" hidden="1" customWidth="1"/>
    <col min="8459" max="8460" width="18.85546875" style="391" bestFit="1" customWidth="1"/>
    <col min="8461" max="8461" width="15.140625" style="391" bestFit="1" customWidth="1"/>
    <col min="8462" max="8703" width="11.42578125" style="391"/>
    <col min="8704" max="8704" width="60.28515625" style="391" bestFit="1" customWidth="1"/>
    <col min="8705" max="8706" width="21" style="391" bestFit="1" customWidth="1"/>
    <col min="8707" max="8707" width="20.7109375" style="391" bestFit="1" customWidth="1"/>
    <col min="8708" max="8714" width="0" style="391" hidden="1" customWidth="1"/>
    <col min="8715" max="8716" width="18.85546875" style="391" bestFit="1" customWidth="1"/>
    <col min="8717" max="8717" width="15.140625" style="391" bestFit="1" customWidth="1"/>
    <col min="8718" max="8959" width="11.42578125" style="391"/>
    <col min="8960" max="8960" width="60.28515625" style="391" bestFit="1" customWidth="1"/>
    <col min="8961" max="8962" width="21" style="391" bestFit="1" customWidth="1"/>
    <col min="8963" max="8963" width="20.7109375" style="391" bestFit="1" customWidth="1"/>
    <col min="8964" max="8970" width="0" style="391" hidden="1" customWidth="1"/>
    <col min="8971" max="8972" width="18.85546875" style="391" bestFit="1" customWidth="1"/>
    <col min="8973" max="8973" width="15.140625" style="391" bestFit="1" customWidth="1"/>
    <col min="8974" max="9215" width="11.42578125" style="391"/>
    <col min="9216" max="9216" width="60.28515625" style="391" bestFit="1" customWidth="1"/>
    <col min="9217" max="9218" width="21" style="391" bestFit="1" customWidth="1"/>
    <col min="9219" max="9219" width="20.7109375" style="391" bestFit="1" customWidth="1"/>
    <col min="9220" max="9226" width="0" style="391" hidden="1" customWidth="1"/>
    <col min="9227" max="9228" width="18.85546875" style="391" bestFit="1" customWidth="1"/>
    <col min="9229" max="9229" width="15.140625" style="391" bestFit="1" customWidth="1"/>
    <col min="9230" max="9471" width="11.42578125" style="391"/>
    <col min="9472" max="9472" width="60.28515625" style="391" bestFit="1" customWidth="1"/>
    <col min="9473" max="9474" width="21" style="391" bestFit="1" customWidth="1"/>
    <col min="9475" max="9475" width="20.7109375" style="391" bestFit="1" customWidth="1"/>
    <col min="9476" max="9482" width="0" style="391" hidden="1" customWidth="1"/>
    <col min="9483" max="9484" width="18.85546875" style="391" bestFit="1" customWidth="1"/>
    <col min="9485" max="9485" width="15.140625" style="391" bestFit="1" customWidth="1"/>
    <col min="9486" max="9727" width="11.42578125" style="391"/>
    <col min="9728" max="9728" width="60.28515625" style="391" bestFit="1" customWidth="1"/>
    <col min="9729" max="9730" width="21" style="391" bestFit="1" customWidth="1"/>
    <col min="9731" max="9731" width="20.7109375" style="391" bestFit="1" customWidth="1"/>
    <col min="9732" max="9738" width="0" style="391" hidden="1" customWidth="1"/>
    <col min="9739" max="9740" width="18.85546875" style="391" bestFit="1" customWidth="1"/>
    <col min="9741" max="9741" width="15.140625" style="391" bestFit="1" customWidth="1"/>
    <col min="9742" max="9983" width="11.42578125" style="391"/>
    <col min="9984" max="9984" width="60.28515625" style="391" bestFit="1" customWidth="1"/>
    <col min="9985" max="9986" width="21" style="391" bestFit="1" customWidth="1"/>
    <col min="9987" max="9987" width="20.7109375" style="391" bestFit="1" customWidth="1"/>
    <col min="9988" max="9994" width="0" style="391" hidden="1" customWidth="1"/>
    <col min="9995" max="9996" width="18.85546875" style="391" bestFit="1" customWidth="1"/>
    <col min="9997" max="9997" width="15.140625" style="391" bestFit="1" customWidth="1"/>
    <col min="9998" max="10239" width="11.42578125" style="391"/>
    <col min="10240" max="10240" width="60.28515625" style="391" bestFit="1" customWidth="1"/>
    <col min="10241" max="10242" width="21" style="391" bestFit="1" customWidth="1"/>
    <col min="10243" max="10243" width="20.7109375" style="391" bestFit="1" customWidth="1"/>
    <col min="10244" max="10250" width="0" style="391" hidden="1" customWidth="1"/>
    <col min="10251" max="10252" width="18.85546875" style="391" bestFit="1" customWidth="1"/>
    <col min="10253" max="10253" width="15.140625" style="391" bestFit="1" customWidth="1"/>
    <col min="10254" max="10495" width="11.42578125" style="391"/>
    <col min="10496" max="10496" width="60.28515625" style="391" bestFit="1" customWidth="1"/>
    <col min="10497" max="10498" width="21" style="391" bestFit="1" customWidth="1"/>
    <col min="10499" max="10499" width="20.7109375" style="391" bestFit="1" customWidth="1"/>
    <col min="10500" max="10506" width="0" style="391" hidden="1" customWidth="1"/>
    <col min="10507" max="10508" width="18.85546875" style="391" bestFit="1" customWidth="1"/>
    <col min="10509" max="10509" width="15.140625" style="391" bestFit="1" customWidth="1"/>
    <col min="10510" max="10751" width="11.42578125" style="391"/>
    <col min="10752" max="10752" width="60.28515625" style="391" bestFit="1" customWidth="1"/>
    <col min="10753" max="10754" width="21" style="391" bestFit="1" customWidth="1"/>
    <col min="10755" max="10755" width="20.7109375" style="391" bestFit="1" customWidth="1"/>
    <col min="10756" max="10762" width="0" style="391" hidden="1" customWidth="1"/>
    <col min="10763" max="10764" width="18.85546875" style="391" bestFit="1" customWidth="1"/>
    <col min="10765" max="10765" width="15.140625" style="391" bestFit="1" customWidth="1"/>
    <col min="10766" max="11007" width="11.42578125" style="391"/>
    <col min="11008" max="11008" width="60.28515625" style="391" bestFit="1" customWidth="1"/>
    <col min="11009" max="11010" width="21" style="391" bestFit="1" customWidth="1"/>
    <col min="11011" max="11011" width="20.7109375" style="391" bestFit="1" customWidth="1"/>
    <col min="11012" max="11018" width="0" style="391" hidden="1" customWidth="1"/>
    <col min="11019" max="11020" width="18.85546875" style="391" bestFit="1" customWidth="1"/>
    <col min="11021" max="11021" width="15.140625" style="391" bestFit="1" customWidth="1"/>
    <col min="11022" max="11263" width="11.42578125" style="391"/>
    <col min="11264" max="11264" width="60.28515625" style="391" bestFit="1" customWidth="1"/>
    <col min="11265" max="11266" width="21" style="391" bestFit="1" customWidth="1"/>
    <col min="11267" max="11267" width="20.7109375" style="391" bestFit="1" customWidth="1"/>
    <col min="11268" max="11274" width="0" style="391" hidden="1" customWidth="1"/>
    <col min="11275" max="11276" width="18.85546875" style="391" bestFit="1" customWidth="1"/>
    <col min="11277" max="11277" width="15.140625" style="391" bestFit="1" customWidth="1"/>
    <col min="11278" max="11519" width="11.42578125" style="391"/>
    <col min="11520" max="11520" width="60.28515625" style="391" bestFit="1" customWidth="1"/>
    <col min="11521" max="11522" width="21" style="391" bestFit="1" customWidth="1"/>
    <col min="11523" max="11523" width="20.7109375" style="391" bestFit="1" customWidth="1"/>
    <col min="11524" max="11530" width="0" style="391" hidden="1" customWidth="1"/>
    <col min="11531" max="11532" width="18.85546875" style="391" bestFit="1" customWidth="1"/>
    <col min="11533" max="11533" width="15.140625" style="391" bestFit="1" customWidth="1"/>
    <col min="11534" max="11775" width="11.42578125" style="391"/>
    <col min="11776" max="11776" width="60.28515625" style="391" bestFit="1" customWidth="1"/>
    <col min="11777" max="11778" width="21" style="391" bestFit="1" customWidth="1"/>
    <col min="11779" max="11779" width="20.7109375" style="391" bestFit="1" customWidth="1"/>
    <col min="11780" max="11786" width="0" style="391" hidden="1" customWidth="1"/>
    <col min="11787" max="11788" width="18.85546875" style="391" bestFit="1" customWidth="1"/>
    <col min="11789" max="11789" width="15.140625" style="391" bestFit="1" customWidth="1"/>
    <col min="11790" max="12031" width="11.42578125" style="391"/>
    <col min="12032" max="12032" width="60.28515625" style="391" bestFit="1" customWidth="1"/>
    <col min="12033" max="12034" width="21" style="391" bestFit="1" customWidth="1"/>
    <col min="12035" max="12035" width="20.7109375" style="391" bestFit="1" customWidth="1"/>
    <col min="12036" max="12042" width="0" style="391" hidden="1" customWidth="1"/>
    <col min="12043" max="12044" width="18.85546875" style="391" bestFit="1" customWidth="1"/>
    <col min="12045" max="12045" width="15.140625" style="391" bestFit="1" customWidth="1"/>
    <col min="12046" max="12287" width="11.42578125" style="391"/>
    <col min="12288" max="12288" width="60.28515625" style="391" bestFit="1" customWidth="1"/>
    <col min="12289" max="12290" width="21" style="391" bestFit="1" customWidth="1"/>
    <col min="12291" max="12291" width="20.7109375" style="391" bestFit="1" customWidth="1"/>
    <col min="12292" max="12298" width="0" style="391" hidden="1" customWidth="1"/>
    <col min="12299" max="12300" width="18.85546875" style="391" bestFit="1" customWidth="1"/>
    <col min="12301" max="12301" width="15.140625" style="391" bestFit="1" customWidth="1"/>
    <col min="12302" max="12543" width="11.42578125" style="391"/>
    <col min="12544" max="12544" width="60.28515625" style="391" bestFit="1" customWidth="1"/>
    <col min="12545" max="12546" width="21" style="391" bestFit="1" customWidth="1"/>
    <col min="12547" max="12547" width="20.7109375" style="391" bestFit="1" customWidth="1"/>
    <col min="12548" max="12554" width="0" style="391" hidden="1" customWidth="1"/>
    <col min="12555" max="12556" width="18.85546875" style="391" bestFit="1" customWidth="1"/>
    <col min="12557" max="12557" width="15.140625" style="391" bestFit="1" customWidth="1"/>
    <col min="12558" max="12799" width="11.42578125" style="391"/>
    <col min="12800" max="12800" width="60.28515625" style="391" bestFit="1" customWidth="1"/>
    <col min="12801" max="12802" width="21" style="391" bestFit="1" customWidth="1"/>
    <col min="12803" max="12803" width="20.7109375" style="391" bestFit="1" customWidth="1"/>
    <col min="12804" max="12810" width="0" style="391" hidden="1" customWidth="1"/>
    <col min="12811" max="12812" width="18.85546875" style="391" bestFit="1" customWidth="1"/>
    <col min="12813" max="12813" width="15.140625" style="391" bestFit="1" customWidth="1"/>
    <col min="12814" max="13055" width="11.42578125" style="391"/>
    <col min="13056" max="13056" width="60.28515625" style="391" bestFit="1" customWidth="1"/>
    <col min="13057" max="13058" width="21" style="391" bestFit="1" customWidth="1"/>
    <col min="13059" max="13059" width="20.7109375" style="391" bestFit="1" customWidth="1"/>
    <col min="13060" max="13066" width="0" style="391" hidden="1" customWidth="1"/>
    <col min="13067" max="13068" width="18.85546875" style="391" bestFit="1" customWidth="1"/>
    <col min="13069" max="13069" width="15.140625" style="391" bestFit="1" customWidth="1"/>
    <col min="13070" max="13311" width="11.42578125" style="391"/>
    <col min="13312" max="13312" width="60.28515625" style="391" bestFit="1" customWidth="1"/>
    <col min="13313" max="13314" width="21" style="391" bestFit="1" customWidth="1"/>
    <col min="13315" max="13315" width="20.7109375" style="391" bestFit="1" customWidth="1"/>
    <col min="13316" max="13322" width="0" style="391" hidden="1" customWidth="1"/>
    <col min="13323" max="13324" width="18.85546875" style="391" bestFit="1" customWidth="1"/>
    <col min="13325" max="13325" width="15.140625" style="391" bestFit="1" customWidth="1"/>
    <col min="13326" max="13567" width="11.42578125" style="391"/>
    <col min="13568" max="13568" width="60.28515625" style="391" bestFit="1" customWidth="1"/>
    <col min="13569" max="13570" width="21" style="391" bestFit="1" customWidth="1"/>
    <col min="13571" max="13571" width="20.7109375" style="391" bestFit="1" customWidth="1"/>
    <col min="13572" max="13578" width="0" style="391" hidden="1" customWidth="1"/>
    <col min="13579" max="13580" width="18.85546875" style="391" bestFit="1" customWidth="1"/>
    <col min="13581" max="13581" width="15.140625" style="391" bestFit="1" customWidth="1"/>
    <col min="13582" max="13823" width="11.42578125" style="391"/>
    <col min="13824" max="13824" width="60.28515625" style="391" bestFit="1" customWidth="1"/>
    <col min="13825" max="13826" width="21" style="391" bestFit="1" customWidth="1"/>
    <col min="13827" max="13827" width="20.7109375" style="391" bestFit="1" customWidth="1"/>
    <col min="13828" max="13834" width="0" style="391" hidden="1" customWidth="1"/>
    <col min="13835" max="13836" width="18.85546875" style="391" bestFit="1" customWidth="1"/>
    <col min="13837" max="13837" width="15.140625" style="391" bestFit="1" customWidth="1"/>
    <col min="13838" max="14079" width="11.42578125" style="391"/>
    <col min="14080" max="14080" width="60.28515625" style="391" bestFit="1" customWidth="1"/>
    <col min="14081" max="14082" width="21" style="391" bestFit="1" customWidth="1"/>
    <col min="14083" max="14083" width="20.7109375" style="391" bestFit="1" customWidth="1"/>
    <col min="14084" max="14090" width="0" style="391" hidden="1" customWidth="1"/>
    <col min="14091" max="14092" width="18.85546875" style="391" bestFit="1" customWidth="1"/>
    <col min="14093" max="14093" width="15.140625" style="391" bestFit="1" customWidth="1"/>
    <col min="14094" max="14335" width="11.42578125" style="391"/>
    <col min="14336" max="14336" width="60.28515625" style="391" bestFit="1" customWidth="1"/>
    <col min="14337" max="14338" width="21" style="391" bestFit="1" customWidth="1"/>
    <col min="14339" max="14339" width="20.7109375" style="391" bestFit="1" customWidth="1"/>
    <col min="14340" max="14346" width="0" style="391" hidden="1" customWidth="1"/>
    <col min="14347" max="14348" width="18.85546875" style="391" bestFit="1" customWidth="1"/>
    <col min="14349" max="14349" width="15.140625" style="391" bestFit="1" customWidth="1"/>
    <col min="14350" max="14591" width="11.42578125" style="391"/>
    <col min="14592" max="14592" width="60.28515625" style="391" bestFit="1" customWidth="1"/>
    <col min="14593" max="14594" width="21" style="391" bestFit="1" customWidth="1"/>
    <col min="14595" max="14595" width="20.7109375" style="391" bestFit="1" customWidth="1"/>
    <col min="14596" max="14602" width="0" style="391" hidden="1" customWidth="1"/>
    <col min="14603" max="14604" width="18.85546875" style="391" bestFit="1" customWidth="1"/>
    <col min="14605" max="14605" width="15.140625" style="391" bestFit="1" customWidth="1"/>
    <col min="14606" max="14847" width="11.42578125" style="391"/>
    <col min="14848" max="14848" width="60.28515625" style="391" bestFit="1" customWidth="1"/>
    <col min="14849" max="14850" width="21" style="391" bestFit="1" customWidth="1"/>
    <col min="14851" max="14851" width="20.7109375" style="391" bestFit="1" customWidth="1"/>
    <col min="14852" max="14858" width="0" style="391" hidden="1" customWidth="1"/>
    <col min="14859" max="14860" width="18.85546875" style="391" bestFit="1" customWidth="1"/>
    <col min="14861" max="14861" width="15.140625" style="391" bestFit="1" customWidth="1"/>
    <col min="14862" max="15103" width="11.42578125" style="391"/>
    <col min="15104" max="15104" width="60.28515625" style="391" bestFit="1" customWidth="1"/>
    <col min="15105" max="15106" width="21" style="391" bestFit="1" customWidth="1"/>
    <col min="15107" max="15107" width="20.7109375" style="391" bestFit="1" customWidth="1"/>
    <col min="15108" max="15114" width="0" style="391" hidden="1" customWidth="1"/>
    <col min="15115" max="15116" width="18.85546875" style="391" bestFit="1" customWidth="1"/>
    <col min="15117" max="15117" width="15.140625" style="391" bestFit="1" customWidth="1"/>
    <col min="15118" max="15359" width="11.42578125" style="391"/>
    <col min="15360" max="15360" width="60.28515625" style="391" bestFit="1" customWidth="1"/>
    <col min="15361" max="15362" width="21" style="391" bestFit="1" customWidth="1"/>
    <col min="15363" max="15363" width="20.7109375" style="391" bestFit="1" customWidth="1"/>
    <col min="15364" max="15370" width="0" style="391" hidden="1" customWidth="1"/>
    <col min="15371" max="15372" width="18.85546875" style="391" bestFit="1" customWidth="1"/>
    <col min="15373" max="15373" width="15.140625" style="391" bestFit="1" customWidth="1"/>
    <col min="15374" max="15615" width="11.42578125" style="391"/>
    <col min="15616" max="15616" width="60.28515625" style="391" bestFit="1" customWidth="1"/>
    <col min="15617" max="15618" width="21" style="391" bestFit="1" customWidth="1"/>
    <col min="15619" max="15619" width="20.7109375" style="391" bestFit="1" customWidth="1"/>
    <col min="15620" max="15626" width="0" style="391" hidden="1" customWidth="1"/>
    <col min="15627" max="15628" width="18.85546875" style="391" bestFit="1" customWidth="1"/>
    <col min="15629" max="15629" width="15.140625" style="391" bestFit="1" customWidth="1"/>
    <col min="15630" max="15871" width="11.42578125" style="391"/>
    <col min="15872" max="15872" width="60.28515625" style="391" bestFit="1" customWidth="1"/>
    <col min="15873" max="15874" width="21" style="391" bestFit="1" customWidth="1"/>
    <col min="15875" max="15875" width="20.7109375" style="391" bestFit="1" customWidth="1"/>
    <col min="15876" max="15882" width="0" style="391" hidden="1" customWidth="1"/>
    <col min="15883" max="15884" width="18.85546875" style="391" bestFit="1" customWidth="1"/>
    <col min="15885" max="15885" width="15.140625" style="391" bestFit="1" customWidth="1"/>
    <col min="15886" max="16127" width="11.42578125" style="391"/>
    <col min="16128" max="16128" width="60.28515625" style="391" bestFit="1" customWidth="1"/>
    <col min="16129" max="16130" width="21" style="391" bestFit="1" customWidth="1"/>
    <col min="16131" max="16131" width="20.7109375" style="391" bestFit="1" customWidth="1"/>
    <col min="16132" max="16138" width="0" style="391" hidden="1" customWidth="1"/>
    <col min="16139" max="16140" width="18.85546875" style="391" bestFit="1" customWidth="1"/>
    <col min="16141" max="16141" width="15.140625" style="391" bestFit="1" customWidth="1"/>
    <col min="16142" max="16384" width="11.42578125" style="391"/>
  </cols>
  <sheetData>
    <row r="1" spans="1:13" ht="78" x14ac:dyDescent="0.2">
      <c r="A1" s="958" t="s">
        <v>1929</v>
      </c>
      <c r="B1" s="958">
        <v>2022</v>
      </c>
      <c r="C1" s="958">
        <v>2023</v>
      </c>
    </row>
    <row r="2" spans="1:13" ht="19.5" x14ac:dyDescent="0.2">
      <c r="A2" s="1727"/>
      <c r="B2" s="1728"/>
    </row>
    <row r="3" spans="1:13" ht="15" hidden="1" x14ac:dyDescent="0.2">
      <c r="A3" s="392" t="s">
        <v>1843</v>
      </c>
      <c r="B3" s="392">
        <v>3162607596</v>
      </c>
      <c r="C3" s="390">
        <f>+'F y U 2022 Incremento Salarial'!C131</f>
        <v>3769319014</v>
      </c>
      <c r="K3" s="410">
        <f>+'F y U 2022 Incremento Salarial'!C131</f>
        <v>3769319014</v>
      </c>
    </row>
    <row r="4" spans="1:13" ht="15" hidden="1" x14ac:dyDescent="0.2">
      <c r="A4" s="392" t="s">
        <v>1930</v>
      </c>
      <c r="B4" s="392">
        <v>3094984325.7410383</v>
      </c>
      <c r="C4" s="390">
        <f>+'F y U 2022 Incremento Salarial'!C132</f>
        <v>2783196563.8610001</v>
      </c>
      <c r="K4" s="410">
        <f>+'F y U 2022 Incremento Salarial'!C132</f>
        <v>2783196563.8610001</v>
      </c>
    </row>
    <row r="5" spans="1:13" ht="15" hidden="1" x14ac:dyDescent="0.2">
      <c r="A5" s="392" t="s">
        <v>1931</v>
      </c>
      <c r="B5" s="392">
        <v>561606231</v>
      </c>
      <c r="C5" s="390">
        <f>+'F y U 2022 Incremento Salarial'!C133</f>
        <v>580088442</v>
      </c>
      <c r="K5" s="410">
        <f>+'F y U 2022 Incremento Salarial'!C133</f>
        <v>580088442</v>
      </c>
    </row>
    <row r="6" spans="1:13" ht="15" hidden="1" x14ac:dyDescent="0.2">
      <c r="A6" s="392" t="s">
        <v>1932</v>
      </c>
      <c r="B6" s="392">
        <v>49806517044.222534</v>
      </c>
      <c r="C6" s="390">
        <f>+'F y U 2022 Incremento Salarial'!C134+2</f>
        <v>40179225584</v>
      </c>
      <c r="K6" s="410">
        <f>+'F y U 2022 Incremento Salarial'!C134</f>
        <v>40179225582</v>
      </c>
    </row>
    <row r="7" spans="1:13" hidden="1" x14ac:dyDescent="0.2">
      <c r="A7" s="393" t="s">
        <v>1933</v>
      </c>
      <c r="B7" s="394">
        <f>+B6+B5+B4+B3</f>
        <v>56625715196.96357</v>
      </c>
      <c r="C7" s="394">
        <f>+C6+C5+C4+C3</f>
        <v>47311829603.861</v>
      </c>
      <c r="F7" s="395"/>
    </row>
    <row r="8" spans="1:13" ht="15" hidden="1" x14ac:dyDescent="0.2">
      <c r="A8" s="396" t="s">
        <v>1934</v>
      </c>
      <c r="B8" s="396">
        <v>1375178644.6444929</v>
      </c>
      <c r="C8" s="618">
        <f>+'F y U 2022 Presupuesto'!E23+'F y U 2022 Presupuesto'!E55</f>
        <v>1411821508.6000001</v>
      </c>
      <c r="F8" s="390"/>
      <c r="K8" s="410">
        <f>+'F y U 2022 Incremento Salarial'!E23+'F y U 2022 Incremento Salarial'!E58</f>
        <v>1411821509</v>
      </c>
    </row>
    <row r="9" spans="1:13" ht="15" hidden="1" x14ac:dyDescent="0.2">
      <c r="A9" s="396" t="s">
        <v>1935</v>
      </c>
      <c r="B9" s="396">
        <v>367964989.9518804</v>
      </c>
      <c r="C9" s="618">
        <f>+'F y U 2022 Presupuesto'!E25+'F y U 2022 Presupuesto'!E56</f>
        <v>348951359.91000003</v>
      </c>
      <c r="K9" s="410">
        <f>+'F y U 2022 Incremento Salarial'!E25+'F y U 2022 Incremento Salarial'!E59</f>
        <v>348951360</v>
      </c>
      <c r="L9" s="410"/>
      <c r="M9" s="398"/>
    </row>
    <row r="10" spans="1:13" ht="15" hidden="1" x14ac:dyDescent="0.2">
      <c r="A10" s="396" t="s">
        <v>1936</v>
      </c>
      <c r="B10" s="396">
        <v>881634893.373667</v>
      </c>
      <c r="C10" s="618">
        <f>+'F y U 2022 Presupuesto'!E31+'F y U 2022 Presupuesto'!E62</f>
        <v>848604744.59452009</v>
      </c>
      <c r="K10" s="410">
        <f>+'F y U 2022 Incremento Salarial'!E31+'F y U 2022 Incremento Salarial'!E65</f>
        <v>848604745</v>
      </c>
    </row>
    <row r="11" spans="1:13" ht="15" hidden="1" x14ac:dyDescent="0.2">
      <c r="A11" s="396" t="s">
        <v>1937</v>
      </c>
      <c r="B11" s="396">
        <v>7051715200.7532034</v>
      </c>
      <c r="C11" s="618">
        <f>+'F y U 2022 Presupuesto'!E35+'F y U 2022 Presupuesto'!E65</f>
        <v>7302991107</v>
      </c>
      <c r="K11" s="410">
        <f>+'F y U 2022 Incremento Salarial'!E35+'F y U 2022 Incremento Salarial'!E68</f>
        <v>7302991107</v>
      </c>
    </row>
    <row r="12" spans="1:13" ht="15" hidden="1" x14ac:dyDescent="0.2">
      <c r="A12" s="396" t="s">
        <v>1938</v>
      </c>
      <c r="B12" s="396"/>
      <c r="C12" s="618">
        <f>+'F y U 2022 Incremento Salarial'!C136</f>
        <v>7448431839</v>
      </c>
      <c r="K12" s="410">
        <f>+'F y U 2022 Incremento Salarial'!C136</f>
        <v>7448431839</v>
      </c>
    </row>
    <row r="13" spans="1:13" ht="15" hidden="1" x14ac:dyDescent="0.2">
      <c r="A13" s="396" t="s">
        <v>1939</v>
      </c>
      <c r="B13" s="396"/>
      <c r="C13" s="618">
        <f>+'F y U 2022 Incremento Salarial'!C135</f>
        <v>1000000000</v>
      </c>
    </row>
    <row r="14" spans="1:13" ht="15" hidden="1" x14ac:dyDescent="0.2">
      <c r="A14" s="396" t="s">
        <v>1940</v>
      </c>
      <c r="B14" s="396">
        <v>2227322217.5984659</v>
      </c>
      <c r="C14" s="618">
        <f>+'F y U 2022 Presupuesto'!E9</f>
        <v>3526815135.1260004</v>
      </c>
      <c r="D14" s="395">
        <v>63248193730.109245</v>
      </c>
      <c r="F14" s="397">
        <v>6257591921.7410383</v>
      </c>
      <c r="G14" s="398" t="e">
        <v>#REF!</v>
      </c>
      <c r="K14" s="410">
        <f>+'F y U 2022 Incremento Salarial'!E9</f>
        <v>3526815135</v>
      </c>
    </row>
    <row r="15" spans="1:13" ht="15" hidden="1" x14ac:dyDescent="0.2">
      <c r="A15" s="396" t="s">
        <v>1941</v>
      </c>
      <c r="B15" s="396">
        <v>1662180759.4018402</v>
      </c>
      <c r="C15" s="618">
        <f>+'F y U 2022 Presupuesto'!E12</f>
        <v>1763407567.5630002</v>
      </c>
      <c r="D15" s="399" t="e">
        <v>#REF!</v>
      </c>
      <c r="E15" s="390" t="e">
        <v>#REF!</v>
      </c>
      <c r="F15" s="390" t="e">
        <v>#REF!</v>
      </c>
      <c r="K15" s="410">
        <f>+'F y U 2022 Incremento Salarial'!E12</f>
        <v>1763407568</v>
      </c>
    </row>
    <row r="16" spans="1:13" ht="15" hidden="1" x14ac:dyDescent="0.2">
      <c r="A16" s="396" t="s">
        <v>1942</v>
      </c>
      <c r="B16" s="396">
        <v>5730162847.5923834</v>
      </c>
      <c r="C16" s="618">
        <f>+'F y U 2022 Presupuesto'!C113</f>
        <v>8210602648.5533085</v>
      </c>
      <c r="D16" s="399">
        <v>18468875427.882301</v>
      </c>
      <c r="K16" s="410">
        <f>+'F y U 2022 Incremento Salarial'!C115</f>
        <v>8210602649</v>
      </c>
    </row>
    <row r="17" spans="1:13" ht="15" hidden="1" x14ac:dyDescent="0.2">
      <c r="A17" s="396" t="s">
        <v>1943</v>
      </c>
      <c r="B17" s="396">
        <v>10000000000</v>
      </c>
      <c r="C17" s="618">
        <f>+'F y U 2022 Presupuesto'!E32</f>
        <v>0</v>
      </c>
      <c r="D17" s="390" t="e">
        <v>#REF!</v>
      </c>
      <c r="F17" s="395">
        <v>7184084764.1456738</v>
      </c>
      <c r="J17" s="390" t="e">
        <v>#REF!</v>
      </c>
    </row>
    <row r="18" spans="1:13" ht="15" hidden="1" x14ac:dyDescent="0.2">
      <c r="A18" s="396" t="s">
        <v>1944</v>
      </c>
      <c r="B18" s="396">
        <v>598673730.34547281</v>
      </c>
      <c r="C18" s="618">
        <f>+'F y U 2022 Presupuesto'!C111</f>
        <v>608504542.4677316</v>
      </c>
      <c r="E18" s="390" t="e">
        <v>#REF!</v>
      </c>
      <c r="F18" s="395" t="e">
        <v>#REF!</v>
      </c>
      <c r="H18" s="395">
        <v>56064108965.96357</v>
      </c>
    </row>
    <row r="19" spans="1:13" ht="15" hidden="1" x14ac:dyDescent="0.2">
      <c r="A19" s="396" t="s">
        <v>1945</v>
      </c>
      <c r="B19" s="396">
        <v>863361084.91110301</v>
      </c>
      <c r="C19" s="618">
        <f>+'F y U 2022 Presupuesto'!E13+'F y U 2022 Presupuesto'!E16+'F y U 2022 Presupuesto'!E41+'F y U 2022 Presupuesto'!E34</f>
        <v>903150426.75185156</v>
      </c>
      <c r="D19" s="397">
        <v>0</v>
      </c>
      <c r="E19" s="390" t="e">
        <v>#REF!</v>
      </c>
      <c r="F19" s="398"/>
      <c r="H19" s="395" t="e">
        <v>#REF!</v>
      </c>
    </row>
    <row r="20" spans="1:13" ht="15" hidden="1" x14ac:dyDescent="0.2">
      <c r="A20" s="396" t="s">
        <v>1946</v>
      </c>
      <c r="B20" s="396">
        <v>855248186.20781827</v>
      </c>
      <c r="C20" s="618">
        <f>+'F y U 2022 Presupuesto'!C109</f>
        <v>869292203.52533078</v>
      </c>
      <c r="E20" s="390" t="e">
        <v>#REF!</v>
      </c>
    </row>
    <row r="21" spans="1:13" ht="15" hidden="1" x14ac:dyDescent="0.2">
      <c r="A21" s="396" t="s">
        <v>1947</v>
      </c>
      <c r="B21" s="396">
        <v>997308455.64110398</v>
      </c>
      <c r="C21" s="618">
        <f>+'F y U 2022 Presupuesto'!E11</f>
        <v>1058044540.5378001</v>
      </c>
      <c r="E21" s="390" t="e">
        <v>#REF!</v>
      </c>
    </row>
    <row r="22" spans="1:13" ht="15" hidden="1" x14ac:dyDescent="0.2">
      <c r="A22" s="396" t="s">
        <v>1948</v>
      </c>
      <c r="B22" s="396"/>
      <c r="C22" s="618">
        <v>1150000000</v>
      </c>
    </row>
    <row r="23" spans="1:13" ht="15" hidden="1" x14ac:dyDescent="0.2">
      <c r="A23" s="396" t="s">
        <v>1949</v>
      </c>
      <c r="B23" s="396">
        <v>1031383983.486022</v>
      </c>
      <c r="C23" s="618">
        <f>+'F y U 2022 Presupuesto'!E24</f>
        <v>2117009970.8999999</v>
      </c>
      <c r="D23" s="390"/>
      <c r="E23" s="390" t="e">
        <v>#REF!</v>
      </c>
      <c r="M23" s="395"/>
    </row>
    <row r="24" spans="1:13" hidden="1" x14ac:dyDescent="0.2">
      <c r="A24" s="393" t="s">
        <v>1933</v>
      </c>
      <c r="B24" s="394">
        <f>SUM(B8:B23)</f>
        <v>33642134993.907455</v>
      </c>
      <c r="C24" s="394">
        <f>SUM(C8:C23)</f>
        <v>38567627594.529549</v>
      </c>
      <c r="E24" s="390" t="e">
        <v>#REF!</v>
      </c>
      <c r="G24" s="391" t="s">
        <v>1950</v>
      </c>
      <c r="H24" s="391" t="s">
        <v>1951</v>
      </c>
      <c r="I24" s="391" t="s">
        <v>1952</v>
      </c>
      <c r="J24" s="390">
        <v>2066384000</v>
      </c>
    </row>
    <row r="25" spans="1:13" ht="15" x14ac:dyDescent="0.2">
      <c r="A25" s="959" t="s">
        <v>1953</v>
      </c>
      <c r="B25" s="959">
        <v>84624655480</v>
      </c>
      <c r="C25" s="959">
        <f>+'F Y U 2023 Prespupuesto'!C152</f>
        <v>126027587884.18413</v>
      </c>
      <c r="K25" s="410">
        <f>+'F y U 2022 Incremento Salarial'!C140</f>
        <v>85879457198.860992</v>
      </c>
      <c r="L25" s="398">
        <f>+K25-C25</f>
        <v>-40148130685.323135</v>
      </c>
    </row>
    <row r="26" spans="1:13" ht="15" x14ac:dyDescent="0.2">
      <c r="A26" s="1729"/>
      <c r="B26" s="1730"/>
    </row>
    <row r="27" spans="1:13" ht="15" x14ac:dyDescent="0.2">
      <c r="A27" s="959" t="s">
        <v>1854</v>
      </c>
      <c r="B27" s="959">
        <v>12057299351</v>
      </c>
      <c r="C27" s="959">
        <f>+'F Y U 2023 Prespupuesto'!C154</f>
        <v>9106158520.6152115</v>
      </c>
      <c r="D27" s="395"/>
      <c r="K27" s="410">
        <f>+'F y U 2022 Presupuesto'!C140</f>
        <v>-29660380</v>
      </c>
    </row>
    <row r="28" spans="1:13" ht="15" x14ac:dyDescent="0.2">
      <c r="A28" s="1729"/>
      <c r="B28" s="1730"/>
      <c r="D28" s="395"/>
      <c r="E28" s="390" t="e">
        <v>#REF!</v>
      </c>
      <c r="G28" s="391" t="s">
        <v>1954</v>
      </c>
      <c r="H28" s="391" t="s">
        <v>1955</v>
      </c>
      <c r="I28" s="391" t="s">
        <v>1952</v>
      </c>
      <c r="J28" s="390">
        <v>1455200000</v>
      </c>
    </row>
    <row r="29" spans="1:13" ht="15" x14ac:dyDescent="0.2">
      <c r="A29" s="959" t="s">
        <v>1861</v>
      </c>
      <c r="B29" s="959">
        <f>+B30+B31+B32</f>
        <v>267617824690.3606</v>
      </c>
      <c r="C29" s="959">
        <f>+C30+C31+C32</f>
        <v>285537748889.24841</v>
      </c>
      <c r="G29" s="391" t="s">
        <v>1956</v>
      </c>
      <c r="H29" s="391" t="s">
        <v>1957</v>
      </c>
      <c r="I29" s="391" t="s">
        <v>1952</v>
      </c>
      <c r="J29" s="390">
        <v>368957800</v>
      </c>
      <c r="K29" s="410">
        <f>+'F y U 2022 Presupuesto'!C145</f>
        <v>266748691820.76724</v>
      </c>
    </row>
    <row r="30" spans="1:13" ht="15.75" x14ac:dyDescent="0.25">
      <c r="A30" s="401" t="s">
        <v>1958</v>
      </c>
      <c r="B30" s="396">
        <v>18002584295</v>
      </c>
      <c r="C30" s="390">
        <f>+'F Y U 2023 Prespupuesto'!C158</f>
        <v>17373765410.631279</v>
      </c>
      <c r="D30" s="402"/>
      <c r="E30" s="402"/>
      <c r="F30" s="403"/>
      <c r="G30" s="403" t="s">
        <v>1959</v>
      </c>
      <c r="H30" s="403" t="s">
        <v>1960</v>
      </c>
      <c r="I30" s="403" t="s">
        <v>1952</v>
      </c>
      <c r="J30" s="402">
        <v>950380000</v>
      </c>
    </row>
    <row r="31" spans="1:13" ht="15.75" x14ac:dyDescent="0.25">
      <c r="A31" s="401" t="s">
        <v>1859</v>
      </c>
      <c r="B31" s="396">
        <v>19015345408.3606</v>
      </c>
      <c r="C31" s="390">
        <f>+'F Y U 2023 Prespupuesto'!C159</f>
        <v>23844683916.530983</v>
      </c>
      <c r="G31" s="391" t="s">
        <v>1961</v>
      </c>
      <c r="H31" s="391" t="s">
        <v>1962</v>
      </c>
      <c r="I31" s="391" t="s">
        <v>1952</v>
      </c>
      <c r="J31" s="390">
        <v>17046870586</v>
      </c>
    </row>
    <row r="32" spans="1:13" ht="15.75" x14ac:dyDescent="0.25">
      <c r="A32" s="401" t="s">
        <v>1860</v>
      </c>
      <c r="B32" s="396">
        <v>230599894987</v>
      </c>
      <c r="C32" s="390">
        <f>+'F Y U 2023 Prespupuesto'!C160</f>
        <v>244319299562.08615</v>
      </c>
      <c r="D32" s="397"/>
      <c r="G32" s="391" t="s">
        <v>1963</v>
      </c>
      <c r="H32" s="391" t="s">
        <v>1964</v>
      </c>
      <c r="I32" s="391" t="s">
        <v>1952</v>
      </c>
      <c r="J32" s="390">
        <v>1241900115</v>
      </c>
    </row>
    <row r="33" spans="1:14" ht="15.75" x14ac:dyDescent="0.25">
      <c r="A33" s="401"/>
      <c r="B33" s="396"/>
      <c r="D33" s="397"/>
    </row>
    <row r="34" spans="1:14" ht="45" x14ac:dyDescent="0.2">
      <c r="A34" s="960" t="s">
        <v>1965</v>
      </c>
      <c r="B34" s="959">
        <f>+B35+B36+B37</f>
        <v>0</v>
      </c>
      <c r="C34" s="959">
        <f>SUM(C35:C38)</f>
        <v>23841792250.77</v>
      </c>
      <c r="D34" s="397"/>
    </row>
    <row r="35" spans="1:14" ht="15" x14ac:dyDescent="0.2">
      <c r="A35" s="923" t="s">
        <v>1790</v>
      </c>
      <c r="B35" s="396">
        <v>0</v>
      </c>
      <c r="C35" s="390">
        <f>+'F Y U 2023 Prespupuesto'!E35</f>
        <v>11369530091.77</v>
      </c>
      <c r="D35" s="397"/>
    </row>
    <row r="36" spans="1:14" ht="15" x14ac:dyDescent="0.2">
      <c r="A36" s="923" t="s">
        <v>1791</v>
      </c>
      <c r="B36" s="396">
        <v>0</v>
      </c>
      <c r="C36" s="390">
        <f>+'F Y U 2023 Prespupuesto'!E36</f>
        <v>1114695320</v>
      </c>
      <c r="D36" s="397"/>
    </row>
    <row r="37" spans="1:14" ht="15" x14ac:dyDescent="0.2">
      <c r="A37" s="923" t="s">
        <v>1064</v>
      </c>
      <c r="B37" s="396">
        <v>0</v>
      </c>
      <c r="C37" s="390">
        <f>+'F Y U 2023 Prespupuesto'!E38</f>
        <v>3750000000</v>
      </c>
      <c r="D37" s="397"/>
    </row>
    <row r="38" spans="1:14" ht="15" x14ac:dyDescent="0.2">
      <c r="A38" s="379" t="s">
        <v>1966</v>
      </c>
      <c r="B38" s="396">
        <v>0</v>
      </c>
      <c r="C38" s="390">
        <f>+'F Y U 2023 Prespupuesto'!C148</f>
        <v>7607566839</v>
      </c>
      <c r="D38" s="397"/>
    </row>
    <row r="39" spans="1:14" ht="15" x14ac:dyDescent="0.2">
      <c r="A39" s="379"/>
      <c r="B39" s="396"/>
      <c r="D39" s="397"/>
    </row>
    <row r="40" spans="1:14" ht="30" x14ac:dyDescent="0.2">
      <c r="A40" s="960" t="s">
        <v>1967</v>
      </c>
      <c r="B40" s="959">
        <f>+B29+B35+B36+B37+B38</f>
        <v>267617824690.3606</v>
      </c>
      <c r="C40" s="959">
        <f>+C29+C35+C36+C37+C38</f>
        <v>309379541140.01843</v>
      </c>
      <c r="D40" s="397"/>
    </row>
    <row r="41" spans="1:14" ht="15" x14ac:dyDescent="0.2">
      <c r="A41" s="379"/>
      <c r="B41" s="396"/>
      <c r="D41" s="397"/>
    </row>
    <row r="42" spans="1:14" ht="15" x14ac:dyDescent="0.2">
      <c r="A42" s="379"/>
      <c r="B42" s="396"/>
      <c r="D42" s="397"/>
    </row>
    <row r="43" spans="1:14" ht="47.25" x14ac:dyDescent="0.2">
      <c r="A43" s="961" t="s">
        <v>1968</v>
      </c>
      <c r="B43" s="961">
        <f>+B29+B27+B25</f>
        <v>364299779521.3606</v>
      </c>
      <c r="C43" s="961">
        <f>+C29+C27+C25</f>
        <v>420671495294.04779</v>
      </c>
      <c r="D43" s="398"/>
      <c r="K43" s="410">
        <f>+'F y U 2022 Incremento Salarial'!C109</f>
        <v>364299779522.3606</v>
      </c>
      <c r="M43" s="410"/>
      <c r="N43" s="410"/>
    </row>
    <row r="44" spans="1:14" ht="15" x14ac:dyDescent="0.2">
      <c r="A44" s="405"/>
      <c r="B44" s="405"/>
      <c r="G44" s="391" t="s">
        <v>1969</v>
      </c>
      <c r="H44" s="391" t="s">
        <v>1970</v>
      </c>
      <c r="I44" s="391" t="s">
        <v>1952</v>
      </c>
      <c r="J44" s="390">
        <v>557045010</v>
      </c>
    </row>
    <row r="45" spans="1:14" ht="23.25" x14ac:dyDescent="0.35">
      <c r="A45" s="962" t="s">
        <v>1971</v>
      </c>
      <c r="B45" s="963"/>
      <c r="C45" s="963">
        <f>+C40/C43</f>
        <v>0.73544213145167658</v>
      </c>
      <c r="D45" s="407" t="e">
        <f t="shared" ref="D45:J45" si="0">+D29/D43</f>
        <v>#DIV/0!</v>
      </c>
      <c r="E45" s="407" t="e">
        <f t="shared" si="0"/>
        <v>#DIV/0!</v>
      </c>
      <c r="F45" s="407" t="e">
        <f t="shared" si="0"/>
        <v>#DIV/0!</v>
      </c>
      <c r="G45" s="407" t="e">
        <f t="shared" si="0"/>
        <v>#VALUE!</v>
      </c>
      <c r="H45" s="407" t="e">
        <f t="shared" si="0"/>
        <v>#VALUE!</v>
      </c>
      <c r="I45" s="407" t="e">
        <f t="shared" si="0"/>
        <v>#VALUE!</v>
      </c>
      <c r="J45" s="407" t="e">
        <f t="shared" si="0"/>
        <v>#DIV/0!</v>
      </c>
    </row>
    <row r="46" spans="1:14" ht="27" customHeight="1" x14ac:dyDescent="0.35">
      <c r="A46" s="962" t="s">
        <v>1972</v>
      </c>
      <c r="B46" s="963"/>
      <c r="C46" s="963">
        <f>+B29/B43</f>
        <v>0.73460880223966463</v>
      </c>
    </row>
    <row r="47" spans="1:14" ht="23.25" x14ac:dyDescent="0.35">
      <c r="A47" s="962" t="s">
        <v>1973</v>
      </c>
      <c r="B47" s="962"/>
      <c r="C47" s="963">
        <f>+C45-C46</f>
        <v>8.3332921201195731E-4</v>
      </c>
    </row>
    <row r="48" spans="1:14" ht="15" x14ac:dyDescent="0.2">
      <c r="A48" s="405"/>
      <c r="B48" s="405"/>
    </row>
    <row r="49" spans="1:2" ht="15" x14ac:dyDescent="0.2">
      <c r="A49" s="405"/>
      <c r="B49" s="405"/>
    </row>
    <row r="50" spans="1:2" ht="15" x14ac:dyDescent="0.2">
      <c r="A50" s="405"/>
      <c r="B50" s="405"/>
    </row>
    <row r="51" spans="1:2" ht="15" x14ac:dyDescent="0.2">
      <c r="A51" s="405"/>
      <c r="B51" s="405"/>
    </row>
    <row r="52" spans="1:2" ht="23.25" x14ac:dyDescent="0.35">
      <c r="A52" s="962" t="str">
        <f>+A46</f>
        <v>VALOR % INVERSION 2022</v>
      </c>
      <c r="B52" s="963">
        <f>+C46</f>
        <v>0.73460880223966463</v>
      </c>
    </row>
    <row r="53" spans="1:2" ht="23.25" x14ac:dyDescent="0.35">
      <c r="A53" s="962" t="str">
        <f>+A45</f>
        <v>VALOR % INVERSION 2023</v>
      </c>
      <c r="B53" s="963">
        <f>+C45</f>
        <v>0.73544213145167658</v>
      </c>
    </row>
  </sheetData>
  <mergeCells count="3">
    <mergeCell ref="A2:B2"/>
    <mergeCell ref="A26:B26"/>
    <mergeCell ref="A28:B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
  <sheetViews>
    <sheetView topLeftCell="A19" zoomScale="50" zoomScaleNormal="50" workbookViewId="0">
      <selection activeCell="C4" sqref="C4"/>
    </sheetView>
  </sheetViews>
  <sheetFormatPr baseColWidth="10" defaultColWidth="57.5703125" defaultRowHeight="15" x14ac:dyDescent="0.25"/>
  <cols>
    <col min="2" max="2" width="41.85546875" bestFit="1" customWidth="1"/>
    <col min="3" max="3" width="54.42578125" bestFit="1" customWidth="1"/>
    <col min="4" max="4" width="31.5703125" customWidth="1"/>
    <col min="5" max="5" width="29.85546875" customWidth="1"/>
    <col min="6" max="6" width="33.85546875" customWidth="1"/>
    <col min="7" max="7" width="32.7109375" customWidth="1"/>
  </cols>
  <sheetData>
    <row r="1" spans="1:7" ht="58.5" x14ac:dyDescent="0.25">
      <c r="A1" s="989" t="s">
        <v>946</v>
      </c>
      <c r="B1" s="990" t="s">
        <v>947</v>
      </c>
      <c r="C1" s="990" t="s">
        <v>948</v>
      </c>
    </row>
    <row r="2" spans="1:7" ht="58.5" x14ac:dyDescent="0.25">
      <c r="A2" s="977" t="s">
        <v>949</v>
      </c>
      <c r="B2" s="978">
        <f>+B3+B6+B7</f>
        <v>364299779522</v>
      </c>
      <c r="C2" s="978">
        <f>+C3+C6+C7</f>
        <v>433257558573.97998</v>
      </c>
      <c r="D2" s="945"/>
    </row>
    <row r="3" spans="1:7" ht="30.75" x14ac:dyDescent="0.25">
      <c r="A3" s="974" t="s">
        <v>950</v>
      </c>
      <c r="B3" s="975">
        <f>+B4+B5</f>
        <v>118897761298</v>
      </c>
      <c r="C3" s="975">
        <f>+C4+C5</f>
        <v>132761975871</v>
      </c>
      <c r="D3" s="131">
        <v>126781450566</v>
      </c>
      <c r="E3" s="945">
        <f>+D3-B3</f>
        <v>7883689268</v>
      </c>
    </row>
    <row r="4" spans="1:7" ht="30.75" x14ac:dyDescent="0.25">
      <c r="A4" s="974" t="s">
        <v>951</v>
      </c>
      <c r="B4" s="975">
        <v>93354826790</v>
      </c>
      <c r="C4" s="975">
        <v>93354826790</v>
      </c>
    </row>
    <row r="5" spans="1:7" ht="30.75" x14ac:dyDescent="0.25">
      <c r="A5" s="974" t="s">
        <v>952</v>
      </c>
      <c r="B5" s="975">
        <v>25542934508</v>
      </c>
      <c r="C5" s="975">
        <v>39407149081</v>
      </c>
    </row>
    <row r="6" spans="1:7" ht="30.75" x14ac:dyDescent="0.25">
      <c r="A6" s="974" t="s">
        <v>953</v>
      </c>
      <c r="B6" s="975">
        <f>190482000000+47036328956</f>
        <v>237518328956</v>
      </c>
      <c r="C6" s="975">
        <f>191922455484.98+53351830634</f>
        <v>245274286118.98001</v>
      </c>
    </row>
    <row r="7" spans="1:7" ht="30.75" x14ac:dyDescent="0.25">
      <c r="A7" s="974" t="s">
        <v>954</v>
      </c>
      <c r="B7" s="975">
        <v>7883689268</v>
      </c>
      <c r="C7" s="975">
        <v>55221296584</v>
      </c>
    </row>
    <row r="12" spans="1:7" ht="117" x14ac:dyDescent="0.25">
      <c r="A12" s="946" t="s">
        <v>946</v>
      </c>
      <c r="B12" s="946" t="s">
        <v>955</v>
      </c>
      <c r="C12" s="946" t="s">
        <v>956</v>
      </c>
      <c r="E12" s="1185" t="s">
        <v>946</v>
      </c>
      <c r="F12" s="1185" t="s">
        <v>957</v>
      </c>
      <c r="G12" s="1185" t="s">
        <v>956</v>
      </c>
    </row>
    <row r="13" spans="1:7" ht="92.25" x14ac:dyDescent="0.25">
      <c r="A13" s="1186" t="s">
        <v>949</v>
      </c>
      <c r="B13" s="1187">
        <f>+B14+B17+B18</f>
        <v>420671495294.04773</v>
      </c>
      <c r="C13" s="1188">
        <v>1</v>
      </c>
      <c r="E13" s="951" t="s">
        <v>949</v>
      </c>
      <c r="F13" s="952">
        <v>378382</v>
      </c>
      <c r="G13" s="953">
        <v>1</v>
      </c>
    </row>
    <row r="14" spans="1:7" ht="61.5" x14ac:dyDescent="0.25">
      <c r="A14" s="947" t="s">
        <v>950</v>
      </c>
      <c r="B14" s="948">
        <f>+B15+B16</f>
        <v>153846924153.72162</v>
      </c>
      <c r="C14" s="954">
        <f>+B14/$B$13</f>
        <v>0.36571749185473862</v>
      </c>
      <c r="E14" s="1189" t="s">
        <v>950</v>
      </c>
      <c r="F14" s="1190">
        <v>131390</v>
      </c>
      <c r="G14" s="1191">
        <v>0.36</v>
      </c>
    </row>
    <row r="15" spans="1:7" ht="30.75" x14ac:dyDescent="0.25">
      <c r="A15" s="949" t="s">
        <v>951</v>
      </c>
      <c r="B15" s="950">
        <f>SUM('F Y U 2023 Prespupuesto'!C7:C36)</f>
        <v>122522551449.8231</v>
      </c>
      <c r="C15" s="950"/>
      <c r="E15" s="1192" t="s">
        <v>951</v>
      </c>
      <c r="F15" s="1192">
        <v>100.505</v>
      </c>
      <c r="G15" s="1193"/>
    </row>
    <row r="16" spans="1:7" ht="61.5" x14ac:dyDescent="0.25">
      <c r="A16" s="949" t="s">
        <v>952</v>
      </c>
      <c r="B16" s="950">
        <f>SUM('F Y U 2023 Prespupuesto'!C37:C52)</f>
        <v>31324372703.898506</v>
      </c>
      <c r="C16" s="950"/>
      <c r="E16" s="1192" t="s">
        <v>952</v>
      </c>
      <c r="F16" s="1194">
        <v>30885</v>
      </c>
      <c r="G16" s="1193"/>
    </row>
    <row r="17" spans="1:7" ht="30.75" x14ac:dyDescent="0.25">
      <c r="A17" s="947" t="s">
        <v>954</v>
      </c>
      <c r="B17" s="948">
        <f>+'F Y U 2023 Prespupuesto'!C72</f>
        <v>8785234417.7000008</v>
      </c>
      <c r="C17" s="954">
        <f>+B17/$B$13</f>
        <v>2.0883835762532842E-2</v>
      </c>
      <c r="E17" s="1192"/>
      <c r="F17" s="1194"/>
      <c r="G17" s="1193"/>
    </row>
    <row r="18" spans="1:7" ht="30.75" x14ac:dyDescent="0.25">
      <c r="A18" s="947" t="s">
        <v>953</v>
      </c>
      <c r="B18" s="948">
        <f>+B19+B20+B21+B22</f>
        <v>258039336722.62613</v>
      </c>
      <c r="C18" s="954"/>
      <c r="E18" s="1192"/>
      <c r="F18" s="1194"/>
      <c r="G18" s="1193"/>
    </row>
    <row r="19" spans="1:7" ht="61.5" x14ac:dyDescent="0.25">
      <c r="A19" s="949" t="s">
        <v>958</v>
      </c>
      <c r="B19" s="950">
        <f>+'F Y U 2023 Prespupuesto'!C85</f>
        <v>196054000000</v>
      </c>
      <c r="C19" s="955">
        <f>+B19/$B$13</f>
        <v>0.46605011795001472</v>
      </c>
      <c r="E19" s="1189" t="s">
        <v>958</v>
      </c>
      <c r="F19" s="1189">
        <v>190.482</v>
      </c>
      <c r="G19" s="1191">
        <v>0.5</v>
      </c>
    </row>
    <row r="20" spans="1:7" ht="30.75" x14ac:dyDescent="0.25">
      <c r="A20" s="949" t="s">
        <v>959</v>
      </c>
      <c r="B20" s="950">
        <f>+'F Y U 2023 Prespupuesto'!C109</f>
        <v>55872866401.086121</v>
      </c>
      <c r="C20" s="955">
        <f>+B20/$B$13</f>
        <v>0.13281828463806705</v>
      </c>
      <c r="E20" s="1189" t="s">
        <v>959</v>
      </c>
      <c r="F20" s="1190">
        <v>47036</v>
      </c>
      <c r="G20" s="1191">
        <v>0.13</v>
      </c>
    </row>
    <row r="21" spans="1:7" ht="61.5" x14ac:dyDescent="0.25">
      <c r="A21" s="949" t="s">
        <v>960</v>
      </c>
      <c r="B21" s="950">
        <f>+'F Y U 2023 Prespupuesto'!C113</f>
        <v>2952931316</v>
      </c>
      <c r="C21" s="955">
        <f>+B21/$B$13</f>
        <v>7.0195659773332458E-3</v>
      </c>
      <c r="E21" s="1189" t="s">
        <v>954</v>
      </c>
      <c r="F21" s="1189">
        <v>4.87</v>
      </c>
      <c r="G21" s="1191">
        <v>0.01</v>
      </c>
    </row>
    <row r="22" spans="1:7" ht="30.75" x14ac:dyDescent="0.25">
      <c r="A22" s="949" t="s">
        <v>961</v>
      </c>
      <c r="B22" s="950">
        <f>+'F Y U 2023 Prespupuesto'!C117</f>
        <v>3159539005.54</v>
      </c>
      <c r="C22" s="955">
        <f>+B22/$B$13</f>
        <v>7.510703817313542E-3</v>
      </c>
    </row>
    <row r="30" spans="1:7" ht="58.5" x14ac:dyDescent="0.25">
      <c r="A30" s="976" t="s">
        <v>946</v>
      </c>
      <c r="B30" s="991" t="s">
        <v>962</v>
      </c>
      <c r="C30" s="991" t="s">
        <v>963</v>
      </c>
      <c r="D30" s="991" t="s">
        <v>964</v>
      </c>
      <c r="E30" s="991" t="s">
        <v>965</v>
      </c>
      <c r="F30" s="991" t="s">
        <v>966</v>
      </c>
      <c r="G30" s="991" t="s">
        <v>967</v>
      </c>
    </row>
    <row r="31" spans="1:7" ht="58.5" x14ac:dyDescent="0.25">
      <c r="A31" s="977" t="s">
        <v>949</v>
      </c>
      <c r="B31" s="978">
        <v>269299</v>
      </c>
      <c r="C31" s="978">
        <v>296747</v>
      </c>
      <c r="D31" s="978">
        <v>317040</v>
      </c>
      <c r="E31" s="978">
        <v>341900</v>
      </c>
      <c r="F31" s="978">
        <f>+F32+F35+F36</f>
        <v>379805</v>
      </c>
      <c r="G31" s="978">
        <f>+G32+G35+G36</f>
        <v>447386</v>
      </c>
    </row>
    <row r="32" spans="1:7" ht="30.75" x14ac:dyDescent="0.25">
      <c r="A32" s="974" t="s">
        <v>950</v>
      </c>
      <c r="B32" s="975">
        <v>102893</v>
      </c>
      <c r="C32" s="975">
        <v>112750</v>
      </c>
      <c r="D32" s="975">
        <v>115202</v>
      </c>
      <c r="E32" s="975">
        <v>118101</v>
      </c>
      <c r="F32" s="975">
        <v>114672</v>
      </c>
      <c r="G32" s="975">
        <f>+G33+G34</f>
        <v>141900</v>
      </c>
    </row>
    <row r="33" spans="1:7" ht="30.75" x14ac:dyDescent="0.25">
      <c r="A33" s="974" t="s">
        <v>951</v>
      </c>
      <c r="B33" s="975">
        <v>86676</v>
      </c>
      <c r="C33" s="975">
        <v>96019</v>
      </c>
      <c r="D33" s="975">
        <v>97898</v>
      </c>
      <c r="E33" s="975">
        <v>100421</v>
      </c>
      <c r="F33" s="975">
        <v>88997</v>
      </c>
      <c r="G33" s="975">
        <v>110198</v>
      </c>
    </row>
    <row r="34" spans="1:7" ht="30.75" x14ac:dyDescent="0.25">
      <c r="A34" s="974" t="s">
        <v>952</v>
      </c>
      <c r="B34" s="975">
        <v>16217</v>
      </c>
      <c r="C34" s="975">
        <v>16731</v>
      </c>
      <c r="D34" s="975">
        <v>17304</v>
      </c>
      <c r="E34" s="975">
        <v>17680</v>
      </c>
      <c r="F34" s="975">
        <v>22907</v>
      </c>
      <c r="G34" s="975">
        <v>31702</v>
      </c>
    </row>
    <row r="35" spans="1:7" ht="30.75" x14ac:dyDescent="0.25">
      <c r="A35" s="974" t="s">
        <v>953</v>
      </c>
      <c r="B35" s="975">
        <v>165446</v>
      </c>
      <c r="C35" s="975">
        <v>182369</v>
      </c>
      <c r="D35" s="975">
        <v>197483</v>
      </c>
      <c r="E35" s="975">
        <v>213065</v>
      </c>
      <c r="F35" s="975">
        <v>225376</v>
      </c>
      <c r="G35" s="975">
        <f>182122+76106</f>
        <v>258228</v>
      </c>
    </row>
    <row r="36" spans="1:7" ht="30.75" x14ac:dyDescent="0.25">
      <c r="A36" s="974" t="s">
        <v>954</v>
      </c>
      <c r="B36" s="975">
        <v>961000</v>
      </c>
      <c r="C36" s="975">
        <v>1627</v>
      </c>
      <c r="D36" s="975">
        <v>4355</v>
      </c>
      <c r="E36" s="975">
        <v>10734</v>
      </c>
      <c r="F36" s="975">
        <v>39757</v>
      </c>
      <c r="G36" s="975">
        <v>47258</v>
      </c>
    </row>
    <row r="43" spans="1:7" ht="29.25" x14ac:dyDescent="0.25">
      <c r="A43" s="946" t="s">
        <v>968</v>
      </c>
      <c r="B43" s="946">
        <v>2021</v>
      </c>
      <c r="C43" s="946">
        <v>2020</v>
      </c>
      <c r="D43" s="946">
        <v>2019</v>
      </c>
      <c r="E43" s="946">
        <v>2018</v>
      </c>
      <c r="F43" s="946">
        <v>2017</v>
      </c>
    </row>
    <row r="44" spans="1:7" ht="81" x14ac:dyDescent="0.25">
      <c r="A44" s="964" t="s">
        <v>140</v>
      </c>
      <c r="B44" s="965">
        <v>96343</v>
      </c>
      <c r="C44" s="965">
        <v>71867</v>
      </c>
      <c r="D44" s="965">
        <v>85160</v>
      </c>
      <c r="E44" s="965">
        <v>80147</v>
      </c>
      <c r="F44" s="965">
        <v>77596</v>
      </c>
    </row>
    <row r="45" spans="1:7" ht="45.75" x14ac:dyDescent="0.25">
      <c r="C45" s="965">
        <f>+B44-C44</f>
        <v>24476</v>
      </c>
      <c r="D45">
        <f>+C44*C46</f>
        <v>24476</v>
      </c>
      <c r="F45" s="203">
        <f>+E44-F44</f>
        <v>2551</v>
      </c>
    </row>
    <row r="46" spans="1:7" x14ac:dyDescent="0.25">
      <c r="C46" s="966">
        <f>+C45/C44</f>
        <v>0.3405735594918391</v>
      </c>
      <c r="F46" s="966">
        <f>+F45/F44</f>
        <v>3.2875405948760247E-2</v>
      </c>
    </row>
    <row r="54" spans="1:3" x14ac:dyDescent="0.25">
      <c r="A54" s="1658" t="s">
        <v>969</v>
      </c>
      <c r="B54" s="1658"/>
      <c r="C54" s="1658"/>
    </row>
    <row r="55" spans="1:3" x14ac:dyDescent="0.25">
      <c r="A55" s="992" t="s">
        <v>970</v>
      </c>
      <c r="B55" s="939" t="s">
        <v>971</v>
      </c>
      <c r="C55" s="939" t="s">
        <v>956</v>
      </c>
    </row>
    <row r="56" spans="1:3" x14ac:dyDescent="0.25">
      <c r="A56" s="921" t="s">
        <v>972</v>
      </c>
      <c r="B56" s="926">
        <v>81657205190.211472</v>
      </c>
      <c r="C56" s="956">
        <v>1</v>
      </c>
    </row>
    <row r="57" spans="1:3" x14ac:dyDescent="0.25">
      <c r="A57" s="921" t="s">
        <v>973</v>
      </c>
      <c r="B57" s="926">
        <v>50962287633.248024</v>
      </c>
      <c r="C57" s="956">
        <v>0.62410031686165335</v>
      </c>
    </row>
    <row r="58" spans="1:3" x14ac:dyDescent="0.25">
      <c r="A58" s="937" t="s">
        <v>974</v>
      </c>
      <c r="B58" s="938">
        <v>30694917556.963448</v>
      </c>
      <c r="C58" s="957">
        <v>0.37589968313834665</v>
      </c>
    </row>
  </sheetData>
  <mergeCells count="1">
    <mergeCell ref="A54:C54"/>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N168"/>
  <sheetViews>
    <sheetView topLeftCell="H1" workbookViewId="0">
      <selection activeCell="P6" sqref="P6"/>
    </sheetView>
  </sheetViews>
  <sheetFormatPr baseColWidth="10" defaultColWidth="11.42578125" defaultRowHeight="12" x14ac:dyDescent="0.25"/>
  <cols>
    <col min="1" max="1" width="49.5703125" style="526" customWidth="1"/>
    <col min="2" max="2" width="18.5703125" style="527" bestFit="1" customWidth="1"/>
    <col min="3" max="3" width="17.28515625" style="487" bestFit="1" customWidth="1"/>
    <col min="4" max="4" width="17.28515625" style="487" customWidth="1"/>
    <col min="5" max="5" width="17.28515625" style="487" bestFit="1" customWidth="1"/>
    <col min="6" max="6" width="17.28515625" style="487" customWidth="1"/>
    <col min="7" max="7" width="17.28515625" style="487" bestFit="1" customWidth="1"/>
    <col min="8" max="8" width="17.28515625" style="487" customWidth="1"/>
    <col min="9" max="9" width="17.28515625" style="487" bestFit="1" customWidth="1"/>
    <col min="10" max="14" width="17.28515625" style="487" customWidth="1"/>
    <col min="15" max="15" width="10.85546875" style="487" customWidth="1"/>
    <col min="16" max="16" width="45.42578125" style="487" customWidth="1"/>
    <col min="17" max="18" width="14.28515625" style="487" customWidth="1"/>
    <col min="19" max="253" width="11.42578125" style="487"/>
    <col min="254" max="254" width="49.5703125" style="487" customWidth="1"/>
    <col min="255" max="255" width="18.5703125" style="487" bestFit="1" customWidth="1"/>
    <col min="256" max="259" width="17.28515625" style="487" bestFit="1" customWidth="1"/>
    <col min="260" max="260" width="1" style="487" customWidth="1"/>
    <col min="261" max="261" width="17.28515625" style="487" bestFit="1" customWidth="1"/>
    <col min="262" max="262" width="0.85546875" style="487" customWidth="1"/>
    <col min="263" max="263" width="18.28515625" style="487" customWidth="1"/>
    <col min="264" max="267" width="17.28515625" style="487" bestFit="1" customWidth="1"/>
    <col min="268" max="268" width="10.85546875" style="487" customWidth="1"/>
    <col min="269" max="270" width="14.28515625" style="487" customWidth="1"/>
    <col min="271" max="271" width="10.85546875" style="487" customWidth="1"/>
    <col min="272" max="272" width="45.42578125" style="487" customWidth="1"/>
    <col min="273" max="274" width="14.28515625" style="487" customWidth="1"/>
    <col min="275" max="509" width="11.42578125" style="487"/>
    <col min="510" max="510" width="49.5703125" style="487" customWidth="1"/>
    <col min="511" max="511" width="18.5703125" style="487" bestFit="1" customWidth="1"/>
    <col min="512" max="515" width="17.28515625" style="487" bestFit="1" customWidth="1"/>
    <col min="516" max="516" width="1" style="487" customWidth="1"/>
    <col min="517" max="517" width="17.28515625" style="487" bestFit="1" customWidth="1"/>
    <col min="518" max="518" width="0.85546875" style="487" customWidth="1"/>
    <col min="519" max="519" width="18.28515625" style="487" customWidth="1"/>
    <col min="520" max="523" width="17.28515625" style="487" bestFit="1" customWidth="1"/>
    <col min="524" max="524" width="10.85546875" style="487" customWidth="1"/>
    <col min="525" max="526" width="14.28515625" style="487" customWidth="1"/>
    <col min="527" max="527" width="10.85546875" style="487" customWidth="1"/>
    <col min="528" max="528" width="45.42578125" style="487" customWidth="1"/>
    <col min="529" max="530" width="14.28515625" style="487" customWidth="1"/>
    <col min="531" max="765" width="11.42578125" style="487"/>
    <col min="766" max="766" width="49.5703125" style="487" customWidth="1"/>
    <col min="767" max="767" width="18.5703125" style="487" bestFit="1" customWidth="1"/>
    <col min="768" max="771" width="17.28515625" style="487" bestFit="1" customWidth="1"/>
    <col min="772" max="772" width="1" style="487" customWidth="1"/>
    <col min="773" max="773" width="17.28515625" style="487" bestFit="1" customWidth="1"/>
    <col min="774" max="774" width="0.85546875" style="487" customWidth="1"/>
    <col min="775" max="775" width="18.28515625" style="487" customWidth="1"/>
    <col min="776" max="779" width="17.28515625" style="487" bestFit="1" customWidth="1"/>
    <col min="780" max="780" width="10.85546875" style="487" customWidth="1"/>
    <col min="781" max="782" width="14.28515625" style="487" customWidth="1"/>
    <col min="783" max="783" width="10.85546875" style="487" customWidth="1"/>
    <col min="784" max="784" width="45.42578125" style="487" customWidth="1"/>
    <col min="785" max="786" width="14.28515625" style="487" customWidth="1"/>
    <col min="787" max="1021" width="11.42578125" style="487"/>
    <col min="1022" max="1022" width="49.5703125" style="487" customWidth="1"/>
    <col min="1023" max="1023" width="18.5703125" style="487" bestFit="1" customWidth="1"/>
    <col min="1024" max="1027" width="17.28515625" style="487" bestFit="1" customWidth="1"/>
    <col min="1028" max="1028" width="1" style="487" customWidth="1"/>
    <col min="1029" max="1029" width="17.28515625" style="487" bestFit="1" customWidth="1"/>
    <col min="1030" max="1030" width="0.85546875" style="487" customWidth="1"/>
    <col min="1031" max="1031" width="18.28515625" style="487" customWidth="1"/>
    <col min="1032" max="1035" width="17.28515625" style="487" bestFit="1" customWidth="1"/>
    <col min="1036" max="1036" width="10.85546875" style="487" customWidth="1"/>
    <col min="1037" max="1038" width="14.28515625" style="487" customWidth="1"/>
    <col min="1039" max="1039" width="10.85546875" style="487" customWidth="1"/>
    <col min="1040" max="1040" width="45.42578125" style="487" customWidth="1"/>
    <col min="1041" max="1042" width="14.28515625" style="487" customWidth="1"/>
    <col min="1043" max="1277" width="11.42578125" style="487"/>
    <col min="1278" max="1278" width="49.5703125" style="487" customWidth="1"/>
    <col min="1279" max="1279" width="18.5703125" style="487" bestFit="1" customWidth="1"/>
    <col min="1280" max="1283" width="17.28515625" style="487" bestFit="1" customWidth="1"/>
    <col min="1284" max="1284" width="1" style="487" customWidth="1"/>
    <col min="1285" max="1285" width="17.28515625" style="487" bestFit="1" customWidth="1"/>
    <col min="1286" max="1286" width="0.85546875" style="487" customWidth="1"/>
    <col min="1287" max="1287" width="18.28515625" style="487" customWidth="1"/>
    <col min="1288" max="1291" width="17.28515625" style="487" bestFit="1" customWidth="1"/>
    <col min="1292" max="1292" width="10.85546875" style="487" customWidth="1"/>
    <col min="1293" max="1294" width="14.28515625" style="487" customWidth="1"/>
    <col min="1295" max="1295" width="10.85546875" style="487" customWidth="1"/>
    <col min="1296" max="1296" width="45.42578125" style="487" customWidth="1"/>
    <col min="1297" max="1298" width="14.28515625" style="487" customWidth="1"/>
    <col min="1299" max="1533" width="11.42578125" style="487"/>
    <col min="1534" max="1534" width="49.5703125" style="487" customWidth="1"/>
    <col min="1535" max="1535" width="18.5703125" style="487" bestFit="1" customWidth="1"/>
    <col min="1536" max="1539" width="17.28515625" style="487" bestFit="1" customWidth="1"/>
    <col min="1540" max="1540" width="1" style="487" customWidth="1"/>
    <col min="1541" max="1541" width="17.28515625" style="487" bestFit="1" customWidth="1"/>
    <col min="1542" max="1542" width="0.85546875" style="487" customWidth="1"/>
    <col min="1543" max="1543" width="18.28515625" style="487" customWidth="1"/>
    <col min="1544" max="1547" width="17.28515625" style="487" bestFit="1" customWidth="1"/>
    <col min="1548" max="1548" width="10.85546875" style="487" customWidth="1"/>
    <col min="1549" max="1550" width="14.28515625" style="487" customWidth="1"/>
    <col min="1551" max="1551" width="10.85546875" style="487" customWidth="1"/>
    <col min="1552" max="1552" width="45.42578125" style="487" customWidth="1"/>
    <col min="1553" max="1554" width="14.28515625" style="487" customWidth="1"/>
    <col min="1555" max="1789" width="11.42578125" style="487"/>
    <col min="1790" max="1790" width="49.5703125" style="487" customWidth="1"/>
    <col min="1791" max="1791" width="18.5703125" style="487" bestFit="1" customWidth="1"/>
    <col min="1792" max="1795" width="17.28515625" style="487" bestFit="1" customWidth="1"/>
    <col min="1796" max="1796" width="1" style="487" customWidth="1"/>
    <col min="1797" max="1797" width="17.28515625" style="487" bestFit="1" customWidth="1"/>
    <col min="1798" max="1798" width="0.85546875" style="487" customWidth="1"/>
    <col min="1799" max="1799" width="18.28515625" style="487" customWidth="1"/>
    <col min="1800" max="1803" width="17.28515625" style="487" bestFit="1" customWidth="1"/>
    <col min="1804" max="1804" width="10.85546875" style="487" customWidth="1"/>
    <col min="1805" max="1806" width="14.28515625" style="487" customWidth="1"/>
    <col min="1807" max="1807" width="10.85546875" style="487" customWidth="1"/>
    <col min="1808" max="1808" width="45.42578125" style="487" customWidth="1"/>
    <col min="1809" max="1810" width="14.28515625" style="487" customWidth="1"/>
    <col min="1811" max="2045" width="11.42578125" style="487"/>
    <col min="2046" max="2046" width="49.5703125" style="487" customWidth="1"/>
    <col min="2047" max="2047" width="18.5703125" style="487" bestFit="1" customWidth="1"/>
    <col min="2048" max="2051" width="17.28515625" style="487" bestFit="1" customWidth="1"/>
    <col min="2052" max="2052" width="1" style="487" customWidth="1"/>
    <col min="2053" max="2053" width="17.28515625" style="487" bestFit="1" customWidth="1"/>
    <col min="2054" max="2054" width="0.85546875" style="487" customWidth="1"/>
    <col min="2055" max="2055" width="18.28515625" style="487" customWidth="1"/>
    <col min="2056" max="2059" width="17.28515625" style="487" bestFit="1" customWidth="1"/>
    <col min="2060" max="2060" width="10.85546875" style="487" customWidth="1"/>
    <col min="2061" max="2062" width="14.28515625" style="487" customWidth="1"/>
    <col min="2063" max="2063" width="10.85546875" style="487" customWidth="1"/>
    <col min="2064" max="2064" width="45.42578125" style="487" customWidth="1"/>
    <col min="2065" max="2066" width="14.28515625" style="487" customWidth="1"/>
    <col min="2067" max="2301" width="11.42578125" style="487"/>
    <col min="2302" max="2302" width="49.5703125" style="487" customWidth="1"/>
    <col min="2303" max="2303" width="18.5703125" style="487" bestFit="1" customWidth="1"/>
    <col min="2304" max="2307" width="17.28515625" style="487" bestFit="1" customWidth="1"/>
    <col min="2308" max="2308" width="1" style="487" customWidth="1"/>
    <col min="2309" max="2309" width="17.28515625" style="487" bestFit="1" customWidth="1"/>
    <col min="2310" max="2310" width="0.85546875" style="487" customWidth="1"/>
    <col min="2311" max="2311" width="18.28515625" style="487" customWidth="1"/>
    <col min="2312" max="2315" width="17.28515625" style="487" bestFit="1" customWidth="1"/>
    <col min="2316" max="2316" width="10.85546875" style="487" customWidth="1"/>
    <col min="2317" max="2318" width="14.28515625" style="487" customWidth="1"/>
    <col min="2319" max="2319" width="10.85546875" style="487" customWidth="1"/>
    <col min="2320" max="2320" width="45.42578125" style="487" customWidth="1"/>
    <col min="2321" max="2322" width="14.28515625" style="487" customWidth="1"/>
    <col min="2323" max="2557" width="11.42578125" style="487"/>
    <col min="2558" max="2558" width="49.5703125" style="487" customWidth="1"/>
    <col min="2559" max="2559" width="18.5703125" style="487" bestFit="1" customWidth="1"/>
    <col min="2560" max="2563" width="17.28515625" style="487" bestFit="1" customWidth="1"/>
    <col min="2564" max="2564" width="1" style="487" customWidth="1"/>
    <col min="2565" max="2565" width="17.28515625" style="487" bestFit="1" customWidth="1"/>
    <col min="2566" max="2566" width="0.85546875" style="487" customWidth="1"/>
    <col min="2567" max="2567" width="18.28515625" style="487" customWidth="1"/>
    <col min="2568" max="2571" width="17.28515625" style="487" bestFit="1" customWidth="1"/>
    <col min="2572" max="2572" width="10.85546875" style="487" customWidth="1"/>
    <col min="2573" max="2574" width="14.28515625" style="487" customWidth="1"/>
    <col min="2575" max="2575" width="10.85546875" style="487" customWidth="1"/>
    <col min="2576" max="2576" width="45.42578125" style="487" customWidth="1"/>
    <col min="2577" max="2578" width="14.28515625" style="487" customWidth="1"/>
    <col min="2579" max="2813" width="11.42578125" style="487"/>
    <col min="2814" max="2814" width="49.5703125" style="487" customWidth="1"/>
    <col min="2815" max="2815" width="18.5703125" style="487" bestFit="1" customWidth="1"/>
    <col min="2816" max="2819" width="17.28515625" style="487" bestFit="1" customWidth="1"/>
    <col min="2820" max="2820" width="1" style="487" customWidth="1"/>
    <col min="2821" max="2821" width="17.28515625" style="487" bestFit="1" customWidth="1"/>
    <col min="2822" max="2822" width="0.85546875" style="487" customWidth="1"/>
    <col min="2823" max="2823" width="18.28515625" style="487" customWidth="1"/>
    <col min="2824" max="2827" width="17.28515625" style="487" bestFit="1" customWidth="1"/>
    <col min="2828" max="2828" width="10.85546875" style="487" customWidth="1"/>
    <col min="2829" max="2830" width="14.28515625" style="487" customWidth="1"/>
    <col min="2831" max="2831" width="10.85546875" style="487" customWidth="1"/>
    <col min="2832" max="2832" width="45.42578125" style="487" customWidth="1"/>
    <col min="2833" max="2834" width="14.28515625" style="487" customWidth="1"/>
    <col min="2835" max="3069" width="11.42578125" style="487"/>
    <col min="3070" max="3070" width="49.5703125" style="487" customWidth="1"/>
    <col min="3071" max="3071" width="18.5703125" style="487" bestFit="1" customWidth="1"/>
    <col min="3072" max="3075" width="17.28515625" style="487" bestFit="1" customWidth="1"/>
    <col min="3076" max="3076" width="1" style="487" customWidth="1"/>
    <col min="3077" max="3077" width="17.28515625" style="487" bestFit="1" customWidth="1"/>
    <col min="3078" max="3078" width="0.85546875" style="487" customWidth="1"/>
    <col min="3079" max="3079" width="18.28515625" style="487" customWidth="1"/>
    <col min="3080" max="3083" width="17.28515625" style="487" bestFit="1" customWidth="1"/>
    <col min="3084" max="3084" width="10.85546875" style="487" customWidth="1"/>
    <col min="3085" max="3086" width="14.28515625" style="487" customWidth="1"/>
    <col min="3087" max="3087" width="10.85546875" style="487" customWidth="1"/>
    <col min="3088" max="3088" width="45.42578125" style="487" customWidth="1"/>
    <col min="3089" max="3090" width="14.28515625" style="487" customWidth="1"/>
    <col min="3091" max="3325" width="11.42578125" style="487"/>
    <col min="3326" max="3326" width="49.5703125" style="487" customWidth="1"/>
    <col min="3327" max="3327" width="18.5703125" style="487" bestFit="1" customWidth="1"/>
    <col min="3328" max="3331" width="17.28515625" style="487" bestFit="1" customWidth="1"/>
    <col min="3332" max="3332" width="1" style="487" customWidth="1"/>
    <col min="3333" max="3333" width="17.28515625" style="487" bestFit="1" customWidth="1"/>
    <col min="3334" max="3334" width="0.85546875" style="487" customWidth="1"/>
    <col min="3335" max="3335" width="18.28515625" style="487" customWidth="1"/>
    <col min="3336" max="3339" width="17.28515625" style="487" bestFit="1" customWidth="1"/>
    <col min="3340" max="3340" width="10.85546875" style="487" customWidth="1"/>
    <col min="3341" max="3342" width="14.28515625" style="487" customWidth="1"/>
    <col min="3343" max="3343" width="10.85546875" style="487" customWidth="1"/>
    <col min="3344" max="3344" width="45.42578125" style="487" customWidth="1"/>
    <col min="3345" max="3346" width="14.28515625" style="487" customWidth="1"/>
    <col min="3347" max="3581" width="11.42578125" style="487"/>
    <col min="3582" max="3582" width="49.5703125" style="487" customWidth="1"/>
    <col min="3583" max="3583" width="18.5703125" style="487" bestFit="1" customWidth="1"/>
    <col min="3584" max="3587" width="17.28515625" style="487" bestFit="1" customWidth="1"/>
    <col min="3588" max="3588" width="1" style="487" customWidth="1"/>
    <col min="3589" max="3589" width="17.28515625" style="487" bestFit="1" customWidth="1"/>
    <col min="3590" max="3590" width="0.85546875" style="487" customWidth="1"/>
    <col min="3591" max="3591" width="18.28515625" style="487" customWidth="1"/>
    <col min="3592" max="3595" width="17.28515625" style="487" bestFit="1" customWidth="1"/>
    <col min="3596" max="3596" width="10.85546875" style="487" customWidth="1"/>
    <col min="3597" max="3598" width="14.28515625" style="487" customWidth="1"/>
    <col min="3599" max="3599" width="10.85546875" style="487" customWidth="1"/>
    <col min="3600" max="3600" width="45.42578125" style="487" customWidth="1"/>
    <col min="3601" max="3602" width="14.28515625" style="487" customWidth="1"/>
    <col min="3603" max="3837" width="11.42578125" style="487"/>
    <col min="3838" max="3838" width="49.5703125" style="487" customWidth="1"/>
    <col min="3839" max="3839" width="18.5703125" style="487" bestFit="1" customWidth="1"/>
    <col min="3840" max="3843" width="17.28515625" style="487" bestFit="1" customWidth="1"/>
    <col min="3844" max="3844" width="1" style="487" customWidth="1"/>
    <col min="3845" max="3845" width="17.28515625" style="487" bestFit="1" customWidth="1"/>
    <col min="3846" max="3846" width="0.85546875" style="487" customWidth="1"/>
    <col min="3847" max="3847" width="18.28515625" style="487" customWidth="1"/>
    <col min="3848" max="3851" width="17.28515625" style="487" bestFit="1" customWidth="1"/>
    <col min="3852" max="3852" width="10.85546875" style="487" customWidth="1"/>
    <col min="3853" max="3854" width="14.28515625" style="487" customWidth="1"/>
    <col min="3855" max="3855" width="10.85546875" style="487" customWidth="1"/>
    <col min="3856" max="3856" width="45.42578125" style="487" customWidth="1"/>
    <col min="3857" max="3858" width="14.28515625" style="487" customWidth="1"/>
    <col min="3859" max="4093" width="11.42578125" style="487"/>
    <col min="4094" max="4094" width="49.5703125" style="487" customWidth="1"/>
    <col min="4095" max="4095" width="18.5703125" style="487" bestFit="1" customWidth="1"/>
    <col min="4096" max="4099" width="17.28515625" style="487" bestFit="1" customWidth="1"/>
    <col min="4100" max="4100" width="1" style="487" customWidth="1"/>
    <col min="4101" max="4101" width="17.28515625" style="487" bestFit="1" customWidth="1"/>
    <col min="4102" max="4102" width="0.85546875" style="487" customWidth="1"/>
    <col min="4103" max="4103" width="18.28515625" style="487" customWidth="1"/>
    <col min="4104" max="4107" width="17.28515625" style="487" bestFit="1" customWidth="1"/>
    <col min="4108" max="4108" width="10.85546875" style="487" customWidth="1"/>
    <col min="4109" max="4110" width="14.28515625" style="487" customWidth="1"/>
    <col min="4111" max="4111" width="10.85546875" style="487" customWidth="1"/>
    <col min="4112" max="4112" width="45.42578125" style="487" customWidth="1"/>
    <col min="4113" max="4114" width="14.28515625" style="487" customWidth="1"/>
    <col min="4115" max="4349" width="11.42578125" style="487"/>
    <col min="4350" max="4350" width="49.5703125" style="487" customWidth="1"/>
    <col min="4351" max="4351" width="18.5703125" style="487" bestFit="1" customWidth="1"/>
    <col min="4352" max="4355" width="17.28515625" style="487" bestFit="1" customWidth="1"/>
    <col min="4356" max="4356" width="1" style="487" customWidth="1"/>
    <col min="4357" max="4357" width="17.28515625" style="487" bestFit="1" customWidth="1"/>
    <col min="4358" max="4358" width="0.85546875" style="487" customWidth="1"/>
    <col min="4359" max="4359" width="18.28515625" style="487" customWidth="1"/>
    <col min="4360" max="4363" width="17.28515625" style="487" bestFit="1" customWidth="1"/>
    <col min="4364" max="4364" width="10.85546875" style="487" customWidth="1"/>
    <col min="4365" max="4366" width="14.28515625" style="487" customWidth="1"/>
    <col min="4367" max="4367" width="10.85546875" style="487" customWidth="1"/>
    <col min="4368" max="4368" width="45.42578125" style="487" customWidth="1"/>
    <col min="4369" max="4370" width="14.28515625" style="487" customWidth="1"/>
    <col min="4371" max="4605" width="11.42578125" style="487"/>
    <col min="4606" max="4606" width="49.5703125" style="487" customWidth="1"/>
    <col min="4607" max="4607" width="18.5703125" style="487" bestFit="1" customWidth="1"/>
    <col min="4608" max="4611" width="17.28515625" style="487" bestFit="1" customWidth="1"/>
    <col min="4612" max="4612" width="1" style="487" customWidth="1"/>
    <col min="4613" max="4613" width="17.28515625" style="487" bestFit="1" customWidth="1"/>
    <col min="4614" max="4614" width="0.85546875" style="487" customWidth="1"/>
    <col min="4615" max="4615" width="18.28515625" style="487" customWidth="1"/>
    <col min="4616" max="4619" width="17.28515625" style="487" bestFit="1" customWidth="1"/>
    <col min="4620" max="4620" width="10.85546875" style="487" customWidth="1"/>
    <col min="4621" max="4622" width="14.28515625" style="487" customWidth="1"/>
    <col min="4623" max="4623" width="10.85546875" style="487" customWidth="1"/>
    <col min="4624" max="4624" width="45.42578125" style="487" customWidth="1"/>
    <col min="4625" max="4626" width="14.28515625" style="487" customWidth="1"/>
    <col min="4627" max="4861" width="11.42578125" style="487"/>
    <col min="4862" max="4862" width="49.5703125" style="487" customWidth="1"/>
    <col min="4863" max="4863" width="18.5703125" style="487" bestFit="1" customWidth="1"/>
    <col min="4864" max="4867" width="17.28515625" style="487" bestFit="1" customWidth="1"/>
    <col min="4868" max="4868" width="1" style="487" customWidth="1"/>
    <col min="4869" max="4869" width="17.28515625" style="487" bestFit="1" customWidth="1"/>
    <col min="4870" max="4870" width="0.85546875" style="487" customWidth="1"/>
    <col min="4871" max="4871" width="18.28515625" style="487" customWidth="1"/>
    <col min="4872" max="4875" width="17.28515625" style="487" bestFit="1" customWidth="1"/>
    <col min="4876" max="4876" width="10.85546875" style="487" customWidth="1"/>
    <col min="4877" max="4878" width="14.28515625" style="487" customWidth="1"/>
    <col min="4879" max="4879" width="10.85546875" style="487" customWidth="1"/>
    <col min="4880" max="4880" width="45.42578125" style="487" customWidth="1"/>
    <col min="4881" max="4882" width="14.28515625" style="487" customWidth="1"/>
    <col min="4883" max="5117" width="11.42578125" style="487"/>
    <col min="5118" max="5118" width="49.5703125" style="487" customWidth="1"/>
    <col min="5119" max="5119" width="18.5703125" style="487" bestFit="1" customWidth="1"/>
    <col min="5120" max="5123" width="17.28515625" style="487" bestFit="1" customWidth="1"/>
    <col min="5124" max="5124" width="1" style="487" customWidth="1"/>
    <col min="5125" max="5125" width="17.28515625" style="487" bestFit="1" customWidth="1"/>
    <col min="5126" max="5126" width="0.85546875" style="487" customWidth="1"/>
    <col min="5127" max="5127" width="18.28515625" style="487" customWidth="1"/>
    <col min="5128" max="5131" width="17.28515625" style="487" bestFit="1" customWidth="1"/>
    <col min="5132" max="5132" width="10.85546875" style="487" customWidth="1"/>
    <col min="5133" max="5134" width="14.28515625" style="487" customWidth="1"/>
    <col min="5135" max="5135" width="10.85546875" style="487" customWidth="1"/>
    <col min="5136" max="5136" width="45.42578125" style="487" customWidth="1"/>
    <col min="5137" max="5138" width="14.28515625" style="487" customWidth="1"/>
    <col min="5139" max="5373" width="11.42578125" style="487"/>
    <col min="5374" max="5374" width="49.5703125" style="487" customWidth="1"/>
    <col min="5375" max="5375" width="18.5703125" style="487" bestFit="1" customWidth="1"/>
    <col min="5376" max="5379" width="17.28515625" style="487" bestFit="1" customWidth="1"/>
    <col min="5380" max="5380" width="1" style="487" customWidth="1"/>
    <col min="5381" max="5381" width="17.28515625" style="487" bestFit="1" customWidth="1"/>
    <col min="5382" max="5382" width="0.85546875" style="487" customWidth="1"/>
    <col min="5383" max="5383" width="18.28515625" style="487" customWidth="1"/>
    <col min="5384" max="5387" width="17.28515625" style="487" bestFit="1" customWidth="1"/>
    <col min="5388" max="5388" width="10.85546875" style="487" customWidth="1"/>
    <col min="5389" max="5390" width="14.28515625" style="487" customWidth="1"/>
    <col min="5391" max="5391" width="10.85546875" style="487" customWidth="1"/>
    <col min="5392" max="5392" width="45.42578125" style="487" customWidth="1"/>
    <col min="5393" max="5394" width="14.28515625" style="487" customWidth="1"/>
    <col min="5395" max="5629" width="11.42578125" style="487"/>
    <col min="5630" max="5630" width="49.5703125" style="487" customWidth="1"/>
    <col min="5631" max="5631" width="18.5703125" style="487" bestFit="1" customWidth="1"/>
    <col min="5632" max="5635" width="17.28515625" style="487" bestFit="1" customWidth="1"/>
    <col min="5636" max="5636" width="1" style="487" customWidth="1"/>
    <col min="5637" max="5637" width="17.28515625" style="487" bestFit="1" customWidth="1"/>
    <col min="5638" max="5638" width="0.85546875" style="487" customWidth="1"/>
    <col min="5639" max="5639" width="18.28515625" style="487" customWidth="1"/>
    <col min="5640" max="5643" width="17.28515625" style="487" bestFit="1" customWidth="1"/>
    <col min="5644" max="5644" width="10.85546875" style="487" customWidth="1"/>
    <col min="5645" max="5646" width="14.28515625" style="487" customWidth="1"/>
    <col min="5647" max="5647" width="10.85546875" style="487" customWidth="1"/>
    <col min="5648" max="5648" width="45.42578125" style="487" customWidth="1"/>
    <col min="5649" max="5650" width="14.28515625" style="487" customWidth="1"/>
    <col min="5651" max="5885" width="11.42578125" style="487"/>
    <col min="5886" max="5886" width="49.5703125" style="487" customWidth="1"/>
    <col min="5887" max="5887" width="18.5703125" style="487" bestFit="1" customWidth="1"/>
    <col min="5888" max="5891" width="17.28515625" style="487" bestFit="1" customWidth="1"/>
    <col min="5892" max="5892" width="1" style="487" customWidth="1"/>
    <col min="5893" max="5893" width="17.28515625" style="487" bestFit="1" customWidth="1"/>
    <col min="5894" max="5894" width="0.85546875" style="487" customWidth="1"/>
    <col min="5895" max="5895" width="18.28515625" style="487" customWidth="1"/>
    <col min="5896" max="5899" width="17.28515625" style="487" bestFit="1" customWidth="1"/>
    <col min="5900" max="5900" width="10.85546875" style="487" customWidth="1"/>
    <col min="5901" max="5902" width="14.28515625" style="487" customWidth="1"/>
    <col min="5903" max="5903" width="10.85546875" style="487" customWidth="1"/>
    <col min="5904" max="5904" width="45.42578125" style="487" customWidth="1"/>
    <col min="5905" max="5906" width="14.28515625" style="487" customWidth="1"/>
    <col min="5907" max="6141" width="11.42578125" style="487"/>
    <col min="6142" max="6142" width="49.5703125" style="487" customWidth="1"/>
    <col min="6143" max="6143" width="18.5703125" style="487" bestFit="1" customWidth="1"/>
    <col min="6144" max="6147" width="17.28515625" style="487" bestFit="1" customWidth="1"/>
    <col min="6148" max="6148" width="1" style="487" customWidth="1"/>
    <col min="6149" max="6149" width="17.28515625" style="487" bestFit="1" customWidth="1"/>
    <col min="6150" max="6150" width="0.85546875" style="487" customWidth="1"/>
    <col min="6151" max="6151" width="18.28515625" style="487" customWidth="1"/>
    <col min="6152" max="6155" width="17.28515625" style="487" bestFit="1" customWidth="1"/>
    <col min="6156" max="6156" width="10.85546875" style="487" customWidth="1"/>
    <col min="6157" max="6158" width="14.28515625" style="487" customWidth="1"/>
    <col min="6159" max="6159" width="10.85546875" style="487" customWidth="1"/>
    <col min="6160" max="6160" width="45.42578125" style="487" customWidth="1"/>
    <col min="6161" max="6162" width="14.28515625" style="487" customWidth="1"/>
    <col min="6163" max="6397" width="11.42578125" style="487"/>
    <col min="6398" max="6398" width="49.5703125" style="487" customWidth="1"/>
    <col min="6399" max="6399" width="18.5703125" style="487" bestFit="1" customWidth="1"/>
    <col min="6400" max="6403" width="17.28515625" style="487" bestFit="1" customWidth="1"/>
    <col min="6404" max="6404" width="1" style="487" customWidth="1"/>
    <col min="6405" max="6405" width="17.28515625" style="487" bestFit="1" customWidth="1"/>
    <col min="6406" max="6406" width="0.85546875" style="487" customWidth="1"/>
    <col min="6407" max="6407" width="18.28515625" style="487" customWidth="1"/>
    <col min="6408" max="6411" width="17.28515625" style="487" bestFit="1" customWidth="1"/>
    <col min="6412" max="6412" width="10.85546875" style="487" customWidth="1"/>
    <col min="6413" max="6414" width="14.28515625" style="487" customWidth="1"/>
    <col min="6415" max="6415" width="10.85546875" style="487" customWidth="1"/>
    <col min="6416" max="6416" width="45.42578125" style="487" customWidth="1"/>
    <col min="6417" max="6418" width="14.28515625" style="487" customWidth="1"/>
    <col min="6419" max="6653" width="11.42578125" style="487"/>
    <col min="6654" max="6654" width="49.5703125" style="487" customWidth="1"/>
    <col min="6655" max="6655" width="18.5703125" style="487" bestFit="1" customWidth="1"/>
    <col min="6656" max="6659" width="17.28515625" style="487" bestFit="1" customWidth="1"/>
    <col min="6660" max="6660" width="1" style="487" customWidth="1"/>
    <col min="6661" max="6661" width="17.28515625" style="487" bestFit="1" customWidth="1"/>
    <col min="6662" max="6662" width="0.85546875" style="487" customWidth="1"/>
    <col min="6663" max="6663" width="18.28515625" style="487" customWidth="1"/>
    <col min="6664" max="6667" width="17.28515625" style="487" bestFit="1" customWidth="1"/>
    <col min="6668" max="6668" width="10.85546875" style="487" customWidth="1"/>
    <col min="6669" max="6670" width="14.28515625" style="487" customWidth="1"/>
    <col min="6671" max="6671" width="10.85546875" style="487" customWidth="1"/>
    <col min="6672" max="6672" width="45.42578125" style="487" customWidth="1"/>
    <col min="6673" max="6674" width="14.28515625" style="487" customWidth="1"/>
    <col min="6675" max="6909" width="11.42578125" style="487"/>
    <col min="6910" max="6910" width="49.5703125" style="487" customWidth="1"/>
    <col min="6911" max="6911" width="18.5703125" style="487" bestFit="1" customWidth="1"/>
    <col min="6912" max="6915" width="17.28515625" style="487" bestFit="1" customWidth="1"/>
    <col min="6916" max="6916" width="1" style="487" customWidth="1"/>
    <col min="6917" max="6917" width="17.28515625" style="487" bestFit="1" customWidth="1"/>
    <col min="6918" max="6918" width="0.85546875" style="487" customWidth="1"/>
    <col min="6919" max="6919" width="18.28515625" style="487" customWidth="1"/>
    <col min="6920" max="6923" width="17.28515625" style="487" bestFit="1" customWidth="1"/>
    <col min="6924" max="6924" width="10.85546875" style="487" customWidth="1"/>
    <col min="6925" max="6926" width="14.28515625" style="487" customWidth="1"/>
    <col min="6927" max="6927" width="10.85546875" style="487" customWidth="1"/>
    <col min="6928" max="6928" width="45.42578125" style="487" customWidth="1"/>
    <col min="6929" max="6930" width="14.28515625" style="487" customWidth="1"/>
    <col min="6931" max="7165" width="11.42578125" style="487"/>
    <col min="7166" max="7166" width="49.5703125" style="487" customWidth="1"/>
    <col min="7167" max="7167" width="18.5703125" style="487" bestFit="1" customWidth="1"/>
    <col min="7168" max="7171" width="17.28515625" style="487" bestFit="1" customWidth="1"/>
    <col min="7172" max="7172" width="1" style="487" customWidth="1"/>
    <col min="7173" max="7173" width="17.28515625" style="487" bestFit="1" customWidth="1"/>
    <col min="7174" max="7174" width="0.85546875" style="487" customWidth="1"/>
    <col min="7175" max="7175" width="18.28515625" style="487" customWidth="1"/>
    <col min="7176" max="7179" width="17.28515625" style="487" bestFit="1" customWidth="1"/>
    <col min="7180" max="7180" width="10.85546875" style="487" customWidth="1"/>
    <col min="7181" max="7182" width="14.28515625" style="487" customWidth="1"/>
    <col min="7183" max="7183" width="10.85546875" style="487" customWidth="1"/>
    <col min="7184" max="7184" width="45.42578125" style="487" customWidth="1"/>
    <col min="7185" max="7186" width="14.28515625" style="487" customWidth="1"/>
    <col min="7187" max="7421" width="11.42578125" style="487"/>
    <col min="7422" max="7422" width="49.5703125" style="487" customWidth="1"/>
    <col min="7423" max="7423" width="18.5703125" style="487" bestFit="1" customWidth="1"/>
    <col min="7424" max="7427" width="17.28515625" style="487" bestFit="1" customWidth="1"/>
    <col min="7428" max="7428" width="1" style="487" customWidth="1"/>
    <col min="7429" max="7429" width="17.28515625" style="487" bestFit="1" customWidth="1"/>
    <col min="7430" max="7430" width="0.85546875" style="487" customWidth="1"/>
    <col min="7431" max="7431" width="18.28515625" style="487" customWidth="1"/>
    <col min="7432" max="7435" width="17.28515625" style="487" bestFit="1" customWidth="1"/>
    <col min="7436" max="7436" width="10.85546875" style="487" customWidth="1"/>
    <col min="7437" max="7438" width="14.28515625" style="487" customWidth="1"/>
    <col min="7439" max="7439" width="10.85546875" style="487" customWidth="1"/>
    <col min="7440" max="7440" width="45.42578125" style="487" customWidth="1"/>
    <col min="7441" max="7442" width="14.28515625" style="487" customWidth="1"/>
    <col min="7443" max="7677" width="11.42578125" style="487"/>
    <col min="7678" max="7678" width="49.5703125" style="487" customWidth="1"/>
    <col min="7679" max="7679" width="18.5703125" style="487" bestFit="1" customWidth="1"/>
    <col min="7680" max="7683" width="17.28515625" style="487" bestFit="1" customWidth="1"/>
    <col min="7684" max="7684" width="1" style="487" customWidth="1"/>
    <col min="7685" max="7685" width="17.28515625" style="487" bestFit="1" customWidth="1"/>
    <col min="7686" max="7686" width="0.85546875" style="487" customWidth="1"/>
    <col min="7687" max="7687" width="18.28515625" style="487" customWidth="1"/>
    <col min="7688" max="7691" width="17.28515625" style="487" bestFit="1" customWidth="1"/>
    <col min="7692" max="7692" width="10.85546875" style="487" customWidth="1"/>
    <col min="7693" max="7694" width="14.28515625" style="487" customWidth="1"/>
    <col min="7695" max="7695" width="10.85546875" style="487" customWidth="1"/>
    <col min="7696" max="7696" width="45.42578125" style="487" customWidth="1"/>
    <col min="7697" max="7698" width="14.28515625" style="487" customWidth="1"/>
    <col min="7699" max="7933" width="11.42578125" style="487"/>
    <col min="7934" max="7934" width="49.5703125" style="487" customWidth="1"/>
    <col min="7935" max="7935" width="18.5703125" style="487" bestFit="1" customWidth="1"/>
    <col min="7936" max="7939" width="17.28515625" style="487" bestFit="1" customWidth="1"/>
    <col min="7940" max="7940" width="1" style="487" customWidth="1"/>
    <col min="7941" max="7941" width="17.28515625" style="487" bestFit="1" customWidth="1"/>
    <col min="7942" max="7942" width="0.85546875" style="487" customWidth="1"/>
    <col min="7943" max="7943" width="18.28515625" style="487" customWidth="1"/>
    <col min="7944" max="7947" width="17.28515625" style="487" bestFit="1" customWidth="1"/>
    <col min="7948" max="7948" width="10.85546875" style="487" customWidth="1"/>
    <col min="7949" max="7950" width="14.28515625" style="487" customWidth="1"/>
    <col min="7951" max="7951" width="10.85546875" style="487" customWidth="1"/>
    <col min="7952" max="7952" width="45.42578125" style="487" customWidth="1"/>
    <col min="7953" max="7954" width="14.28515625" style="487" customWidth="1"/>
    <col min="7955" max="8189" width="11.42578125" style="487"/>
    <col min="8190" max="8190" width="49.5703125" style="487" customWidth="1"/>
    <col min="8191" max="8191" width="18.5703125" style="487" bestFit="1" customWidth="1"/>
    <col min="8192" max="8195" width="17.28515625" style="487" bestFit="1" customWidth="1"/>
    <col min="8196" max="8196" width="1" style="487" customWidth="1"/>
    <col min="8197" max="8197" width="17.28515625" style="487" bestFit="1" customWidth="1"/>
    <col min="8198" max="8198" width="0.85546875" style="487" customWidth="1"/>
    <col min="8199" max="8199" width="18.28515625" style="487" customWidth="1"/>
    <col min="8200" max="8203" width="17.28515625" style="487" bestFit="1" customWidth="1"/>
    <col min="8204" max="8204" width="10.85546875" style="487" customWidth="1"/>
    <col min="8205" max="8206" width="14.28515625" style="487" customWidth="1"/>
    <col min="8207" max="8207" width="10.85546875" style="487" customWidth="1"/>
    <col min="8208" max="8208" width="45.42578125" style="487" customWidth="1"/>
    <col min="8209" max="8210" width="14.28515625" style="487" customWidth="1"/>
    <col min="8211" max="8445" width="11.42578125" style="487"/>
    <col min="8446" max="8446" width="49.5703125" style="487" customWidth="1"/>
    <col min="8447" max="8447" width="18.5703125" style="487" bestFit="1" customWidth="1"/>
    <col min="8448" max="8451" width="17.28515625" style="487" bestFit="1" customWidth="1"/>
    <col min="8452" max="8452" width="1" style="487" customWidth="1"/>
    <col min="8453" max="8453" width="17.28515625" style="487" bestFit="1" customWidth="1"/>
    <col min="8454" max="8454" width="0.85546875" style="487" customWidth="1"/>
    <col min="8455" max="8455" width="18.28515625" style="487" customWidth="1"/>
    <col min="8456" max="8459" width="17.28515625" style="487" bestFit="1" customWidth="1"/>
    <col min="8460" max="8460" width="10.85546875" style="487" customWidth="1"/>
    <col min="8461" max="8462" width="14.28515625" style="487" customWidth="1"/>
    <col min="8463" max="8463" width="10.85546875" style="487" customWidth="1"/>
    <col min="8464" max="8464" width="45.42578125" style="487" customWidth="1"/>
    <col min="8465" max="8466" width="14.28515625" style="487" customWidth="1"/>
    <col min="8467" max="8701" width="11.42578125" style="487"/>
    <col min="8702" max="8702" width="49.5703125" style="487" customWidth="1"/>
    <col min="8703" max="8703" width="18.5703125" style="487" bestFit="1" customWidth="1"/>
    <col min="8704" max="8707" width="17.28515625" style="487" bestFit="1" customWidth="1"/>
    <col min="8708" max="8708" width="1" style="487" customWidth="1"/>
    <col min="8709" max="8709" width="17.28515625" style="487" bestFit="1" customWidth="1"/>
    <col min="8710" max="8710" width="0.85546875" style="487" customWidth="1"/>
    <col min="8711" max="8711" width="18.28515625" style="487" customWidth="1"/>
    <col min="8712" max="8715" width="17.28515625" style="487" bestFit="1" customWidth="1"/>
    <col min="8716" max="8716" width="10.85546875" style="487" customWidth="1"/>
    <col min="8717" max="8718" width="14.28515625" style="487" customWidth="1"/>
    <col min="8719" max="8719" width="10.85546875" style="487" customWidth="1"/>
    <col min="8720" max="8720" width="45.42578125" style="487" customWidth="1"/>
    <col min="8721" max="8722" width="14.28515625" style="487" customWidth="1"/>
    <col min="8723" max="8957" width="11.42578125" style="487"/>
    <col min="8958" max="8958" width="49.5703125" style="487" customWidth="1"/>
    <col min="8959" max="8959" width="18.5703125" style="487" bestFit="1" customWidth="1"/>
    <col min="8960" max="8963" width="17.28515625" style="487" bestFit="1" customWidth="1"/>
    <col min="8964" max="8964" width="1" style="487" customWidth="1"/>
    <col min="8965" max="8965" width="17.28515625" style="487" bestFit="1" customWidth="1"/>
    <col min="8966" max="8966" width="0.85546875" style="487" customWidth="1"/>
    <col min="8967" max="8967" width="18.28515625" style="487" customWidth="1"/>
    <col min="8968" max="8971" width="17.28515625" style="487" bestFit="1" customWidth="1"/>
    <col min="8972" max="8972" width="10.85546875" style="487" customWidth="1"/>
    <col min="8973" max="8974" width="14.28515625" style="487" customWidth="1"/>
    <col min="8975" max="8975" width="10.85546875" style="487" customWidth="1"/>
    <col min="8976" max="8976" width="45.42578125" style="487" customWidth="1"/>
    <col min="8977" max="8978" width="14.28515625" style="487" customWidth="1"/>
    <col min="8979" max="9213" width="11.42578125" style="487"/>
    <col min="9214" max="9214" width="49.5703125" style="487" customWidth="1"/>
    <col min="9215" max="9215" width="18.5703125" style="487" bestFit="1" customWidth="1"/>
    <col min="9216" max="9219" width="17.28515625" style="487" bestFit="1" customWidth="1"/>
    <col min="9220" max="9220" width="1" style="487" customWidth="1"/>
    <col min="9221" max="9221" width="17.28515625" style="487" bestFit="1" customWidth="1"/>
    <col min="9222" max="9222" width="0.85546875" style="487" customWidth="1"/>
    <col min="9223" max="9223" width="18.28515625" style="487" customWidth="1"/>
    <col min="9224" max="9227" width="17.28515625" style="487" bestFit="1" customWidth="1"/>
    <col min="9228" max="9228" width="10.85546875" style="487" customWidth="1"/>
    <col min="9229" max="9230" width="14.28515625" style="487" customWidth="1"/>
    <col min="9231" max="9231" width="10.85546875" style="487" customWidth="1"/>
    <col min="9232" max="9232" width="45.42578125" style="487" customWidth="1"/>
    <col min="9233" max="9234" width="14.28515625" style="487" customWidth="1"/>
    <col min="9235" max="9469" width="11.42578125" style="487"/>
    <col min="9470" max="9470" width="49.5703125" style="487" customWidth="1"/>
    <col min="9471" max="9471" width="18.5703125" style="487" bestFit="1" customWidth="1"/>
    <col min="9472" max="9475" width="17.28515625" style="487" bestFit="1" customWidth="1"/>
    <col min="9476" max="9476" width="1" style="487" customWidth="1"/>
    <col min="9477" max="9477" width="17.28515625" style="487" bestFit="1" customWidth="1"/>
    <col min="9478" max="9478" width="0.85546875" style="487" customWidth="1"/>
    <col min="9479" max="9479" width="18.28515625" style="487" customWidth="1"/>
    <col min="9480" max="9483" width="17.28515625" style="487" bestFit="1" customWidth="1"/>
    <col min="9484" max="9484" width="10.85546875" style="487" customWidth="1"/>
    <col min="9485" max="9486" width="14.28515625" style="487" customWidth="1"/>
    <col min="9487" max="9487" width="10.85546875" style="487" customWidth="1"/>
    <col min="9488" max="9488" width="45.42578125" style="487" customWidth="1"/>
    <col min="9489" max="9490" width="14.28515625" style="487" customWidth="1"/>
    <col min="9491" max="9725" width="11.42578125" style="487"/>
    <col min="9726" max="9726" width="49.5703125" style="487" customWidth="1"/>
    <col min="9727" max="9727" width="18.5703125" style="487" bestFit="1" customWidth="1"/>
    <col min="9728" max="9731" width="17.28515625" style="487" bestFit="1" customWidth="1"/>
    <col min="9732" max="9732" width="1" style="487" customWidth="1"/>
    <col min="9733" max="9733" width="17.28515625" style="487" bestFit="1" customWidth="1"/>
    <col min="9734" max="9734" width="0.85546875" style="487" customWidth="1"/>
    <col min="9735" max="9735" width="18.28515625" style="487" customWidth="1"/>
    <col min="9736" max="9739" width="17.28515625" style="487" bestFit="1" customWidth="1"/>
    <col min="9740" max="9740" width="10.85546875" style="487" customWidth="1"/>
    <col min="9741" max="9742" width="14.28515625" style="487" customWidth="1"/>
    <col min="9743" max="9743" width="10.85546875" style="487" customWidth="1"/>
    <col min="9744" max="9744" width="45.42578125" style="487" customWidth="1"/>
    <col min="9745" max="9746" width="14.28515625" style="487" customWidth="1"/>
    <col min="9747" max="9981" width="11.42578125" style="487"/>
    <col min="9982" max="9982" width="49.5703125" style="487" customWidth="1"/>
    <col min="9983" max="9983" width="18.5703125" style="487" bestFit="1" customWidth="1"/>
    <col min="9984" max="9987" width="17.28515625" style="487" bestFit="1" customWidth="1"/>
    <col min="9988" max="9988" width="1" style="487" customWidth="1"/>
    <col min="9989" max="9989" width="17.28515625" style="487" bestFit="1" customWidth="1"/>
    <col min="9990" max="9990" width="0.85546875" style="487" customWidth="1"/>
    <col min="9991" max="9991" width="18.28515625" style="487" customWidth="1"/>
    <col min="9992" max="9995" width="17.28515625" style="487" bestFit="1" customWidth="1"/>
    <col min="9996" max="9996" width="10.85546875" style="487" customWidth="1"/>
    <col min="9997" max="9998" width="14.28515625" style="487" customWidth="1"/>
    <col min="9999" max="9999" width="10.85546875" style="487" customWidth="1"/>
    <col min="10000" max="10000" width="45.42578125" style="487" customWidth="1"/>
    <col min="10001" max="10002" width="14.28515625" style="487" customWidth="1"/>
    <col min="10003" max="10237" width="11.42578125" style="487"/>
    <col min="10238" max="10238" width="49.5703125" style="487" customWidth="1"/>
    <col min="10239" max="10239" width="18.5703125" style="487" bestFit="1" customWidth="1"/>
    <col min="10240" max="10243" width="17.28515625" style="487" bestFit="1" customWidth="1"/>
    <col min="10244" max="10244" width="1" style="487" customWidth="1"/>
    <col min="10245" max="10245" width="17.28515625" style="487" bestFit="1" customWidth="1"/>
    <col min="10246" max="10246" width="0.85546875" style="487" customWidth="1"/>
    <col min="10247" max="10247" width="18.28515625" style="487" customWidth="1"/>
    <col min="10248" max="10251" width="17.28515625" style="487" bestFit="1" customWidth="1"/>
    <col min="10252" max="10252" width="10.85546875" style="487" customWidth="1"/>
    <col min="10253" max="10254" width="14.28515625" style="487" customWidth="1"/>
    <col min="10255" max="10255" width="10.85546875" style="487" customWidth="1"/>
    <col min="10256" max="10256" width="45.42578125" style="487" customWidth="1"/>
    <col min="10257" max="10258" width="14.28515625" style="487" customWidth="1"/>
    <col min="10259" max="10493" width="11.42578125" style="487"/>
    <col min="10494" max="10494" width="49.5703125" style="487" customWidth="1"/>
    <col min="10495" max="10495" width="18.5703125" style="487" bestFit="1" customWidth="1"/>
    <col min="10496" max="10499" width="17.28515625" style="487" bestFit="1" customWidth="1"/>
    <col min="10500" max="10500" width="1" style="487" customWidth="1"/>
    <col min="10501" max="10501" width="17.28515625" style="487" bestFit="1" customWidth="1"/>
    <col min="10502" max="10502" width="0.85546875" style="487" customWidth="1"/>
    <col min="10503" max="10503" width="18.28515625" style="487" customWidth="1"/>
    <col min="10504" max="10507" width="17.28515625" style="487" bestFit="1" customWidth="1"/>
    <col min="10508" max="10508" width="10.85546875" style="487" customWidth="1"/>
    <col min="10509" max="10510" width="14.28515625" style="487" customWidth="1"/>
    <col min="10511" max="10511" width="10.85546875" style="487" customWidth="1"/>
    <col min="10512" max="10512" width="45.42578125" style="487" customWidth="1"/>
    <col min="10513" max="10514" width="14.28515625" style="487" customWidth="1"/>
    <col min="10515" max="10749" width="11.42578125" style="487"/>
    <col min="10750" max="10750" width="49.5703125" style="487" customWidth="1"/>
    <col min="10751" max="10751" width="18.5703125" style="487" bestFit="1" customWidth="1"/>
    <col min="10752" max="10755" width="17.28515625" style="487" bestFit="1" customWidth="1"/>
    <col min="10756" max="10756" width="1" style="487" customWidth="1"/>
    <col min="10757" max="10757" width="17.28515625" style="487" bestFit="1" customWidth="1"/>
    <col min="10758" max="10758" width="0.85546875" style="487" customWidth="1"/>
    <col min="10759" max="10759" width="18.28515625" style="487" customWidth="1"/>
    <col min="10760" max="10763" width="17.28515625" style="487" bestFit="1" customWidth="1"/>
    <col min="10764" max="10764" width="10.85546875" style="487" customWidth="1"/>
    <col min="10765" max="10766" width="14.28515625" style="487" customWidth="1"/>
    <col min="10767" max="10767" width="10.85546875" style="487" customWidth="1"/>
    <col min="10768" max="10768" width="45.42578125" style="487" customWidth="1"/>
    <col min="10769" max="10770" width="14.28515625" style="487" customWidth="1"/>
    <col min="10771" max="11005" width="11.42578125" style="487"/>
    <col min="11006" max="11006" width="49.5703125" style="487" customWidth="1"/>
    <col min="11007" max="11007" width="18.5703125" style="487" bestFit="1" customWidth="1"/>
    <col min="11008" max="11011" width="17.28515625" style="487" bestFit="1" customWidth="1"/>
    <col min="11012" max="11012" width="1" style="487" customWidth="1"/>
    <col min="11013" max="11013" width="17.28515625" style="487" bestFit="1" customWidth="1"/>
    <col min="11014" max="11014" width="0.85546875" style="487" customWidth="1"/>
    <col min="11015" max="11015" width="18.28515625" style="487" customWidth="1"/>
    <col min="11016" max="11019" width="17.28515625" style="487" bestFit="1" customWidth="1"/>
    <col min="11020" max="11020" width="10.85546875" style="487" customWidth="1"/>
    <col min="11021" max="11022" width="14.28515625" style="487" customWidth="1"/>
    <col min="11023" max="11023" width="10.85546875" style="487" customWidth="1"/>
    <col min="11024" max="11024" width="45.42578125" style="487" customWidth="1"/>
    <col min="11025" max="11026" width="14.28515625" style="487" customWidth="1"/>
    <col min="11027" max="11261" width="11.42578125" style="487"/>
    <col min="11262" max="11262" width="49.5703125" style="487" customWidth="1"/>
    <col min="11263" max="11263" width="18.5703125" style="487" bestFit="1" customWidth="1"/>
    <col min="11264" max="11267" width="17.28515625" style="487" bestFit="1" customWidth="1"/>
    <col min="11268" max="11268" width="1" style="487" customWidth="1"/>
    <col min="11269" max="11269" width="17.28515625" style="487" bestFit="1" customWidth="1"/>
    <col min="11270" max="11270" width="0.85546875" style="487" customWidth="1"/>
    <col min="11271" max="11271" width="18.28515625" style="487" customWidth="1"/>
    <col min="11272" max="11275" width="17.28515625" style="487" bestFit="1" customWidth="1"/>
    <col min="11276" max="11276" width="10.85546875" style="487" customWidth="1"/>
    <col min="11277" max="11278" width="14.28515625" style="487" customWidth="1"/>
    <col min="11279" max="11279" width="10.85546875" style="487" customWidth="1"/>
    <col min="11280" max="11280" width="45.42578125" style="487" customWidth="1"/>
    <col min="11281" max="11282" width="14.28515625" style="487" customWidth="1"/>
    <col min="11283" max="11517" width="11.42578125" style="487"/>
    <col min="11518" max="11518" width="49.5703125" style="487" customWidth="1"/>
    <col min="11519" max="11519" width="18.5703125" style="487" bestFit="1" customWidth="1"/>
    <col min="11520" max="11523" width="17.28515625" style="487" bestFit="1" customWidth="1"/>
    <col min="11524" max="11524" width="1" style="487" customWidth="1"/>
    <col min="11525" max="11525" width="17.28515625" style="487" bestFit="1" customWidth="1"/>
    <col min="11526" max="11526" width="0.85546875" style="487" customWidth="1"/>
    <col min="11527" max="11527" width="18.28515625" style="487" customWidth="1"/>
    <col min="11528" max="11531" width="17.28515625" style="487" bestFit="1" customWidth="1"/>
    <col min="11532" max="11532" width="10.85546875" style="487" customWidth="1"/>
    <col min="11533" max="11534" width="14.28515625" style="487" customWidth="1"/>
    <col min="11535" max="11535" width="10.85546875" style="487" customWidth="1"/>
    <col min="11536" max="11536" width="45.42578125" style="487" customWidth="1"/>
    <col min="11537" max="11538" width="14.28515625" style="487" customWidth="1"/>
    <col min="11539" max="11773" width="11.42578125" style="487"/>
    <col min="11774" max="11774" width="49.5703125" style="487" customWidth="1"/>
    <col min="11775" max="11775" width="18.5703125" style="487" bestFit="1" customWidth="1"/>
    <col min="11776" max="11779" width="17.28515625" style="487" bestFit="1" customWidth="1"/>
    <col min="11780" max="11780" width="1" style="487" customWidth="1"/>
    <col min="11781" max="11781" width="17.28515625" style="487" bestFit="1" customWidth="1"/>
    <col min="11782" max="11782" width="0.85546875" style="487" customWidth="1"/>
    <col min="11783" max="11783" width="18.28515625" style="487" customWidth="1"/>
    <col min="11784" max="11787" width="17.28515625" style="487" bestFit="1" customWidth="1"/>
    <col min="11788" max="11788" width="10.85546875" style="487" customWidth="1"/>
    <col min="11789" max="11790" width="14.28515625" style="487" customWidth="1"/>
    <col min="11791" max="11791" width="10.85546875" style="487" customWidth="1"/>
    <col min="11792" max="11792" width="45.42578125" style="487" customWidth="1"/>
    <col min="11793" max="11794" width="14.28515625" style="487" customWidth="1"/>
    <col min="11795" max="12029" width="11.42578125" style="487"/>
    <col min="12030" max="12030" width="49.5703125" style="487" customWidth="1"/>
    <col min="12031" max="12031" width="18.5703125" style="487" bestFit="1" customWidth="1"/>
    <col min="12032" max="12035" width="17.28515625" style="487" bestFit="1" customWidth="1"/>
    <col min="12036" max="12036" width="1" style="487" customWidth="1"/>
    <col min="12037" max="12037" width="17.28515625" style="487" bestFit="1" customWidth="1"/>
    <col min="12038" max="12038" width="0.85546875" style="487" customWidth="1"/>
    <col min="12039" max="12039" width="18.28515625" style="487" customWidth="1"/>
    <col min="12040" max="12043" width="17.28515625" style="487" bestFit="1" customWidth="1"/>
    <col min="12044" max="12044" width="10.85546875" style="487" customWidth="1"/>
    <col min="12045" max="12046" width="14.28515625" style="487" customWidth="1"/>
    <col min="12047" max="12047" width="10.85546875" style="487" customWidth="1"/>
    <col min="12048" max="12048" width="45.42578125" style="487" customWidth="1"/>
    <col min="12049" max="12050" width="14.28515625" style="487" customWidth="1"/>
    <col min="12051" max="12285" width="11.42578125" style="487"/>
    <col min="12286" max="12286" width="49.5703125" style="487" customWidth="1"/>
    <col min="12287" max="12287" width="18.5703125" style="487" bestFit="1" customWidth="1"/>
    <col min="12288" max="12291" width="17.28515625" style="487" bestFit="1" customWidth="1"/>
    <col min="12292" max="12292" width="1" style="487" customWidth="1"/>
    <col min="12293" max="12293" width="17.28515625" style="487" bestFit="1" customWidth="1"/>
    <col min="12294" max="12294" width="0.85546875" style="487" customWidth="1"/>
    <col min="12295" max="12295" width="18.28515625" style="487" customWidth="1"/>
    <col min="12296" max="12299" width="17.28515625" style="487" bestFit="1" customWidth="1"/>
    <col min="12300" max="12300" width="10.85546875" style="487" customWidth="1"/>
    <col min="12301" max="12302" width="14.28515625" style="487" customWidth="1"/>
    <col min="12303" max="12303" width="10.85546875" style="487" customWidth="1"/>
    <col min="12304" max="12304" width="45.42578125" style="487" customWidth="1"/>
    <col min="12305" max="12306" width="14.28515625" style="487" customWidth="1"/>
    <col min="12307" max="12541" width="11.42578125" style="487"/>
    <col min="12542" max="12542" width="49.5703125" style="487" customWidth="1"/>
    <col min="12543" max="12543" width="18.5703125" style="487" bestFit="1" customWidth="1"/>
    <col min="12544" max="12547" width="17.28515625" style="487" bestFit="1" customWidth="1"/>
    <col min="12548" max="12548" width="1" style="487" customWidth="1"/>
    <col min="12549" max="12549" width="17.28515625" style="487" bestFit="1" customWidth="1"/>
    <col min="12550" max="12550" width="0.85546875" style="487" customWidth="1"/>
    <col min="12551" max="12551" width="18.28515625" style="487" customWidth="1"/>
    <col min="12552" max="12555" width="17.28515625" style="487" bestFit="1" customWidth="1"/>
    <col min="12556" max="12556" width="10.85546875" style="487" customWidth="1"/>
    <col min="12557" max="12558" width="14.28515625" style="487" customWidth="1"/>
    <col min="12559" max="12559" width="10.85546875" style="487" customWidth="1"/>
    <col min="12560" max="12560" width="45.42578125" style="487" customWidth="1"/>
    <col min="12561" max="12562" width="14.28515625" style="487" customWidth="1"/>
    <col min="12563" max="12797" width="11.42578125" style="487"/>
    <col min="12798" max="12798" width="49.5703125" style="487" customWidth="1"/>
    <col min="12799" max="12799" width="18.5703125" style="487" bestFit="1" customWidth="1"/>
    <col min="12800" max="12803" width="17.28515625" style="487" bestFit="1" customWidth="1"/>
    <col min="12804" max="12804" width="1" style="487" customWidth="1"/>
    <col min="12805" max="12805" width="17.28515625" style="487" bestFit="1" customWidth="1"/>
    <col min="12806" max="12806" width="0.85546875" style="487" customWidth="1"/>
    <col min="12807" max="12807" width="18.28515625" style="487" customWidth="1"/>
    <col min="12808" max="12811" width="17.28515625" style="487" bestFit="1" customWidth="1"/>
    <col min="12812" max="12812" width="10.85546875" style="487" customWidth="1"/>
    <col min="12813" max="12814" width="14.28515625" style="487" customWidth="1"/>
    <col min="12815" max="12815" width="10.85546875" style="487" customWidth="1"/>
    <col min="12816" max="12816" width="45.42578125" style="487" customWidth="1"/>
    <col min="12817" max="12818" width="14.28515625" style="487" customWidth="1"/>
    <col min="12819" max="13053" width="11.42578125" style="487"/>
    <col min="13054" max="13054" width="49.5703125" style="487" customWidth="1"/>
    <col min="13055" max="13055" width="18.5703125" style="487" bestFit="1" customWidth="1"/>
    <col min="13056" max="13059" width="17.28515625" style="487" bestFit="1" customWidth="1"/>
    <col min="13060" max="13060" width="1" style="487" customWidth="1"/>
    <col min="13061" max="13061" width="17.28515625" style="487" bestFit="1" customWidth="1"/>
    <col min="13062" max="13062" width="0.85546875" style="487" customWidth="1"/>
    <col min="13063" max="13063" width="18.28515625" style="487" customWidth="1"/>
    <col min="13064" max="13067" width="17.28515625" style="487" bestFit="1" customWidth="1"/>
    <col min="13068" max="13068" width="10.85546875" style="487" customWidth="1"/>
    <col min="13069" max="13070" width="14.28515625" style="487" customWidth="1"/>
    <col min="13071" max="13071" width="10.85546875" style="487" customWidth="1"/>
    <col min="13072" max="13072" width="45.42578125" style="487" customWidth="1"/>
    <col min="13073" max="13074" width="14.28515625" style="487" customWidth="1"/>
    <col min="13075" max="13309" width="11.42578125" style="487"/>
    <col min="13310" max="13310" width="49.5703125" style="487" customWidth="1"/>
    <col min="13311" max="13311" width="18.5703125" style="487" bestFit="1" customWidth="1"/>
    <col min="13312" max="13315" width="17.28515625" style="487" bestFit="1" customWidth="1"/>
    <col min="13316" max="13316" width="1" style="487" customWidth="1"/>
    <col min="13317" max="13317" width="17.28515625" style="487" bestFit="1" customWidth="1"/>
    <col min="13318" max="13318" width="0.85546875" style="487" customWidth="1"/>
    <col min="13319" max="13319" width="18.28515625" style="487" customWidth="1"/>
    <col min="13320" max="13323" width="17.28515625" style="487" bestFit="1" customWidth="1"/>
    <col min="13324" max="13324" width="10.85546875" style="487" customWidth="1"/>
    <col min="13325" max="13326" width="14.28515625" style="487" customWidth="1"/>
    <col min="13327" max="13327" width="10.85546875" style="487" customWidth="1"/>
    <col min="13328" max="13328" width="45.42578125" style="487" customWidth="1"/>
    <col min="13329" max="13330" width="14.28515625" style="487" customWidth="1"/>
    <col min="13331" max="13565" width="11.42578125" style="487"/>
    <col min="13566" max="13566" width="49.5703125" style="487" customWidth="1"/>
    <col min="13567" max="13567" width="18.5703125" style="487" bestFit="1" customWidth="1"/>
    <col min="13568" max="13571" width="17.28515625" style="487" bestFit="1" customWidth="1"/>
    <col min="13572" max="13572" width="1" style="487" customWidth="1"/>
    <col min="13573" max="13573" width="17.28515625" style="487" bestFit="1" customWidth="1"/>
    <col min="13574" max="13574" width="0.85546875" style="487" customWidth="1"/>
    <col min="13575" max="13575" width="18.28515625" style="487" customWidth="1"/>
    <col min="13576" max="13579" width="17.28515625" style="487" bestFit="1" customWidth="1"/>
    <col min="13580" max="13580" width="10.85546875" style="487" customWidth="1"/>
    <col min="13581" max="13582" width="14.28515625" style="487" customWidth="1"/>
    <col min="13583" max="13583" width="10.85546875" style="487" customWidth="1"/>
    <col min="13584" max="13584" width="45.42578125" style="487" customWidth="1"/>
    <col min="13585" max="13586" width="14.28515625" style="487" customWidth="1"/>
    <col min="13587" max="13821" width="11.42578125" style="487"/>
    <col min="13822" max="13822" width="49.5703125" style="487" customWidth="1"/>
    <col min="13823" max="13823" width="18.5703125" style="487" bestFit="1" customWidth="1"/>
    <col min="13824" max="13827" width="17.28515625" style="487" bestFit="1" customWidth="1"/>
    <col min="13828" max="13828" width="1" style="487" customWidth="1"/>
    <col min="13829" max="13829" width="17.28515625" style="487" bestFit="1" customWidth="1"/>
    <col min="13830" max="13830" width="0.85546875" style="487" customWidth="1"/>
    <col min="13831" max="13831" width="18.28515625" style="487" customWidth="1"/>
    <col min="13832" max="13835" width="17.28515625" style="487" bestFit="1" customWidth="1"/>
    <col min="13836" max="13836" width="10.85546875" style="487" customWidth="1"/>
    <col min="13837" max="13838" width="14.28515625" style="487" customWidth="1"/>
    <col min="13839" max="13839" width="10.85546875" style="487" customWidth="1"/>
    <col min="13840" max="13840" width="45.42578125" style="487" customWidth="1"/>
    <col min="13841" max="13842" width="14.28515625" style="487" customWidth="1"/>
    <col min="13843" max="14077" width="11.42578125" style="487"/>
    <col min="14078" max="14078" width="49.5703125" style="487" customWidth="1"/>
    <col min="14079" max="14079" width="18.5703125" style="487" bestFit="1" customWidth="1"/>
    <col min="14080" max="14083" width="17.28515625" style="487" bestFit="1" customWidth="1"/>
    <col min="14084" max="14084" width="1" style="487" customWidth="1"/>
    <col min="14085" max="14085" width="17.28515625" style="487" bestFit="1" customWidth="1"/>
    <col min="14086" max="14086" width="0.85546875" style="487" customWidth="1"/>
    <col min="14087" max="14087" width="18.28515625" style="487" customWidth="1"/>
    <col min="14088" max="14091" width="17.28515625" style="487" bestFit="1" customWidth="1"/>
    <col min="14092" max="14092" width="10.85546875" style="487" customWidth="1"/>
    <col min="14093" max="14094" width="14.28515625" style="487" customWidth="1"/>
    <col min="14095" max="14095" width="10.85546875" style="487" customWidth="1"/>
    <col min="14096" max="14096" width="45.42578125" style="487" customWidth="1"/>
    <col min="14097" max="14098" width="14.28515625" style="487" customWidth="1"/>
    <col min="14099" max="14333" width="11.42578125" style="487"/>
    <col min="14334" max="14334" width="49.5703125" style="487" customWidth="1"/>
    <col min="14335" max="14335" width="18.5703125" style="487" bestFit="1" customWidth="1"/>
    <col min="14336" max="14339" width="17.28515625" style="487" bestFit="1" customWidth="1"/>
    <col min="14340" max="14340" width="1" style="487" customWidth="1"/>
    <col min="14341" max="14341" width="17.28515625" style="487" bestFit="1" customWidth="1"/>
    <col min="14342" max="14342" width="0.85546875" style="487" customWidth="1"/>
    <col min="14343" max="14343" width="18.28515625" style="487" customWidth="1"/>
    <col min="14344" max="14347" width="17.28515625" style="487" bestFit="1" customWidth="1"/>
    <col min="14348" max="14348" width="10.85546875" style="487" customWidth="1"/>
    <col min="14349" max="14350" width="14.28515625" style="487" customWidth="1"/>
    <col min="14351" max="14351" width="10.85546875" style="487" customWidth="1"/>
    <col min="14352" max="14352" width="45.42578125" style="487" customWidth="1"/>
    <col min="14353" max="14354" width="14.28515625" style="487" customWidth="1"/>
    <col min="14355" max="14589" width="11.42578125" style="487"/>
    <col min="14590" max="14590" width="49.5703125" style="487" customWidth="1"/>
    <col min="14591" max="14591" width="18.5703125" style="487" bestFit="1" customWidth="1"/>
    <col min="14592" max="14595" width="17.28515625" style="487" bestFit="1" customWidth="1"/>
    <col min="14596" max="14596" width="1" style="487" customWidth="1"/>
    <col min="14597" max="14597" width="17.28515625" style="487" bestFit="1" customWidth="1"/>
    <col min="14598" max="14598" width="0.85546875" style="487" customWidth="1"/>
    <col min="14599" max="14599" width="18.28515625" style="487" customWidth="1"/>
    <col min="14600" max="14603" width="17.28515625" style="487" bestFit="1" customWidth="1"/>
    <col min="14604" max="14604" width="10.85546875" style="487" customWidth="1"/>
    <col min="14605" max="14606" width="14.28515625" style="487" customWidth="1"/>
    <col min="14607" max="14607" width="10.85546875" style="487" customWidth="1"/>
    <col min="14608" max="14608" width="45.42578125" style="487" customWidth="1"/>
    <col min="14609" max="14610" width="14.28515625" style="487" customWidth="1"/>
    <col min="14611" max="14845" width="11.42578125" style="487"/>
    <col min="14846" max="14846" width="49.5703125" style="487" customWidth="1"/>
    <col min="14847" max="14847" width="18.5703125" style="487" bestFit="1" customWidth="1"/>
    <col min="14848" max="14851" width="17.28515625" style="487" bestFit="1" customWidth="1"/>
    <col min="14852" max="14852" width="1" style="487" customWidth="1"/>
    <col min="14853" max="14853" width="17.28515625" style="487" bestFit="1" customWidth="1"/>
    <col min="14854" max="14854" width="0.85546875" style="487" customWidth="1"/>
    <col min="14855" max="14855" width="18.28515625" style="487" customWidth="1"/>
    <col min="14856" max="14859" width="17.28515625" style="487" bestFit="1" customWidth="1"/>
    <col min="14860" max="14860" width="10.85546875" style="487" customWidth="1"/>
    <col min="14861" max="14862" width="14.28515625" style="487" customWidth="1"/>
    <col min="14863" max="14863" width="10.85546875" style="487" customWidth="1"/>
    <col min="14864" max="14864" width="45.42578125" style="487" customWidth="1"/>
    <col min="14865" max="14866" width="14.28515625" style="487" customWidth="1"/>
    <col min="14867" max="15101" width="11.42578125" style="487"/>
    <col min="15102" max="15102" width="49.5703125" style="487" customWidth="1"/>
    <col min="15103" max="15103" width="18.5703125" style="487" bestFit="1" customWidth="1"/>
    <col min="15104" max="15107" width="17.28515625" style="487" bestFit="1" customWidth="1"/>
    <col min="15108" max="15108" width="1" style="487" customWidth="1"/>
    <col min="15109" max="15109" width="17.28515625" style="487" bestFit="1" customWidth="1"/>
    <col min="15110" max="15110" width="0.85546875" style="487" customWidth="1"/>
    <col min="15111" max="15111" width="18.28515625" style="487" customWidth="1"/>
    <col min="15112" max="15115" width="17.28515625" style="487" bestFit="1" customWidth="1"/>
    <col min="15116" max="15116" width="10.85546875" style="487" customWidth="1"/>
    <col min="15117" max="15118" width="14.28515625" style="487" customWidth="1"/>
    <col min="15119" max="15119" width="10.85546875" style="487" customWidth="1"/>
    <col min="15120" max="15120" width="45.42578125" style="487" customWidth="1"/>
    <col min="15121" max="15122" width="14.28515625" style="487" customWidth="1"/>
    <col min="15123" max="15357" width="11.42578125" style="487"/>
    <col min="15358" max="15358" width="49.5703125" style="487" customWidth="1"/>
    <col min="15359" max="15359" width="18.5703125" style="487" bestFit="1" customWidth="1"/>
    <col min="15360" max="15363" width="17.28515625" style="487" bestFit="1" customWidth="1"/>
    <col min="15364" max="15364" width="1" style="487" customWidth="1"/>
    <col min="15365" max="15365" width="17.28515625" style="487" bestFit="1" customWidth="1"/>
    <col min="15366" max="15366" width="0.85546875" style="487" customWidth="1"/>
    <col min="15367" max="15367" width="18.28515625" style="487" customWidth="1"/>
    <col min="15368" max="15371" width="17.28515625" style="487" bestFit="1" customWidth="1"/>
    <col min="15372" max="15372" width="10.85546875" style="487" customWidth="1"/>
    <col min="15373" max="15374" width="14.28515625" style="487" customWidth="1"/>
    <col min="15375" max="15375" width="10.85546875" style="487" customWidth="1"/>
    <col min="15376" max="15376" width="45.42578125" style="487" customWidth="1"/>
    <col min="15377" max="15378" width="14.28515625" style="487" customWidth="1"/>
    <col min="15379" max="15613" width="11.42578125" style="487"/>
    <col min="15614" max="15614" width="49.5703125" style="487" customWidth="1"/>
    <col min="15615" max="15615" width="18.5703125" style="487" bestFit="1" customWidth="1"/>
    <col min="15616" max="15619" width="17.28515625" style="487" bestFit="1" customWidth="1"/>
    <col min="15620" max="15620" width="1" style="487" customWidth="1"/>
    <col min="15621" max="15621" width="17.28515625" style="487" bestFit="1" customWidth="1"/>
    <col min="15622" max="15622" width="0.85546875" style="487" customWidth="1"/>
    <col min="15623" max="15623" width="18.28515625" style="487" customWidth="1"/>
    <col min="15624" max="15627" width="17.28515625" style="487" bestFit="1" customWidth="1"/>
    <col min="15628" max="15628" width="10.85546875" style="487" customWidth="1"/>
    <col min="15629" max="15630" width="14.28515625" style="487" customWidth="1"/>
    <col min="15631" max="15631" width="10.85546875" style="487" customWidth="1"/>
    <col min="15632" max="15632" width="45.42578125" style="487" customWidth="1"/>
    <col min="15633" max="15634" width="14.28515625" style="487" customWidth="1"/>
    <col min="15635" max="15869" width="11.42578125" style="487"/>
    <col min="15870" max="15870" width="49.5703125" style="487" customWidth="1"/>
    <col min="15871" max="15871" width="18.5703125" style="487" bestFit="1" customWidth="1"/>
    <col min="15872" max="15875" width="17.28515625" style="487" bestFit="1" customWidth="1"/>
    <col min="15876" max="15876" width="1" style="487" customWidth="1"/>
    <col min="15877" max="15877" width="17.28515625" style="487" bestFit="1" customWidth="1"/>
    <col min="15878" max="15878" width="0.85546875" style="487" customWidth="1"/>
    <col min="15879" max="15879" width="18.28515625" style="487" customWidth="1"/>
    <col min="15880" max="15883" width="17.28515625" style="487" bestFit="1" customWidth="1"/>
    <col min="15884" max="15884" width="10.85546875" style="487" customWidth="1"/>
    <col min="15885" max="15886" width="14.28515625" style="487" customWidth="1"/>
    <col min="15887" max="15887" width="10.85546875" style="487" customWidth="1"/>
    <col min="15888" max="15888" width="45.42578125" style="487" customWidth="1"/>
    <col min="15889" max="15890" width="14.28515625" style="487" customWidth="1"/>
    <col min="15891" max="16125" width="11.42578125" style="487"/>
    <col min="16126" max="16126" width="49.5703125" style="487" customWidth="1"/>
    <col min="16127" max="16127" width="18.5703125" style="487" bestFit="1" customWidth="1"/>
    <col min="16128" max="16131" width="17.28515625" style="487" bestFit="1" customWidth="1"/>
    <col min="16132" max="16132" width="1" style="487" customWidth="1"/>
    <col min="16133" max="16133" width="17.28515625" style="487" bestFit="1" customWidth="1"/>
    <col min="16134" max="16134" width="0.85546875" style="487" customWidth="1"/>
    <col min="16135" max="16135" width="18.28515625" style="487" customWidth="1"/>
    <col min="16136" max="16139" width="17.28515625" style="487" bestFit="1" customWidth="1"/>
    <col min="16140" max="16140" width="10.85546875" style="487" customWidth="1"/>
    <col min="16141" max="16142" width="14.28515625" style="487" customWidth="1"/>
    <col min="16143" max="16143" width="10.85546875" style="487" customWidth="1"/>
    <col min="16144" max="16144" width="45.42578125" style="487" customWidth="1"/>
    <col min="16145" max="16146" width="14.28515625" style="487" customWidth="1"/>
    <col min="16147" max="16384" width="11.42578125" style="487"/>
  </cols>
  <sheetData>
    <row r="1" spans="1:14" ht="15" customHeight="1" x14ac:dyDescent="0.25">
      <c r="A1" s="486"/>
      <c r="B1" s="486"/>
      <c r="C1" s="486"/>
      <c r="D1" s="739"/>
    </row>
    <row r="2" spans="1:14" s="358" customFormat="1" ht="48" customHeight="1" x14ac:dyDescent="0.25">
      <c r="A2" s="488" t="s">
        <v>946</v>
      </c>
      <c r="B2" s="489" t="s">
        <v>1000</v>
      </c>
      <c r="C2" s="489" t="s">
        <v>1001</v>
      </c>
      <c r="D2" s="489" t="s">
        <v>1974</v>
      </c>
      <c r="E2" s="489" t="s">
        <v>1003</v>
      </c>
      <c r="F2" s="489" t="s">
        <v>1975</v>
      </c>
      <c r="G2" s="489" t="s">
        <v>1005</v>
      </c>
      <c r="H2" s="489"/>
      <c r="I2" s="489" t="s">
        <v>1007</v>
      </c>
      <c r="J2" s="489"/>
      <c r="K2" s="489" t="s">
        <v>1009</v>
      </c>
      <c r="L2" s="489"/>
      <c r="M2" s="489" t="s">
        <v>1976</v>
      </c>
      <c r="N2" s="489" t="s">
        <v>28</v>
      </c>
    </row>
    <row r="3" spans="1:14" s="253" customFormat="1" ht="15" x14ac:dyDescent="0.25">
      <c r="A3" s="490" t="s">
        <v>949</v>
      </c>
      <c r="B3" s="491">
        <f t="shared" ref="B3:N3" si="0">+B4+B80+B130</f>
        <v>281317707775.85999</v>
      </c>
      <c r="C3" s="491">
        <f t="shared" si="0"/>
        <v>269299032046.10001</v>
      </c>
      <c r="D3" s="740">
        <f>+(C3-B3)/B3</f>
        <v>-4.2722784231328463E-2</v>
      </c>
      <c r="E3" s="491">
        <f t="shared" si="0"/>
        <v>296746834875.20001</v>
      </c>
      <c r="F3" s="741">
        <f>+(E3-C3)/C3</f>
        <v>0.10192313956925529</v>
      </c>
      <c r="G3" s="491">
        <f t="shared" si="0"/>
        <v>317040324562.40002</v>
      </c>
      <c r="H3" s="741">
        <f>+(G3-E3)/E3</f>
        <v>6.8386541328181824E-2</v>
      </c>
      <c r="I3" s="491">
        <f t="shared" si="0"/>
        <v>341899568234.72003</v>
      </c>
      <c r="J3" s="741">
        <f>+(I3-G3)/G3</f>
        <v>7.8410352710281808E-2</v>
      </c>
      <c r="K3" s="491">
        <f t="shared" si="0"/>
        <v>0</v>
      </c>
      <c r="L3" s="491"/>
      <c r="M3" s="491">
        <f t="shared" si="0"/>
        <v>0</v>
      </c>
      <c r="N3" s="491">
        <f t="shared" si="0"/>
        <v>18334260464</v>
      </c>
    </row>
    <row r="4" spans="1:14" s="253" customFormat="1" ht="15" x14ac:dyDescent="0.25">
      <c r="A4" s="492" t="s">
        <v>950</v>
      </c>
      <c r="B4" s="493">
        <f t="shared" ref="B4:N4" si="1">+B5+B47</f>
        <v>101389654267.79001</v>
      </c>
      <c r="C4" s="493">
        <f t="shared" si="1"/>
        <v>102892732044.44</v>
      </c>
      <c r="D4" s="740">
        <f t="shared" ref="D4:D67" si="2">+(C4-B4)/B4</f>
        <v>1.4824764789907163E-2</v>
      </c>
      <c r="E4" s="493">
        <f t="shared" si="1"/>
        <v>112750103088.58</v>
      </c>
      <c r="F4" s="741">
        <f t="shared" ref="F4:F67" si="3">+(E4-C4)/C4</f>
        <v>9.580240361275022E-2</v>
      </c>
      <c r="G4" s="493">
        <f t="shared" si="1"/>
        <v>115202345676.91</v>
      </c>
      <c r="H4" s="741">
        <f t="shared" ref="H4:H67" si="4">+(G4-E4)/E4</f>
        <v>2.1749360055160601E-2</v>
      </c>
      <c r="I4" s="493">
        <f t="shared" si="1"/>
        <v>118101069231.75</v>
      </c>
      <c r="J4" s="741">
        <f t="shared" ref="J4:J67" si="5">+(I4-G4)/G4</f>
        <v>2.5162018514532619E-2</v>
      </c>
      <c r="K4" s="493">
        <f t="shared" si="1"/>
        <v>0</v>
      </c>
      <c r="L4" s="493"/>
      <c r="M4" s="493">
        <f t="shared" si="1"/>
        <v>0</v>
      </c>
      <c r="N4" s="493">
        <f t="shared" si="1"/>
        <v>18334260464</v>
      </c>
    </row>
    <row r="5" spans="1:14" s="253" customFormat="1" ht="15" x14ac:dyDescent="0.25">
      <c r="A5" s="494" t="s">
        <v>951</v>
      </c>
      <c r="B5" s="495">
        <f>+B6+B16</f>
        <v>86350066972</v>
      </c>
      <c r="C5" s="495">
        <f t="shared" ref="C5:N5" si="6">+C6+C16</f>
        <v>86675913374.399994</v>
      </c>
      <c r="D5" s="740">
        <f t="shared" si="2"/>
        <v>3.7735512412011602E-3</v>
      </c>
      <c r="E5" s="495">
        <f t="shared" si="6"/>
        <v>96019427659.580002</v>
      </c>
      <c r="F5" s="741">
        <f t="shared" si="3"/>
        <v>0.10779827891539294</v>
      </c>
      <c r="G5" s="495">
        <f t="shared" si="6"/>
        <v>97897983249.669998</v>
      </c>
      <c r="H5" s="741">
        <f t="shared" si="4"/>
        <v>1.9564328135240349E-2</v>
      </c>
      <c r="I5" s="495">
        <f t="shared" si="6"/>
        <v>100421479501</v>
      </c>
      <c r="J5" s="741">
        <f t="shared" si="5"/>
        <v>2.5776795063227293E-2</v>
      </c>
      <c r="K5" s="495">
        <f t="shared" si="6"/>
        <v>0</v>
      </c>
      <c r="L5" s="495"/>
      <c r="M5" s="495">
        <f t="shared" si="6"/>
        <v>0</v>
      </c>
      <c r="N5" s="495">
        <f t="shared" si="6"/>
        <v>18334260464</v>
      </c>
    </row>
    <row r="6" spans="1:14" s="253" customFormat="1" ht="15" x14ac:dyDescent="0.25">
      <c r="A6" s="496" t="s">
        <v>1021</v>
      </c>
      <c r="B6" s="497">
        <f>+B7+B9</f>
        <v>19411067015</v>
      </c>
      <c r="C6" s="497">
        <f t="shared" ref="C6:N6" si="7">+C7+C9</f>
        <v>21250473507</v>
      </c>
      <c r="D6" s="740">
        <f t="shared" si="2"/>
        <v>9.4760709989749115E-2</v>
      </c>
      <c r="E6" s="497">
        <f t="shared" si="7"/>
        <v>24831928061.5</v>
      </c>
      <c r="F6" s="741">
        <f t="shared" si="3"/>
        <v>0.16853528244065963</v>
      </c>
      <c r="G6" s="497">
        <f t="shared" si="7"/>
        <v>26406651569.419998</v>
      </c>
      <c r="H6" s="741">
        <f t="shared" si="4"/>
        <v>6.3415273434264105E-2</v>
      </c>
      <c r="I6" s="497">
        <f t="shared" si="7"/>
        <v>29966697788</v>
      </c>
      <c r="J6" s="741">
        <f t="shared" si="5"/>
        <v>0.13481626813687667</v>
      </c>
      <c r="K6" s="497">
        <f t="shared" si="7"/>
        <v>0</v>
      </c>
      <c r="L6" s="497"/>
      <c r="M6" s="497">
        <f t="shared" si="7"/>
        <v>0</v>
      </c>
      <c r="N6" s="497">
        <f t="shared" si="7"/>
        <v>18334260464</v>
      </c>
    </row>
    <row r="7" spans="1:14" s="253" customFormat="1" ht="15" x14ac:dyDescent="0.25">
      <c r="A7" s="498" t="s">
        <v>1022</v>
      </c>
      <c r="B7" s="499">
        <f>SUM(B8:B8)</f>
        <v>8853239996</v>
      </c>
      <c r="C7" s="499">
        <f t="shared" ref="C7:N7" si="8">SUM(C8:C8)</f>
        <v>9951188398</v>
      </c>
      <c r="D7" s="740">
        <f t="shared" si="2"/>
        <v>0.12401656370956467</v>
      </c>
      <c r="E7" s="499">
        <f t="shared" si="8"/>
        <v>11766990269.299999</v>
      </c>
      <c r="F7" s="741">
        <f t="shared" si="3"/>
        <v>0.182470856612959</v>
      </c>
      <c r="G7" s="499">
        <f t="shared" si="8"/>
        <v>12835717964.42</v>
      </c>
      <c r="H7" s="741">
        <f t="shared" si="4"/>
        <v>9.0824218484169605E-2</v>
      </c>
      <c r="I7" s="499">
        <f t="shared" si="8"/>
        <v>14906182505</v>
      </c>
      <c r="J7" s="741">
        <f t="shared" si="5"/>
        <v>0.16130492632505866</v>
      </c>
      <c r="K7" s="499">
        <f t="shared" si="8"/>
        <v>0</v>
      </c>
      <c r="L7" s="499"/>
      <c r="M7" s="499">
        <f t="shared" si="8"/>
        <v>0</v>
      </c>
      <c r="N7" s="499">
        <f t="shared" si="8"/>
        <v>18334260464</v>
      </c>
    </row>
    <row r="8" spans="1:14" ht="15" x14ac:dyDescent="0.25">
      <c r="A8" s="500" t="s">
        <v>1023</v>
      </c>
      <c r="B8" s="501">
        <v>8853239996</v>
      </c>
      <c r="C8" s="502">
        <v>9951188398</v>
      </c>
      <c r="D8" s="740">
        <f t="shared" si="2"/>
        <v>0.12401656370956467</v>
      </c>
      <c r="E8" s="503">
        <v>11766990269.299999</v>
      </c>
      <c r="F8" s="741">
        <f t="shared" si="3"/>
        <v>0.182470856612959</v>
      </c>
      <c r="G8" s="504">
        <v>12835717964.42</v>
      </c>
      <c r="H8" s="741">
        <f t="shared" si="4"/>
        <v>9.0824218484169605E-2</v>
      </c>
      <c r="I8" s="505">
        <v>14906182505</v>
      </c>
      <c r="J8" s="741">
        <f t="shared" si="5"/>
        <v>0.16130492632505866</v>
      </c>
      <c r="K8" s="505"/>
      <c r="L8" s="505"/>
      <c r="M8" s="505"/>
      <c r="N8" s="505">
        <f>+'F y U 2022 Incremento Salarial'!C7</f>
        <v>18334260464</v>
      </c>
    </row>
    <row r="9" spans="1:14" s="253" customFormat="1" ht="15" x14ac:dyDescent="0.25">
      <c r="A9" s="498" t="s">
        <v>1024</v>
      </c>
      <c r="B9" s="506">
        <f t="shared" ref="B9:N9" si="9">+B10+B11</f>
        <v>10557827019</v>
      </c>
      <c r="C9" s="506">
        <f t="shared" si="9"/>
        <v>11299285109</v>
      </c>
      <c r="D9" s="740">
        <f t="shared" si="2"/>
        <v>7.0228285485797654E-2</v>
      </c>
      <c r="E9" s="506">
        <f t="shared" si="9"/>
        <v>13064937792.199999</v>
      </c>
      <c r="F9" s="741">
        <f t="shared" si="3"/>
        <v>0.15626233572897791</v>
      </c>
      <c r="G9" s="506">
        <f t="shared" si="9"/>
        <v>13570933605</v>
      </c>
      <c r="H9" s="741">
        <f t="shared" si="4"/>
        <v>3.8729293690329673E-2</v>
      </c>
      <c r="I9" s="506">
        <f t="shared" si="9"/>
        <v>15060515283</v>
      </c>
      <c r="J9" s="741">
        <f t="shared" si="5"/>
        <v>0.10976265313472514</v>
      </c>
      <c r="K9" s="506">
        <f t="shared" si="9"/>
        <v>0</v>
      </c>
      <c r="L9" s="506"/>
      <c r="M9" s="506">
        <f t="shared" si="9"/>
        <v>0</v>
      </c>
      <c r="N9" s="506">
        <f t="shared" si="9"/>
        <v>0</v>
      </c>
    </row>
    <row r="10" spans="1:14" ht="15" x14ac:dyDescent="0.25">
      <c r="A10" s="500" t="s">
        <v>1025</v>
      </c>
      <c r="B10" s="507">
        <v>8542748119.4099998</v>
      </c>
      <c r="C10" s="507">
        <v>8361470980.4200001</v>
      </c>
      <c r="D10" s="740">
        <f t="shared" si="2"/>
        <v>-2.1220002797240331E-2</v>
      </c>
      <c r="E10" s="507">
        <v>9668053966.2199993</v>
      </c>
      <c r="F10" s="741">
        <f t="shared" si="3"/>
        <v>0.15626233576120946</v>
      </c>
      <c r="G10" s="507">
        <v>8929674312</v>
      </c>
      <c r="H10" s="741">
        <f t="shared" si="4"/>
        <v>-7.6373141564981345E-2</v>
      </c>
      <c r="I10" s="507">
        <v>9909819056</v>
      </c>
      <c r="J10" s="741">
        <f t="shared" si="5"/>
        <v>0.10976265312194512</v>
      </c>
      <c r="K10" s="507"/>
      <c r="L10" s="507"/>
      <c r="M10" s="507"/>
      <c r="N10" s="507"/>
    </row>
    <row r="11" spans="1:14" s="253" customFormat="1" ht="15" x14ac:dyDescent="0.25">
      <c r="A11" s="496" t="s">
        <v>1026</v>
      </c>
      <c r="B11" s="508">
        <f t="shared" ref="B11:N11" si="10">SUM(B12:B15)</f>
        <v>2015078899.5900002</v>
      </c>
      <c r="C11" s="508">
        <f t="shared" si="10"/>
        <v>2937814128.5799999</v>
      </c>
      <c r="D11" s="740">
        <f t="shared" si="2"/>
        <v>0.45791518594023534</v>
      </c>
      <c r="E11" s="508">
        <f t="shared" si="10"/>
        <v>3396883825.98</v>
      </c>
      <c r="F11" s="741">
        <f t="shared" si="3"/>
        <v>0.15626233563724218</v>
      </c>
      <c r="G11" s="508">
        <f t="shared" si="10"/>
        <v>4641259293</v>
      </c>
      <c r="H11" s="741">
        <f t="shared" si="4"/>
        <v>0.3663285324928644</v>
      </c>
      <c r="I11" s="508">
        <f t="shared" si="10"/>
        <v>5150696227</v>
      </c>
      <c r="J11" s="741">
        <f t="shared" si="5"/>
        <v>0.10976265315931359</v>
      </c>
      <c r="K11" s="508">
        <f t="shared" si="10"/>
        <v>0</v>
      </c>
      <c r="L11" s="508"/>
      <c r="M11" s="508">
        <f t="shared" si="10"/>
        <v>0</v>
      </c>
      <c r="N11" s="508">
        <f t="shared" si="10"/>
        <v>0</v>
      </c>
    </row>
    <row r="12" spans="1:14" ht="15" x14ac:dyDescent="0.25">
      <c r="A12" s="500" t="s">
        <v>1027</v>
      </c>
      <c r="B12" s="509">
        <v>591238313.05999994</v>
      </c>
      <c r="C12" s="510">
        <v>677957105.70000005</v>
      </c>
      <c r="D12" s="740">
        <f t="shared" si="2"/>
        <v>0.14667316160750854</v>
      </c>
      <c r="E12" s="510">
        <v>783896267.51999998</v>
      </c>
      <c r="F12" s="741">
        <f t="shared" si="3"/>
        <v>0.15626233714390572</v>
      </c>
      <c r="G12" s="504">
        <v>1927072572</v>
      </c>
      <c r="H12" s="741">
        <f t="shared" si="4"/>
        <v>1.4583259952195569</v>
      </c>
      <c r="I12" s="511">
        <v>2138593170</v>
      </c>
      <c r="J12" s="741">
        <f t="shared" si="5"/>
        <v>0.10976265298637648</v>
      </c>
      <c r="K12" s="511"/>
      <c r="L12" s="511"/>
      <c r="M12" s="511"/>
      <c r="N12" s="511"/>
    </row>
    <row r="13" spans="1:14" ht="15" x14ac:dyDescent="0.25">
      <c r="A13" s="500" t="s">
        <v>1028</v>
      </c>
      <c r="B13" s="509">
        <v>422313080.75999999</v>
      </c>
      <c r="C13" s="510">
        <v>451971404.01999998</v>
      </c>
      <c r="D13" s="740">
        <f t="shared" si="2"/>
        <v>7.0228284680707728E-2</v>
      </c>
      <c r="E13" s="510">
        <v>522597511.70999998</v>
      </c>
      <c r="F13" s="741">
        <f t="shared" si="3"/>
        <v>0.15626233664746356</v>
      </c>
      <c r="G13" s="504">
        <v>542837344</v>
      </c>
      <c r="H13" s="741">
        <f t="shared" si="4"/>
        <v>3.8729293263898124E-2</v>
      </c>
      <c r="I13" s="511">
        <v>602420611</v>
      </c>
      <c r="J13" s="741">
        <f t="shared" si="5"/>
        <v>0.1097626529541048</v>
      </c>
      <c r="K13" s="511"/>
      <c r="L13" s="511"/>
      <c r="M13" s="511"/>
      <c r="N13" s="511"/>
    </row>
    <row r="14" spans="1:14" ht="15" x14ac:dyDescent="0.25">
      <c r="A14" s="500" t="s">
        <v>1029</v>
      </c>
      <c r="B14" s="509">
        <v>633469621.13999999</v>
      </c>
      <c r="C14" s="510">
        <v>677957107.36000001</v>
      </c>
      <c r="D14" s="740">
        <f t="shared" si="2"/>
        <v>7.0228286780255986E-2</v>
      </c>
      <c r="E14" s="510">
        <v>783896267.52999997</v>
      </c>
      <c r="F14" s="741">
        <f t="shared" si="3"/>
        <v>0.15626233432751008</v>
      </c>
      <c r="G14" s="504">
        <v>814256016</v>
      </c>
      <c r="H14" s="741">
        <f t="shared" si="4"/>
        <v>3.8729293310276094E-2</v>
      </c>
      <c r="I14" s="511">
        <v>903630917</v>
      </c>
      <c r="J14" s="741">
        <f t="shared" si="5"/>
        <v>0.10976265356816228</v>
      </c>
      <c r="K14" s="511"/>
      <c r="L14" s="511"/>
      <c r="M14" s="511"/>
      <c r="N14" s="511"/>
    </row>
    <row r="15" spans="1:14" ht="24" x14ac:dyDescent="0.25">
      <c r="A15" s="500" t="s">
        <v>1030</v>
      </c>
      <c r="B15" s="509">
        <v>368057884.63</v>
      </c>
      <c r="C15" s="510">
        <v>1129928511.5</v>
      </c>
      <c r="D15" s="740">
        <f t="shared" si="2"/>
        <v>2.0699750193801467</v>
      </c>
      <c r="E15" s="510">
        <v>1306493779.22</v>
      </c>
      <c r="F15" s="741">
        <f t="shared" si="3"/>
        <v>0.1562623351149946</v>
      </c>
      <c r="G15" s="504">
        <v>1357093361</v>
      </c>
      <c r="H15" s="741">
        <f t="shared" si="4"/>
        <v>3.8729294073033257E-2</v>
      </c>
      <c r="I15" s="511">
        <v>1506051529</v>
      </c>
      <c r="J15" s="741">
        <f t="shared" si="5"/>
        <v>0.10976265324165858</v>
      </c>
      <c r="K15" s="511"/>
      <c r="L15" s="511"/>
      <c r="M15" s="511"/>
      <c r="N15" s="511"/>
    </row>
    <row r="16" spans="1:14" s="253" customFormat="1" ht="15" x14ac:dyDescent="0.25">
      <c r="A16" s="496" t="s">
        <v>1031</v>
      </c>
      <c r="B16" s="497">
        <f>+B17+B20+B23+B27+B29+B31</f>
        <v>66938999957</v>
      </c>
      <c r="C16" s="497">
        <f t="shared" ref="C16:I16" si="11">+C17+C20+C23+C27+C29+C31</f>
        <v>65425439867.400002</v>
      </c>
      <c r="D16" s="740">
        <f t="shared" si="2"/>
        <v>-2.2611035279467472E-2</v>
      </c>
      <c r="E16" s="497">
        <f t="shared" si="11"/>
        <v>71187499598.080002</v>
      </c>
      <c r="F16" s="741">
        <f t="shared" si="3"/>
        <v>8.8070630359660798E-2</v>
      </c>
      <c r="G16" s="497">
        <f t="shared" si="11"/>
        <v>71491331680.25</v>
      </c>
      <c r="H16" s="741">
        <f t="shared" si="4"/>
        <v>4.2680538561603422E-3</v>
      </c>
      <c r="I16" s="497">
        <f t="shared" si="11"/>
        <v>70454781713</v>
      </c>
      <c r="J16" s="741">
        <f t="shared" si="5"/>
        <v>-1.4498960124089483E-2</v>
      </c>
      <c r="K16" s="497">
        <f>+K17+K20+K23+K27+K29+K31</f>
        <v>0</v>
      </c>
      <c r="L16" s="497"/>
      <c r="M16" s="497">
        <f>+M17+M20+M23+M27+M29+M31</f>
        <v>0</v>
      </c>
      <c r="N16" s="497">
        <f>+N17+N20+N23+N27+N29+N31</f>
        <v>0</v>
      </c>
    </row>
    <row r="17" spans="1:14" s="253" customFormat="1" ht="15" x14ac:dyDescent="0.25">
      <c r="A17" s="498" t="s">
        <v>1032</v>
      </c>
      <c r="B17" s="512">
        <f>+B18+B19</f>
        <v>2588048042</v>
      </c>
      <c r="C17" s="512">
        <f t="shared" ref="C17:I17" si="12">+C18+C19</f>
        <v>2581582049.4000001</v>
      </c>
      <c r="D17" s="740">
        <f t="shared" si="2"/>
        <v>-2.4984051667770023E-3</v>
      </c>
      <c r="E17" s="512">
        <f t="shared" si="12"/>
        <v>3517938239</v>
      </c>
      <c r="F17" s="741">
        <f t="shared" si="3"/>
        <v>0.36270634505597982</v>
      </c>
      <c r="G17" s="512">
        <f t="shared" si="12"/>
        <v>3024300667.1999998</v>
      </c>
      <c r="H17" s="741">
        <f t="shared" si="4"/>
        <v>-0.14032013590446668</v>
      </c>
      <c r="I17" s="512">
        <f t="shared" si="12"/>
        <v>4518440568</v>
      </c>
      <c r="J17" s="741">
        <f t="shared" si="5"/>
        <v>0.49404476115905688</v>
      </c>
      <c r="K17" s="512">
        <f>+K18+K19</f>
        <v>0</v>
      </c>
      <c r="L17" s="512"/>
      <c r="M17" s="512">
        <f>+M18+M19</f>
        <v>0</v>
      </c>
      <c r="N17" s="512">
        <f>+N18+N19</f>
        <v>0</v>
      </c>
    </row>
    <row r="18" spans="1:14" ht="15" x14ac:dyDescent="0.25">
      <c r="A18" s="500" t="s">
        <v>1867</v>
      </c>
      <c r="B18" s="509">
        <v>818895042</v>
      </c>
      <c r="C18" s="510">
        <v>690710961.39999998</v>
      </c>
      <c r="D18" s="740">
        <f t="shared" si="2"/>
        <v>-0.15653297922885706</v>
      </c>
      <c r="E18" s="510">
        <v>710935239</v>
      </c>
      <c r="F18" s="741">
        <f t="shared" si="3"/>
        <v>2.9280377365095662E-2</v>
      </c>
      <c r="G18" s="504">
        <v>645603667.20000005</v>
      </c>
      <c r="H18" s="741">
        <f t="shared" si="4"/>
        <v>-9.1895250391435382E-2</v>
      </c>
      <c r="I18" s="511">
        <v>695202442</v>
      </c>
      <c r="J18" s="741">
        <f t="shared" si="5"/>
        <v>7.6825422964387935E-2</v>
      </c>
      <c r="K18" s="511"/>
      <c r="L18" s="511"/>
      <c r="M18" s="511"/>
      <c r="N18" s="511"/>
    </row>
    <row r="19" spans="1:14" ht="15" x14ac:dyDescent="0.25">
      <c r="A19" s="500" t="s">
        <v>1868</v>
      </c>
      <c r="B19" s="513">
        <v>1769153000</v>
      </c>
      <c r="C19" s="510">
        <v>1890871088</v>
      </c>
      <c r="D19" s="740">
        <f t="shared" si="2"/>
        <v>6.8800204391593039E-2</v>
      </c>
      <c r="E19" s="510">
        <v>2807003000</v>
      </c>
      <c r="F19" s="741">
        <f t="shared" si="3"/>
        <v>0.48450257546060699</v>
      </c>
      <c r="G19" s="504">
        <v>2378697000</v>
      </c>
      <c r="H19" s="741">
        <f t="shared" si="4"/>
        <v>-0.15258480308001096</v>
      </c>
      <c r="I19" s="511">
        <v>3823238126</v>
      </c>
      <c r="J19" s="741">
        <f t="shared" si="5"/>
        <v>0.60728252736687349</v>
      </c>
      <c r="K19" s="511"/>
      <c r="L19" s="511"/>
      <c r="M19" s="511"/>
      <c r="N19" s="511"/>
    </row>
    <row r="20" spans="1:14" s="253" customFormat="1" ht="15" x14ac:dyDescent="0.25">
      <c r="A20" s="498" t="s">
        <v>1037</v>
      </c>
      <c r="B20" s="512">
        <f>+B21+B22</f>
        <v>14297751000</v>
      </c>
      <c r="C20" s="512">
        <f t="shared" ref="C20:N20" si="13">+C21+C22</f>
        <v>15955521000</v>
      </c>
      <c r="D20" s="740">
        <f t="shared" si="2"/>
        <v>0.11594620720419596</v>
      </c>
      <c r="E20" s="512">
        <f t="shared" si="13"/>
        <v>16661517001</v>
      </c>
      <c r="F20" s="741">
        <f t="shared" si="3"/>
        <v>4.4247756058858875E-2</v>
      </c>
      <c r="G20" s="512">
        <f t="shared" si="13"/>
        <v>15264790000</v>
      </c>
      <c r="H20" s="741">
        <f t="shared" si="4"/>
        <v>-8.3829521700585274E-2</v>
      </c>
      <c r="I20" s="512">
        <f t="shared" si="13"/>
        <v>16634310844</v>
      </c>
      <c r="J20" s="741">
        <f t="shared" si="5"/>
        <v>8.9717634110918001E-2</v>
      </c>
      <c r="K20" s="512">
        <f t="shared" si="13"/>
        <v>0</v>
      </c>
      <c r="L20" s="512"/>
      <c r="M20" s="512">
        <f t="shared" si="13"/>
        <v>0</v>
      </c>
      <c r="N20" s="512">
        <f t="shared" si="13"/>
        <v>0</v>
      </c>
    </row>
    <row r="21" spans="1:14" ht="15" x14ac:dyDescent="0.25">
      <c r="A21" s="500" t="s">
        <v>1038</v>
      </c>
      <c r="B21" s="513">
        <v>13974970000</v>
      </c>
      <c r="C21" s="510">
        <v>15690084000</v>
      </c>
      <c r="D21" s="740">
        <f t="shared" si="2"/>
        <v>0.12272756220585805</v>
      </c>
      <c r="E21" s="510">
        <v>16221634000</v>
      </c>
      <c r="F21" s="741">
        <f t="shared" si="3"/>
        <v>3.3878085037658177E-2</v>
      </c>
      <c r="G21" s="504">
        <v>14697388000</v>
      </c>
      <c r="H21" s="741">
        <f t="shared" si="4"/>
        <v>-9.3963777015311778E-2</v>
      </c>
      <c r="I21" s="511">
        <v>15833930416</v>
      </c>
      <c r="J21" s="741">
        <f t="shared" si="5"/>
        <v>7.7329551073973143E-2</v>
      </c>
      <c r="K21" s="511"/>
      <c r="L21" s="511"/>
      <c r="M21" s="511"/>
      <c r="N21" s="511"/>
    </row>
    <row r="22" spans="1:14" ht="15" x14ac:dyDescent="0.25">
      <c r="A22" s="500" t="s">
        <v>1039</v>
      </c>
      <c r="B22" s="513">
        <v>322781000</v>
      </c>
      <c r="C22" s="510">
        <v>265437000</v>
      </c>
      <c r="D22" s="740">
        <f t="shared" si="2"/>
        <v>-0.17765605782248645</v>
      </c>
      <c r="E22" s="510">
        <v>439883001</v>
      </c>
      <c r="F22" s="741">
        <f t="shared" si="3"/>
        <v>0.65720303122774892</v>
      </c>
      <c r="G22" s="504">
        <v>567402000</v>
      </c>
      <c r="H22" s="741">
        <f t="shared" si="4"/>
        <v>0.28989299134112256</v>
      </c>
      <c r="I22" s="511">
        <v>800380428</v>
      </c>
      <c r="J22" s="741">
        <f t="shared" si="5"/>
        <v>0.41060558122812396</v>
      </c>
      <c r="K22" s="511"/>
      <c r="L22" s="511"/>
      <c r="M22" s="511"/>
      <c r="N22" s="511"/>
    </row>
    <row r="23" spans="1:14" s="253" customFormat="1" ht="15" x14ac:dyDescent="0.25">
      <c r="A23" s="498" t="s">
        <v>1040</v>
      </c>
      <c r="B23" s="512">
        <f>+B24+B25</f>
        <v>8116773000</v>
      </c>
      <c r="C23" s="512">
        <f t="shared" ref="C23:N23" si="14">+C24+C25</f>
        <v>8807068000</v>
      </c>
      <c r="D23" s="740">
        <f t="shared" si="2"/>
        <v>8.5045497761240832E-2</v>
      </c>
      <c r="E23" s="512">
        <f t="shared" si="14"/>
        <v>17783575000</v>
      </c>
      <c r="F23" s="741">
        <f t="shared" si="3"/>
        <v>1.0192389794197114</v>
      </c>
      <c r="G23" s="512">
        <f t="shared" si="14"/>
        <v>18477533760</v>
      </c>
      <c r="H23" s="741">
        <f t="shared" si="4"/>
        <v>3.90224552712264E-2</v>
      </c>
      <c r="I23" s="512">
        <f t="shared" si="14"/>
        <v>15212004711</v>
      </c>
      <c r="J23" s="741">
        <f t="shared" si="5"/>
        <v>-0.17672970275227901</v>
      </c>
      <c r="K23" s="512">
        <f t="shared" si="14"/>
        <v>0</v>
      </c>
      <c r="L23" s="512"/>
      <c r="M23" s="512">
        <f t="shared" si="14"/>
        <v>0</v>
      </c>
      <c r="N23" s="512">
        <f t="shared" si="14"/>
        <v>0</v>
      </c>
    </row>
    <row r="24" spans="1:14" ht="15" x14ac:dyDescent="0.25">
      <c r="A24" s="500" t="s">
        <v>1869</v>
      </c>
      <c r="B24" s="513">
        <v>6964307000</v>
      </c>
      <c r="C24" s="510">
        <v>7267520000</v>
      </c>
      <c r="D24" s="740">
        <f t="shared" si="2"/>
        <v>4.353814385264751E-2</v>
      </c>
      <c r="E24" s="510">
        <v>15285292000</v>
      </c>
      <c r="F24" s="741">
        <f t="shared" si="3"/>
        <v>1.1032335652327065</v>
      </c>
      <c r="G24" s="504">
        <v>16281139560</v>
      </c>
      <c r="H24" s="741">
        <f t="shared" si="4"/>
        <v>6.5150705658746977E-2</v>
      </c>
      <c r="I24" s="511">
        <v>8127488794</v>
      </c>
      <c r="J24" s="741">
        <f t="shared" si="5"/>
        <v>-0.50080344412943534</v>
      </c>
      <c r="K24" s="511"/>
      <c r="L24" s="511"/>
      <c r="M24" s="511"/>
      <c r="N24" s="511"/>
    </row>
    <row r="25" spans="1:14" ht="15" x14ac:dyDescent="0.25">
      <c r="A25" s="500" t="s">
        <v>1870</v>
      </c>
      <c r="B25" s="513">
        <v>1152466000</v>
      </c>
      <c r="C25" s="510">
        <v>1539548000</v>
      </c>
      <c r="D25" s="740">
        <f t="shared" si="2"/>
        <v>0.33587281533685159</v>
      </c>
      <c r="E25" s="510">
        <v>2498283000</v>
      </c>
      <c r="F25" s="741">
        <f t="shared" si="3"/>
        <v>0.6227379724438602</v>
      </c>
      <c r="G25" s="504">
        <v>2196394200</v>
      </c>
      <c r="H25" s="741">
        <f t="shared" si="4"/>
        <v>-0.12083851188996603</v>
      </c>
      <c r="I25" s="511">
        <v>7084515917</v>
      </c>
      <c r="J25" s="741">
        <f t="shared" si="5"/>
        <v>2.2255211368706038</v>
      </c>
      <c r="K25" s="511"/>
      <c r="L25" s="511"/>
      <c r="M25" s="511"/>
      <c r="N25" s="511"/>
    </row>
    <row r="26" spans="1:14" ht="15" x14ac:dyDescent="0.25">
      <c r="A26" s="500" t="s">
        <v>1043</v>
      </c>
      <c r="B26" s="509"/>
      <c r="C26" s="510"/>
      <c r="D26" s="740" t="e">
        <f t="shared" si="2"/>
        <v>#DIV/0!</v>
      </c>
      <c r="E26" s="510">
        <v>0</v>
      </c>
      <c r="F26" s="741" t="e">
        <f t="shared" si="3"/>
        <v>#DIV/0!</v>
      </c>
      <c r="G26" s="504">
        <v>0</v>
      </c>
      <c r="H26" s="741" t="e">
        <f t="shared" si="4"/>
        <v>#DIV/0!</v>
      </c>
      <c r="I26" s="511">
        <v>0</v>
      </c>
      <c r="J26" s="741" t="e">
        <f t="shared" si="5"/>
        <v>#DIV/0!</v>
      </c>
      <c r="K26" s="511"/>
      <c r="L26" s="511"/>
      <c r="M26" s="511"/>
      <c r="N26" s="511"/>
    </row>
    <row r="27" spans="1:14" s="253" customFormat="1" ht="15" x14ac:dyDescent="0.25">
      <c r="A27" s="498" t="s">
        <v>1044</v>
      </c>
      <c r="B27" s="506">
        <f t="shared" ref="B27:N27" si="15">+B28</f>
        <v>610335310</v>
      </c>
      <c r="C27" s="506">
        <f t="shared" si="15"/>
        <v>615511700</v>
      </c>
      <c r="D27" s="740">
        <f t="shared" si="2"/>
        <v>8.4812232148259621E-3</v>
      </c>
      <c r="E27" s="506">
        <f t="shared" si="15"/>
        <v>537403800</v>
      </c>
      <c r="F27" s="741">
        <f t="shared" si="3"/>
        <v>-0.12689913124315916</v>
      </c>
      <c r="G27" s="506">
        <f t="shared" si="15"/>
        <v>565645500</v>
      </c>
      <c r="H27" s="741">
        <f t="shared" si="4"/>
        <v>5.2552103278763564E-2</v>
      </c>
      <c r="I27" s="506">
        <f t="shared" si="15"/>
        <v>647439300</v>
      </c>
      <c r="J27" s="741">
        <f t="shared" si="5"/>
        <v>0.14460258235944598</v>
      </c>
      <c r="K27" s="506">
        <f t="shared" si="15"/>
        <v>0</v>
      </c>
      <c r="L27" s="506"/>
      <c r="M27" s="506">
        <f t="shared" si="15"/>
        <v>0</v>
      </c>
      <c r="N27" s="506">
        <f t="shared" si="15"/>
        <v>0</v>
      </c>
    </row>
    <row r="28" spans="1:14" ht="15" x14ac:dyDescent="0.25">
      <c r="A28" s="500" t="s">
        <v>1045</v>
      </c>
      <c r="B28" s="509">
        <v>610335310</v>
      </c>
      <c r="C28" s="510">
        <v>615511700</v>
      </c>
      <c r="D28" s="740">
        <f t="shared" si="2"/>
        <v>8.4812232148259621E-3</v>
      </c>
      <c r="E28" s="510">
        <v>537403800</v>
      </c>
      <c r="F28" s="741">
        <f t="shared" si="3"/>
        <v>-0.12689913124315916</v>
      </c>
      <c r="G28" s="504">
        <v>565645500</v>
      </c>
      <c r="H28" s="741">
        <f t="shared" si="4"/>
        <v>5.2552103278763564E-2</v>
      </c>
      <c r="I28" s="511">
        <v>647439300</v>
      </c>
      <c r="J28" s="741">
        <f t="shared" si="5"/>
        <v>0.14460258235944598</v>
      </c>
      <c r="K28" s="511"/>
      <c r="L28" s="511"/>
      <c r="M28" s="511"/>
      <c r="N28" s="511"/>
    </row>
    <row r="29" spans="1:14" s="253" customFormat="1" ht="15" x14ac:dyDescent="0.25">
      <c r="A29" s="498" t="s">
        <v>1046</v>
      </c>
      <c r="B29" s="506">
        <f t="shared" ref="B29:N29" si="16">+B30</f>
        <v>5986710600</v>
      </c>
      <c r="C29" s="506">
        <f t="shared" si="16"/>
        <v>6704117400</v>
      </c>
      <c r="D29" s="740">
        <f t="shared" si="2"/>
        <v>0.11983321859586799</v>
      </c>
      <c r="E29" s="506">
        <f t="shared" si="16"/>
        <v>6713558000</v>
      </c>
      <c r="F29" s="741">
        <f t="shared" si="3"/>
        <v>1.4081793973357327E-3</v>
      </c>
      <c r="G29" s="506">
        <f t="shared" si="16"/>
        <v>6992548550</v>
      </c>
      <c r="H29" s="741">
        <f t="shared" si="4"/>
        <v>4.1556288036835309E-2</v>
      </c>
      <c r="I29" s="506">
        <f t="shared" si="16"/>
        <v>7173915300</v>
      </c>
      <c r="J29" s="741">
        <f t="shared" si="5"/>
        <v>2.5937145620533446E-2</v>
      </c>
      <c r="K29" s="506">
        <f t="shared" si="16"/>
        <v>0</v>
      </c>
      <c r="L29" s="506"/>
      <c r="M29" s="506">
        <f t="shared" si="16"/>
        <v>0</v>
      </c>
      <c r="N29" s="506">
        <f t="shared" si="16"/>
        <v>0</v>
      </c>
    </row>
    <row r="30" spans="1:14" ht="15" x14ac:dyDescent="0.25">
      <c r="A30" s="500" t="s">
        <v>1047</v>
      </c>
      <c r="B30" s="509">
        <v>5986710600</v>
      </c>
      <c r="C30" s="510">
        <v>6704117400</v>
      </c>
      <c r="D30" s="740">
        <f t="shared" si="2"/>
        <v>0.11983321859586799</v>
      </c>
      <c r="E30" s="510">
        <v>6713558000</v>
      </c>
      <c r="F30" s="741">
        <f t="shared" si="3"/>
        <v>1.4081793973357327E-3</v>
      </c>
      <c r="G30" s="504">
        <v>6992548550</v>
      </c>
      <c r="H30" s="741">
        <f t="shared" si="4"/>
        <v>4.1556288036835309E-2</v>
      </c>
      <c r="I30" s="511">
        <v>7173915300</v>
      </c>
      <c r="J30" s="741">
        <f t="shared" si="5"/>
        <v>2.5937145620533446E-2</v>
      </c>
      <c r="K30" s="511"/>
      <c r="L30" s="511"/>
      <c r="M30" s="511"/>
      <c r="N30" s="511"/>
    </row>
    <row r="31" spans="1:14" s="253" customFormat="1" ht="15" x14ac:dyDescent="0.25">
      <c r="A31" s="496" t="s">
        <v>1048</v>
      </c>
      <c r="B31" s="514">
        <f t="shared" ref="B31:I31" si="17">+B32+B36+B42+B45+B46</f>
        <v>35339382005</v>
      </c>
      <c r="C31" s="514">
        <f t="shared" si="17"/>
        <v>30761639718</v>
      </c>
      <c r="D31" s="740">
        <f t="shared" si="2"/>
        <v>-0.1295365687592476</v>
      </c>
      <c r="E31" s="514">
        <f t="shared" si="17"/>
        <v>25973507558.080002</v>
      </c>
      <c r="F31" s="741">
        <f t="shared" si="3"/>
        <v>-0.15565269614409566</v>
      </c>
      <c r="G31" s="514">
        <f t="shared" si="17"/>
        <v>27166513203.050003</v>
      </c>
      <c r="H31" s="741">
        <f t="shared" si="4"/>
        <v>4.5931634081469046E-2</v>
      </c>
      <c r="I31" s="514">
        <f t="shared" si="17"/>
        <v>26268670990</v>
      </c>
      <c r="J31" s="741">
        <f t="shared" si="5"/>
        <v>-3.3049593311415527E-2</v>
      </c>
      <c r="K31" s="514">
        <f>+K32+K36+K42+K45+K46</f>
        <v>0</v>
      </c>
      <c r="L31" s="514"/>
      <c r="M31" s="514">
        <f>+M32+M36+M42+M45+M46</f>
        <v>0</v>
      </c>
      <c r="N31" s="514">
        <f>+N32+N36+N42+N45+N46</f>
        <v>0</v>
      </c>
    </row>
    <row r="32" spans="1:14" s="253" customFormat="1" ht="15" x14ac:dyDescent="0.25">
      <c r="A32" s="498" t="s">
        <v>1049</v>
      </c>
      <c r="B32" s="508">
        <v>11403197500</v>
      </c>
      <c r="C32" s="508">
        <f t="shared" ref="C32:I32" si="18">SUM(C33:C35)</f>
        <v>10458539226</v>
      </c>
      <c r="D32" s="740">
        <f t="shared" si="2"/>
        <v>-8.284152528271127E-2</v>
      </c>
      <c r="E32" s="508">
        <f t="shared" si="18"/>
        <v>10153842971.08</v>
      </c>
      <c r="F32" s="741">
        <f t="shared" si="3"/>
        <v>-2.9133729705055091E-2</v>
      </c>
      <c r="G32" s="508">
        <f t="shared" si="18"/>
        <v>10604713000.050001</v>
      </c>
      <c r="H32" s="741">
        <f t="shared" si="4"/>
        <v>4.4403880408054514E-2</v>
      </c>
      <c r="I32" s="508">
        <f t="shared" si="18"/>
        <v>9996886200</v>
      </c>
      <c r="J32" s="741">
        <f t="shared" si="5"/>
        <v>-5.7316666660110011E-2</v>
      </c>
      <c r="K32" s="508">
        <f>SUM(K33:K35)</f>
        <v>0</v>
      </c>
      <c r="L32" s="508"/>
      <c r="M32" s="508">
        <f>SUM(M33:M35)</f>
        <v>0</v>
      </c>
      <c r="N32" s="508">
        <f>SUM(N33:N35)</f>
        <v>0</v>
      </c>
    </row>
    <row r="33" spans="1:14" ht="15" x14ac:dyDescent="0.25">
      <c r="A33" s="500" t="s">
        <v>1050</v>
      </c>
      <c r="B33" s="509">
        <v>0</v>
      </c>
      <c r="C33" s="516">
        <v>6798050496.8699999</v>
      </c>
      <c r="D33" s="740" t="e">
        <f t="shared" si="2"/>
        <v>#DIV/0!</v>
      </c>
      <c r="E33" s="510">
        <v>6599997931.1999998</v>
      </c>
      <c r="F33" s="741">
        <f t="shared" si="3"/>
        <v>-2.9133729701064835E-2</v>
      </c>
      <c r="G33" s="504">
        <v>6893063450.0299997</v>
      </c>
      <c r="H33" s="741">
        <f t="shared" si="4"/>
        <v>4.4403880407992077E-2</v>
      </c>
      <c r="I33" s="511">
        <v>6497976030</v>
      </c>
      <c r="J33" s="741">
        <f t="shared" si="5"/>
        <v>-5.7316666659767979E-2</v>
      </c>
      <c r="K33" s="511"/>
      <c r="L33" s="511"/>
      <c r="M33" s="511"/>
      <c r="N33" s="511"/>
    </row>
    <row r="34" spans="1:14" ht="15" x14ac:dyDescent="0.25">
      <c r="A34" s="500" t="s">
        <v>1051</v>
      </c>
      <c r="B34" s="509">
        <v>0</v>
      </c>
      <c r="C34" s="516">
        <v>2091707845.1900001</v>
      </c>
      <c r="D34" s="740" t="e">
        <f t="shared" si="2"/>
        <v>#DIV/0!</v>
      </c>
      <c r="E34" s="510">
        <v>2030768594.23</v>
      </c>
      <c r="F34" s="741">
        <f t="shared" si="3"/>
        <v>-2.9133729693720505E-2</v>
      </c>
      <c r="G34" s="504">
        <v>2120942599.99</v>
      </c>
      <c r="H34" s="741">
        <f t="shared" si="4"/>
        <v>4.4403880391005839E-2</v>
      </c>
      <c r="I34" s="511">
        <v>1999377240</v>
      </c>
      <c r="J34" s="741">
        <f t="shared" si="5"/>
        <v>-5.7316666651220628E-2</v>
      </c>
      <c r="K34" s="511"/>
      <c r="L34" s="511"/>
      <c r="M34" s="511"/>
      <c r="N34" s="511"/>
    </row>
    <row r="35" spans="1:14" ht="15" x14ac:dyDescent="0.25">
      <c r="A35" s="500" t="s">
        <v>1871</v>
      </c>
      <c r="B35" s="509">
        <v>0</v>
      </c>
      <c r="C35" s="516">
        <v>1568780883.9400001</v>
      </c>
      <c r="D35" s="740" t="e">
        <f t="shared" si="2"/>
        <v>#DIV/0!</v>
      </c>
      <c r="E35" s="510">
        <v>1523076445.6500001</v>
      </c>
      <c r="F35" s="741">
        <f t="shared" si="3"/>
        <v>-2.913372973745898E-2</v>
      </c>
      <c r="G35" s="504">
        <v>1590706950.03</v>
      </c>
      <c r="H35" s="741">
        <f t="shared" si="4"/>
        <v>4.4403880431055677E-2</v>
      </c>
      <c r="I35" s="511">
        <v>1499532930</v>
      </c>
      <c r="J35" s="741">
        <f t="shared" si="5"/>
        <v>-5.7316666673443824E-2</v>
      </c>
      <c r="K35" s="511"/>
      <c r="L35" s="511"/>
      <c r="M35" s="511"/>
      <c r="N35" s="511"/>
    </row>
    <row r="36" spans="1:14" s="253" customFormat="1" ht="15" x14ac:dyDescent="0.25">
      <c r="A36" s="498" t="s">
        <v>1053</v>
      </c>
      <c r="B36" s="497">
        <v>2289938416</v>
      </c>
      <c r="C36" s="497">
        <f t="shared" ref="C36:N36" si="19">SUM(C37:C41)</f>
        <v>1599285121</v>
      </c>
      <c r="D36" s="740">
        <f t="shared" si="2"/>
        <v>-0.3016034362209678</v>
      </c>
      <c r="E36" s="497">
        <f t="shared" si="19"/>
        <v>1479244550</v>
      </c>
      <c r="F36" s="741">
        <f t="shared" si="3"/>
        <v>-7.5058893141543834E-2</v>
      </c>
      <c r="G36" s="497">
        <f t="shared" si="19"/>
        <v>1829394900</v>
      </c>
      <c r="H36" s="741">
        <f t="shared" si="4"/>
        <v>0.23670889982322396</v>
      </c>
      <c r="I36" s="497">
        <f t="shared" si="19"/>
        <v>1746077600</v>
      </c>
      <c r="J36" s="741">
        <f t="shared" si="5"/>
        <v>-4.554363850035878E-2</v>
      </c>
      <c r="K36" s="497">
        <f t="shared" si="19"/>
        <v>0</v>
      </c>
      <c r="L36" s="497"/>
      <c r="M36" s="497">
        <f t="shared" si="19"/>
        <v>0</v>
      </c>
      <c r="N36" s="497">
        <f t="shared" si="19"/>
        <v>0</v>
      </c>
    </row>
    <row r="37" spans="1:14" ht="15" x14ac:dyDescent="0.25">
      <c r="A37" s="500" t="s">
        <v>1054</v>
      </c>
      <c r="B37" s="509">
        <v>0</v>
      </c>
      <c r="C37" s="510">
        <v>319857024.24000001</v>
      </c>
      <c r="D37" s="740" t="e">
        <f t="shared" si="2"/>
        <v>#DIV/0!</v>
      </c>
      <c r="E37" s="510">
        <v>295848910.00999999</v>
      </c>
      <c r="F37" s="741">
        <f t="shared" si="3"/>
        <v>-7.5058893225949247E-2</v>
      </c>
      <c r="G37" s="504">
        <v>365878980.06</v>
      </c>
      <c r="H37" s="741">
        <f t="shared" si="4"/>
        <v>0.23670889998422817</v>
      </c>
      <c r="I37" s="511">
        <v>349215520</v>
      </c>
      <c r="J37" s="741">
        <f t="shared" si="5"/>
        <v>-4.5543638656878799E-2</v>
      </c>
      <c r="K37" s="511"/>
      <c r="L37" s="511"/>
      <c r="M37" s="511"/>
      <c r="N37" s="511"/>
    </row>
    <row r="38" spans="1:14" ht="15" x14ac:dyDescent="0.25">
      <c r="A38" s="500" t="s">
        <v>1055</v>
      </c>
      <c r="B38" s="509">
        <v>0</v>
      </c>
      <c r="C38" s="510">
        <v>159928512.06</v>
      </c>
      <c r="D38" s="740" t="e">
        <f t="shared" si="2"/>
        <v>#DIV/0!</v>
      </c>
      <c r="E38" s="510">
        <v>147924455</v>
      </c>
      <c r="F38" s="741">
        <f t="shared" si="3"/>
        <v>-7.5058892910205205E-2</v>
      </c>
      <c r="G38" s="504">
        <v>182939489.97</v>
      </c>
      <c r="H38" s="741">
        <f t="shared" si="4"/>
        <v>0.23670889962041772</v>
      </c>
      <c r="I38" s="511">
        <v>174607760</v>
      </c>
      <c r="J38" s="741">
        <f t="shared" si="5"/>
        <v>-4.554363834383876E-2</v>
      </c>
      <c r="K38" s="511"/>
      <c r="L38" s="511"/>
      <c r="M38" s="511"/>
      <c r="N38" s="511"/>
    </row>
    <row r="39" spans="1:14" ht="15" x14ac:dyDescent="0.25">
      <c r="A39" s="500" t="s">
        <v>1056</v>
      </c>
      <c r="B39" s="509">
        <v>0</v>
      </c>
      <c r="C39" s="510">
        <v>159928512.06</v>
      </c>
      <c r="D39" s="740" t="e">
        <f t="shared" si="2"/>
        <v>#DIV/0!</v>
      </c>
      <c r="E39" s="510">
        <v>147924455</v>
      </c>
      <c r="F39" s="741">
        <f t="shared" si="3"/>
        <v>-7.5058892910205205E-2</v>
      </c>
      <c r="G39" s="504">
        <v>182939489.97</v>
      </c>
      <c r="H39" s="741">
        <f t="shared" si="4"/>
        <v>0.23670889962041772</v>
      </c>
      <c r="I39" s="511">
        <v>174607760</v>
      </c>
      <c r="J39" s="741">
        <f t="shared" si="5"/>
        <v>-4.554363834383876E-2</v>
      </c>
      <c r="K39" s="511"/>
      <c r="L39" s="511"/>
      <c r="M39" s="511"/>
      <c r="N39" s="511"/>
    </row>
    <row r="40" spans="1:14" ht="15" x14ac:dyDescent="0.25">
      <c r="A40" s="500" t="s">
        <v>1057</v>
      </c>
      <c r="B40" s="509">
        <v>0</v>
      </c>
      <c r="C40" s="510">
        <v>799642560.58000004</v>
      </c>
      <c r="D40" s="740" t="e">
        <f t="shared" si="2"/>
        <v>#DIV/0!</v>
      </c>
      <c r="E40" s="510">
        <v>739622275</v>
      </c>
      <c r="F40" s="741">
        <f t="shared" si="3"/>
        <v>-7.5058893234079341E-2</v>
      </c>
      <c r="G40" s="504">
        <v>914697450.01999998</v>
      </c>
      <c r="H40" s="741">
        <f t="shared" si="4"/>
        <v>0.23670889985026475</v>
      </c>
      <c r="I40" s="511">
        <v>873038800</v>
      </c>
      <c r="J40" s="741">
        <f t="shared" si="5"/>
        <v>-4.5543638521228093E-2</v>
      </c>
      <c r="K40" s="511"/>
      <c r="L40" s="511"/>
      <c r="M40" s="511"/>
      <c r="N40" s="511"/>
    </row>
    <row r="41" spans="1:14" ht="15" x14ac:dyDescent="0.25">
      <c r="A41" s="500" t="s">
        <v>1058</v>
      </c>
      <c r="B41" s="509">
        <v>0</v>
      </c>
      <c r="C41" s="510">
        <v>159928512.06</v>
      </c>
      <c r="D41" s="740" t="e">
        <f t="shared" si="2"/>
        <v>#DIV/0!</v>
      </c>
      <c r="E41" s="510">
        <v>147924454.99000001</v>
      </c>
      <c r="F41" s="741">
        <f t="shared" si="3"/>
        <v>-7.5058892972733091E-2</v>
      </c>
      <c r="G41" s="504">
        <v>182939489.97999999</v>
      </c>
      <c r="H41" s="741">
        <f t="shared" si="4"/>
        <v>0.23670889977162374</v>
      </c>
      <c r="I41" s="511">
        <v>174607760</v>
      </c>
      <c r="J41" s="741">
        <f t="shared" si="5"/>
        <v>-4.5543638396012047E-2</v>
      </c>
      <c r="K41" s="511"/>
      <c r="L41" s="511"/>
      <c r="M41" s="511"/>
      <c r="N41" s="511"/>
    </row>
    <row r="42" spans="1:14" s="253" customFormat="1" ht="15" x14ac:dyDescent="0.25">
      <c r="A42" s="498" t="s">
        <v>1059</v>
      </c>
      <c r="B42" s="512">
        <v>5579890950</v>
      </c>
      <c r="C42" s="512">
        <f>SUM(C43:C44)</f>
        <v>3908511362</v>
      </c>
      <c r="D42" s="740">
        <f t="shared" si="2"/>
        <v>-0.29953624595477085</v>
      </c>
      <c r="E42" s="512">
        <f>SUM(E43:E44)</f>
        <v>3579000900</v>
      </c>
      <c r="F42" s="741">
        <f t="shared" si="3"/>
        <v>-8.4305872871094395E-2</v>
      </c>
      <c r="G42" s="512">
        <f>SUM(G43:G44)</f>
        <v>4454135799</v>
      </c>
      <c r="H42" s="741">
        <f t="shared" si="4"/>
        <v>0.24451932912338747</v>
      </c>
      <c r="I42" s="512">
        <f>SUM(I43:I44)</f>
        <v>4141927200</v>
      </c>
      <c r="J42" s="741">
        <f t="shared" si="5"/>
        <v>-7.0094090770670733E-2</v>
      </c>
      <c r="K42" s="512">
        <f>SUM(K43:K44)</f>
        <v>0</v>
      </c>
      <c r="L42" s="512"/>
      <c r="M42" s="512">
        <f>SUM(M43:M44)</f>
        <v>0</v>
      </c>
      <c r="N42" s="512">
        <f>SUM(N43:N44)</f>
        <v>0</v>
      </c>
    </row>
    <row r="43" spans="1:14" ht="15" x14ac:dyDescent="0.25">
      <c r="A43" s="500" t="s">
        <v>1060</v>
      </c>
      <c r="B43" s="509">
        <v>0</v>
      </c>
      <c r="C43" s="510">
        <v>3126809089.6199999</v>
      </c>
      <c r="D43" s="740" t="e">
        <f t="shared" si="2"/>
        <v>#DIV/0!</v>
      </c>
      <c r="E43" s="510">
        <v>2863200720</v>
      </c>
      <c r="F43" s="741">
        <f t="shared" si="3"/>
        <v>-8.4305872876951418E-2</v>
      </c>
      <c r="G43" s="504">
        <v>3563308639.25</v>
      </c>
      <c r="H43" s="741">
        <f t="shared" si="4"/>
        <v>0.24451932914085045</v>
      </c>
      <c r="I43" s="511">
        <v>3313541760</v>
      </c>
      <c r="J43" s="741">
        <f t="shared" si="5"/>
        <v>-7.0094090783719074E-2</v>
      </c>
      <c r="K43" s="511"/>
      <c r="L43" s="511"/>
      <c r="M43" s="511"/>
      <c r="N43" s="511"/>
    </row>
    <row r="44" spans="1:14" ht="15" x14ac:dyDescent="0.25">
      <c r="A44" s="500" t="s">
        <v>1061</v>
      </c>
      <c r="B44" s="509">
        <v>0</v>
      </c>
      <c r="C44" s="510">
        <v>781702272.38</v>
      </c>
      <c r="D44" s="740" t="e">
        <f t="shared" si="2"/>
        <v>#DIV/0!</v>
      </c>
      <c r="E44" s="510">
        <v>715800180</v>
      </c>
      <c r="F44" s="741">
        <f t="shared" si="3"/>
        <v>-8.4305872847666177E-2</v>
      </c>
      <c r="G44" s="504">
        <v>890827159.75</v>
      </c>
      <c r="H44" s="741">
        <f t="shared" si="4"/>
        <v>0.24451932905353557</v>
      </c>
      <c r="I44" s="511">
        <v>828385440</v>
      </c>
      <c r="J44" s="741">
        <f t="shared" si="5"/>
        <v>-7.0094090718477331E-2</v>
      </c>
      <c r="K44" s="511"/>
      <c r="L44" s="511"/>
      <c r="M44" s="511"/>
      <c r="N44" s="511"/>
    </row>
    <row r="45" spans="1:14" s="253" customFormat="1" ht="15" x14ac:dyDescent="0.25">
      <c r="A45" s="498" t="s">
        <v>1062</v>
      </c>
      <c r="B45" s="512">
        <v>15422931239</v>
      </c>
      <c r="C45" s="517">
        <v>14148929209</v>
      </c>
      <c r="D45" s="740">
        <f t="shared" si="2"/>
        <v>-8.2604403161600587E-2</v>
      </c>
      <c r="E45" s="517">
        <v>10219955337</v>
      </c>
      <c r="F45" s="741">
        <f t="shared" si="3"/>
        <v>-0.27768701178466687</v>
      </c>
      <c r="G45" s="506">
        <v>9685315504</v>
      </c>
      <c r="H45" s="741">
        <f t="shared" si="4"/>
        <v>-5.2313323822894511E-2</v>
      </c>
      <c r="I45" s="518">
        <v>9781893090</v>
      </c>
      <c r="J45" s="741">
        <f t="shared" si="5"/>
        <v>9.971547747733546E-3</v>
      </c>
      <c r="K45" s="518"/>
      <c r="L45" s="518"/>
      <c r="M45" s="518"/>
      <c r="N45" s="518"/>
    </row>
    <row r="46" spans="1:14" s="253" customFormat="1" ht="15" x14ac:dyDescent="0.25">
      <c r="A46" s="498" t="s">
        <v>1063</v>
      </c>
      <c r="B46" s="512">
        <v>643423900</v>
      </c>
      <c r="C46" s="517">
        <v>646374800</v>
      </c>
      <c r="D46" s="740">
        <f t="shared" si="2"/>
        <v>4.5862455528928904E-3</v>
      </c>
      <c r="E46" s="517">
        <v>541463800</v>
      </c>
      <c r="F46" s="741">
        <f t="shared" si="3"/>
        <v>-0.16230676072148853</v>
      </c>
      <c r="G46" s="506">
        <v>592954000</v>
      </c>
      <c r="H46" s="741">
        <f t="shared" si="4"/>
        <v>9.5094445833682692E-2</v>
      </c>
      <c r="I46" s="518">
        <v>601886900</v>
      </c>
      <c r="J46" s="741">
        <f t="shared" si="5"/>
        <v>1.506508093376552E-2</v>
      </c>
      <c r="K46" s="518"/>
      <c r="L46" s="518"/>
      <c r="M46" s="518"/>
      <c r="N46" s="518"/>
    </row>
    <row r="47" spans="1:14" s="253" customFormat="1" ht="15" x14ac:dyDescent="0.25">
      <c r="A47" s="494" t="s">
        <v>952</v>
      </c>
      <c r="B47" s="495">
        <f>+B48+B60+B65+B67</f>
        <v>15039587295.790001</v>
      </c>
      <c r="C47" s="495">
        <f t="shared" ref="C47:N47" si="20">+C48+C60+C65+C67</f>
        <v>16216818670.040001</v>
      </c>
      <c r="D47" s="740">
        <f t="shared" si="2"/>
        <v>7.8275510564012607E-2</v>
      </c>
      <c r="E47" s="495">
        <f t="shared" si="20"/>
        <v>16730675429</v>
      </c>
      <c r="F47" s="741">
        <f t="shared" si="3"/>
        <v>3.1686656268120658E-2</v>
      </c>
      <c r="G47" s="495">
        <f t="shared" si="20"/>
        <v>17304362427.239998</v>
      </c>
      <c r="H47" s="741">
        <f t="shared" si="4"/>
        <v>3.4289530071547586E-2</v>
      </c>
      <c r="I47" s="495">
        <f t="shared" si="20"/>
        <v>17679589730.75</v>
      </c>
      <c r="J47" s="741">
        <f t="shared" si="5"/>
        <v>2.1683971604716901E-2</v>
      </c>
      <c r="K47" s="495">
        <f t="shared" si="20"/>
        <v>0</v>
      </c>
      <c r="L47" s="495"/>
      <c r="M47" s="495">
        <f t="shared" si="20"/>
        <v>0</v>
      </c>
      <c r="N47" s="495">
        <f t="shared" si="20"/>
        <v>0</v>
      </c>
    </row>
    <row r="48" spans="1:14" s="253" customFormat="1" ht="15" x14ac:dyDescent="0.25">
      <c r="A48" s="498" t="s">
        <v>1872</v>
      </c>
      <c r="B48" s="514">
        <f>+B49+B55</f>
        <v>1285161700.79</v>
      </c>
      <c r="C48" s="514">
        <f t="shared" ref="C48:I48" si="21">+C49+C55</f>
        <v>2167872203.2399998</v>
      </c>
      <c r="D48" s="740">
        <f t="shared" si="2"/>
        <v>0.68684781215265756</v>
      </c>
      <c r="E48" s="514">
        <f t="shared" si="21"/>
        <v>2582221902.5999999</v>
      </c>
      <c r="F48" s="741">
        <f t="shared" si="3"/>
        <v>0.19113197666390694</v>
      </c>
      <c r="G48" s="514">
        <f t="shared" si="21"/>
        <v>2435895854.6000004</v>
      </c>
      <c r="H48" s="741">
        <f t="shared" si="4"/>
        <v>-5.6666720955571653E-2</v>
      </c>
      <c r="I48" s="514">
        <f t="shared" si="21"/>
        <v>2167457724.8899999</v>
      </c>
      <c r="J48" s="741">
        <f t="shared" si="5"/>
        <v>-0.11020098794580069</v>
      </c>
      <c r="K48" s="514">
        <f>+K49+K55</f>
        <v>0</v>
      </c>
      <c r="L48" s="514"/>
      <c r="M48" s="514">
        <f>+M49+M55</f>
        <v>0</v>
      </c>
      <c r="N48" s="514">
        <f>+N49+N55</f>
        <v>0</v>
      </c>
    </row>
    <row r="49" spans="1:14" s="253" customFormat="1" ht="15" x14ac:dyDescent="0.25">
      <c r="A49" s="498" t="s">
        <v>1067</v>
      </c>
      <c r="B49" s="514">
        <f t="shared" ref="B49:I49" si="22">SUM(B50:B54)</f>
        <v>960882495.78999996</v>
      </c>
      <c r="C49" s="514">
        <f t="shared" si="22"/>
        <v>1144636706.24</v>
      </c>
      <c r="D49" s="740">
        <f t="shared" si="2"/>
        <v>0.19123484011322792</v>
      </c>
      <c r="E49" s="514">
        <f t="shared" si="22"/>
        <v>1591770949.5999999</v>
      </c>
      <c r="F49" s="741">
        <f t="shared" si="3"/>
        <v>0.39063419941230476</v>
      </c>
      <c r="G49" s="514">
        <f t="shared" si="22"/>
        <v>1085680231.97</v>
      </c>
      <c r="H49" s="741">
        <f t="shared" si="4"/>
        <v>-0.31794192358968271</v>
      </c>
      <c r="I49" s="514">
        <f t="shared" si="22"/>
        <v>745848808.88999999</v>
      </c>
      <c r="J49" s="741">
        <f t="shared" si="5"/>
        <v>-0.31301244424738722</v>
      </c>
      <c r="K49" s="514">
        <f>SUM(K50:K54)</f>
        <v>0</v>
      </c>
      <c r="L49" s="514"/>
      <c r="M49" s="514">
        <f>SUM(M50:M54)</f>
        <v>0</v>
      </c>
      <c r="N49" s="514">
        <f>SUM(N50:N54)</f>
        <v>0</v>
      </c>
    </row>
    <row r="50" spans="1:14" ht="15" x14ac:dyDescent="0.25">
      <c r="A50" s="500" t="s">
        <v>1068</v>
      </c>
      <c r="B50" s="509">
        <v>578981062.78999996</v>
      </c>
      <c r="C50" s="510">
        <v>90545486.239999995</v>
      </c>
      <c r="D50" s="740">
        <f t="shared" si="2"/>
        <v>-0.84361235270169554</v>
      </c>
      <c r="E50" s="510">
        <v>260275664.59999999</v>
      </c>
      <c r="F50" s="741">
        <f t="shared" si="3"/>
        <v>1.8745294261285754</v>
      </c>
      <c r="G50" s="504">
        <v>230565301.97</v>
      </c>
      <c r="H50" s="741">
        <f t="shared" si="4"/>
        <v>-0.11414959856373755</v>
      </c>
      <c r="I50" s="511">
        <v>365701944.88999999</v>
      </c>
      <c r="J50" s="741">
        <f t="shared" si="5"/>
        <v>0.58611005977639818</v>
      </c>
      <c r="K50" s="511"/>
      <c r="L50" s="511"/>
      <c r="M50" s="511"/>
      <c r="N50" s="511"/>
    </row>
    <row r="51" spans="1:14" ht="15" x14ac:dyDescent="0.25">
      <c r="A51" s="500" t="s">
        <v>1069</v>
      </c>
      <c r="B51" s="509">
        <v>162098133</v>
      </c>
      <c r="C51" s="510">
        <v>232799993</v>
      </c>
      <c r="D51" s="740">
        <f t="shared" si="2"/>
        <v>0.43616702235552585</v>
      </c>
      <c r="E51" s="510">
        <v>164764687</v>
      </c>
      <c r="F51" s="741">
        <f t="shared" si="3"/>
        <v>-0.29224788679439523</v>
      </c>
      <c r="G51" s="504">
        <v>127539819</v>
      </c>
      <c r="H51" s="741">
        <f t="shared" si="4"/>
        <v>-0.22592746466359021</v>
      </c>
      <c r="I51" s="511">
        <v>155876324</v>
      </c>
      <c r="J51" s="741">
        <f t="shared" si="5"/>
        <v>0.2221777106332572</v>
      </c>
      <c r="K51" s="511"/>
      <c r="L51" s="511"/>
      <c r="M51" s="511"/>
      <c r="N51" s="511"/>
    </row>
    <row r="52" spans="1:14" ht="15" x14ac:dyDescent="0.25">
      <c r="A52" s="500" t="s">
        <v>1070</v>
      </c>
      <c r="B52" s="509">
        <v>0</v>
      </c>
      <c r="C52" s="510">
        <v>162286351</v>
      </c>
      <c r="D52" s="740" t="e">
        <f t="shared" si="2"/>
        <v>#DIV/0!</v>
      </c>
      <c r="E52" s="510">
        <v>97053613</v>
      </c>
      <c r="F52" s="741">
        <f t="shared" si="3"/>
        <v>-0.40196071695518004</v>
      </c>
      <c r="G52" s="504">
        <v>94828941</v>
      </c>
      <c r="H52" s="741">
        <f t="shared" si="4"/>
        <v>-2.2922093585531947E-2</v>
      </c>
      <c r="I52" s="511">
        <v>114793540</v>
      </c>
      <c r="J52" s="741">
        <f t="shared" si="5"/>
        <v>0.21053276341027577</v>
      </c>
      <c r="K52" s="511"/>
      <c r="L52" s="511"/>
      <c r="M52" s="511"/>
      <c r="N52" s="511"/>
    </row>
    <row r="53" spans="1:14" ht="15" x14ac:dyDescent="0.25">
      <c r="A53" s="500" t="s">
        <v>1071</v>
      </c>
      <c r="B53" s="504">
        <v>0</v>
      </c>
      <c r="C53" s="509">
        <v>514557468</v>
      </c>
      <c r="D53" s="740" t="e">
        <f t="shared" si="2"/>
        <v>#DIV/0!</v>
      </c>
      <c r="E53" s="510">
        <v>948728685</v>
      </c>
      <c r="F53" s="741">
        <f t="shared" si="3"/>
        <v>0.84377595118296878</v>
      </c>
      <c r="G53" s="504">
        <v>508891370</v>
      </c>
      <c r="H53" s="741">
        <f t="shared" si="4"/>
        <v>-0.46360705853433748</v>
      </c>
      <c r="I53" s="511">
        <v>0</v>
      </c>
      <c r="J53" s="741">
        <f t="shared" si="5"/>
        <v>-1</v>
      </c>
      <c r="K53" s="511"/>
      <c r="L53" s="511"/>
      <c r="M53" s="511"/>
      <c r="N53" s="511"/>
    </row>
    <row r="54" spans="1:14" ht="15" x14ac:dyDescent="0.25">
      <c r="A54" s="500" t="s">
        <v>1072</v>
      </c>
      <c r="B54" s="509">
        <v>219803300</v>
      </c>
      <c r="C54" s="510">
        <v>144447408</v>
      </c>
      <c r="D54" s="740">
        <f t="shared" si="2"/>
        <v>-0.34283330596037459</v>
      </c>
      <c r="E54" s="510">
        <v>120948300</v>
      </c>
      <c r="F54" s="741">
        <f t="shared" si="3"/>
        <v>-0.16268279455731044</v>
      </c>
      <c r="G54" s="504">
        <v>123854800</v>
      </c>
      <c r="H54" s="741">
        <f t="shared" si="4"/>
        <v>2.4030928917562297E-2</v>
      </c>
      <c r="I54" s="511">
        <v>109477000</v>
      </c>
      <c r="J54" s="741">
        <f t="shared" si="5"/>
        <v>-0.11608593288269813</v>
      </c>
      <c r="K54" s="511"/>
      <c r="L54" s="511"/>
      <c r="M54" s="511"/>
      <c r="N54" s="511"/>
    </row>
    <row r="55" spans="1:14" ht="15" x14ac:dyDescent="0.25">
      <c r="A55" s="498" t="s">
        <v>1873</v>
      </c>
      <c r="B55" s="517">
        <f>SUM(B56:B59)</f>
        <v>324279205</v>
      </c>
      <c r="C55" s="517">
        <f t="shared" ref="C55:N55" si="23">SUM(C56:C59)</f>
        <v>1023235497</v>
      </c>
      <c r="D55" s="740">
        <f t="shared" si="2"/>
        <v>2.1554150905236122</v>
      </c>
      <c r="E55" s="517">
        <f t="shared" si="23"/>
        <v>990450953</v>
      </c>
      <c r="F55" s="741">
        <f t="shared" si="3"/>
        <v>-3.2040076889553022E-2</v>
      </c>
      <c r="G55" s="517">
        <f t="shared" si="23"/>
        <v>1350215622.6300001</v>
      </c>
      <c r="H55" s="741">
        <f t="shared" si="4"/>
        <v>0.36323320053385838</v>
      </c>
      <c r="I55" s="517">
        <f t="shared" si="23"/>
        <v>1421608916</v>
      </c>
      <c r="J55" s="741">
        <f t="shared" si="5"/>
        <v>5.2875475719157641E-2</v>
      </c>
      <c r="K55" s="517">
        <f t="shared" si="23"/>
        <v>0</v>
      </c>
      <c r="L55" s="517"/>
      <c r="M55" s="517">
        <f t="shared" si="23"/>
        <v>0</v>
      </c>
      <c r="N55" s="517">
        <f t="shared" si="23"/>
        <v>0</v>
      </c>
    </row>
    <row r="56" spans="1:14" ht="24" x14ac:dyDescent="0.25">
      <c r="A56" s="500" t="s">
        <v>1074</v>
      </c>
      <c r="B56" s="509">
        <v>19580046</v>
      </c>
      <c r="C56" s="510">
        <v>166920338</v>
      </c>
      <c r="D56" s="740">
        <f t="shared" si="2"/>
        <v>7.5250227706308763</v>
      </c>
      <c r="E56" s="510">
        <v>122557632</v>
      </c>
      <c r="F56" s="741">
        <f t="shared" si="3"/>
        <v>-0.26577172399447213</v>
      </c>
      <c r="G56" s="504">
        <v>176255892.97999999</v>
      </c>
      <c r="H56" s="741">
        <f t="shared" si="4"/>
        <v>0.43814701788624627</v>
      </c>
      <c r="I56" s="504">
        <v>195298958</v>
      </c>
      <c r="J56" s="741">
        <f t="shared" si="5"/>
        <v>0.10804214655200695</v>
      </c>
      <c r="K56" s="504"/>
      <c r="L56" s="504"/>
      <c r="M56" s="504"/>
      <c r="N56" s="504"/>
    </row>
    <row r="57" spans="1:14" ht="24" x14ac:dyDescent="0.25">
      <c r="A57" s="500" t="s">
        <v>1075</v>
      </c>
      <c r="B57" s="509">
        <v>89801666</v>
      </c>
      <c r="C57" s="510">
        <v>856315159</v>
      </c>
      <c r="D57" s="740">
        <f t="shared" si="2"/>
        <v>8.5356266441649318</v>
      </c>
      <c r="E57" s="510">
        <v>867893321</v>
      </c>
      <c r="F57" s="741">
        <f t="shared" si="3"/>
        <v>1.3520912106146657E-2</v>
      </c>
      <c r="G57" s="504">
        <v>1173959729.6500001</v>
      </c>
      <c r="H57" s="741">
        <f t="shared" si="4"/>
        <v>0.35265441183179713</v>
      </c>
      <c r="I57" s="504">
        <v>1226309958</v>
      </c>
      <c r="J57" s="741">
        <f t="shared" si="5"/>
        <v>4.4592865519848285E-2</v>
      </c>
      <c r="K57" s="504"/>
      <c r="L57" s="504"/>
      <c r="M57" s="504"/>
      <c r="N57" s="504"/>
    </row>
    <row r="58" spans="1:14" s="253" customFormat="1" ht="15" x14ac:dyDescent="0.25">
      <c r="A58" s="500" t="s">
        <v>1077</v>
      </c>
      <c r="B58" s="509">
        <v>2564610</v>
      </c>
      <c r="C58" s="510">
        <v>0</v>
      </c>
      <c r="D58" s="740">
        <f t="shared" si="2"/>
        <v>-1</v>
      </c>
      <c r="E58" s="510">
        <v>0</v>
      </c>
      <c r="F58" s="741" t="e">
        <f t="shared" si="3"/>
        <v>#DIV/0!</v>
      </c>
      <c r="G58" s="506">
        <v>0</v>
      </c>
      <c r="H58" s="741" t="e">
        <f t="shared" si="4"/>
        <v>#DIV/0!</v>
      </c>
      <c r="I58" s="511">
        <v>0</v>
      </c>
      <c r="J58" s="741" t="e">
        <f t="shared" si="5"/>
        <v>#DIV/0!</v>
      </c>
      <c r="K58" s="511"/>
      <c r="L58" s="511"/>
      <c r="M58" s="511"/>
      <c r="N58" s="511"/>
    </row>
    <row r="59" spans="1:14" s="520" customFormat="1" ht="15" x14ac:dyDescent="0.25">
      <c r="A59" s="500" t="s">
        <v>1078</v>
      </c>
      <c r="B59" s="509">
        <v>212332883</v>
      </c>
      <c r="C59" s="510">
        <v>0</v>
      </c>
      <c r="D59" s="740">
        <f t="shared" si="2"/>
        <v>-1</v>
      </c>
      <c r="E59" s="510">
        <v>0</v>
      </c>
      <c r="F59" s="741" t="e">
        <f t="shared" si="3"/>
        <v>#DIV/0!</v>
      </c>
      <c r="G59" s="519">
        <v>0</v>
      </c>
      <c r="H59" s="741" t="e">
        <f t="shared" si="4"/>
        <v>#DIV/0!</v>
      </c>
      <c r="I59" s="511">
        <v>0</v>
      </c>
      <c r="J59" s="741" t="e">
        <f t="shared" si="5"/>
        <v>#DIV/0!</v>
      </c>
      <c r="K59" s="511"/>
      <c r="L59" s="511"/>
      <c r="M59" s="511"/>
      <c r="N59" s="511"/>
    </row>
    <row r="60" spans="1:14" s="253" customFormat="1" ht="15" x14ac:dyDescent="0.25">
      <c r="A60" s="498" t="s">
        <v>1079</v>
      </c>
      <c r="B60" s="514">
        <f t="shared" ref="B60:N60" si="24">SUM(B61:B64)</f>
        <v>10116967147</v>
      </c>
      <c r="C60" s="514">
        <f t="shared" si="24"/>
        <v>9917557263.6000004</v>
      </c>
      <c r="D60" s="740">
        <f t="shared" si="2"/>
        <v>-1.971044093576314E-2</v>
      </c>
      <c r="E60" s="514">
        <f t="shared" si="24"/>
        <v>9840903469.9699993</v>
      </c>
      <c r="F60" s="741">
        <f t="shared" si="3"/>
        <v>-7.7291001798739604E-3</v>
      </c>
      <c r="G60" s="514">
        <f t="shared" si="24"/>
        <v>9955374237.0599995</v>
      </c>
      <c r="H60" s="741">
        <f t="shared" si="4"/>
        <v>1.1632140020407002E-2</v>
      </c>
      <c r="I60" s="514">
        <f t="shared" si="24"/>
        <v>11359495674</v>
      </c>
      <c r="J60" s="741">
        <f t="shared" si="5"/>
        <v>0.14104155238212951</v>
      </c>
      <c r="K60" s="514">
        <f t="shared" si="24"/>
        <v>0</v>
      </c>
      <c r="L60" s="514"/>
      <c r="M60" s="514">
        <f t="shared" si="24"/>
        <v>0</v>
      </c>
      <c r="N60" s="514">
        <f t="shared" si="24"/>
        <v>0</v>
      </c>
    </row>
    <row r="61" spans="1:14" s="253" customFormat="1" ht="15" x14ac:dyDescent="0.25">
      <c r="A61" s="500" t="s">
        <v>1080</v>
      </c>
      <c r="B61" s="509">
        <v>4957313901.6400003</v>
      </c>
      <c r="C61" s="510">
        <v>4859603059.3299999</v>
      </c>
      <c r="D61" s="740">
        <f t="shared" si="2"/>
        <v>-1.9710440825156401E-2</v>
      </c>
      <c r="E61" s="510">
        <v>4822042700.2799997</v>
      </c>
      <c r="F61" s="741">
        <f t="shared" si="3"/>
        <v>-7.7291002148596657E-3</v>
      </c>
      <c r="G61" s="504">
        <v>7598599257.4799995</v>
      </c>
      <c r="H61" s="741">
        <f t="shared" si="4"/>
        <v>0.57580505395333281</v>
      </c>
      <c r="I61" s="511">
        <v>8552032883.1999998</v>
      </c>
      <c r="J61" s="741">
        <f t="shared" si="5"/>
        <v>0.12547491891764762</v>
      </c>
      <c r="K61" s="511"/>
      <c r="L61" s="511"/>
      <c r="M61" s="511"/>
      <c r="N61" s="511"/>
    </row>
    <row r="62" spans="1:14" s="253" customFormat="1" ht="15" x14ac:dyDescent="0.25">
      <c r="A62" s="500" t="s">
        <v>1081</v>
      </c>
      <c r="B62" s="509">
        <v>5159653245.3599997</v>
      </c>
      <c r="C62" s="510">
        <v>5057954204.2700005</v>
      </c>
      <c r="D62" s="740">
        <f t="shared" si="2"/>
        <v>-1.9710441042032359E-2</v>
      </c>
      <c r="E62" s="510">
        <v>5018860769.6899996</v>
      </c>
      <c r="F62" s="741">
        <f t="shared" si="3"/>
        <v>-7.7291001462602444E-3</v>
      </c>
      <c r="G62" s="504">
        <v>2313077275.3200002</v>
      </c>
      <c r="H62" s="741">
        <f t="shared" si="4"/>
        <v>-0.53912304376140874</v>
      </c>
      <c r="I62" s="511">
        <v>2807462790.8000002</v>
      </c>
      <c r="J62" s="741">
        <f t="shared" si="5"/>
        <v>0.21373497580689552</v>
      </c>
      <c r="K62" s="511"/>
      <c r="L62" s="511"/>
      <c r="M62" s="511"/>
      <c r="N62" s="511"/>
    </row>
    <row r="63" spans="1:14" ht="15" x14ac:dyDescent="0.25">
      <c r="A63" s="500" t="s">
        <v>1874</v>
      </c>
      <c r="B63" s="509">
        <v>0</v>
      </c>
      <c r="C63" s="510">
        <v>0</v>
      </c>
      <c r="D63" s="740" t="e">
        <f t="shared" si="2"/>
        <v>#DIV/0!</v>
      </c>
      <c r="E63" s="510">
        <v>0</v>
      </c>
      <c r="F63" s="741" t="e">
        <f t="shared" si="3"/>
        <v>#DIV/0!</v>
      </c>
      <c r="G63" s="504">
        <v>33501573.48</v>
      </c>
      <c r="H63" s="741" t="e">
        <f t="shared" si="4"/>
        <v>#DIV/0!</v>
      </c>
      <c r="I63" s="511">
        <v>0</v>
      </c>
      <c r="J63" s="741">
        <f t="shared" si="5"/>
        <v>-1</v>
      </c>
      <c r="K63" s="511"/>
      <c r="L63" s="511"/>
      <c r="M63" s="511"/>
      <c r="N63" s="511"/>
    </row>
    <row r="64" spans="1:14" ht="15" x14ac:dyDescent="0.25">
      <c r="A64" s="500" t="s">
        <v>1083</v>
      </c>
      <c r="B64" s="509">
        <v>0</v>
      </c>
      <c r="C64" s="510">
        <v>0</v>
      </c>
      <c r="D64" s="740" t="e">
        <f t="shared" si="2"/>
        <v>#DIV/0!</v>
      </c>
      <c r="E64" s="510">
        <v>0</v>
      </c>
      <c r="F64" s="741" t="e">
        <f t="shared" si="3"/>
        <v>#DIV/0!</v>
      </c>
      <c r="G64" s="504">
        <v>10196130.779999999</v>
      </c>
      <c r="H64" s="741" t="e">
        <f t="shared" si="4"/>
        <v>#DIV/0!</v>
      </c>
      <c r="I64" s="511">
        <v>0</v>
      </c>
      <c r="J64" s="741">
        <f t="shared" si="5"/>
        <v>-1</v>
      </c>
      <c r="K64" s="511"/>
      <c r="L64" s="511"/>
      <c r="M64" s="511"/>
      <c r="N64" s="511"/>
    </row>
    <row r="65" spans="1:14" s="253" customFormat="1" ht="15" x14ac:dyDescent="0.25">
      <c r="A65" s="496" t="s">
        <v>1084</v>
      </c>
      <c r="B65" s="514">
        <f t="shared" ref="B65:N65" si="25">SUM(B66:B66)</f>
        <v>456466373</v>
      </c>
      <c r="C65" s="514">
        <f t="shared" si="25"/>
        <v>519662054</v>
      </c>
      <c r="D65" s="740">
        <f t="shared" si="2"/>
        <v>0.13844542498205009</v>
      </c>
      <c r="E65" s="514">
        <f t="shared" si="25"/>
        <v>553647274</v>
      </c>
      <c r="F65" s="741">
        <f t="shared" si="3"/>
        <v>6.5398694667823484E-2</v>
      </c>
      <c r="G65" s="514">
        <f t="shared" si="25"/>
        <v>514638803.17000002</v>
      </c>
      <c r="H65" s="741">
        <f t="shared" si="4"/>
        <v>-7.0457261621051495E-2</v>
      </c>
      <c r="I65" s="514">
        <f t="shared" si="25"/>
        <v>566653321</v>
      </c>
      <c r="J65" s="741">
        <f t="shared" si="5"/>
        <v>0.10106994946670994</v>
      </c>
      <c r="K65" s="514">
        <f t="shared" si="25"/>
        <v>0</v>
      </c>
      <c r="L65" s="514"/>
      <c r="M65" s="514">
        <f t="shared" si="25"/>
        <v>0</v>
      </c>
      <c r="N65" s="514">
        <f t="shared" si="25"/>
        <v>0</v>
      </c>
    </row>
    <row r="66" spans="1:14" ht="15" x14ac:dyDescent="0.25">
      <c r="A66" s="500" t="s">
        <v>1085</v>
      </c>
      <c r="B66" s="509">
        <v>456466373</v>
      </c>
      <c r="C66" s="510">
        <v>519662054</v>
      </c>
      <c r="D66" s="740">
        <f t="shared" si="2"/>
        <v>0.13844542498205009</v>
      </c>
      <c r="E66" s="510">
        <v>553647274</v>
      </c>
      <c r="F66" s="741">
        <f t="shared" si="3"/>
        <v>6.5398694667823484E-2</v>
      </c>
      <c r="G66" s="504">
        <v>514638803.17000002</v>
      </c>
      <c r="H66" s="741">
        <f t="shared" si="4"/>
        <v>-7.0457261621051495E-2</v>
      </c>
      <c r="I66" s="511">
        <v>566653321</v>
      </c>
      <c r="J66" s="741">
        <f t="shared" si="5"/>
        <v>0.10106994946670994</v>
      </c>
      <c r="K66" s="511"/>
      <c r="L66" s="511"/>
      <c r="M66" s="511"/>
      <c r="N66" s="511"/>
    </row>
    <row r="67" spans="1:14" ht="12.75" customHeight="1" x14ac:dyDescent="0.25">
      <c r="A67" s="496" t="s">
        <v>1087</v>
      </c>
      <c r="B67" s="514">
        <f>+B68</f>
        <v>3180992075</v>
      </c>
      <c r="C67" s="514">
        <f t="shared" ref="C67:N67" si="26">+C68</f>
        <v>3611727149.1999998</v>
      </c>
      <c r="D67" s="740">
        <f t="shared" si="2"/>
        <v>0.13540903719478767</v>
      </c>
      <c r="E67" s="514">
        <f t="shared" si="26"/>
        <v>3753902782.4299998</v>
      </c>
      <c r="F67" s="741">
        <f t="shared" si="3"/>
        <v>3.9364998339227263E-2</v>
      </c>
      <c r="G67" s="514">
        <f t="shared" si="26"/>
        <v>4398453532.4099998</v>
      </c>
      <c r="H67" s="741">
        <f t="shared" si="4"/>
        <v>0.17170150303220302</v>
      </c>
      <c r="I67" s="514">
        <f t="shared" si="26"/>
        <v>3585983010.8600001</v>
      </c>
      <c r="J67" s="741">
        <f t="shared" si="5"/>
        <v>-0.18471731383844608</v>
      </c>
      <c r="K67" s="514">
        <f t="shared" si="26"/>
        <v>0</v>
      </c>
      <c r="L67" s="514"/>
      <c r="M67" s="514">
        <f t="shared" si="26"/>
        <v>0</v>
      </c>
      <c r="N67" s="514">
        <f t="shared" si="26"/>
        <v>0</v>
      </c>
    </row>
    <row r="68" spans="1:14" ht="15" x14ac:dyDescent="0.25">
      <c r="A68" s="496" t="s">
        <v>1088</v>
      </c>
      <c r="B68" s="514">
        <f>+B71+B74+B77+B69</f>
        <v>3180992075</v>
      </c>
      <c r="C68" s="514">
        <f t="shared" ref="C68:I68" si="27">+C71+C74+C77+C69</f>
        <v>3611727149.1999998</v>
      </c>
      <c r="D68" s="740">
        <f t="shared" ref="D68:D131" si="28">+(C68-B68)/B68</f>
        <v>0.13540903719478767</v>
      </c>
      <c r="E68" s="514">
        <f t="shared" si="27"/>
        <v>3753902782.4299998</v>
      </c>
      <c r="F68" s="741">
        <f t="shared" ref="F68:F131" si="29">+(E68-C68)/C68</f>
        <v>3.9364998339227263E-2</v>
      </c>
      <c r="G68" s="514">
        <f t="shared" si="27"/>
        <v>4398453532.4099998</v>
      </c>
      <c r="H68" s="741">
        <f t="shared" ref="H68:H131" si="30">+(G68-E68)/E68</f>
        <v>0.17170150303220302</v>
      </c>
      <c r="I68" s="514">
        <f t="shared" si="27"/>
        <v>3585983010.8600001</v>
      </c>
      <c r="J68" s="741">
        <f t="shared" ref="J68:J131" si="31">+(I68-G68)/G68</f>
        <v>-0.18471731383844608</v>
      </c>
      <c r="K68" s="514">
        <f>+K71+K74+K77+K69</f>
        <v>0</v>
      </c>
      <c r="L68" s="514"/>
      <c r="M68" s="514">
        <f>+M71+M74+M77+M69</f>
        <v>0</v>
      </c>
      <c r="N68" s="514">
        <f>+N71+N74+N77+N69</f>
        <v>0</v>
      </c>
    </row>
    <row r="69" spans="1:14" s="253" customFormat="1" ht="23.25" customHeight="1" x14ac:dyDescent="0.25">
      <c r="A69" s="500" t="s">
        <v>1799</v>
      </c>
      <c r="B69" s="509">
        <v>0</v>
      </c>
      <c r="C69" s="510">
        <v>318519904</v>
      </c>
      <c r="D69" s="740" t="e">
        <f t="shared" si="28"/>
        <v>#DIV/0!</v>
      </c>
      <c r="E69" s="510">
        <v>368742584.51999998</v>
      </c>
      <c r="F69" s="741">
        <f t="shared" si="29"/>
        <v>0.15767517159618377</v>
      </c>
      <c r="G69" s="504">
        <v>1235675250</v>
      </c>
      <c r="H69" s="741">
        <f t="shared" si="30"/>
        <v>2.3510511177018096</v>
      </c>
      <c r="I69" s="511">
        <v>272414720.86000001</v>
      </c>
      <c r="J69" s="741">
        <f t="shared" si="31"/>
        <v>-0.77954181662212618</v>
      </c>
      <c r="K69" s="511"/>
      <c r="L69" s="511"/>
      <c r="M69" s="511"/>
      <c r="N69" s="511"/>
    </row>
    <row r="70" spans="1:14" ht="15" x14ac:dyDescent="0.25">
      <c r="A70" s="500" t="s">
        <v>1071</v>
      </c>
      <c r="B70" s="509">
        <v>0</v>
      </c>
      <c r="C70" s="504">
        <v>514557468</v>
      </c>
      <c r="D70" s="740" t="e">
        <f t="shared" si="28"/>
        <v>#DIV/0!</v>
      </c>
      <c r="E70" s="504">
        <v>948728685</v>
      </c>
      <c r="F70" s="741">
        <f t="shared" si="29"/>
        <v>0.84377595118296878</v>
      </c>
      <c r="G70" s="504">
        <v>508891370</v>
      </c>
      <c r="H70" s="741">
        <f t="shared" si="30"/>
        <v>-0.46360705853433748</v>
      </c>
      <c r="I70" s="504">
        <v>186428977</v>
      </c>
      <c r="J70" s="741">
        <f t="shared" si="31"/>
        <v>-0.63365663481383072</v>
      </c>
      <c r="K70" s="504"/>
      <c r="L70" s="504"/>
      <c r="M70" s="504"/>
      <c r="N70" s="504"/>
    </row>
    <row r="71" spans="1:14" s="253" customFormat="1" ht="15" x14ac:dyDescent="0.25">
      <c r="A71" s="498" t="s">
        <v>145</v>
      </c>
      <c r="B71" s="517">
        <f t="shared" ref="B71:N71" si="32">SUM(B72:B73)</f>
        <v>2287233345</v>
      </c>
      <c r="C71" s="517">
        <f t="shared" si="32"/>
        <v>2410945833</v>
      </c>
      <c r="D71" s="740">
        <f t="shared" si="28"/>
        <v>5.4088267063105447E-2</v>
      </c>
      <c r="E71" s="517">
        <f t="shared" si="32"/>
        <v>2269932364</v>
      </c>
      <c r="F71" s="741">
        <f t="shared" si="29"/>
        <v>-5.8488858218989276E-2</v>
      </c>
      <c r="G71" s="517">
        <f t="shared" si="32"/>
        <v>2329571431</v>
      </c>
      <c r="H71" s="741">
        <f t="shared" si="30"/>
        <v>2.6273499574633142E-2</v>
      </c>
      <c r="I71" s="517">
        <f t="shared" si="32"/>
        <v>2335055953</v>
      </c>
      <c r="J71" s="741">
        <f t="shared" si="31"/>
        <v>2.3543051425753856E-3</v>
      </c>
      <c r="K71" s="517">
        <f t="shared" si="32"/>
        <v>0</v>
      </c>
      <c r="L71" s="517"/>
      <c r="M71" s="517">
        <f t="shared" si="32"/>
        <v>0</v>
      </c>
      <c r="N71" s="517">
        <f t="shared" si="32"/>
        <v>0</v>
      </c>
    </row>
    <row r="72" spans="1:14" s="253" customFormat="1" ht="15" x14ac:dyDescent="0.25">
      <c r="A72" s="500" t="s">
        <v>1090</v>
      </c>
      <c r="B72" s="509">
        <v>2287233345</v>
      </c>
      <c r="C72" s="510">
        <v>451574124.73097914</v>
      </c>
      <c r="D72" s="740">
        <f t="shared" si="28"/>
        <v>-0.80256753176577211</v>
      </c>
      <c r="E72" s="510">
        <v>2269932364</v>
      </c>
      <c r="F72" s="741">
        <f t="shared" si="29"/>
        <v>4.026710432871436</v>
      </c>
      <c r="G72" s="504">
        <v>618776355.79999995</v>
      </c>
      <c r="H72" s="741">
        <f t="shared" si="30"/>
        <v>-0.72740317481988204</v>
      </c>
      <c r="I72" s="511">
        <v>857974331.57088304</v>
      </c>
      <c r="J72" s="741">
        <f t="shared" si="31"/>
        <v>0.38656612123071543</v>
      </c>
      <c r="K72" s="511"/>
      <c r="L72" s="511"/>
      <c r="M72" s="511"/>
      <c r="N72" s="511"/>
    </row>
    <row r="73" spans="1:14" ht="15" x14ac:dyDescent="0.25">
      <c r="A73" s="500" t="s">
        <v>1091</v>
      </c>
      <c r="B73" s="509">
        <v>0</v>
      </c>
      <c r="C73" s="510">
        <v>1959371708.2690208</v>
      </c>
      <c r="D73" s="740" t="e">
        <f t="shared" si="28"/>
        <v>#DIV/0!</v>
      </c>
      <c r="E73" s="510">
        <v>0</v>
      </c>
      <c r="F73" s="741">
        <f t="shared" si="29"/>
        <v>-1</v>
      </c>
      <c r="G73" s="504">
        <v>1710795075.2</v>
      </c>
      <c r="H73" s="741" t="e">
        <f t="shared" si="30"/>
        <v>#DIV/0!</v>
      </c>
      <c r="I73" s="511">
        <v>1477081621.4291172</v>
      </c>
      <c r="J73" s="741">
        <f t="shared" si="31"/>
        <v>-0.13661101622212737</v>
      </c>
      <c r="K73" s="511"/>
      <c r="L73" s="511"/>
      <c r="M73" s="511"/>
      <c r="N73" s="511"/>
    </row>
    <row r="74" spans="1:14" s="253" customFormat="1" ht="15" x14ac:dyDescent="0.25">
      <c r="A74" s="498" t="s">
        <v>1092</v>
      </c>
      <c r="B74" s="517">
        <f t="shared" ref="B74:N74" si="33">SUM(B75:B76)</f>
        <v>446695888</v>
      </c>
      <c r="C74" s="517">
        <f t="shared" si="33"/>
        <v>435938414.19999999</v>
      </c>
      <c r="D74" s="740">
        <f t="shared" si="28"/>
        <v>-2.4082321080152885E-2</v>
      </c>
      <c r="E74" s="517">
        <f t="shared" si="33"/>
        <v>413355286</v>
      </c>
      <c r="F74" s="741">
        <f t="shared" si="29"/>
        <v>-5.1803482933346849E-2</v>
      </c>
      <c r="G74" s="517">
        <f t="shared" si="33"/>
        <v>176268649</v>
      </c>
      <c r="H74" s="741">
        <f t="shared" si="30"/>
        <v>-0.5735662395762855</v>
      </c>
      <c r="I74" s="517">
        <f t="shared" si="33"/>
        <v>173782366</v>
      </c>
      <c r="J74" s="741">
        <f t="shared" si="31"/>
        <v>-1.4105077755489009E-2</v>
      </c>
      <c r="K74" s="517">
        <f t="shared" si="33"/>
        <v>0</v>
      </c>
      <c r="L74" s="517"/>
      <c r="M74" s="517">
        <f t="shared" si="33"/>
        <v>0</v>
      </c>
      <c r="N74" s="517">
        <f t="shared" si="33"/>
        <v>0</v>
      </c>
    </row>
    <row r="75" spans="1:14" s="253" customFormat="1" ht="15" x14ac:dyDescent="0.25">
      <c r="A75" s="500" t="s">
        <v>1093</v>
      </c>
      <c r="B75" s="509">
        <v>223347944</v>
      </c>
      <c r="C75" s="510">
        <v>217969207</v>
      </c>
      <c r="D75" s="740">
        <f t="shared" si="28"/>
        <v>-2.408232152788476E-2</v>
      </c>
      <c r="E75" s="510">
        <v>206677643</v>
      </c>
      <c r="F75" s="741">
        <f t="shared" si="29"/>
        <v>-5.1803482498332894E-2</v>
      </c>
      <c r="G75" s="504">
        <v>176268649</v>
      </c>
      <c r="H75" s="741">
        <f t="shared" si="30"/>
        <v>-0.14713247915257094</v>
      </c>
      <c r="I75" s="511">
        <v>173782366</v>
      </c>
      <c r="J75" s="741">
        <f t="shared" si="31"/>
        <v>-1.4105077755489009E-2</v>
      </c>
      <c r="K75" s="511"/>
      <c r="L75" s="511"/>
      <c r="M75" s="511"/>
      <c r="N75" s="511"/>
    </row>
    <row r="76" spans="1:14" ht="15" x14ac:dyDescent="0.25">
      <c r="A76" s="500" t="s">
        <v>1094</v>
      </c>
      <c r="B76" s="509">
        <v>223347944</v>
      </c>
      <c r="C76" s="510">
        <v>217969207.19999999</v>
      </c>
      <c r="D76" s="740">
        <f t="shared" si="28"/>
        <v>-2.4082320632421009E-2</v>
      </c>
      <c r="E76" s="510">
        <v>206677643</v>
      </c>
      <c r="F76" s="741">
        <f t="shared" si="29"/>
        <v>-5.1803483368360798E-2</v>
      </c>
      <c r="G76" s="504">
        <v>0</v>
      </c>
      <c r="H76" s="741">
        <f t="shared" si="30"/>
        <v>-1</v>
      </c>
      <c r="I76" s="511">
        <v>0</v>
      </c>
      <c r="J76" s="741" t="e">
        <f t="shared" si="31"/>
        <v>#DIV/0!</v>
      </c>
      <c r="K76" s="511"/>
      <c r="L76" s="511"/>
      <c r="M76" s="511"/>
      <c r="N76" s="511"/>
    </row>
    <row r="77" spans="1:14" s="253" customFormat="1" ht="15" x14ac:dyDescent="0.25">
      <c r="A77" s="498" t="s">
        <v>1095</v>
      </c>
      <c r="B77" s="506">
        <f t="shared" ref="B77:N77" si="34">SUM(B78:B79)</f>
        <v>447062842</v>
      </c>
      <c r="C77" s="506">
        <f t="shared" si="34"/>
        <v>446322998</v>
      </c>
      <c r="D77" s="740">
        <f t="shared" si="28"/>
        <v>-1.6548993351587918E-3</v>
      </c>
      <c r="E77" s="506">
        <f t="shared" si="34"/>
        <v>701872547.90999997</v>
      </c>
      <c r="F77" s="741">
        <f t="shared" si="29"/>
        <v>0.57256639486455496</v>
      </c>
      <c r="G77" s="506">
        <f t="shared" si="34"/>
        <v>656938202.41000009</v>
      </c>
      <c r="H77" s="741">
        <f t="shared" si="30"/>
        <v>-6.4020662488942004E-2</v>
      </c>
      <c r="I77" s="506">
        <f t="shared" si="34"/>
        <v>804729971</v>
      </c>
      <c r="J77" s="741">
        <f t="shared" si="31"/>
        <v>0.224970580258266</v>
      </c>
      <c r="K77" s="506">
        <f t="shared" si="34"/>
        <v>0</v>
      </c>
      <c r="L77" s="506"/>
      <c r="M77" s="506">
        <f t="shared" si="34"/>
        <v>0</v>
      </c>
      <c r="N77" s="506">
        <f t="shared" si="34"/>
        <v>0</v>
      </c>
    </row>
    <row r="78" spans="1:14" ht="15" x14ac:dyDescent="0.25">
      <c r="A78" s="500" t="s">
        <v>1096</v>
      </c>
      <c r="B78" s="509">
        <v>447062842</v>
      </c>
      <c r="C78" s="510">
        <v>446322998</v>
      </c>
      <c r="D78" s="740">
        <f t="shared" si="28"/>
        <v>-1.6548993351587918E-3</v>
      </c>
      <c r="E78" s="510">
        <v>701872547.90999997</v>
      </c>
      <c r="F78" s="741">
        <f t="shared" si="29"/>
        <v>0.57256639486455496</v>
      </c>
      <c r="G78" s="504">
        <v>157789808.06</v>
      </c>
      <c r="H78" s="741">
        <f t="shared" si="30"/>
        <v>-0.77518737763735246</v>
      </c>
      <c r="I78" s="511">
        <v>234634941.90000001</v>
      </c>
      <c r="J78" s="741">
        <f t="shared" si="31"/>
        <v>0.48700948929971088</v>
      </c>
      <c r="K78" s="511"/>
      <c r="L78" s="511"/>
      <c r="M78" s="511"/>
      <c r="N78" s="511"/>
    </row>
    <row r="79" spans="1:14" ht="15" x14ac:dyDescent="0.25">
      <c r="A79" s="500" t="s">
        <v>1098</v>
      </c>
      <c r="B79" s="509">
        <v>0</v>
      </c>
      <c r="C79" s="509">
        <v>0</v>
      </c>
      <c r="D79" s="740" t="e">
        <f t="shared" si="28"/>
        <v>#DIV/0!</v>
      </c>
      <c r="E79" s="509">
        <v>0</v>
      </c>
      <c r="F79" s="741" t="e">
        <f t="shared" si="29"/>
        <v>#DIV/0!</v>
      </c>
      <c r="G79" s="504">
        <v>499148394.35000002</v>
      </c>
      <c r="H79" s="741" t="e">
        <f t="shared" si="30"/>
        <v>#DIV/0!</v>
      </c>
      <c r="I79" s="511">
        <v>570095029.10000002</v>
      </c>
      <c r="J79" s="741">
        <f t="shared" si="31"/>
        <v>0.14213535604454458</v>
      </c>
      <c r="K79" s="511"/>
      <c r="L79" s="511"/>
      <c r="M79" s="511"/>
      <c r="N79" s="511"/>
    </row>
    <row r="80" spans="1:14" s="253" customFormat="1" ht="15" x14ac:dyDescent="0.25">
      <c r="A80" s="492" t="s">
        <v>953</v>
      </c>
      <c r="B80" s="521">
        <f t="shared" ref="B80:N80" si="35">+B81+B96+B125+B128</f>
        <v>155051759491.47</v>
      </c>
      <c r="C80" s="521">
        <f t="shared" si="35"/>
        <v>165445661532.92999</v>
      </c>
      <c r="D80" s="740">
        <f t="shared" si="28"/>
        <v>6.7035047364501527E-2</v>
      </c>
      <c r="E80" s="521">
        <f t="shared" si="35"/>
        <v>182369314876.69</v>
      </c>
      <c r="F80" s="741">
        <f t="shared" si="29"/>
        <v>0.10229130934564613</v>
      </c>
      <c r="G80" s="521">
        <f t="shared" si="35"/>
        <v>197483349462.87</v>
      </c>
      <c r="H80" s="741">
        <f t="shared" si="30"/>
        <v>8.2875973934537342E-2</v>
      </c>
      <c r="I80" s="521">
        <f t="shared" si="35"/>
        <v>213064679792.67001</v>
      </c>
      <c r="J80" s="741">
        <f t="shared" si="31"/>
        <v>7.8899463535428621E-2</v>
      </c>
      <c r="K80" s="521">
        <f t="shared" si="35"/>
        <v>0</v>
      </c>
      <c r="L80" s="521"/>
      <c r="M80" s="521">
        <f t="shared" si="35"/>
        <v>0</v>
      </c>
      <c r="N80" s="521">
        <f t="shared" si="35"/>
        <v>0</v>
      </c>
    </row>
    <row r="81" spans="1:14" s="253" customFormat="1" ht="12.75" customHeight="1" x14ac:dyDescent="0.25">
      <c r="A81" s="496" t="s">
        <v>1100</v>
      </c>
      <c r="B81" s="514">
        <f>SUM(B82:B95)</f>
        <v>107742794290.12999</v>
      </c>
      <c r="C81" s="514">
        <f t="shared" ref="C81:N81" si="36">SUM(C82:C95)</f>
        <v>121790223603.26999</v>
      </c>
      <c r="D81" s="740">
        <f t="shared" si="28"/>
        <v>0.13037929270066131</v>
      </c>
      <c r="E81" s="514">
        <f t="shared" si="36"/>
        <v>138720661080</v>
      </c>
      <c r="F81" s="741">
        <f t="shared" si="29"/>
        <v>0.13901310775059156</v>
      </c>
      <c r="G81" s="514">
        <f t="shared" si="36"/>
        <v>143891587484.09998</v>
      </c>
      <c r="H81" s="741">
        <f t="shared" si="30"/>
        <v>3.7275820082185954E-2</v>
      </c>
      <c r="I81" s="514">
        <f t="shared" si="36"/>
        <v>159829593376.34003</v>
      </c>
      <c r="J81" s="741">
        <f t="shared" si="31"/>
        <v>0.11076398676886653</v>
      </c>
      <c r="K81" s="514">
        <f t="shared" si="36"/>
        <v>0</v>
      </c>
      <c r="L81" s="514"/>
      <c r="M81" s="514">
        <f t="shared" si="36"/>
        <v>0</v>
      </c>
      <c r="N81" s="514">
        <f t="shared" si="36"/>
        <v>0</v>
      </c>
    </row>
    <row r="82" spans="1:14" ht="24" x14ac:dyDescent="0.25">
      <c r="A82" s="500" t="s">
        <v>1101</v>
      </c>
      <c r="B82" s="509">
        <v>87690630035</v>
      </c>
      <c r="C82" s="510">
        <v>93842849807</v>
      </c>
      <c r="D82" s="740">
        <f t="shared" si="28"/>
        <v>7.0158234346639564E-2</v>
      </c>
      <c r="E82" s="510">
        <v>104784789015</v>
      </c>
      <c r="F82" s="741">
        <f t="shared" si="29"/>
        <v>0.11659853926541572</v>
      </c>
      <c r="G82" s="504">
        <v>112348234883</v>
      </c>
      <c r="H82" s="741">
        <f t="shared" si="30"/>
        <v>7.2180761531306689E-2</v>
      </c>
      <c r="I82" s="511">
        <v>121574561361</v>
      </c>
      <c r="J82" s="741">
        <f t="shared" si="31"/>
        <v>8.2122576181177576E-2</v>
      </c>
      <c r="K82" s="511"/>
      <c r="L82" s="511"/>
      <c r="M82" s="511"/>
      <c r="N82" s="511"/>
    </row>
    <row r="83" spans="1:14" ht="24" x14ac:dyDescent="0.25">
      <c r="A83" s="500" t="s">
        <v>1102</v>
      </c>
      <c r="B83" s="509">
        <v>10919071675</v>
      </c>
      <c r="C83" s="510">
        <v>11873114014</v>
      </c>
      <c r="D83" s="740">
        <f t="shared" si="28"/>
        <v>8.7373942345698535E-2</v>
      </c>
      <c r="E83" s="510">
        <v>13041415193</v>
      </c>
      <c r="F83" s="741">
        <f t="shared" si="29"/>
        <v>9.8398884877414272E-2</v>
      </c>
      <c r="G83" s="504">
        <v>11304023703</v>
      </c>
      <c r="H83" s="741">
        <f t="shared" si="30"/>
        <v>-0.1332210856174986</v>
      </c>
      <c r="I83" s="511">
        <v>15004128114</v>
      </c>
      <c r="J83" s="741">
        <f t="shared" si="31"/>
        <v>0.32732631390520006</v>
      </c>
      <c r="K83" s="511"/>
      <c r="L83" s="511"/>
      <c r="M83" s="511"/>
      <c r="N83" s="511"/>
    </row>
    <row r="84" spans="1:14" ht="15" x14ac:dyDescent="0.25">
      <c r="A84" s="500" t="s">
        <v>1103</v>
      </c>
      <c r="B84" s="509">
        <v>4872244561</v>
      </c>
      <c r="C84" s="510">
        <v>5172005441</v>
      </c>
      <c r="D84" s="740">
        <f t="shared" si="28"/>
        <v>6.1524185875118674E-2</v>
      </c>
      <c r="E84" s="510">
        <v>5799474816</v>
      </c>
      <c r="F84" s="741">
        <f t="shared" si="29"/>
        <v>0.12132032383915661</v>
      </c>
      <c r="G84" s="504">
        <v>6252280399</v>
      </c>
      <c r="H84" s="741">
        <f t="shared" si="30"/>
        <v>7.8076997894838351E-2</v>
      </c>
      <c r="I84" s="511">
        <v>6820702500</v>
      </c>
      <c r="J84" s="741">
        <f t="shared" si="31"/>
        <v>9.0914364795749464E-2</v>
      </c>
      <c r="K84" s="511"/>
      <c r="L84" s="511"/>
      <c r="M84" s="511"/>
      <c r="N84" s="511"/>
    </row>
    <row r="85" spans="1:14" ht="24" x14ac:dyDescent="0.25">
      <c r="A85" s="500" t="s">
        <v>1104</v>
      </c>
      <c r="B85" s="509">
        <v>497850292</v>
      </c>
      <c r="C85" s="510">
        <v>331053944</v>
      </c>
      <c r="D85" s="740">
        <f t="shared" si="28"/>
        <v>-0.33503314285492075</v>
      </c>
      <c r="E85" s="510">
        <v>1165770164</v>
      </c>
      <c r="F85" s="741">
        <f t="shared" si="29"/>
        <v>2.5213903508124345</v>
      </c>
      <c r="G85" s="504">
        <v>0</v>
      </c>
      <c r="H85" s="741">
        <f t="shared" si="30"/>
        <v>-1</v>
      </c>
      <c r="I85" s="518">
        <v>0</v>
      </c>
      <c r="J85" s="741" t="e">
        <f t="shared" si="31"/>
        <v>#DIV/0!</v>
      </c>
      <c r="K85" s="518"/>
      <c r="L85" s="518"/>
      <c r="M85" s="518"/>
      <c r="N85" s="518"/>
    </row>
    <row r="86" spans="1:14" ht="15" x14ac:dyDescent="0.25">
      <c r="A86" s="500" t="s">
        <v>1105</v>
      </c>
      <c r="B86" s="509">
        <v>0</v>
      </c>
      <c r="C86" s="510">
        <v>2286422317</v>
      </c>
      <c r="D86" s="740" t="e">
        <f t="shared" si="28"/>
        <v>#DIV/0!</v>
      </c>
      <c r="E86" s="510">
        <v>1674921512</v>
      </c>
      <c r="F86" s="741">
        <f t="shared" si="29"/>
        <v>-0.26744875627453912</v>
      </c>
      <c r="G86" s="504">
        <v>473723491</v>
      </c>
      <c r="H86" s="741">
        <f t="shared" si="30"/>
        <v>-0.71716675222928294</v>
      </c>
      <c r="I86" s="511">
        <v>208780149</v>
      </c>
      <c r="J86" s="741">
        <f t="shared" si="31"/>
        <v>-0.55927845469668713</v>
      </c>
      <c r="K86" s="511"/>
      <c r="L86" s="511"/>
      <c r="M86" s="511"/>
      <c r="N86" s="511"/>
    </row>
    <row r="87" spans="1:14" ht="15" x14ac:dyDescent="0.25">
      <c r="A87" s="500" t="s">
        <v>1106</v>
      </c>
      <c r="B87" s="509">
        <v>0</v>
      </c>
      <c r="C87" s="510">
        <v>0</v>
      </c>
      <c r="D87" s="740" t="e">
        <f t="shared" si="28"/>
        <v>#DIV/0!</v>
      </c>
      <c r="E87" s="510">
        <v>0</v>
      </c>
      <c r="F87" s="741" t="e">
        <f t="shared" si="29"/>
        <v>#DIV/0!</v>
      </c>
      <c r="G87" s="504">
        <v>1398927989</v>
      </c>
      <c r="H87" s="741" t="e">
        <f t="shared" si="30"/>
        <v>#DIV/0!</v>
      </c>
      <c r="I87" s="511">
        <v>1066978976</v>
      </c>
      <c r="J87" s="741">
        <f t="shared" si="31"/>
        <v>-0.23728813463607096</v>
      </c>
      <c r="K87" s="511"/>
      <c r="L87" s="511"/>
      <c r="M87" s="511"/>
      <c r="N87" s="511"/>
    </row>
    <row r="88" spans="1:14" s="253" customFormat="1" ht="15" x14ac:dyDescent="0.25">
      <c r="A88" s="500" t="s">
        <v>1107</v>
      </c>
      <c r="B88" s="509">
        <v>1047079382</v>
      </c>
      <c r="C88" s="510">
        <v>900118982</v>
      </c>
      <c r="D88" s="740">
        <f t="shared" si="28"/>
        <v>-0.14035268244829216</v>
      </c>
      <c r="E88" s="510">
        <v>6689359708</v>
      </c>
      <c r="F88" s="741">
        <f t="shared" si="29"/>
        <v>6.4316394185318932</v>
      </c>
      <c r="G88" s="504">
        <v>6824682132</v>
      </c>
      <c r="H88" s="741">
        <f t="shared" si="30"/>
        <v>2.0229503256965532E-2</v>
      </c>
      <c r="I88" s="511">
        <v>11854075866</v>
      </c>
      <c r="J88" s="741">
        <f t="shared" si="31"/>
        <v>0.73694182919052909</v>
      </c>
      <c r="K88" s="511"/>
      <c r="L88" s="511"/>
      <c r="M88" s="511"/>
      <c r="N88" s="511"/>
    </row>
    <row r="89" spans="1:14" ht="15" x14ac:dyDescent="0.25">
      <c r="A89" s="500" t="s">
        <v>1108</v>
      </c>
      <c r="B89" s="509">
        <v>358399623</v>
      </c>
      <c r="C89" s="510">
        <v>1007986508</v>
      </c>
      <c r="D89" s="740">
        <f t="shared" si="28"/>
        <v>1.812465313335444</v>
      </c>
      <c r="E89" s="510">
        <v>865977334</v>
      </c>
      <c r="F89" s="741">
        <f t="shared" si="29"/>
        <v>-0.14088400278468807</v>
      </c>
      <c r="G89" s="504">
        <v>0</v>
      </c>
      <c r="H89" s="741">
        <f t="shared" si="30"/>
        <v>-1</v>
      </c>
      <c r="I89" s="511">
        <v>0</v>
      </c>
      <c r="J89" s="741" t="e">
        <f t="shared" si="31"/>
        <v>#DIV/0!</v>
      </c>
      <c r="K89" s="511"/>
      <c r="L89" s="511"/>
      <c r="M89" s="511"/>
      <c r="N89" s="511"/>
    </row>
    <row r="90" spans="1:14" ht="15" x14ac:dyDescent="0.25">
      <c r="A90" s="500" t="s">
        <v>1109</v>
      </c>
      <c r="B90" s="509">
        <v>0</v>
      </c>
      <c r="C90" s="510">
        <v>0</v>
      </c>
      <c r="D90" s="740" t="e">
        <f t="shared" si="28"/>
        <v>#DIV/0!</v>
      </c>
      <c r="E90" s="510">
        <f>736918016.46+133472408</f>
        <v>870390424.46000004</v>
      </c>
      <c r="F90" s="741" t="e">
        <f t="shared" si="29"/>
        <v>#DIV/0!</v>
      </c>
      <c r="G90" s="504">
        <v>541130170</v>
      </c>
      <c r="H90" s="741">
        <f t="shared" si="30"/>
        <v>-0.37829029962533972</v>
      </c>
      <c r="I90" s="511">
        <v>909383464.76999998</v>
      </c>
      <c r="J90" s="741">
        <f t="shared" si="31"/>
        <v>0.68052626740438438</v>
      </c>
      <c r="K90" s="511"/>
      <c r="L90" s="511"/>
      <c r="M90" s="511"/>
      <c r="N90" s="511"/>
    </row>
    <row r="91" spans="1:14" ht="15" x14ac:dyDescent="0.25">
      <c r="A91" s="500" t="s">
        <v>1111</v>
      </c>
      <c r="B91" s="509">
        <v>198879475.44999999</v>
      </c>
      <c r="C91" s="510">
        <v>235082680.68000001</v>
      </c>
      <c r="D91" s="740">
        <f t="shared" si="28"/>
        <v>0.18203590465071301</v>
      </c>
      <c r="E91" s="510">
        <v>157562150.88999999</v>
      </c>
      <c r="F91" s="741">
        <f t="shared" si="29"/>
        <v>-0.32975857500758537</v>
      </c>
      <c r="G91" s="504">
        <v>73380582.859999999</v>
      </c>
      <c r="H91" s="741">
        <f t="shared" si="30"/>
        <v>-0.53427531646715254</v>
      </c>
      <c r="I91" s="511">
        <v>38632920.229999997</v>
      </c>
      <c r="J91" s="741">
        <f t="shared" si="31"/>
        <v>-0.47352666435334451</v>
      </c>
      <c r="K91" s="511"/>
      <c r="L91" s="511"/>
      <c r="M91" s="511"/>
      <c r="N91" s="511"/>
    </row>
    <row r="92" spans="1:14" ht="15" x14ac:dyDescent="0.25">
      <c r="A92" s="500" t="s">
        <v>606</v>
      </c>
      <c r="B92" s="509">
        <v>24474611</v>
      </c>
      <c r="C92" s="510">
        <v>0</v>
      </c>
      <c r="D92" s="740">
        <f t="shared" si="28"/>
        <v>-1</v>
      </c>
      <c r="E92" s="510">
        <v>0</v>
      </c>
      <c r="F92" s="741" t="e">
        <f t="shared" si="29"/>
        <v>#DIV/0!</v>
      </c>
      <c r="G92" s="504">
        <v>93678610</v>
      </c>
      <c r="H92" s="741" t="e">
        <f t="shared" si="30"/>
        <v>#DIV/0!</v>
      </c>
      <c r="I92" s="511">
        <v>21516737</v>
      </c>
      <c r="J92" s="741">
        <f t="shared" si="31"/>
        <v>-0.77031323372539362</v>
      </c>
      <c r="K92" s="511"/>
      <c r="L92" s="511"/>
      <c r="M92" s="511"/>
      <c r="N92" s="511"/>
    </row>
    <row r="93" spans="1:14" s="253" customFormat="1" ht="15" x14ac:dyDescent="0.25">
      <c r="A93" s="500">
        <v>0</v>
      </c>
      <c r="B93" s="509">
        <v>0</v>
      </c>
      <c r="C93" s="510">
        <v>0</v>
      </c>
      <c r="D93" s="740" t="e">
        <f t="shared" si="28"/>
        <v>#DIV/0!</v>
      </c>
      <c r="E93" s="510">
        <v>0</v>
      </c>
      <c r="F93" s="741" t="e">
        <f t="shared" si="29"/>
        <v>#DIV/0!</v>
      </c>
      <c r="G93" s="506">
        <v>0</v>
      </c>
      <c r="H93" s="741" t="e">
        <f t="shared" si="30"/>
        <v>#DIV/0!</v>
      </c>
      <c r="I93" s="511">
        <v>0</v>
      </c>
      <c r="J93" s="741" t="e">
        <f t="shared" si="31"/>
        <v>#DIV/0!</v>
      </c>
      <c r="K93" s="511"/>
      <c r="L93" s="511"/>
      <c r="M93" s="511"/>
      <c r="N93" s="511"/>
    </row>
    <row r="94" spans="1:14" ht="15" x14ac:dyDescent="0.25">
      <c r="A94" s="500" t="s">
        <v>1112</v>
      </c>
      <c r="B94" s="509">
        <v>5881374.3399999999</v>
      </c>
      <c r="C94" s="510">
        <v>8053072.2999999998</v>
      </c>
      <c r="D94" s="740">
        <f t="shared" si="28"/>
        <v>0.36925008245606755</v>
      </c>
      <c r="E94" s="510">
        <v>4959871</v>
      </c>
      <c r="F94" s="741">
        <f t="shared" si="29"/>
        <v>-0.3841020153264984</v>
      </c>
      <c r="G94" s="504">
        <v>90796581.239999995</v>
      </c>
      <c r="H94" s="741">
        <f t="shared" si="30"/>
        <v>17.306238456605019</v>
      </c>
      <c r="I94" s="511">
        <v>58528086.950000003</v>
      </c>
      <c r="J94" s="741">
        <f t="shared" si="31"/>
        <v>-0.35539327416640948</v>
      </c>
      <c r="K94" s="511"/>
      <c r="L94" s="511"/>
      <c r="M94" s="511"/>
      <c r="N94" s="511"/>
    </row>
    <row r="95" spans="1:14" ht="15" x14ac:dyDescent="0.25">
      <c r="A95" s="500" t="s">
        <v>1114</v>
      </c>
      <c r="B95" s="509">
        <v>2128283261.3399999</v>
      </c>
      <c r="C95" s="509">
        <v>6133536837.29</v>
      </c>
      <c r="D95" s="740">
        <f t="shared" si="28"/>
        <v>1.8819175288858074</v>
      </c>
      <c r="E95" s="509">
        <v>3666040891.6500001</v>
      </c>
      <c r="F95" s="741">
        <f t="shared" si="29"/>
        <v>-0.40229577340081996</v>
      </c>
      <c r="G95" s="504">
        <v>4490728943</v>
      </c>
      <c r="H95" s="741">
        <f t="shared" si="30"/>
        <v>0.22495331495847742</v>
      </c>
      <c r="I95" s="501">
        <v>2272305201.3899999</v>
      </c>
      <c r="J95" s="741">
        <f t="shared" si="31"/>
        <v>-0.49400081139789248</v>
      </c>
      <c r="K95" s="501"/>
      <c r="L95" s="501"/>
      <c r="M95" s="501"/>
      <c r="N95" s="501"/>
    </row>
    <row r="96" spans="1:14" s="253" customFormat="1" ht="15" x14ac:dyDescent="0.25">
      <c r="A96" s="496" t="s">
        <v>1116</v>
      </c>
      <c r="B96" s="514">
        <f t="shared" ref="B96:I96" si="37">+B97+B104</f>
        <v>37602321159.610001</v>
      </c>
      <c r="C96" s="514">
        <f t="shared" si="37"/>
        <v>37962033916.790001</v>
      </c>
      <c r="D96" s="740">
        <f t="shared" si="28"/>
        <v>9.5662380961306359E-3</v>
      </c>
      <c r="E96" s="514">
        <f t="shared" si="37"/>
        <v>39877666683.590004</v>
      </c>
      <c r="F96" s="741">
        <f t="shared" si="29"/>
        <v>5.0461805365827603E-2</v>
      </c>
      <c r="G96" s="514">
        <f t="shared" si="37"/>
        <v>48951107958.570007</v>
      </c>
      <c r="H96" s="741">
        <f t="shared" si="30"/>
        <v>0.22753190017293065</v>
      </c>
      <c r="I96" s="514">
        <f t="shared" si="37"/>
        <v>49171571939.529999</v>
      </c>
      <c r="J96" s="741">
        <f t="shared" si="31"/>
        <v>4.5037587534603333E-3</v>
      </c>
      <c r="K96" s="514">
        <f>+K97+K104</f>
        <v>0</v>
      </c>
      <c r="L96" s="514"/>
      <c r="M96" s="514">
        <f>+M97+M104</f>
        <v>0</v>
      </c>
      <c r="N96" s="514">
        <f>+N97+N104</f>
        <v>0</v>
      </c>
    </row>
    <row r="97" spans="1:14" ht="22.5" customHeight="1" x14ac:dyDescent="0.25">
      <c r="A97" s="496" t="s">
        <v>1117</v>
      </c>
      <c r="B97" s="514">
        <f>+B98+B99+B100+B101</f>
        <v>10862223177.360001</v>
      </c>
      <c r="C97" s="514">
        <f t="shared" ref="C97:I97" si="38">+C98+C99+C100+C101</f>
        <v>10606672958.790001</v>
      </c>
      <c r="D97" s="740">
        <f t="shared" si="28"/>
        <v>-2.3526511506653618E-2</v>
      </c>
      <c r="E97" s="514">
        <f t="shared" si="38"/>
        <v>11972030911.469999</v>
      </c>
      <c r="F97" s="741">
        <f t="shared" si="29"/>
        <v>0.12872631766670001</v>
      </c>
      <c r="G97" s="514">
        <f t="shared" si="38"/>
        <v>12552476761.440001</v>
      </c>
      <c r="H97" s="741">
        <f t="shared" si="30"/>
        <v>4.8483490751255548E-2</v>
      </c>
      <c r="I97" s="514">
        <f t="shared" si="38"/>
        <v>13736315057.25</v>
      </c>
      <c r="J97" s="741">
        <f t="shared" si="31"/>
        <v>9.431113224177691E-2</v>
      </c>
      <c r="K97" s="514">
        <f>+K98+K99+K100+K101</f>
        <v>0</v>
      </c>
      <c r="L97" s="514"/>
      <c r="M97" s="514">
        <f>+M98+M99+M100+M101</f>
        <v>0</v>
      </c>
      <c r="N97" s="514">
        <f>+N98+N99+N100+N101</f>
        <v>0</v>
      </c>
    </row>
    <row r="98" spans="1:14" ht="15" x14ac:dyDescent="0.25">
      <c r="A98" s="500" t="s">
        <v>1118</v>
      </c>
      <c r="B98" s="509">
        <v>3268453697</v>
      </c>
      <c r="C98" s="510">
        <v>2679025225</v>
      </c>
      <c r="D98" s="740">
        <f t="shared" si="28"/>
        <v>-0.18033863307931083</v>
      </c>
      <c r="E98" s="510">
        <v>4023301690</v>
      </c>
      <c r="F98" s="741">
        <f t="shared" si="29"/>
        <v>0.50177820367480863</v>
      </c>
      <c r="G98" s="504">
        <v>4015575201</v>
      </c>
      <c r="H98" s="741">
        <f t="shared" si="30"/>
        <v>-1.9204349052929213E-3</v>
      </c>
      <c r="I98" s="511">
        <v>5489644949</v>
      </c>
      <c r="J98" s="741">
        <f t="shared" si="31"/>
        <v>0.3670880693836619</v>
      </c>
      <c r="K98" s="511"/>
      <c r="L98" s="511"/>
      <c r="M98" s="511"/>
      <c r="N98" s="511"/>
    </row>
    <row r="99" spans="1:14" s="253" customFormat="1" ht="15" x14ac:dyDescent="0.25">
      <c r="A99" s="500" t="s">
        <v>1119</v>
      </c>
      <c r="B99" s="509">
        <v>3071600187</v>
      </c>
      <c r="C99" s="510">
        <v>3336122674</v>
      </c>
      <c r="D99" s="740">
        <f t="shared" si="28"/>
        <v>8.6118788545314018E-2</v>
      </c>
      <c r="E99" s="510">
        <v>3766060273</v>
      </c>
      <c r="F99" s="741">
        <f t="shared" si="29"/>
        <v>0.12887343812345672</v>
      </c>
      <c r="G99" s="504">
        <v>3649631270</v>
      </c>
      <c r="H99" s="741">
        <f t="shared" si="30"/>
        <v>-3.0915331821615804E-2</v>
      </c>
      <c r="I99" s="511">
        <v>4170349428</v>
      </c>
      <c r="J99" s="741">
        <f t="shared" si="31"/>
        <v>0.14267692253743761</v>
      </c>
      <c r="K99" s="511"/>
      <c r="L99" s="511"/>
      <c r="M99" s="511"/>
      <c r="N99" s="511"/>
    </row>
    <row r="100" spans="1:14" ht="15" x14ac:dyDescent="0.25">
      <c r="A100" s="500" t="s">
        <v>1120</v>
      </c>
      <c r="B100" s="509">
        <v>4240932615</v>
      </c>
      <c r="C100" s="510">
        <v>4368160593</v>
      </c>
      <c r="D100" s="740">
        <f t="shared" si="28"/>
        <v>2.9999999893891263E-2</v>
      </c>
      <c r="E100" s="510">
        <v>3775114443</v>
      </c>
      <c r="F100" s="741">
        <f t="shared" si="29"/>
        <v>-0.13576564720407933</v>
      </c>
      <c r="G100" s="504">
        <v>3775114443</v>
      </c>
      <c r="H100" s="741">
        <f t="shared" si="30"/>
        <v>0</v>
      </c>
      <c r="I100" s="511">
        <v>3775114443</v>
      </c>
      <c r="J100" s="741">
        <f t="shared" si="31"/>
        <v>0</v>
      </c>
      <c r="K100" s="511"/>
      <c r="L100" s="511"/>
      <c r="M100" s="511"/>
      <c r="N100" s="511"/>
    </row>
    <row r="101" spans="1:14" ht="15" x14ac:dyDescent="0.25">
      <c r="A101" s="496" t="s">
        <v>1121</v>
      </c>
      <c r="B101" s="522">
        <f>+B102+B103</f>
        <v>281236678.36000001</v>
      </c>
      <c r="C101" s="522">
        <f t="shared" ref="C101:N101" si="39">+C102+C103</f>
        <v>223364466.78999999</v>
      </c>
      <c r="D101" s="740">
        <f t="shared" si="28"/>
        <v>-0.20577761018753066</v>
      </c>
      <c r="E101" s="522">
        <f t="shared" si="39"/>
        <v>407554505.46999997</v>
      </c>
      <c r="F101" s="741">
        <f t="shared" si="29"/>
        <v>0.82461656201194011</v>
      </c>
      <c r="G101" s="522">
        <f t="shared" si="39"/>
        <v>1112155847.4400001</v>
      </c>
      <c r="H101" s="741">
        <f t="shared" si="30"/>
        <v>1.7288518039015168</v>
      </c>
      <c r="I101" s="522">
        <f t="shared" si="39"/>
        <v>301206237.25000006</v>
      </c>
      <c r="J101" s="741">
        <f t="shared" si="31"/>
        <v>-0.72916903872480887</v>
      </c>
      <c r="K101" s="522">
        <f t="shared" si="39"/>
        <v>0</v>
      </c>
      <c r="L101" s="522"/>
      <c r="M101" s="522">
        <f t="shared" si="39"/>
        <v>0</v>
      </c>
      <c r="N101" s="522">
        <f t="shared" si="39"/>
        <v>0</v>
      </c>
    </row>
    <row r="102" spans="1:14" ht="15" x14ac:dyDescent="0.25">
      <c r="A102" s="500" t="s">
        <v>1122</v>
      </c>
      <c r="B102" s="509">
        <v>272945318.36000001</v>
      </c>
      <c r="C102" s="509">
        <v>216964466.78999999</v>
      </c>
      <c r="D102" s="740">
        <f t="shared" si="28"/>
        <v>-0.20509914552249006</v>
      </c>
      <c r="E102" s="509">
        <v>377820579.46999997</v>
      </c>
      <c r="F102" s="741">
        <f t="shared" si="29"/>
        <v>0.74139381005504779</v>
      </c>
      <c r="G102" s="504">
        <v>1108946309.4400001</v>
      </c>
      <c r="H102" s="741">
        <f t="shared" si="30"/>
        <v>1.9351135689739565</v>
      </c>
      <c r="I102" s="501">
        <v>301206237.25000006</v>
      </c>
      <c r="J102" s="741">
        <f t="shared" si="31"/>
        <v>-0.72838519350670428</v>
      </c>
      <c r="K102" s="501"/>
      <c r="L102" s="501"/>
      <c r="M102" s="501"/>
      <c r="N102" s="501"/>
    </row>
    <row r="103" spans="1:14" s="253" customFormat="1" ht="15" x14ac:dyDescent="0.25">
      <c r="A103" s="500" t="s">
        <v>606</v>
      </c>
      <c r="B103" s="509">
        <v>8291360</v>
      </c>
      <c r="C103" s="509">
        <v>6400000</v>
      </c>
      <c r="D103" s="740">
        <f t="shared" si="28"/>
        <v>-0.22811215530383436</v>
      </c>
      <c r="E103" s="509">
        <v>29733926</v>
      </c>
      <c r="F103" s="741">
        <f t="shared" si="29"/>
        <v>3.6459259374999999</v>
      </c>
      <c r="G103" s="504">
        <v>3209538</v>
      </c>
      <c r="H103" s="741">
        <f t="shared" si="30"/>
        <v>-0.89205804843934833</v>
      </c>
      <c r="I103" s="501">
        <v>0</v>
      </c>
      <c r="J103" s="741">
        <f t="shared" si="31"/>
        <v>-1</v>
      </c>
      <c r="K103" s="501"/>
      <c r="L103" s="501"/>
      <c r="M103" s="501"/>
      <c r="N103" s="501"/>
    </row>
    <row r="104" spans="1:14" s="253" customFormat="1" ht="15" x14ac:dyDescent="0.25">
      <c r="A104" s="496" t="s">
        <v>1125</v>
      </c>
      <c r="B104" s="514">
        <f t="shared" ref="B104:N104" si="40">SUM(B105:B124)</f>
        <v>26740097982.25</v>
      </c>
      <c r="C104" s="514">
        <f t="shared" si="40"/>
        <v>27355360958</v>
      </c>
      <c r="D104" s="740">
        <f t="shared" si="28"/>
        <v>2.300900229155517E-2</v>
      </c>
      <c r="E104" s="514">
        <f t="shared" si="40"/>
        <v>27905635772.120003</v>
      </c>
      <c r="F104" s="741">
        <f t="shared" si="29"/>
        <v>2.0115794303166613E-2</v>
      </c>
      <c r="G104" s="514">
        <f t="shared" si="40"/>
        <v>36398631197.130005</v>
      </c>
      <c r="H104" s="741">
        <f t="shared" si="30"/>
        <v>0.30434696039053138</v>
      </c>
      <c r="I104" s="514">
        <f t="shared" si="40"/>
        <v>35435256882.279999</v>
      </c>
      <c r="J104" s="741">
        <f t="shared" si="31"/>
        <v>-2.6467322620801387E-2</v>
      </c>
      <c r="K104" s="514">
        <f t="shared" si="40"/>
        <v>0</v>
      </c>
      <c r="L104" s="514"/>
      <c r="M104" s="514">
        <f t="shared" si="40"/>
        <v>0</v>
      </c>
      <c r="N104" s="514">
        <f t="shared" si="40"/>
        <v>0</v>
      </c>
    </row>
    <row r="105" spans="1:14" s="253" customFormat="1" ht="15" x14ac:dyDescent="0.25">
      <c r="A105" s="500" t="s">
        <v>1126</v>
      </c>
      <c r="B105" s="509">
        <v>5789206170.0200005</v>
      </c>
      <c r="C105" s="510">
        <v>5672144131.0300007</v>
      </c>
      <c r="D105" s="740">
        <f t="shared" si="28"/>
        <v>-2.0220741074349291E-2</v>
      </c>
      <c r="E105" s="510">
        <v>6027990334.6000004</v>
      </c>
      <c r="F105" s="741">
        <f t="shared" si="29"/>
        <v>6.2735747778923559E-2</v>
      </c>
      <c r="G105" s="504">
        <v>7130051158.6499996</v>
      </c>
      <c r="H105" s="741">
        <f t="shared" si="30"/>
        <v>0.18282392022500293</v>
      </c>
      <c r="I105" s="511">
        <v>7726424298.9000006</v>
      </c>
      <c r="J105" s="741">
        <f t="shared" si="31"/>
        <v>8.3642196525686358E-2</v>
      </c>
      <c r="K105" s="511"/>
      <c r="L105" s="511"/>
      <c r="M105" s="511"/>
      <c r="N105" s="511"/>
    </row>
    <row r="106" spans="1:14" s="253" customFormat="1" ht="15" x14ac:dyDescent="0.25">
      <c r="A106" s="500" t="s">
        <v>1127</v>
      </c>
      <c r="B106" s="509">
        <v>2957581000</v>
      </c>
      <c r="C106" s="510">
        <v>3187608000</v>
      </c>
      <c r="D106" s="740">
        <f t="shared" si="28"/>
        <v>7.7775384680926749E-2</v>
      </c>
      <c r="E106" s="510">
        <v>3328047000</v>
      </c>
      <c r="F106" s="741">
        <f t="shared" si="29"/>
        <v>4.4057801335672393E-2</v>
      </c>
      <c r="G106" s="504">
        <v>3182829400</v>
      </c>
      <c r="H106" s="741">
        <f t="shared" si="30"/>
        <v>-4.3634479921707839E-2</v>
      </c>
      <c r="I106" s="511">
        <v>3319978393</v>
      </c>
      <c r="J106" s="741">
        <f t="shared" si="31"/>
        <v>4.3090274646828387E-2</v>
      </c>
      <c r="K106" s="511"/>
      <c r="L106" s="511"/>
      <c r="M106" s="511"/>
      <c r="N106" s="511"/>
    </row>
    <row r="107" spans="1:14" s="253" customFormat="1" ht="15" x14ac:dyDescent="0.25">
      <c r="A107" s="500" t="s">
        <v>1128</v>
      </c>
      <c r="B107" s="509">
        <v>4627445394.1199999</v>
      </c>
      <c r="C107" s="510">
        <v>5032134083</v>
      </c>
      <c r="D107" s="740">
        <f t="shared" si="28"/>
        <v>8.745401715474152E-2</v>
      </c>
      <c r="E107" s="510">
        <v>5297644865</v>
      </c>
      <c r="F107" s="741">
        <f t="shared" si="29"/>
        <v>5.2763057903598393E-2</v>
      </c>
      <c r="G107" s="504">
        <v>5036484170</v>
      </c>
      <c r="H107" s="741">
        <f t="shared" si="30"/>
        <v>-4.9297508922391688E-2</v>
      </c>
      <c r="I107" s="511">
        <v>6526968883</v>
      </c>
      <c r="J107" s="741">
        <f t="shared" si="31"/>
        <v>0.29593753552887669</v>
      </c>
      <c r="K107" s="511"/>
      <c r="L107" s="511"/>
      <c r="M107" s="511"/>
      <c r="N107" s="511"/>
    </row>
    <row r="108" spans="1:14" s="253" customFormat="1" ht="15" x14ac:dyDescent="0.25">
      <c r="A108" s="500" t="s">
        <v>1129</v>
      </c>
      <c r="B108" s="509">
        <v>0</v>
      </c>
      <c r="C108" s="510">
        <v>41033484</v>
      </c>
      <c r="D108" s="740" t="e">
        <f t="shared" si="28"/>
        <v>#DIV/0!</v>
      </c>
      <c r="E108" s="510">
        <v>47527970</v>
      </c>
      <c r="F108" s="741">
        <f t="shared" si="29"/>
        <v>0.15827283883571769</v>
      </c>
      <c r="G108" s="504">
        <v>59649303</v>
      </c>
      <c r="H108" s="741">
        <f t="shared" si="30"/>
        <v>0.25503578208789479</v>
      </c>
      <c r="I108" s="511">
        <v>71070097</v>
      </c>
      <c r="J108" s="741">
        <f t="shared" si="31"/>
        <v>0.19146567395766553</v>
      </c>
      <c r="K108" s="511"/>
      <c r="L108" s="511"/>
      <c r="M108" s="511"/>
      <c r="N108" s="511"/>
    </row>
    <row r="109" spans="1:14" s="253" customFormat="1" ht="15" x14ac:dyDescent="0.25">
      <c r="A109" s="500" t="s">
        <v>1130</v>
      </c>
      <c r="B109" s="509">
        <v>0</v>
      </c>
      <c r="C109" s="510">
        <v>118492987</v>
      </c>
      <c r="D109" s="740" t="e">
        <f t="shared" si="28"/>
        <v>#DIV/0!</v>
      </c>
      <c r="E109" s="510">
        <v>70127429</v>
      </c>
      <c r="F109" s="741">
        <f t="shared" si="29"/>
        <v>-0.40817232500012851</v>
      </c>
      <c r="G109" s="504">
        <v>45202420</v>
      </c>
      <c r="H109" s="741">
        <f t="shared" si="30"/>
        <v>-0.35542453723777612</v>
      </c>
      <c r="I109" s="511">
        <v>30401876</v>
      </c>
      <c r="J109" s="741">
        <f t="shared" si="31"/>
        <v>-0.32742813327251064</v>
      </c>
      <c r="K109" s="511"/>
      <c r="L109" s="511"/>
      <c r="M109" s="511"/>
      <c r="N109" s="511"/>
    </row>
    <row r="110" spans="1:14" s="253" customFormat="1" ht="15" x14ac:dyDescent="0.25">
      <c r="A110" s="500" t="s">
        <v>1977</v>
      </c>
      <c r="B110" s="509">
        <v>0</v>
      </c>
      <c r="C110" s="510">
        <v>413847</v>
      </c>
      <c r="D110" s="740" t="e">
        <f t="shared" si="28"/>
        <v>#DIV/0!</v>
      </c>
      <c r="E110" s="510">
        <v>0</v>
      </c>
      <c r="F110" s="741">
        <f t="shared" si="29"/>
        <v>-1</v>
      </c>
      <c r="G110" s="504">
        <v>0</v>
      </c>
      <c r="H110" s="741" t="e">
        <f t="shared" si="30"/>
        <v>#DIV/0!</v>
      </c>
      <c r="I110" s="511">
        <v>0</v>
      </c>
      <c r="J110" s="741" t="e">
        <f t="shared" si="31"/>
        <v>#DIV/0!</v>
      </c>
      <c r="K110" s="511"/>
      <c r="L110" s="511"/>
      <c r="M110" s="511"/>
      <c r="N110" s="511"/>
    </row>
    <row r="111" spans="1:14" s="253" customFormat="1" ht="15" x14ac:dyDescent="0.25">
      <c r="A111" s="500" t="s">
        <v>1132</v>
      </c>
      <c r="B111" s="509">
        <v>1043283322</v>
      </c>
      <c r="C111" s="510">
        <v>1041273320.97</v>
      </c>
      <c r="D111" s="740">
        <f t="shared" si="28"/>
        <v>-1.9266109096297539E-3</v>
      </c>
      <c r="E111" s="510">
        <v>2029088019.1899998</v>
      </c>
      <c r="F111" s="741">
        <f t="shared" si="29"/>
        <v>0.94866033569341734</v>
      </c>
      <c r="G111" s="504">
        <v>1703248316.7400002</v>
      </c>
      <c r="H111" s="741">
        <f t="shared" si="30"/>
        <v>-0.16058431145834318</v>
      </c>
      <c r="I111" s="511">
        <v>2208629340.0999999</v>
      </c>
      <c r="J111" s="741">
        <f t="shared" si="31"/>
        <v>0.29671599754009664</v>
      </c>
      <c r="K111" s="511"/>
      <c r="L111" s="511"/>
      <c r="M111" s="511"/>
      <c r="N111" s="511"/>
    </row>
    <row r="112" spans="1:14" s="253" customFormat="1" ht="15" x14ac:dyDescent="0.25">
      <c r="A112" s="500" t="s">
        <v>1133</v>
      </c>
      <c r="B112" s="509">
        <v>912762320.5</v>
      </c>
      <c r="C112" s="510">
        <v>597808425</v>
      </c>
      <c r="D112" s="740">
        <f t="shared" si="28"/>
        <v>-0.34505575923365472</v>
      </c>
      <c r="E112" s="510">
        <v>642062850</v>
      </c>
      <c r="F112" s="741">
        <f t="shared" si="29"/>
        <v>7.4027770685901592E-2</v>
      </c>
      <c r="G112" s="504">
        <v>563195220.63</v>
      </c>
      <c r="H112" s="741">
        <f t="shared" si="30"/>
        <v>-0.1228347495420425</v>
      </c>
      <c r="I112" s="511">
        <v>708543122.5</v>
      </c>
      <c r="J112" s="741">
        <f t="shared" si="31"/>
        <v>0.25807729992348177</v>
      </c>
      <c r="K112" s="511"/>
      <c r="L112" s="511"/>
      <c r="M112" s="511"/>
      <c r="N112" s="511"/>
    </row>
    <row r="113" spans="1:14" s="253" customFormat="1" ht="15" x14ac:dyDescent="0.25">
      <c r="A113" s="500" t="s">
        <v>1087</v>
      </c>
      <c r="B113" s="509">
        <v>0</v>
      </c>
      <c r="C113" s="510">
        <v>0</v>
      </c>
      <c r="D113" s="740" t="e">
        <f t="shared" si="28"/>
        <v>#DIV/0!</v>
      </c>
      <c r="E113" s="510">
        <v>0</v>
      </c>
      <c r="F113" s="741" t="e">
        <f t="shared" si="29"/>
        <v>#DIV/0!</v>
      </c>
      <c r="G113" s="504">
        <v>0</v>
      </c>
      <c r="H113" s="741" t="e">
        <f t="shared" si="30"/>
        <v>#DIV/0!</v>
      </c>
      <c r="I113" s="511">
        <v>0</v>
      </c>
      <c r="J113" s="741" t="e">
        <f t="shared" si="31"/>
        <v>#DIV/0!</v>
      </c>
      <c r="K113" s="511"/>
      <c r="L113" s="511"/>
      <c r="M113" s="511"/>
      <c r="N113" s="511"/>
    </row>
    <row r="114" spans="1:14" s="253" customFormat="1" ht="15" x14ac:dyDescent="0.25">
      <c r="A114" s="500" t="s">
        <v>1136</v>
      </c>
      <c r="B114" s="509">
        <v>47138056</v>
      </c>
      <c r="C114" s="510">
        <v>1816194200</v>
      </c>
      <c r="D114" s="740">
        <f t="shared" si="28"/>
        <v>37.529255427928554</v>
      </c>
      <c r="E114" s="510">
        <v>1955694040</v>
      </c>
      <c r="F114" s="741">
        <f t="shared" si="29"/>
        <v>7.6808878698103975E-2</v>
      </c>
      <c r="G114" s="504">
        <v>1783764309.4000001</v>
      </c>
      <c r="H114" s="741">
        <f t="shared" si="30"/>
        <v>-8.791238664305584E-2</v>
      </c>
      <c r="I114" s="511">
        <v>2105691489</v>
      </c>
      <c r="J114" s="741">
        <f t="shared" si="31"/>
        <v>0.1804762982999058</v>
      </c>
      <c r="K114" s="511"/>
      <c r="L114" s="511"/>
      <c r="M114" s="511"/>
      <c r="N114" s="511"/>
    </row>
    <row r="115" spans="1:14" s="253" customFormat="1" ht="15" x14ac:dyDescent="0.25">
      <c r="A115" s="523" t="s">
        <v>1137</v>
      </c>
      <c r="B115" s="509">
        <v>0</v>
      </c>
      <c r="C115" s="510">
        <v>464640827</v>
      </c>
      <c r="D115" s="740" t="e">
        <f t="shared" si="28"/>
        <v>#DIV/0!</v>
      </c>
      <c r="E115" s="510">
        <v>0</v>
      </c>
      <c r="F115" s="741">
        <f t="shared" si="29"/>
        <v>-1</v>
      </c>
      <c r="G115" s="504">
        <v>0</v>
      </c>
      <c r="H115" s="741" t="e">
        <f t="shared" si="30"/>
        <v>#DIV/0!</v>
      </c>
      <c r="I115" s="511">
        <v>0</v>
      </c>
      <c r="J115" s="741" t="e">
        <f t="shared" si="31"/>
        <v>#DIV/0!</v>
      </c>
      <c r="K115" s="511"/>
      <c r="L115" s="511"/>
      <c r="M115" s="511"/>
      <c r="N115" s="511"/>
    </row>
    <row r="116" spans="1:14" s="253" customFormat="1" ht="15" x14ac:dyDescent="0.25">
      <c r="A116" s="500" t="s">
        <v>1138</v>
      </c>
      <c r="B116" s="509">
        <v>684784985</v>
      </c>
      <c r="C116" s="510">
        <v>1064354210</v>
      </c>
      <c r="D116" s="740">
        <f t="shared" si="28"/>
        <v>0.55428964319362228</v>
      </c>
      <c r="E116" s="510">
        <v>1239020388</v>
      </c>
      <c r="F116" s="741">
        <f t="shared" si="29"/>
        <v>0.16410531039286255</v>
      </c>
      <c r="G116" s="504">
        <v>1078823905.21</v>
      </c>
      <c r="H116" s="741">
        <f t="shared" si="30"/>
        <v>-0.12929285453372213</v>
      </c>
      <c r="I116" s="511">
        <v>795058320.86000001</v>
      </c>
      <c r="J116" s="741">
        <f t="shared" si="31"/>
        <v>-0.26303234752177951</v>
      </c>
      <c r="K116" s="511"/>
      <c r="L116" s="511"/>
      <c r="M116" s="511"/>
      <c r="N116" s="511"/>
    </row>
    <row r="117" spans="1:14" s="253" customFormat="1" ht="15" x14ac:dyDescent="0.25">
      <c r="A117" s="500" t="s">
        <v>1139</v>
      </c>
      <c r="B117" s="509">
        <v>602528086</v>
      </c>
      <c r="C117" s="510">
        <v>818609100</v>
      </c>
      <c r="D117" s="740">
        <f t="shared" si="28"/>
        <v>0.35862396960529402</v>
      </c>
      <c r="E117" s="510">
        <v>812733409</v>
      </c>
      <c r="F117" s="741">
        <f t="shared" si="29"/>
        <v>-7.1776517021371984E-3</v>
      </c>
      <c r="G117" s="504">
        <v>761346773.5</v>
      </c>
      <c r="H117" s="741">
        <f t="shared" si="30"/>
        <v>-6.3226926481620746E-2</v>
      </c>
      <c r="I117" s="511">
        <v>909043192</v>
      </c>
      <c r="J117" s="741">
        <f t="shared" si="31"/>
        <v>0.19399362240812071</v>
      </c>
      <c r="K117" s="511"/>
      <c r="L117" s="511"/>
      <c r="M117" s="511"/>
      <c r="N117" s="511"/>
    </row>
    <row r="118" spans="1:14" s="253" customFormat="1" ht="15" x14ac:dyDescent="0.25">
      <c r="A118" s="500" t="s">
        <v>1140</v>
      </c>
      <c r="B118" s="509">
        <v>0</v>
      </c>
      <c r="C118" s="510">
        <v>16600000</v>
      </c>
      <c r="D118" s="740" t="e">
        <f t="shared" si="28"/>
        <v>#DIV/0!</v>
      </c>
      <c r="E118" s="510">
        <v>39163732.329999998</v>
      </c>
      <c r="F118" s="741">
        <f t="shared" si="29"/>
        <v>1.3592609837349396</v>
      </c>
      <c r="G118" s="504">
        <v>0</v>
      </c>
      <c r="H118" s="741">
        <f t="shared" si="30"/>
        <v>-1</v>
      </c>
      <c r="I118" s="511">
        <v>0</v>
      </c>
      <c r="J118" s="741" t="e">
        <f t="shared" si="31"/>
        <v>#DIV/0!</v>
      </c>
      <c r="K118" s="511"/>
      <c r="L118" s="511"/>
      <c r="M118" s="511"/>
      <c r="N118" s="511"/>
    </row>
    <row r="119" spans="1:14" s="253" customFormat="1" ht="15" x14ac:dyDescent="0.25">
      <c r="A119" s="500" t="s">
        <v>1141</v>
      </c>
      <c r="B119" s="509">
        <v>2843942000</v>
      </c>
      <c r="C119" s="510">
        <v>3086366000</v>
      </c>
      <c r="D119" s="740">
        <f t="shared" si="28"/>
        <v>8.5242244743387874E-2</v>
      </c>
      <c r="E119" s="510">
        <v>3937884000</v>
      </c>
      <c r="F119" s="741">
        <f t="shared" si="29"/>
        <v>0.27589663701583028</v>
      </c>
      <c r="G119" s="504">
        <v>3706252307</v>
      </c>
      <c r="H119" s="741">
        <f t="shared" si="30"/>
        <v>-5.8821360151797258E-2</v>
      </c>
      <c r="I119" s="511">
        <v>7650487373</v>
      </c>
      <c r="J119" s="741">
        <f t="shared" si="31"/>
        <v>1.064211159761175</v>
      </c>
      <c r="K119" s="511"/>
      <c r="L119" s="511"/>
      <c r="M119" s="511"/>
      <c r="N119" s="511"/>
    </row>
    <row r="120" spans="1:14" s="253" customFormat="1" ht="15" x14ac:dyDescent="0.25">
      <c r="A120" s="500" t="s">
        <v>1142</v>
      </c>
      <c r="B120" s="509">
        <v>0</v>
      </c>
      <c r="C120" s="510">
        <v>0</v>
      </c>
      <c r="D120" s="740" t="e">
        <f t="shared" si="28"/>
        <v>#DIV/0!</v>
      </c>
      <c r="E120" s="510">
        <v>0</v>
      </c>
      <c r="F120" s="741" t="e">
        <f t="shared" si="29"/>
        <v>#DIV/0!</v>
      </c>
      <c r="G120" s="504">
        <v>9241365080</v>
      </c>
      <c r="H120" s="741" t="e">
        <f t="shared" si="30"/>
        <v>#DIV/0!</v>
      </c>
      <c r="I120" s="511">
        <v>0</v>
      </c>
      <c r="J120" s="741">
        <f t="shared" si="31"/>
        <v>-1</v>
      </c>
      <c r="K120" s="511"/>
      <c r="L120" s="511"/>
      <c r="M120" s="511"/>
      <c r="N120" s="511"/>
    </row>
    <row r="121" spans="1:14" s="253" customFormat="1" ht="15" x14ac:dyDescent="0.25">
      <c r="A121" s="500" t="s">
        <v>1143</v>
      </c>
      <c r="B121" s="509">
        <v>417748176.28000003</v>
      </c>
      <c r="C121" s="510">
        <v>719672899</v>
      </c>
      <c r="D121" s="740">
        <f t="shared" si="28"/>
        <v>0.72274336517421878</v>
      </c>
      <c r="E121" s="510">
        <v>736429255</v>
      </c>
      <c r="F121" s="741">
        <f t="shared" si="29"/>
        <v>2.3283294429015312E-2</v>
      </c>
      <c r="G121" s="504">
        <v>656436513</v>
      </c>
      <c r="H121" s="741">
        <f t="shared" si="30"/>
        <v>-0.10862243923212964</v>
      </c>
      <c r="I121" s="511">
        <v>785124839</v>
      </c>
      <c r="J121" s="741">
        <f t="shared" si="31"/>
        <v>0.19604077995582186</v>
      </c>
      <c r="K121" s="511"/>
      <c r="L121" s="511"/>
      <c r="M121" s="511"/>
      <c r="N121" s="511"/>
    </row>
    <row r="122" spans="1:14" s="253" customFormat="1" ht="24" x14ac:dyDescent="0.25">
      <c r="A122" s="500" t="s">
        <v>1144</v>
      </c>
      <c r="B122" s="509">
        <v>166048524</v>
      </c>
      <c r="C122" s="510">
        <v>165741571.37</v>
      </c>
      <c r="D122" s="740">
        <f t="shared" si="28"/>
        <v>-1.8485718668598055E-3</v>
      </c>
      <c r="E122" s="510">
        <v>3632811</v>
      </c>
      <c r="F122" s="741">
        <f t="shared" si="29"/>
        <v>-0.97808147364616116</v>
      </c>
      <c r="G122" s="504">
        <v>0</v>
      </c>
      <c r="H122" s="741">
        <f t="shared" si="30"/>
        <v>-1</v>
      </c>
      <c r="I122" s="511">
        <v>0</v>
      </c>
      <c r="J122" s="741" t="e">
        <f t="shared" si="31"/>
        <v>#DIV/0!</v>
      </c>
      <c r="K122" s="511"/>
      <c r="L122" s="511"/>
      <c r="M122" s="511"/>
      <c r="N122" s="511"/>
    </row>
    <row r="123" spans="1:14" s="253" customFormat="1" ht="15" x14ac:dyDescent="0.25">
      <c r="A123" s="500" t="s">
        <v>1145</v>
      </c>
      <c r="B123" s="509">
        <v>644863450</v>
      </c>
      <c r="C123" s="510">
        <v>632049200.63</v>
      </c>
      <c r="D123" s="740">
        <f t="shared" si="28"/>
        <v>-1.9871260140421985E-2</v>
      </c>
      <c r="E123" s="510">
        <v>58652919</v>
      </c>
      <c r="F123" s="741">
        <f t="shared" si="29"/>
        <v>-0.90720197266045544</v>
      </c>
      <c r="G123" s="504">
        <v>0</v>
      </c>
      <c r="H123" s="741">
        <f t="shared" si="30"/>
        <v>-1</v>
      </c>
      <c r="I123" s="511">
        <v>0</v>
      </c>
      <c r="J123" s="741" t="e">
        <f t="shared" si="31"/>
        <v>#DIV/0!</v>
      </c>
      <c r="K123" s="511"/>
      <c r="L123" s="511"/>
      <c r="M123" s="511"/>
      <c r="N123" s="511"/>
    </row>
    <row r="124" spans="1:14" s="253" customFormat="1" ht="15" x14ac:dyDescent="0.25">
      <c r="A124" s="500" t="s">
        <v>1146</v>
      </c>
      <c r="B124" s="509">
        <v>6002766498.3300018</v>
      </c>
      <c r="C124" s="510">
        <v>2880224672</v>
      </c>
      <c r="D124" s="740">
        <f t="shared" si="28"/>
        <v>-0.52018378979070867</v>
      </c>
      <c r="E124" s="510">
        <v>1679936750</v>
      </c>
      <c r="F124" s="741">
        <f t="shared" si="29"/>
        <v>-0.41673412969083823</v>
      </c>
      <c r="G124" s="504">
        <v>1449982320</v>
      </c>
      <c r="H124" s="741">
        <f t="shared" si="30"/>
        <v>-0.13688279037886397</v>
      </c>
      <c r="I124" s="511">
        <v>2597835657.9200001</v>
      </c>
      <c r="J124" s="741">
        <f t="shared" si="31"/>
        <v>0.79163264412768841</v>
      </c>
      <c r="K124" s="511"/>
      <c r="L124" s="511"/>
      <c r="M124" s="511"/>
      <c r="N124" s="511"/>
    </row>
    <row r="125" spans="1:14" s="253" customFormat="1" ht="15" x14ac:dyDescent="0.25">
      <c r="A125" s="496" t="s">
        <v>1065</v>
      </c>
      <c r="B125" s="506">
        <f>+B126+B127</f>
        <v>5894008780</v>
      </c>
      <c r="C125" s="506">
        <f t="shared" ref="C125:N125" si="41">+C126+C127</f>
        <v>2141958658</v>
      </c>
      <c r="D125" s="740">
        <f t="shared" si="28"/>
        <v>-0.63658712805650075</v>
      </c>
      <c r="E125" s="506">
        <f t="shared" si="41"/>
        <v>2318525351</v>
      </c>
      <c r="F125" s="741">
        <f t="shared" si="29"/>
        <v>8.2432353369912711E-2</v>
      </c>
      <c r="G125" s="506">
        <f t="shared" si="41"/>
        <v>2514716632</v>
      </c>
      <c r="H125" s="741">
        <f t="shared" si="30"/>
        <v>8.4618993238689849E-2</v>
      </c>
      <c r="I125" s="506">
        <f t="shared" si="41"/>
        <v>2591680073</v>
      </c>
      <c r="J125" s="741">
        <f t="shared" si="31"/>
        <v>3.0605214130543835E-2</v>
      </c>
      <c r="K125" s="506">
        <f t="shared" si="41"/>
        <v>0</v>
      </c>
      <c r="L125" s="506"/>
      <c r="M125" s="506">
        <f t="shared" si="41"/>
        <v>0</v>
      </c>
      <c r="N125" s="506">
        <f t="shared" si="41"/>
        <v>0</v>
      </c>
    </row>
    <row r="126" spans="1:14" s="253" customFormat="1" ht="15" x14ac:dyDescent="0.25">
      <c r="A126" s="500" t="s">
        <v>1066</v>
      </c>
      <c r="B126" s="509">
        <v>1895949147</v>
      </c>
      <c r="C126" s="504">
        <v>2141958658</v>
      </c>
      <c r="D126" s="740">
        <f t="shared" si="28"/>
        <v>0.12975533198728773</v>
      </c>
      <c r="E126" s="504">
        <v>2318525351</v>
      </c>
      <c r="F126" s="741">
        <f t="shared" si="29"/>
        <v>8.2432353369912711E-2</v>
      </c>
      <c r="G126" s="504">
        <v>2514716632</v>
      </c>
      <c r="H126" s="741">
        <f t="shared" si="30"/>
        <v>8.4618993238689849E-2</v>
      </c>
      <c r="I126" s="504">
        <v>2591680073</v>
      </c>
      <c r="J126" s="741">
        <f t="shared" si="31"/>
        <v>3.0605214130543835E-2</v>
      </c>
      <c r="K126" s="504"/>
      <c r="L126" s="504"/>
      <c r="M126" s="504"/>
      <c r="N126" s="504"/>
    </row>
    <row r="127" spans="1:14" s="253" customFormat="1" ht="15" x14ac:dyDescent="0.25">
      <c r="A127" s="500" t="s">
        <v>1148</v>
      </c>
      <c r="B127" s="509">
        <v>3998059633</v>
      </c>
      <c r="C127" s="504">
        <v>0</v>
      </c>
      <c r="D127" s="740">
        <f t="shared" si="28"/>
        <v>-1</v>
      </c>
      <c r="E127" s="504">
        <v>0</v>
      </c>
      <c r="F127" s="741" t="e">
        <f t="shared" si="29"/>
        <v>#DIV/0!</v>
      </c>
      <c r="G127" s="504">
        <v>0</v>
      </c>
      <c r="H127" s="741" t="e">
        <f t="shared" si="30"/>
        <v>#DIV/0!</v>
      </c>
      <c r="I127" s="504">
        <v>0</v>
      </c>
      <c r="J127" s="741" t="e">
        <f t="shared" si="31"/>
        <v>#DIV/0!</v>
      </c>
      <c r="K127" s="504"/>
      <c r="L127" s="504"/>
      <c r="M127" s="504"/>
      <c r="N127" s="504"/>
    </row>
    <row r="128" spans="1:14" s="253" customFormat="1" ht="15" x14ac:dyDescent="0.25">
      <c r="A128" s="496" t="s">
        <v>961</v>
      </c>
      <c r="B128" s="506">
        <f t="shared" ref="B128:N128" si="42">+B129</f>
        <v>3812635261.73</v>
      </c>
      <c r="C128" s="506">
        <f t="shared" si="42"/>
        <v>3551445354.8699999</v>
      </c>
      <c r="D128" s="740">
        <f t="shared" si="28"/>
        <v>-6.8506397525548796E-2</v>
      </c>
      <c r="E128" s="506">
        <f t="shared" si="42"/>
        <v>1452461762.0999999</v>
      </c>
      <c r="F128" s="741">
        <f t="shared" si="29"/>
        <v>-0.59102235372753831</v>
      </c>
      <c r="G128" s="506">
        <f t="shared" si="42"/>
        <v>2125937388.2</v>
      </c>
      <c r="H128" s="741">
        <f t="shared" si="30"/>
        <v>0.46367873060305204</v>
      </c>
      <c r="I128" s="506">
        <f t="shared" si="42"/>
        <v>1471834403.8</v>
      </c>
      <c r="J128" s="741">
        <f t="shared" si="31"/>
        <v>-0.30767744526748242</v>
      </c>
      <c r="K128" s="506">
        <f t="shared" si="42"/>
        <v>0</v>
      </c>
      <c r="L128" s="506"/>
      <c r="M128" s="506">
        <f t="shared" si="42"/>
        <v>0</v>
      </c>
      <c r="N128" s="506">
        <f t="shared" si="42"/>
        <v>0</v>
      </c>
    </row>
    <row r="129" spans="1:14" ht="15" x14ac:dyDescent="0.25">
      <c r="A129" s="500" t="s">
        <v>1149</v>
      </c>
      <c r="B129" s="509">
        <v>3812635261.73</v>
      </c>
      <c r="C129" s="510">
        <v>3551445354.8699999</v>
      </c>
      <c r="D129" s="740">
        <f t="shared" si="28"/>
        <v>-6.8506397525548796E-2</v>
      </c>
      <c r="E129" s="510">
        <v>1452461762.0999999</v>
      </c>
      <c r="F129" s="741">
        <f t="shared" si="29"/>
        <v>-0.59102235372753831</v>
      </c>
      <c r="G129" s="504">
        <v>2125937388.2</v>
      </c>
      <c r="H129" s="741">
        <f t="shared" si="30"/>
        <v>0.46367873060305204</v>
      </c>
      <c r="I129" s="511">
        <v>1471834403.8</v>
      </c>
      <c r="J129" s="741">
        <f t="shared" si="31"/>
        <v>-0.30767744526748242</v>
      </c>
      <c r="K129" s="511"/>
      <c r="L129" s="511"/>
      <c r="M129" s="511"/>
      <c r="N129" s="511"/>
    </row>
    <row r="130" spans="1:14" s="253" customFormat="1" ht="15" x14ac:dyDescent="0.25">
      <c r="A130" s="492" t="s">
        <v>954</v>
      </c>
      <c r="B130" s="521">
        <f t="shared" ref="B130:N130" si="43">+B131+B145</f>
        <v>24876294016.599998</v>
      </c>
      <c r="C130" s="521">
        <f t="shared" si="43"/>
        <v>960638468.73000002</v>
      </c>
      <c r="D130" s="740">
        <f t="shared" si="28"/>
        <v>-0.96138337695763831</v>
      </c>
      <c r="E130" s="521">
        <f t="shared" si="43"/>
        <v>1627416909.9299998</v>
      </c>
      <c r="F130" s="741">
        <f t="shared" si="29"/>
        <v>0.69409925055521238</v>
      </c>
      <c r="G130" s="521">
        <f t="shared" si="43"/>
        <v>4354629422.6199999</v>
      </c>
      <c r="H130" s="741">
        <f t="shared" si="30"/>
        <v>1.6757921685889978</v>
      </c>
      <c r="I130" s="521">
        <f t="shared" si="43"/>
        <v>10733819210.299999</v>
      </c>
      <c r="J130" s="741">
        <f t="shared" si="31"/>
        <v>1.4649213902205955</v>
      </c>
      <c r="K130" s="521">
        <f t="shared" si="43"/>
        <v>0</v>
      </c>
      <c r="L130" s="521"/>
      <c r="M130" s="521">
        <f t="shared" si="43"/>
        <v>0</v>
      </c>
      <c r="N130" s="521">
        <f t="shared" si="43"/>
        <v>0</v>
      </c>
    </row>
    <row r="131" spans="1:14" ht="15" x14ac:dyDescent="0.25">
      <c r="A131" s="496" t="s">
        <v>165</v>
      </c>
      <c r="B131" s="524">
        <f>+B132</f>
        <v>24000000000</v>
      </c>
      <c r="C131" s="524">
        <f t="shared" ref="C131:N131" si="44">+C132</f>
        <v>0</v>
      </c>
      <c r="D131" s="740">
        <f t="shared" si="28"/>
        <v>-1</v>
      </c>
      <c r="E131" s="524">
        <f t="shared" si="44"/>
        <v>0</v>
      </c>
      <c r="F131" s="741" t="e">
        <f t="shared" si="29"/>
        <v>#DIV/0!</v>
      </c>
      <c r="G131" s="524">
        <f t="shared" si="44"/>
        <v>3600000000</v>
      </c>
      <c r="H131" s="741" t="e">
        <f t="shared" si="30"/>
        <v>#DIV/0!</v>
      </c>
      <c r="I131" s="524">
        <f t="shared" si="44"/>
        <v>9953658033.5</v>
      </c>
      <c r="J131" s="741">
        <f t="shared" si="31"/>
        <v>1.7649050093055556</v>
      </c>
      <c r="K131" s="524">
        <f t="shared" si="44"/>
        <v>0</v>
      </c>
      <c r="L131" s="524"/>
      <c r="M131" s="524">
        <f t="shared" si="44"/>
        <v>0</v>
      </c>
      <c r="N131" s="524">
        <f t="shared" si="44"/>
        <v>0</v>
      </c>
    </row>
    <row r="132" spans="1:14" s="253" customFormat="1" ht="16.5" customHeight="1" x14ac:dyDescent="0.25">
      <c r="A132" s="496" t="s">
        <v>1150</v>
      </c>
      <c r="B132" s="506">
        <f t="shared" ref="B132:I132" si="45">SUM(B133:B134)</f>
        <v>24000000000</v>
      </c>
      <c r="C132" s="506">
        <f t="shared" si="45"/>
        <v>0</v>
      </c>
      <c r="D132" s="740">
        <f t="shared" ref="D132:D167" si="46">+(C132-B132)/B132</f>
        <v>-1</v>
      </c>
      <c r="E132" s="506">
        <f t="shared" si="45"/>
        <v>0</v>
      </c>
      <c r="F132" s="741" t="e">
        <f t="shared" ref="F132:F167" si="47">+(E132-C132)/C132</f>
        <v>#DIV/0!</v>
      </c>
      <c r="G132" s="506">
        <f t="shared" si="45"/>
        <v>3600000000</v>
      </c>
      <c r="H132" s="741" t="e">
        <f t="shared" ref="H132:H167" si="48">+(G132-E132)/E132</f>
        <v>#DIV/0!</v>
      </c>
      <c r="I132" s="506">
        <f t="shared" si="45"/>
        <v>9953658033.5</v>
      </c>
      <c r="J132" s="741">
        <f t="shared" ref="J132:J167" si="49">+(I132-G132)/G132</f>
        <v>1.7649050093055556</v>
      </c>
      <c r="K132" s="506">
        <f>SUM(K133:K134)</f>
        <v>0</v>
      </c>
      <c r="L132" s="506"/>
      <c r="M132" s="506">
        <f>SUM(M133:M134)</f>
        <v>0</v>
      </c>
      <c r="N132" s="506">
        <f>SUM(N133:N134)</f>
        <v>0</v>
      </c>
    </row>
    <row r="133" spans="1:14" s="253" customFormat="1" ht="15" x14ac:dyDescent="0.25">
      <c r="A133" s="500" t="s">
        <v>1151</v>
      </c>
      <c r="B133" s="509">
        <v>24000000000</v>
      </c>
      <c r="C133" s="504">
        <v>0</v>
      </c>
      <c r="D133" s="740">
        <f t="shared" si="46"/>
        <v>-1</v>
      </c>
      <c r="E133" s="504">
        <v>0</v>
      </c>
      <c r="F133" s="741" t="e">
        <f t="shared" si="47"/>
        <v>#DIV/0!</v>
      </c>
      <c r="G133" s="506">
        <v>0</v>
      </c>
      <c r="H133" s="741" t="e">
        <f t="shared" si="48"/>
        <v>#DIV/0!</v>
      </c>
      <c r="I133" s="504">
        <v>0</v>
      </c>
      <c r="J133" s="741" t="e">
        <f t="shared" si="49"/>
        <v>#DIV/0!</v>
      </c>
      <c r="K133" s="504"/>
      <c r="L133" s="504"/>
      <c r="M133" s="504"/>
      <c r="N133" s="504"/>
    </row>
    <row r="134" spans="1:14" s="253" customFormat="1" ht="15" x14ac:dyDescent="0.25">
      <c r="A134" s="500" t="s">
        <v>1152</v>
      </c>
      <c r="B134" s="509">
        <v>0</v>
      </c>
      <c r="C134" s="504">
        <v>0</v>
      </c>
      <c r="D134" s="740" t="e">
        <f t="shared" si="46"/>
        <v>#DIV/0!</v>
      </c>
      <c r="E134" s="504">
        <v>0</v>
      </c>
      <c r="F134" s="741" t="e">
        <f t="shared" si="47"/>
        <v>#DIV/0!</v>
      </c>
      <c r="G134" s="504">
        <v>3600000000</v>
      </c>
      <c r="H134" s="741" t="e">
        <f t="shared" si="48"/>
        <v>#DIV/0!</v>
      </c>
      <c r="I134" s="504">
        <v>9953658033.5</v>
      </c>
      <c r="J134" s="741">
        <f t="shared" si="49"/>
        <v>1.7649050093055556</v>
      </c>
      <c r="K134" s="504"/>
      <c r="L134" s="504"/>
      <c r="M134" s="504"/>
      <c r="N134" s="504"/>
    </row>
    <row r="135" spans="1:14" s="253" customFormat="1" ht="15" x14ac:dyDescent="0.25">
      <c r="A135" s="506" t="s">
        <v>1153</v>
      </c>
      <c r="B135" s="506">
        <v>0</v>
      </c>
      <c r="C135" s="506">
        <v>0</v>
      </c>
      <c r="D135" s="740" t="e">
        <f t="shared" si="46"/>
        <v>#DIV/0!</v>
      </c>
      <c r="E135" s="506">
        <v>0</v>
      </c>
      <c r="F135" s="741" t="e">
        <f t="shared" si="47"/>
        <v>#DIV/0!</v>
      </c>
      <c r="G135" s="506">
        <v>0</v>
      </c>
      <c r="H135" s="741" t="e">
        <f t="shared" si="48"/>
        <v>#DIV/0!</v>
      </c>
      <c r="I135" s="506">
        <v>0</v>
      </c>
      <c r="J135" s="741" t="e">
        <f t="shared" si="49"/>
        <v>#DIV/0!</v>
      </c>
      <c r="K135" s="506"/>
      <c r="L135" s="506"/>
      <c r="M135" s="506"/>
      <c r="N135" s="506"/>
    </row>
    <row r="136" spans="1:14" s="253" customFormat="1" ht="15" x14ac:dyDescent="0.25">
      <c r="A136" s="496" t="s">
        <v>1154</v>
      </c>
      <c r="B136" s="506">
        <f t="shared" ref="B136:N136" si="50">+B137</f>
        <v>6153080985.46</v>
      </c>
      <c r="C136" s="506">
        <f t="shared" si="50"/>
        <v>3905012763.3299999</v>
      </c>
      <c r="D136" s="740">
        <f t="shared" si="46"/>
        <v>-0.36535651447498968</v>
      </c>
      <c r="E136" s="506">
        <f t="shared" si="50"/>
        <v>3443110206.2899995</v>
      </c>
      <c r="F136" s="741">
        <f t="shared" si="47"/>
        <v>-0.11828451916405851</v>
      </c>
      <c r="G136" s="506">
        <f t="shared" si="50"/>
        <v>3595668921.52</v>
      </c>
      <c r="H136" s="741">
        <f t="shared" si="48"/>
        <v>4.4308403184800955E-2</v>
      </c>
      <c r="I136" s="506">
        <f t="shared" si="50"/>
        <v>4688609197.9800005</v>
      </c>
      <c r="J136" s="741">
        <f t="shared" si="49"/>
        <v>0.30396020888318631</v>
      </c>
      <c r="K136" s="506">
        <f t="shared" si="50"/>
        <v>0</v>
      </c>
      <c r="L136" s="506"/>
      <c r="M136" s="506">
        <f t="shared" si="50"/>
        <v>0</v>
      </c>
      <c r="N136" s="506">
        <f t="shared" si="50"/>
        <v>0</v>
      </c>
    </row>
    <row r="137" spans="1:14" ht="15" x14ac:dyDescent="0.25">
      <c r="A137" s="496" t="s">
        <v>1155</v>
      </c>
      <c r="B137" s="525">
        <f t="shared" ref="B137:I137" si="51">+B138+B139+B140+B141+B142</f>
        <v>6153080985.46</v>
      </c>
      <c r="C137" s="525">
        <f t="shared" si="51"/>
        <v>3905012763.3299999</v>
      </c>
      <c r="D137" s="740">
        <f t="shared" si="46"/>
        <v>-0.36535651447498968</v>
      </c>
      <c r="E137" s="525">
        <f t="shared" si="51"/>
        <v>3443110206.2899995</v>
      </c>
      <c r="F137" s="741">
        <f t="shared" si="47"/>
        <v>-0.11828451916405851</v>
      </c>
      <c r="G137" s="525">
        <f t="shared" si="51"/>
        <v>3595668921.52</v>
      </c>
      <c r="H137" s="741">
        <f t="shared" si="48"/>
        <v>4.4308403184800955E-2</v>
      </c>
      <c r="I137" s="525">
        <f t="shared" si="51"/>
        <v>4688609197.9800005</v>
      </c>
      <c r="J137" s="741">
        <f t="shared" si="49"/>
        <v>0.30396020888318631</v>
      </c>
      <c r="K137" s="525">
        <f>+K138+K139+K140+K141+K142</f>
        <v>0</v>
      </c>
      <c r="L137" s="525"/>
      <c r="M137" s="525">
        <f>+M138+M139+M140+M141+M142</f>
        <v>0</v>
      </c>
      <c r="N137" s="525">
        <f>+N138+N139+N140+N141+N142</f>
        <v>0</v>
      </c>
    </row>
    <row r="138" spans="1:14" ht="24" x14ac:dyDescent="0.25">
      <c r="A138" s="500" t="s">
        <v>1156</v>
      </c>
      <c r="B138" s="509">
        <v>5132581247.0500002</v>
      </c>
      <c r="C138" s="504">
        <v>652748755.49000001</v>
      </c>
      <c r="D138" s="740">
        <f t="shared" si="46"/>
        <v>-0.87282251871508643</v>
      </c>
      <c r="E138" s="504">
        <v>861037129.29999995</v>
      </c>
      <c r="F138" s="741">
        <f t="shared" si="47"/>
        <v>0.31909424883337195</v>
      </c>
      <c r="G138" s="504">
        <v>904915252.80999994</v>
      </c>
      <c r="H138" s="741">
        <f t="shared" si="48"/>
        <v>5.0959618368224983E-2</v>
      </c>
      <c r="I138" s="504">
        <v>1359031530.9100001</v>
      </c>
      <c r="J138" s="741">
        <f t="shared" si="49"/>
        <v>0.50183293594604539</v>
      </c>
      <c r="K138" s="504"/>
      <c r="L138" s="504"/>
      <c r="M138" s="504"/>
      <c r="N138" s="504"/>
    </row>
    <row r="139" spans="1:14" ht="15" x14ac:dyDescent="0.25">
      <c r="A139" s="500" t="s">
        <v>1157</v>
      </c>
      <c r="B139" s="509">
        <v>0</v>
      </c>
      <c r="C139" s="504">
        <v>459946134.55000001</v>
      </c>
      <c r="D139" s="740" t="e">
        <f t="shared" si="46"/>
        <v>#DIV/0!</v>
      </c>
      <c r="E139" s="504">
        <v>554208481.19000006</v>
      </c>
      <c r="F139" s="741">
        <f t="shared" si="47"/>
        <v>0.20494214334951202</v>
      </c>
      <c r="G139" s="504">
        <v>481640007.06999999</v>
      </c>
      <c r="H139" s="741">
        <f t="shared" si="48"/>
        <v>-0.13094074988563972</v>
      </c>
      <c r="I139" s="504">
        <v>724565975.5</v>
      </c>
      <c r="J139" s="741">
        <f t="shared" si="49"/>
        <v>0.5043724874679979</v>
      </c>
      <c r="K139" s="504"/>
      <c r="L139" s="504"/>
      <c r="M139" s="504"/>
      <c r="N139" s="504"/>
    </row>
    <row r="140" spans="1:14" ht="24" x14ac:dyDescent="0.25">
      <c r="A140" s="500" t="s">
        <v>1158</v>
      </c>
      <c r="B140" s="509">
        <v>0</v>
      </c>
      <c r="C140" s="504">
        <v>1361112632.4400001</v>
      </c>
      <c r="D140" s="740" t="e">
        <f t="shared" si="46"/>
        <v>#DIV/0!</v>
      </c>
      <c r="E140" s="504">
        <v>1487037414.6199999</v>
      </c>
      <c r="F140" s="741">
        <f t="shared" si="47"/>
        <v>9.251606309336842E-2</v>
      </c>
      <c r="G140" s="504">
        <v>1423742945.45</v>
      </c>
      <c r="H140" s="741">
        <f t="shared" si="48"/>
        <v>-4.256414031530889E-2</v>
      </c>
      <c r="I140" s="504">
        <v>1813347131.9300001</v>
      </c>
      <c r="J140" s="741">
        <f t="shared" si="49"/>
        <v>0.27364784333091707</v>
      </c>
      <c r="K140" s="504"/>
      <c r="L140" s="504"/>
      <c r="M140" s="504"/>
      <c r="N140" s="504"/>
    </row>
    <row r="141" spans="1:14" s="253" customFormat="1" ht="15" x14ac:dyDescent="0.25">
      <c r="A141" s="500" t="s">
        <v>1159</v>
      </c>
      <c r="B141" s="509">
        <v>16838327</v>
      </c>
      <c r="C141" s="504">
        <v>1431205240.8499999</v>
      </c>
      <c r="D141" s="740">
        <f t="shared" si="46"/>
        <v>83.99687889717309</v>
      </c>
      <c r="E141" s="504">
        <v>0</v>
      </c>
      <c r="F141" s="741">
        <f t="shared" si="47"/>
        <v>-1</v>
      </c>
      <c r="G141" s="506">
        <v>0</v>
      </c>
      <c r="H141" s="741" t="e">
        <f t="shared" si="48"/>
        <v>#DIV/0!</v>
      </c>
      <c r="I141" s="504">
        <v>0</v>
      </c>
      <c r="J141" s="741" t="e">
        <f t="shared" si="49"/>
        <v>#DIV/0!</v>
      </c>
      <c r="K141" s="504"/>
      <c r="L141" s="504"/>
      <c r="M141" s="504"/>
      <c r="N141" s="504"/>
    </row>
    <row r="142" spans="1:14" ht="15" x14ac:dyDescent="0.25">
      <c r="A142" s="500" t="s">
        <v>1160</v>
      </c>
      <c r="B142" s="509">
        <v>1003661411.41</v>
      </c>
      <c r="C142" s="510">
        <v>0</v>
      </c>
      <c r="D142" s="740">
        <f t="shared" si="46"/>
        <v>-1</v>
      </c>
      <c r="E142" s="510">
        <v>540827181.17999995</v>
      </c>
      <c r="F142" s="741" t="e">
        <f t="shared" si="47"/>
        <v>#DIV/0!</v>
      </c>
      <c r="G142" s="504">
        <v>785370716.19000006</v>
      </c>
      <c r="H142" s="741">
        <f t="shared" si="48"/>
        <v>0.45216576296414046</v>
      </c>
      <c r="I142" s="511">
        <v>791664559.63999999</v>
      </c>
      <c r="J142" s="741">
        <f t="shared" si="49"/>
        <v>8.0138504279007212E-3</v>
      </c>
      <c r="K142" s="511"/>
      <c r="L142" s="511"/>
      <c r="M142" s="511"/>
      <c r="N142" s="511"/>
    </row>
    <row r="143" spans="1:14" s="253" customFormat="1" ht="15" x14ac:dyDescent="0.25">
      <c r="A143" s="525" t="s">
        <v>1161</v>
      </c>
      <c r="B143" s="525">
        <f>+B144</f>
        <v>8947353002.9300003</v>
      </c>
      <c r="C143" s="525">
        <f t="shared" ref="C143:N143" si="52">+C144</f>
        <v>288578661.56999999</v>
      </c>
      <c r="D143" s="740">
        <f t="shared" si="46"/>
        <v>-0.96774703518733429</v>
      </c>
      <c r="E143" s="525">
        <f t="shared" si="52"/>
        <v>314586355.63999999</v>
      </c>
      <c r="F143" s="741">
        <f t="shared" si="47"/>
        <v>9.0123413590271137E-2</v>
      </c>
      <c r="G143" s="525">
        <f t="shared" si="52"/>
        <v>518340794.77999997</v>
      </c>
      <c r="H143" s="741">
        <f t="shared" si="48"/>
        <v>0.64769000780557817</v>
      </c>
      <c r="I143" s="525">
        <f t="shared" si="52"/>
        <v>389188180.72000003</v>
      </c>
      <c r="J143" s="741">
        <f t="shared" si="49"/>
        <v>-0.24916544358584847</v>
      </c>
      <c r="K143" s="525">
        <f t="shared" si="52"/>
        <v>0</v>
      </c>
      <c r="L143" s="525"/>
      <c r="M143" s="525">
        <f t="shared" si="52"/>
        <v>0</v>
      </c>
      <c r="N143" s="525">
        <f t="shared" si="52"/>
        <v>0</v>
      </c>
    </row>
    <row r="144" spans="1:14" s="253" customFormat="1" ht="15" x14ac:dyDescent="0.25">
      <c r="A144" s="500" t="s">
        <v>606</v>
      </c>
      <c r="B144" s="509">
        <v>8947353002.9300003</v>
      </c>
      <c r="C144" s="509">
        <v>288578661.56999999</v>
      </c>
      <c r="D144" s="740">
        <f t="shared" si="46"/>
        <v>-0.96774703518733429</v>
      </c>
      <c r="E144" s="509">
        <v>314586355.63999999</v>
      </c>
      <c r="F144" s="741">
        <f t="shared" si="47"/>
        <v>9.0123413590271137E-2</v>
      </c>
      <c r="G144" s="509">
        <v>518340794.77999997</v>
      </c>
      <c r="H144" s="741">
        <f t="shared" si="48"/>
        <v>0.64769000780557817</v>
      </c>
      <c r="I144" s="509">
        <v>389188180.72000003</v>
      </c>
      <c r="J144" s="741">
        <f t="shared" si="49"/>
        <v>-0.24916544358584847</v>
      </c>
      <c r="K144" s="509"/>
      <c r="L144" s="509"/>
      <c r="M144" s="509"/>
      <c r="N144" s="509"/>
    </row>
    <row r="145" spans="1:14" s="253" customFormat="1" ht="15" x14ac:dyDescent="0.25">
      <c r="A145" s="496" t="s">
        <v>1162</v>
      </c>
      <c r="B145" s="506">
        <f t="shared" ref="B145:I145" si="53">+B146+B166</f>
        <v>876294016.60000002</v>
      </c>
      <c r="C145" s="506">
        <f t="shared" si="53"/>
        <v>960638468.73000002</v>
      </c>
      <c r="D145" s="740">
        <f t="shared" si="46"/>
        <v>9.6251315805229928E-2</v>
      </c>
      <c r="E145" s="506">
        <f t="shared" si="53"/>
        <v>1627416909.9299998</v>
      </c>
      <c r="F145" s="741">
        <f t="shared" si="47"/>
        <v>0.69409925055521238</v>
      </c>
      <c r="G145" s="506">
        <f t="shared" si="53"/>
        <v>754629422.62</v>
      </c>
      <c r="H145" s="741">
        <f t="shared" si="48"/>
        <v>-0.53630233407587058</v>
      </c>
      <c r="I145" s="506">
        <f t="shared" si="53"/>
        <v>780161176.79999995</v>
      </c>
      <c r="J145" s="741">
        <f t="shared" si="49"/>
        <v>3.3833499482906697E-2</v>
      </c>
      <c r="K145" s="506">
        <f>+K146+K166</f>
        <v>0</v>
      </c>
      <c r="L145" s="506"/>
      <c r="M145" s="506">
        <f>+M146+M166</f>
        <v>0</v>
      </c>
      <c r="N145" s="506">
        <f>+N146+N166</f>
        <v>0</v>
      </c>
    </row>
    <row r="146" spans="1:14" s="253" customFormat="1" ht="15" x14ac:dyDescent="0.25">
      <c r="A146" s="496" t="s">
        <v>1163</v>
      </c>
      <c r="B146" s="506">
        <f>+B147+B148</f>
        <v>708585739.50999999</v>
      </c>
      <c r="C146" s="506">
        <f t="shared" ref="C146:I146" si="54">+C147+C148</f>
        <v>761666920.5</v>
      </c>
      <c r="D146" s="740">
        <f t="shared" si="46"/>
        <v>7.4911444064209673E-2</v>
      </c>
      <c r="E146" s="506">
        <f t="shared" si="54"/>
        <v>1431994847.9699998</v>
      </c>
      <c r="F146" s="741">
        <f t="shared" si="47"/>
        <v>0.88008013664287765</v>
      </c>
      <c r="G146" s="506">
        <f t="shared" si="54"/>
        <v>599536601.62</v>
      </c>
      <c r="H146" s="741">
        <f t="shared" si="48"/>
        <v>-0.58132768251931566</v>
      </c>
      <c r="I146" s="506">
        <f t="shared" si="54"/>
        <v>558757624.79999995</v>
      </c>
      <c r="J146" s="741">
        <f t="shared" si="49"/>
        <v>-6.8017493360391534E-2</v>
      </c>
      <c r="K146" s="506">
        <f>+K147+K148</f>
        <v>0</v>
      </c>
      <c r="L146" s="506"/>
      <c r="M146" s="506">
        <f>+M147+M148</f>
        <v>0</v>
      </c>
      <c r="N146" s="506">
        <f>+N147+N148</f>
        <v>0</v>
      </c>
    </row>
    <row r="147" spans="1:14" s="253" customFormat="1" ht="15" x14ac:dyDescent="0.25">
      <c r="A147" s="500" t="s">
        <v>1164</v>
      </c>
      <c r="B147" s="504">
        <v>391674231.25</v>
      </c>
      <c r="C147" s="504">
        <v>463287974.17000002</v>
      </c>
      <c r="D147" s="740">
        <f t="shared" si="46"/>
        <v>0.18284006760273694</v>
      </c>
      <c r="E147" s="504">
        <v>817422371.61000001</v>
      </c>
      <c r="F147" s="741">
        <f t="shared" si="47"/>
        <v>0.76439367560629379</v>
      </c>
      <c r="G147" s="504">
        <v>388313126.95999998</v>
      </c>
      <c r="H147" s="741">
        <f t="shared" si="48"/>
        <v>-0.5249541235393691</v>
      </c>
      <c r="I147" s="504">
        <v>385612146.57999998</v>
      </c>
      <c r="J147" s="741">
        <f t="shared" si="49"/>
        <v>-6.9556762119922424E-3</v>
      </c>
      <c r="K147" s="504"/>
      <c r="L147" s="504"/>
      <c r="M147" s="504"/>
      <c r="N147" s="504"/>
    </row>
    <row r="148" spans="1:14" s="253" customFormat="1" ht="24" x14ac:dyDescent="0.25">
      <c r="A148" s="496" t="s">
        <v>1165</v>
      </c>
      <c r="B148" s="506">
        <v>316911508.25999999</v>
      </c>
      <c r="C148" s="506">
        <f t="shared" ref="C148:N148" si="55">SUM(C149:C165)</f>
        <v>298378946.33000004</v>
      </c>
      <c r="D148" s="740">
        <f t="shared" si="46"/>
        <v>-5.8478665012049659E-2</v>
      </c>
      <c r="E148" s="506">
        <f t="shared" si="55"/>
        <v>614572476.3599999</v>
      </c>
      <c r="F148" s="741">
        <f t="shared" si="47"/>
        <v>1.0597045599869412</v>
      </c>
      <c r="G148" s="506">
        <f t="shared" si="55"/>
        <v>211223474.66</v>
      </c>
      <c r="H148" s="741">
        <f t="shared" si="48"/>
        <v>-0.65630827480098375</v>
      </c>
      <c r="I148" s="506">
        <f t="shared" si="55"/>
        <v>173145478.22</v>
      </c>
      <c r="J148" s="741">
        <f t="shared" si="49"/>
        <v>-0.18027350653753324</v>
      </c>
      <c r="K148" s="506">
        <f t="shared" si="55"/>
        <v>0</v>
      </c>
      <c r="L148" s="506"/>
      <c r="M148" s="506">
        <f t="shared" si="55"/>
        <v>0</v>
      </c>
      <c r="N148" s="506">
        <f t="shared" si="55"/>
        <v>0</v>
      </c>
    </row>
    <row r="149" spans="1:14" s="253" customFormat="1" ht="15" x14ac:dyDescent="0.25">
      <c r="A149" s="500" t="s">
        <v>1050</v>
      </c>
      <c r="B149" s="512">
        <v>0</v>
      </c>
      <c r="C149" s="504">
        <v>93819087.760000005</v>
      </c>
      <c r="D149" s="740" t="e">
        <f t="shared" si="46"/>
        <v>#DIV/0!</v>
      </c>
      <c r="E149" s="504">
        <v>69195431.610500008</v>
      </c>
      <c r="F149" s="741">
        <f t="shared" si="47"/>
        <v>-0.26245891680902012</v>
      </c>
      <c r="G149" s="504">
        <v>12808894.51</v>
      </c>
      <c r="H149" s="741">
        <f t="shared" si="48"/>
        <v>-0.8148881477884109</v>
      </c>
      <c r="I149" s="504">
        <v>15150697.939999999</v>
      </c>
      <c r="J149" s="741">
        <f t="shared" si="49"/>
        <v>0.1828263499376731</v>
      </c>
      <c r="K149" s="504"/>
      <c r="L149" s="504"/>
      <c r="M149" s="504"/>
      <c r="N149" s="504"/>
    </row>
    <row r="150" spans="1:14" s="253" customFormat="1" ht="15" x14ac:dyDescent="0.25">
      <c r="A150" s="500" t="s">
        <v>1167</v>
      </c>
      <c r="B150" s="512">
        <v>0</v>
      </c>
      <c r="C150" s="504">
        <v>0</v>
      </c>
      <c r="D150" s="740" t="e">
        <f t="shared" si="46"/>
        <v>#DIV/0!</v>
      </c>
      <c r="E150" s="504">
        <v>21290902.034000002</v>
      </c>
      <c r="F150" s="741" t="e">
        <f t="shared" si="47"/>
        <v>#DIV/0!</v>
      </c>
      <c r="G150" s="504">
        <v>3941198.31</v>
      </c>
      <c r="H150" s="741">
        <f t="shared" si="48"/>
        <v>-0.81488814782454044</v>
      </c>
      <c r="I150" s="504">
        <v>4661753.17</v>
      </c>
      <c r="J150" s="741">
        <f t="shared" si="49"/>
        <v>0.1828263394338053</v>
      </c>
      <c r="K150" s="504"/>
      <c r="L150" s="504"/>
      <c r="M150" s="504"/>
      <c r="N150" s="504"/>
    </row>
    <row r="151" spans="1:14" s="253" customFormat="1" ht="24" x14ac:dyDescent="0.25">
      <c r="A151" s="500" t="s">
        <v>1168</v>
      </c>
      <c r="B151" s="512">
        <v>0</v>
      </c>
      <c r="C151" s="504">
        <v>0</v>
      </c>
      <c r="D151" s="740" t="e">
        <f t="shared" si="46"/>
        <v>#DIV/0!</v>
      </c>
      <c r="E151" s="504">
        <v>15968176.5255</v>
      </c>
      <c r="F151" s="741" t="e">
        <f t="shared" si="47"/>
        <v>#DIV/0!</v>
      </c>
      <c r="G151" s="504">
        <v>2955898.71</v>
      </c>
      <c r="H151" s="741">
        <f t="shared" si="48"/>
        <v>-0.81488814923359287</v>
      </c>
      <c r="I151" s="504">
        <v>3496314.8799999999</v>
      </c>
      <c r="J151" s="741">
        <f t="shared" si="49"/>
        <v>0.18282634928312544</v>
      </c>
      <c r="K151" s="504"/>
      <c r="L151" s="504"/>
      <c r="M151" s="504"/>
      <c r="N151" s="504"/>
    </row>
    <row r="152" spans="1:14" s="253" customFormat="1" ht="15" x14ac:dyDescent="0.25">
      <c r="A152" s="500" t="s">
        <v>1054</v>
      </c>
      <c r="B152" s="512">
        <v>0</v>
      </c>
      <c r="C152" s="504">
        <v>5351954.2820000006</v>
      </c>
      <c r="D152" s="740" t="e">
        <f t="shared" si="46"/>
        <v>#DIV/0!</v>
      </c>
      <c r="E152" s="504">
        <v>10789578.84</v>
      </c>
      <c r="F152" s="741">
        <f t="shared" si="47"/>
        <v>1.0160072884568783</v>
      </c>
      <c r="G152" s="504">
        <v>3779495.92</v>
      </c>
      <c r="H152" s="741">
        <f t="shared" si="48"/>
        <v>-0.64970867018568446</v>
      </c>
      <c r="I152" s="504">
        <v>3976503.65</v>
      </c>
      <c r="J152" s="741">
        <f t="shared" si="49"/>
        <v>5.2125398246229616E-2</v>
      </c>
      <c r="K152" s="504"/>
      <c r="L152" s="504"/>
      <c r="M152" s="504"/>
      <c r="N152" s="504"/>
    </row>
    <row r="153" spans="1:14" s="253" customFormat="1" ht="15" x14ac:dyDescent="0.25">
      <c r="A153" s="500" t="s">
        <v>1055</v>
      </c>
      <c r="B153" s="512">
        <v>0</v>
      </c>
      <c r="C153" s="504">
        <v>2675977.1410000003</v>
      </c>
      <c r="D153" s="740" t="e">
        <f t="shared" si="46"/>
        <v>#DIV/0!</v>
      </c>
      <c r="E153" s="504">
        <v>5394789.4199999999</v>
      </c>
      <c r="F153" s="741">
        <f t="shared" si="47"/>
        <v>1.0160072884568783</v>
      </c>
      <c r="G153" s="504">
        <v>1889748</v>
      </c>
      <c r="H153" s="741">
        <f t="shared" si="48"/>
        <v>-0.6497086627711226</v>
      </c>
      <c r="I153" s="504">
        <v>1988251.74</v>
      </c>
      <c r="J153" s="741">
        <f t="shared" si="49"/>
        <v>5.2125330996513813E-2</v>
      </c>
      <c r="K153" s="504"/>
      <c r="L153" s="504"/>
      <c r="M153" s="504"/>
      <c r="N153" s="504"/>
    </row>
    <row r="154" spans="1:14" s="253" customFormat="1" ht="15" x14ac:dyDescent="0.25">
      <c r="A154" s="500" t="s">
        <v>1056</v>
      </c>
      <c r="B154" s="512">
        <v>0</v>
      </c>
      <c r="C154" s="504">
        <v>2675977.1410000003</v>
      </c>
      <c r="D154" s="740" t="e">
        <f t="shared" si="46"/>
        <v>#DIV/0!</v>
      </c>
      <c r="E154" s="504">
        <v>5394789.4199999999</v>
      </c>
      <c r="F154" s="741">
        <f t="shared" si="47"/>
        <v>1.0160072884568783</v>
      </c>
      <c r="G154" s="504">
        <v>1889748</v>
      </c>
      <c r="H154" s="741">
        <f t="shared" si="48"/>
        <v>-0.6497086627711226</v>
      </c>
      <c r="I154" s="504">
        <v>1988251.74</v>
      </c>
      <c r="J154" s="741">
        <f t="shared" si="49"/>
        <v>5.2125330996513813E-2</v>
      </c>
      <c r="K154" s="504"/>
      <c r="L154" s="504"/>
      <c r="M154" s="504"/>
      <c r="N154" s="504"/>
    </row>
    <row r="155" spans="1:14" s="253" customFormat="1" ht="15" x14ac:dyDescent="0.25">
      <c r="A155" s="500" t="s">
        <v>1057</v>
      </c>
      <c r="B155" s="512">
        <v>0</v>
      </c>
      <c r="C155" s="504">
        <v>13379885.705</v>
      </c>
      <c r="D155" s="740" t="e">
        <f t="shared" si="46"/>
        <v>#DIV/0!</v>
      </c>
      <c r="E155" s="504">
        <v>26973947.010000002</v>
      </c>
      <c r="F155" s="741">
        <f t="shared" si="47"/>
        <v>1.0160072817303638</v>
      </c>
      <c r="G155" s="504">
        <v>9448739.9900000002</v>
      </c>
      <c r="H155" s="741">
        <f t="shared" si="48"/>
        <v>-0.64970866197308519</v>
      </c>
      <c r="I155" s="504">
        <v>9941258.9499999993</v>
      </c>
      <c r="J155" s="741">
        <f t="shared" si="49"/>
        <v>5.2125358568576613E-2</v>
      </c>
      <c r="K155" s="504"/>
      <c r="L155" s="504"/>
      <c r="M155" s="504"/>
      <c r="N155" s="504"/>
    </row>
    <row r="156" spans="1:14" s="253" customFormat="1" ht="15" x14ac:dyDescent="0.25">
      <c r="A156" s="500" t="s">
        <v>1058</v>
      </c>
      <c r="B156" s="512">
        <v>0</v>
      </c>
      <c r="C156" s="504">
        <v>2675977.1410000003</v>
      </c>
      <c r="D156" s="740" t="e">
        <f t="shared" si="46"/>
        <v>#DIV/0!</v>
      </c>
      <c r="E156" s="504">
        <v>5394789.4199999999</v>
      </c>
      <c r="F156" s="741">
        <f t="shared" si="47"/>
        <v>1.0160072884568783</v>
      </c>
      <c r="G156" s="504">
        <v>1889748</v>
      </c>
      <c r="H156" s="741">
        <f t="shared" si="48"/>
        <v>-0.6497086627711226</v>
      </c>
      <c r="I156" s="504">
        <v>1988251.74</v>
      </c>
      <c r="J156" s="741">
        <f t="shared" si="49"/>
        <v>5.2125330996513813E-2</v>
      </c>
      <c r="K156" s="504"/>
      <c r="L156" s="504"/>
      <c r="M156" s="504"/>
      <c r="N156" s="504"/>
    </row>
    <row r="157" spans="1:14" s="253" customFormat="1" ht="15" x14ac:dyDescent="0.25">
      <c r="A157" s="500" t="s">
        <v>1060</v>
      </c>
      <c r="B157" s="512">
        <v>0</v>
      </c>
      <c r="C157" s="504">
        <v>38259325.719999999</v>
      </c>
      <c r="D157" s="740" t="e">
        <f t="shared" si="46"/>
        <v>#DIV/0!</v>
      </c>
      <c r="E157" s="504">
        <v>9739380.3760000002</v>
      </c>
      <c r="F157" s="741">
        <f t="shared" si="47"/>
        <v>-0.7454377411855756</v>
      </c>
      <c r="G157" s="504">
        <v>3334722.42</v>
      </c>
      <c r="H157" s="741">
        <f t="shared" si="48"/>
        <v>-0.6576042529135121</v>
      </c>
      <c r="I157" s="504">
        <v>2385270.66</v>
      </c>
      <c r="J157" s="741">
        <f t="shared" si="49"/>
        <v>-0.28471687907385101</v>
      </c>
      <c r="K157" s="504"/>
      <c r="L157" s="504"/>
      <c r="M157" s="504"/>
      <c r="N157" s="504"/>
    </row>
    <row r="158" spans="1:14" s="253" customFormat="1" ht="15" x14ac:dyDescent="0.25">
      <c r="A158" s="500" t="s">
        <v>1169</v>
      </c>
      <c r="B158" s="512">
        <v>0</v>
      </c>
      <c r="C158" s="504">
        <v>0</v>
      </c>
      <c r="D158" s="740" t="e">
        <f t="shared" si="46"/>
        <v>#DIV/0!</v>
      </c>
      <c r="E158" s="504">
        <v>2434845.094</v>
      </c>
      <c r="F158" s="741" t="e">
        <f t="shared" si="47"/>
        <v>#DIV/0!</v>
      </c>
      <c r="G158" s="504">
        <v>833680.59</v>
      </c>
      <c r="H158" s="741">
        <f t="shared" si="48"/>
        <v>-0.65760425907406828</v>
      </c>
      <c r="I158" s="504">
        <v>596317.63</v>
      </c>
      <c r="J158" s="741">
        <f t="shared" si="49"/>
        <v>-0.28471690818662332</v>
      </c>
      <c r="K158" s="504"/>
      <c r="L158" s="504"/>
      <c r="M158" s="504"/>
      <c r="N158" s="504"/>
    </row>
    <row r="159" spans="1:14" s="253" customFormat="1" ht="15" x14ac:dyDescent="0.25">
      <c r="A159" s="500" t="s">
        <v>1170</v>
      </c>
      <c r="B159" s="512">
        <v>0</v>
      </c>
      <c r="C159" s="504">
        <v>100062981.03</v>
      </c>
      <c r="D159" s="740" t="e">
        <f t="shared" si="46"/>
        <v>#DIV/0!</v>
      </c>
      <c r="E159" s="504">
        <v>222303814.28</v>
      </c>
      <c r="F159" s="741">
        <f t="shared" si="47"/>
        <v>1.221638931717923</v>
      </c>
      <c r="G159" s="504">
        <v>139166344.66999999</v>
      </c>
      <c r="H159" s="741">
        <f t="shared" si="48"/>
        <v>-0.37398130067748298</v>
      </c>
      <c r="I159" s="504">
        <v>71809525.689999998</v>
      </c>
      <c r="J159" s="741">
        <f t="shared" si="49"/>
        <v>-0.48400221432646467</v>
      </c>
      <c r="K159" s="504"/>
      <c r="L159" s="504"/>
      <c r="M159" s="504"/>
      <c r="N159" s="504"/>
    </row>
    <row r="160" spans="1:14" s="253" customFormat="1" ht="15" x14ac:dyDescent="0.25">
      <c r="A160" s="500" t="s">
        <v>1171</v>
      </c>
      <c r="B160" s="512">
        <v>0</v>
      </c>
      <c r="C160" s="504">
        <v>648763.80000000005</v>
      </c>
      <c r="D160" s="740" t="e">
        <f t="shared" si="46"/>
        <v>#DIV/0!</v>
      </c>
      <c r="E160" s="504">
        <v>911017.83</v>
      </c>
      <c r="F160" s="741">
        <f t="shared" si="47"/>
        <v>0.40423653415927319</v>
      </c>
      <c r="G160" s="504">
        <v>616829.43000000005</v>
      </c>
      <c r="H160" s="741">
        <f t="shared" si="48"/>
        <v>-0.3229227687014643</v>
      </c>
      <c r="I160" s="504">
        <v>513341.79</v>
      </c>
      <c r="J160" s="741">
        <f t="shared" si="49"/>
        <v>-0.16777351236305321</v>
      </c>
      <c r="K160" s="504"/>
      <c r="L160" s="504"/>
      <c r="M160" s="504"/>
      <c r="N160" s="504"/>
    </row>
    <row r="161" spans="1:14" s="253" customFormat="1" ht="15" x14ac:dyDescent="0.25">
      <c r="A161" s="500" t="s">
        <v>1172</v>
      </c>
      <c r="B161" s="512">
        <v>0</v>
      </c>
      <c r="C161" s="504">
        <v>5201062.96</v>
      </c>
      <c r="D161" s="740" t="e">
        <f t="shared" si="46"/>
        <v>#DIV/0!</v>
      </c>
      <c r="E161" s="504">
        <v>12693804.279999999</v>
      </c>
      <c r="F161" s="741">
        <f t="shared" si="47"/>
        <v>1.4406173079666007</v>
      </c>
      <c r="G161" s="504">
        <v>0</v>
      </c>
      <c r="H161" s="741">
        <f t="shared" si="48"/>
        <v>-1</v>
      </c>
      <c r="I161" s="504">
        <v>2375500.21</v>
      </c>
      <c r="J161" s="741" t="e">
        <f t="shared" si="49"/>
        <v>#DIV/0!</v>
      </c>
      <c r="K161" s="504"/>
      <c r="L161" s="504"/>
      <c r="M161" s="504"/>
      <c r="N161" s="504"/>
    </row>
    <row r="162" spans="1:14" s="253" customFormat="1" ht="15" x14ac:dyDescent="0.25">
      <c r="A162" s="500" t="s">
        <v>1173</v>
      </c>
      <c r="B162" s="512">
        <v>0</v>
      </c>
      <c r="C162" s="504">
        <v>4233144.68</v>
      </c>
      <c r="D162" s="740" t="e">
        <f t="shared" si="46"/>
        <v>#DIV/0!</v>
      </c>
      <c r="E162" s="504">
        <v>4139524.78</v>
      </c>
      <c r="F162" s="741">
        <f t="shared" si="47"/>
        <v>-2.2115922576971765E-2</v>
      </c>
      <c r="G162" s="504">
        <v>5187876.97</v>
      </c>
      <c r="H162" s="741">
        <f t="shared" si="48"/>
        <v>0.25325423707211148</v>
      </c>
      <c r="I162" s="504">
        <v>1672883.23</v>
      </c>
      <c r="J162" s="741">
        <f t="shared" si="49"/>
        <v>-0.67753991860759177</v>
      </c>
      <c r="K162" s="504"/>
      <c r="L162" s="504"/>
      <c r="M162" s="504"/>
      <c r="N162" s="504"/>
    </row>
    <row r="163" spans="1:14" s="253" customFormat="1" ht="15" x14ac:dyDescent="0.25">
      <c r="A163" s="500" t="s">
        <v>1174</v>
      </c>
      <c r="B163" s="512">
        <v>0</v>
      </c>
      <c r="C163" s="504">
        <v>29207171</v>
      </c>
      <c r="D163" s="740" t="e">
        <f t="shared" si="46"/>
        <v>#DIV/0!</v>
      </c>
      <c r="E163" s="504">
        <v>196980313</v>
      </c>
      <c r="F163" s="741">
        <f t="shared" si="47"/>
        <v>5.7442448637014518</v>
      </c>
      <c r="G163" s="504">
        <v>23477839.699999999</v>
      </c>
      <c r="H163" s="741">
        <f t="shared" si="48"/>
        <v>-0.88081123771998482</v>
      </c>
      <c r="I163" s="504">
        <v>48746536.670000002</v>
      </c>
      <c r="J163" s="741">
        <f t="shared" si="49"/>
        <v>1.0762786224321994</v>
      </c>
      <c r="K163" s="504"/>
      <c r="L163" s="504"/>
      <c r="M163" s="504"/>
      <c r="N163" s="504"/>
    </row>
    <row r="164" spans="1:14" s="253" customFormat="1" ht="15" x14ac:dyDescent="0.25">
      <c r="A164" s="500" t="s">
        <v>1175</v>
      </c>
      <c r="B164" s="509">
        <v>0</v>
      </c>
      <c r="C164" s="510">
        <v>187637.97</v>
      </c>
      <c r="D164" s="740" t="e">
        <f t="shared" si="46"/>
        <v>#DIV/0!</v>
      </c>
      <c r="E164" s="510">
        <v>292809.44</v>
      </c>
      <c r="F164" s="741">
        <f t="shared" si="47"/>
        <v>0.56050206682581361</v>
      </c>
      <c r="G164" s="504">
        <v>2709.44</v>
      </c>
      <c r="H164" s="741">
        <f t="shared" si="48"/>
        <v>-0.99074674641637239</v>
      </c>
      <c r="I164" s="511">
        <v>882.69</v>
      </c>
      <c r="J164" s="741">
        <f t="shared" si="49"/>
        <v>-0.67421681233022324</v>
      </c>
      <c r="K164" s="511"/>
      <c r="L164" s="511"/>
      <c r="M164" s="511"/>
      <c r="N164" s="511"/>
    </row>
    <row r="165" spans="1:14" s="253" customFormat="1" ht="15" x14ac:dyDescent="0.25">
      <c r="A165" s="500" t="s">
        <v>1183</v>
      </c>
      <c r="B165" s="509">
        <v>0</v>
      </c>
      <c r="C165" s="510">
        <v>0</v>
      </c>
      <c r="D165" s="740" t="e">
        <f t="shared" si="46"/>
        <v>#DIV/0!</v>
      </c>
      <c r="E165" s="510">
        <v>4674563</v>
      </c>
      <c r="F165" s="741" t="e">
        <f t="shared" si="47"/>
        <v>#DIV/0!</v>
      </c>
      <c r="G165" s="504">
        <v>0</v>
      </c>
      <c r="H165" s="741">
        <f t="shared" si="48"/>
        <v>-1</v>
      </c>
      <c r="I165" s="511">
        <v>1853935.84</v>
      </c>
      <c r="J165" s="741" t="e">
        <f t="shared" si="49"/>
        <v>#DIV/0!</v>
      </c>
      <c r="K165" s="511"/>
      <c r="L165" s="511"/>
      <c r="M165" s="511"/>
      <c r="N165" s="511"/>
    </row>
    <row r="166" spans="1:14" s="253" customFormat="1" ht="15" x14ac:dyDescent="0.25">
      <c r="A166" s="496" t="s">
        <v>1187</v>
      </c>
      <c r="B166" s="506">
        <f t="shared" ref="B166:N166" si="56">+B167</f>
        <v>167708277.09</v>
      </c>
      <c r="C166" s="506">
        <f t="shared" si="56"/>
        <v>198971548.22999999</v>
      </c>
      <c r="D166" s="740">
        <f t="shared" si="46"/>
        <v>0.18641459850680281</v>
      </c>
      <c r="E166" s="506">
        <f t="shared" si="56"/>
        <v>195422061.95999998</v>
      </c>
      <c r="F166" s="741">
        <f t="shared" si="47"/>
        <v>-1.7839164953860655E-2</v>
      </c>
      <c r="G166" s="506">
        <f t="shared" si="56"/>
        <v>155092821</v>
      </c>
      <c r="H166" s="741">
        <f t="shared" si="48"/>
        <v>-0.20636994899918096</v>
      </c>
      <c r="I166" s="506">
        <f t="shared" si="56"/>
        <v>221403552</v>
      </c>
      <c r="J166" s="741">
        <f t="shared" si="49"/>
        <v>0.42755512842209503</v>
      </c>
      <c r="K166" s="506">
        <f t="shared" si="56"/>
        <v>0</v>
      </c>
      <c r="L166" s="506"/>
      <c r="M166" s="506">
        <f t="shared" si="56"/>
        <v>0</v>
      </c>
      <c r="N166" s="506">
        <f t="shared" si="56"/>
        <v>0</v>
      </c>
    </row>
    <row r="167" spans="1:14" ht="15" x14ac:dyDescent="0.25">
      <c r="A167" s="500" t="s">
        <v>1184</v>
      </c>
      <c r="B167" s="509">
        <v>167708277.09</v>
      </c>
      <c r="C167" s="504">
        <v>198971548.22999999</v>
      </c>
      <c r="D167" s="740">
        <f t="shared" si="46"/>
        <v>0.18641459850680281</v>
      </c>
      <c r="E167" s="504">
        <v>195422061.95999998</v>
      </c>
      <c r="F167" s="741">
        <f t="shared" si="47"/>
        <v>-1.7839164953860655E-2</v>
      </c>
      <c r="G167" s="504">
        <v>155092821</v>
      </c>
      <c r="H167" s="741">
        <f t="shared" si="48"/>
        <v>-0.20636994899918096</v>
      </c>
      <c r="I167" s="504">
        <v>221403552</v>
      </c>
      <c r="J167" s="741">
        <f t="shared" si="49"/>
        <v>0.42755512842209503</v>
      </c>
      <c r="K167" s="504"/>
      <c r="L167" s="504"/>
      <c r="M167" s="504"/>
      <c r="N167" s="504"/>
    </row>
    <row r="168" spans="1:14" x14ac:dyDescent="0.25">
      <c r="A168" s="526" t="s">
        <v>1875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F150"/>
  <sheetViews>
    <sheetView zoomScale="130" zoomScaleNormal="130" workbookViewId="0">
      <pane xSplit="2" ySplit="6" topLeftCell="C130" activePane="bottomRight" state="frozen"/>
      <selection pane="topRight" activeCell="F160" sqref="F160"/>
      <selection pane="bottomLeft" activeCell="F160" sqref="F160"/>
      <selection pane="bottomRight" activeCell="C132" sqref="C132"/>
    </sheetView>
  </sheetViews>
  <sheetFormatPr baseColWidth="10" defaultColWidth="11.42578125" defaultRowHeight="12.75" x14ac:dyDescent="0.25"/>
  <cols>
    <col min="1" max="1" width="11.42578125" style="42"/>
    <col min="2" max="2" width="35.5703125" style="95" customWidth="1"/>
    <col min="3" max="3" width="23.28515625" style="42" bestFit="1" customWidth="1"/>
    <col min="4" max="4" width="18.5703125" style="42" bestFit="1" customWidth="1"/>
    <col min="5" max="5" width="18.140625" style="42" customWidth="1"/>
    <col min="6" max="6" width="16.28515625" style="42" bestFit="1" customWidth="1"/>
    <col min="7" max="7" width="14.5703125" style="42" bestFit="1" customWidth="1"/>
    <col min="8" max="8" width="13.7109375" style="42" bestFit="1" customWidth="1"/>
    <col min="9"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4" width="11.42578125" style="42"/>
  </cols>
  <sheetData>
    <row r="1" spans="1:6" ht="15" customHeight="1" x14ac:dyDescent="0.25">
      <c r="A1" s="1748" t="s">
        <v>1767</v>
      </c>
      <c r="B1" s="1748"/>
      <c r="C1" s="1748"/>
      <c r="D1" s="1748"/>
      <c r="E1" s="1748"/>
      <c r="F1" s="1749"/>
    </row>
    <row r="2" spans="1:6" ht="15" customHeight="1" x14ac:dyDescent="0.25">
      <c r="A2" s="1748" t="s">
        <v>1768</v>
      </c>
      <c r="B2" s="1748"/>
      <c r="C2" s="1748"/>
      <c r="D2" s="1748"/>
      <c r="E2" s="1748"/>
      <c r="F2" s="1749"/>
    </row>
    <row r="3" spans="1:6" ht="15" customHeight="1" x14ac:dyDescent="0.25">
      <c r="A3" s="1748" t="s">
        <v>1769</v>
      </c>
      <c r="B3" s="1748"/>
      <c r="C3" s="1748"/>
      <c r="D3" s="1748"/>
      <c r="E3" s="1748"/>
      <c r="F3" s="1749"/>
    </row>
    <row r="4" spans="1:6" ht="15" customHeight="1" x14ac:dyDescent="0.25">
      <c r="A4" s="1748" t="s">
        <v>1876</v>
      </c>
      <c r="B4" s="1748"/>
      <c r="C4" s="1748"/>
      <c r="D4" s="1748"/>
      <c r="E4" s="1748"/>
      <c r="F4" s="1749"/>
    </row>
    <row r="5" spans="1:6" s="95" customFormat="1" ht="26.25" customHeight="1" x14ac:dyDescent="0.25">
      <c r="A5" s="1757" t="s">
        <v>1771</v>
      </c>
      <c r="B5" s="1757" t="s">
        <v>1772</v>
      </c>
      <c r="C5" s="1759" t="s">
        <v>1773</v>
      </c>
      <c r="D5" s="1751" t="s">
        <v>1877</v>
      </c>
      <c r="E5" s="1751" t="s">
        <v>1978</v>
      </c>
      <c r="F5" s="1751" t="s">
        <v>1776</v>
      </c>
    </row>
    <row r="6" spans="1:6" s="204" customFormat="1" x14ac:dyDescent="0.25">
      <c r="A6" s="1758"/>
      <c r="B6" s="1758"/>
      <c r="C6" s="1760"/>
      <c r="D6" s="1752"/>
      <c r="E6" s="1752"/>
      <c r="F6" s="1752"/>
    </row>
    <row r="7" spans="1:6" ht="25.5" x14ac:dyDescent="0.25">
      <c r="A7" s="42">
        <v>20</v>
      </c>
      <c r="B7" s="379" t="s">
        <v>1023</v>
      </c>
      <c r="C7" s="414">
        <v>18334260463.560429</v>
      </c>
      <c r="D7" s="47"/>
      <c r="E7" s="47"/>
      <c r="F7" s="47">
        <f>+C7</f>
        <v>18334260463.560429</v>
      </c>
    </row>
    <row r="8" spans="1:6" x14ac:dyDescent="0.25">
      <c r="A8" s="42">
        <v>20</v>
      </c>
      <c r="B8" s="379" t="s">
        <v>1779</v>
      </c>
      <c r="C8" s="415">
        <v>10580445405.378002</v>
      </c>
      <c r="D8" s="47"/>
      <c r="E8" s="47"/>
      <c r="F8" s="47">
        <f>+C8</f>
        <v>10580445405.378002</v>
      </c>
    </row>
    <row r="9" spans="1:6" x14ac:dyDescent="0.25">
      <c r="A9" s="42">
        <v>1</v>
      </c>
      <c r="B9" s="379" t="s">
        <v>1780</v>
      </c>
      <c r="C9" s="415">
        <v>3526815135.1260004</v>
      </c>
      <c r="D9" s="47"/>
      <c r="E9" s="47">
        <f>+C9</f>
        <v>3526815135.1260004</v>
      </c>
      <c r="F9" s="47"/>
    </row>
    <row r="10" spans="1:6" x14ac:dyDescent="0.25">
      <c r="A10" s="42">
        <v>52</v>
      </c>
      <c r="B10" s="379" t="s">
        <v>1028</v>
      </c>
      <c r="C10" s="415">
        <v>705363027.02520001</v>
      </c>
      <c r="D10" s="47">
        <f>+C10</f>
        <v>705363027.02520001</v>
      </c>
      <c r="E10" s="47"/>
      <c r="F10" s="47"/>
    </row>
    <row r="11" spans="1:6" x14ac:dyDescent="0.25">
      <c r="A11" s="42">
        <v>53</v>
      </c>
      <c r="B11" s="379" t="s">
        <v>1029</v>
      </c>
      <c r="C11" s="415">
        <v>1058044540.5378001</v>
      </c>
      <c r="D11" s="47"/>
      <c r="E11" s="47">
        <f>+C11</f>
        <v>1058044540.5378001</v>
      </c>
      <c r="F11" s="47"/>
    </row>
    <row r="12" spans="1:6" ht="25.5" x14ac:dyDescent="0.25">
      <c r="A12" s="42">
        <v>13</v>
      </c>
      <c r="B12" s="379" t="s">
        <v>1030</v>
      </c>
      <c r="C12" s="415">
        <v>1763407567.5630002</v>
      </c>
      <c r="D12" s="47"/>
      <c r="E12" s="408">
        <f>+C12</f>
        <v>1763407567.5630002</v>
      </c>
      <c r="F12" s="47"/>
    </row>
    <row r="13" spans="1:6" ht="25.5" x14ac:dyDescent="0.25">
      <c r="A13" s="42">
        <v>145</v>
      </c>
      <c r="B13" s="379" t="s">
        <v>1782</v>
      </c>
      <c r="C13" s="414">
        <v>149729169</v>
      </c>
      <c r="D13" s="47"/>
      <c r="E13" s="47">
        <f>+C13</f>
        <v>149729169</v>
      </c>
      <c r="F13" s="47"/>
    </row>
    <row r="14" spans="1:6" ht="25.5" x14ac:dyDescent="0.25">
      <c r="A14" s="42">
        <v>20</v>
      </c>
      <c r="B14" s="379" t="s">
        <v>1783</v>
      </c>
      <c r="C14" s="414">
        <v>2994583375</v>
      </c>
      <c r="D14" s="47"/>
      <c r="E14" s="47"/>
      <c r="F14" s="47">
        <f>+C14</f>
        <v>2994583375</v>
      </c>
    </row>
    <row r="15" spans="1:6" ht="25.5" x14ac:dyDescent="0.25">
      <c r="A15" s="42">
        <v>20</v>
      </c>
      <c r="B15" s="379" t="s">
        <v>1035</v>
      </c>
      <c r="C15" s="414">
        <v>2325192551</v>
      </c>
      <c r="D15" s="47"/>
      <c r="E15" s="47"/>
      <c r="F15" s="47">
        <f>+C15</f>
        <v>2325192551</v>
      </c>
    </row>
    <row r="16" spans="1:6" ht="25.5" x14ac:dyDescent="0.25">
      <c r="A16" s="42">
        <v>145</v>
      </c>
      <c r="B16" s="379" t="s">
        <v>1036</v>
      </c>
      <c r="C16" s="414">
        <v>116259628</v>
      </c>
      <c r="D16" s="47"/>
      <c r="E16" s="47">
        <f>+C16</f>
        <v>116259628</v>
      </c>
      <c r="F16" s="47"/>
    </row>
    <row r="17" spans="1:6" ht="25.5" x14ac:dyDescent="0.25">
      <c r="A17" s="42">
        <v>20</v>
      </c>
      <c r="B17" s="379" t="s">
        <v>1786</v>
      </c>
      <c r="C17" s="414">
        <v>16798216778.3344</v>
      </c>
      <c r="D17" s="47"/>
      <c r="E17" s="47"/>
      <c r="F17" s="47">
        <f>+C17</f>
        <v>16798216778.3344</v>
      </c>
    </row>
    <row r="18" spans="1:6" ht="25.5" x14ac:dyDescent="0.25">
      <c r="A18" s="42">
        <v>20</v>
      </c>
      <c r="B18" s="379" t="s">
        <v>1787</v>
      </c>
      <c r="C18" s="414">
        <v>849123596.06520009</v>
      </c>
      <c r="D18" s="47"/>
      <c r="E18" s="47"/>
      <c r="F18" s="47">
        <f>+C18</f>
        <v>849123596.06520009</v>
      </c>
    </row>
    <row r="19" spans="1:6" ht="25.5" x14ac:dyDescent="0.25">
      <c r="A19" s="42">
        <v>20</v>
      </c>
      <c r="B19" s="379" t="s">
        <v>1788</v>
      </c>
      <c r="C19" s="414">
        <v>10859778214</v>
      </c>
      <c r="D19" s="47"/>
      <c r="E19" s="47"/>
      <c r="F19" s="47">
        <f>+C19</f>
        <v>10859778214</v>
      </c>
    </row>
    <row r="20" spans="1:6" ht="25.5" x14ac:dyDescent="0.25">
      <c r="A20" s="42">
        <v>20</v>
      </c>
      <c r="B20" s="379" t="s">
        <v>1045</v>
      </c>
      <c r="C20" s="414">
        <v>693652915</v>
      </c>
      <c r="D20" s="47"/>
      <c r="E20" s="47"/>
      <c r="F20" s="47">
        <f>+C20</f>
        <v>693652915</v>
      </c>
    </row>
    <row r="21" spans="1:6" ht="15" x14ac:dyDescent="0.25">
      <c r="A21" s="42">
        <v>20</v>
      </c>
      <c r="B21" s="379" t="s">
        <v>1047</v>
      </c>
      <c r="C21" s="414">
        <v>7947476705</v>
      </c>
      <c r="D21" s="47"/>
      <c r="E21" s="47"/>
      <c r="F21" s="47">
        <f>+C21</f>
        <v>7947476705</v>
      </c>
    </row>
    <row r="22" spans="1:6" x14ac:dyDescent="0.25">
      <c r="A22" s="42">
        <v>4</v>
      </c>
      <c r="B22" s="379" t="s">
        <v>1050</v>
      </c>
      <c r="C22" s="415">
        <v>3528349951.5</v>
      </c>
      <c r="D22" s="47">
        <f>+C22</f>
        <v>3528349951.5</v>
      </c>
      <c r="E22" s="47"/>
      <c r="F22" s="47"/>
    </row>
    <row r="23" spans="1:6" ht="25.5" x14ac:dyDescent="0.25">
      <c r="A23" s="42">
        <v>176</v>
      </c>
      <c r="B23" s="379" t="s">
        <v>1051</v>
      </c>
      <c r="C23" s="415">
        <v>1411339980.6000001</v>
      </c>
      <c r="D23" s="47"/>
      <c r="E23" s="408">
        <f>+C23</f>
        <v>1411339980.6000001</v>
      </c>
      <c r="F23" s="47"/>
    </row>
    <row r="24" spans="1:6" ht="25.5" x14ac:dyDescent="0.25">
      <c r="A24" s="42">
        <v>177</v>
      </c>
      <c r="B24" s="379" t="s">
        <v>1052</v>
      </c>
      <c r="C24" s="415">
        <v>2117009970.8999999</v>
      </c>
      <c r="D24" s="47"/>
      <c r="E24" s="47">
        <f>+C24</f>
        <v>2117009970.8999999</v>
      </c>
      <c r="F24" s="47"/>
    </row>
    <row r="25" spans="1:6" x14ac:dyDescent="0.25">
      <c r="A25" s="42">
        <v>5</v>
      </c>
      <c r="B25" s="379" t="s">
        <v>1054</v>
      </c>
      <c r="C25" s="416">
        <v>348635238.91000003</v>
      </c>
      <c r="D25" s="47"/>
      <c r="E25" s="408">
        <f>+C25</f>
        <v>348635238.91000003</v>
      </c>
      <c r="F25" s="47"/>
    </row>
    <row r="26" spans="1:6" ht="25.5" x14ac:dyDescent="0.25">
      <c r="A26" s="42">
        <v>33</v>
      </c>
      <c r="B26" s="379" t="s">
        <v>1055</v>
      </c>
      <c r="C26" s="416">
        <v>174317619.45500001</v>
      </c>
      <c r="D26" s="47">
        <f>+C26</f>
        <v>174317619.45500001</v>
      </c>
      <c r="E26" s="47"/>
      <c r="F26" s="47"/>
    </row>
    <row r="27" spans="1:6" x14ac:dyDescent="0.25">
      <c r="A27" s="42">
        <v>34</v>
      </c>
      <c r="B27" s="379" t="s">
        <v>1056</v>
      </c>
      <c r="C27" s="416">
        <v>174317619.45500001</v>
      </c>
      <c r="D27" s="47">
        <f>+C27</f>
        <v>174317619.45500001</v>
      </c>
      <c r="E27" s="47"/>
      <c r="F27" s="47"/>
    </row>
    <row r="28" spans="1:6" ht="25.5" x14ac:dyDescent="0.25">
      <c r="A28" s="42">
        <v>39</v>
      </c>
      <c r="B28" s="379" t="s">
        <v>1057</v>
      </c>
      <c r="C28" s="416">
        <v>871588097.27499998</v>
      </c>
      <c r="D28" s="47">
        <f>+C28</f>
        <v>871588097.27499998</v>
      </c>
      <c r="E28" s="47"/>
      <c r="F28" s="47"/>
    </row>
    <row r="29" spans="1:6" x14ac:dyDescent="0.25">
      <c r="A29" s="42">
        <v>41</v>
      </c>
      <c r="B29" s="379" t="s">
        <v>1058</v>
      </c>
      <c r="C29" s="416">
        <v>174317619.45500001</v>
      </c>
      <c r="D29" s="47">
        <f>+C29</f>
        <v>174317619.45500001</v>
      </c>
      <c r="E29" s="47"/>
      <c r="F29" s="47"/>
    </row>
    <row r="30" spans="1:6" x14ac:dyDescent="0.25">
      <c r="A30" s="42">
        <v>6</v>
      </c>
      <c r="B30" s="379" t="s">
        <v>1060</v>
      </c>
      <c r="C30" s="416">
        <v>3393118962.3780804</v>
      </c>
      <c r="D30" s="47">
        <f>+C30</f>
        <v>3393118962.3780804</v>
      </c>
      <c r="E30" s="47"/>
      <c r="F30" s="47"/>
    </row>
    <row r="31" spans="1:6" ht="25.5" x14ac:dyDescent="0.25">
      <c r="A31" s="42">
        <v>178</v>
      </c>
      <c r="B31" s="379" t="s">
        <v>1061</v>
      </c>
      <c r="C31" s="416">
        <v>848279740.59452009</v>
      </c>
      <c r="D31" s="47"/>
      <c r="E31" s="408">
        <f>+C31</f>
        <v>848279740.59452009</v>
      </c>
      <c r="F31" s="47"/>
    </row>
    <row r="32" spans="1:6" s="54" customFormat="1" x14ac:dyDescent="0.25">
      <c r="A32" s="42">
        <v>8</v>
      </c>
      <c r="B32" s="380" t="s">
        <v>1790</v>
      </c>
      <c r="C32" s="416"/>
      <c r="D32" s="47"/>
      <c r="E32" s="47">
        <f>+C32</f>
        <v>0</v>
      </c>
      <c r="F32" s="52"/>
    </row>
    <row r="33" spans="1:6" x14ac:dyDescent="0.25">
      <c r="A33" s="42">
        <v>20</v>
      </c>
      <c r="B33" s="379" t="s">
        <v>1068</v>
      </c>
      <c r="C33" s="417">
        <v>206000000</v>
      </c>
      <c r="D33" s="47"/>
      <c r="E33" s="47"/>
      <c r="F33" s="47">
        <f>+C33</f>
        <v>206000000</v>
      </c>
    </row>
    <row r="34" spans="1:6" x14ac:dyDescent="0.25">
      <c r="A34" s="42">
        <v>190</v>
      </c>
      <c r="B34" s="379" t="s">
        <v>1064</v>
      </c>
      <c r="C34" s="417"/>
      <c r="D34" s="47"/>
      <c r="E34" s="47">
        <f>+C34</f>
        <v>0</v>
      </c>
      <c r="F34" s="47"/>
    </row>
    <row r="35" spans="1:6" x14ac:dyDescent="0.25">
      <c r="A35" s="42">
        <v>135</v>
      </c>
      <c r="B35" s="379" t="s">
        <v>1803</v>
      </c>
      <c r="C35" s="417">
        <v>7263266657</v>
      </c>
      <c r="D35" s="47"/>
      <c r="E35" s="408">
        <f>+C35</f>
        <v>7263266657</v>
      </c>
      <c r="F35" s="47"/>
    </row>
    <row r="36" spans="1:6" x14ac:dyDescent="0.25">
      <c r="A36" s="42">
        <v>20</v>
      </c>
      <c r="B36" s="379" t="s">
        <v>1069</v>
      </c>
      <c r="C36" s="417">
        <v>244827263</v>
      </c>
      <c r="D36" s="47"/>
      <c r="E36" s="47"/>
      <c r="F36" s="47">
        <f>+C36</f>
        <v>244827263</v>
      </c>
    </row>
    <row r="37" spans="1:6" x14ac:dyDescent="0.25">
      <c r="A37" s="42">
        <v>20</v>
      </c>
      <c r="B37" s="379" t="s">
        <v>1070</v>
      </c>
      <c r="C37" s="417">
        <v>118460356</v>
      </c>
      <c r="D37" s="47"/>
      <c r="E37" s="47"/>
      <c r="F37" s="47">
        <f>+C37</f>
        <v>118460356</v>
      </c>
    </row>
    <row r="38" spans="1:6" x14ac:dyDescent="0.25">
      <c r="A38" s="42">
        <v>20</v>
      </c>
      <c r="B38" s="379" t="s">
        <v>1979</v>
      </c>
      <c r="C38" s="909">
        <v>354197207</v>
      </c>
      <c r="D38" s="47"/>
      <c r="E38" s="47"/>
      <c r="F38" s="47">
        <f>+C38</f>
        <v>354197207</v>
      </c>
    </row>
    <row r="39" spans="1:6" x14ac:dyDescent="0.25">
      <c r="A39" s="42">
        <v>20</v>
      </c>
      <c r="B39" s="379" t="s">
        <v>1072</v>
      </c>
      <c r="C39" s="417">
        <v>30000000</v>
      </c>
      <c r="D39" s="47"/>
      <c r="E39" s="47"/>
      <c r="F39" s="47">
        <f>+C39</f>
        <v>30000000</v>
      </c>
    </row>
    <row r="40" spans="1:6" s="54" customFormat="1" ht="15" x14ac:dyDescent="0.25">
      <c r="A40" s="42">
        <v>35</v>
      </c>
      <c r="B40" s="379" t="s">
        <v>1796</v>
      </c>
      <c r="C40" s="418">
        <v>2973420938.8419743</v>
      </c>
      <c r="D40" s="47">
        <f>+C40</f>
        <v>2973420938.8419743</v>
      </c>
      <c r="E40" s="47"/>
      <c r="F40" s="47"/>
    </row>
    <row r="41" spans="1:6" s="54" customFormat="1" ht="15" x14ac:dyDescent="0.25">
      <c r="A41" s="42">
        <v>179</v>
      </c>
      <c r="B41" s="379" t="s">
        <v>1797</v>
      </c>
      <c r="C41" s="418">
        <v>637161629.75185156</v>
      </c>
      <c r="D41" s="47"/>
      <c r="E41" s="47">
        <f>+C41</f>
        <v>637161629.75185156</v>
      </c>
      <c r="F41" s="47"/>
    </row>
    <row r="42" spans="1:6" x14ac:dyDescent="0.25">
      <c r="A42" s="42">
        <v>20</v>
      </c>
      <c r="B42" s="379" t="s">
        <v>1080</v>
      </c>
      <c r="C42" s="417">
        <v>9769811656.1950588</v>
      </c>
      <c r="D42" s="47"/>
      <c r="E42" s="47"/>
      <c r="F42" s="47">
        <f>+C42</f>
        <v>9769811656.1950588</v>
      </c>
    </row>
    <row r="43" spans="1:6" s="54" customFormat="1" x14ac:dyDescent="0.25">
      <c r="A43" s="42">
        <v>18</v>
      </c>
      <c r="B43" s="379" t="s">
        <v>1085</v>
      </c>
      <c r="C43" s="417">
        <f>+E43</f>
        <v>580088442</v>
      </c>
      <c r="D43" s="46"/>
      <c r="E43" s="47">
        <v>580088442</v>
      </c>
      <c r="F43" s="52"/>
    </row>
    <row r="44" spans="1:6" s="54" customFormat="1" ht="25.5" x14ac:dyDescent="0.25">
      <c r="A44" s="42">
        <v>56</v>
      </c>
      <c r="B44" s="379" t="s">
        <v>1799</v>
      </c>
      <c r="C44" s="419">
        <v>250000000</v>
      </c>
      <c r="D44" s="47">
        <f>+C44</f>
        <v>250000000</v>
      </c>
      <c r="E44" s="47"/>
      <c r="F44" s="52"/>
    </row>
    <row r="45" spans="1:6" x14ac:dyDescent="0.25">
      <c r="A45" s="42">
        <v>23</v>
      </c>
      <c r="B45" s="379" t="s">
        <v>1800</v>
      </c>
      <c r="C45" s="417">
        <v>2995430273.4450002</v>
      </c>
      <c r="D45" s="47">
        <f>+C45</f>
        <v>2995430273.4450002</v>
      </c>
      <c r="E45" s="47"/>
      <c r="F45" s="47"/>
    </row>
    <row r="46" spans="1:6" x14ac:dyDescent="0.25">
      <c r="A46" s="42">
        <v>47</v>
      </c>
      <c r="B46" s="379" t="s">
        <v>1093</v>
      </c>
      <c r="C46" s="417">
        <v>141163803</v>
      </c>
      <c r="D46" s="47">
        <f>+C46</f>
        <v>141163803</v>
      </c>
      <c r="E46" s="47"/>
      <c r="F46" s="47"/>
    </row>
    <row r="47" spans="1:6" s="54" customFormat="1" x14ac:dyDescent="0.25">
      <c r="B47" s="381" t="s">
        <v>1802</v>
      </c>
      <c r="C47" s="372">
        <f>SUM(C7:C46)</f>
        <v>117307452097.34651</v>
      </c>
      <c r="D47" s="369">
        <f>SUM(D7:D46)</f>
        <v>15381387911.830254</v>
      </c>
      <c r="E47" s="369">
        <f>SUM(E7:E46)</f>
        <v>19820037699.983173</v>
      </c>
      <c r="F47" s="369">
        <f>SUM(F7:F46)</f>
        <v>82106026485.533081</v>
      </c>
    </row>
    <row r="48" spans="1:6" x14ac:dyDescent="0.25">
      <c r="B48" s="382"/>
      <c r="C48" s="371"/>
      <c r="D48" s="47"/>
      <c r="E48" s="47"/>
      <c r="F48" s="369"/>
    </row>
    <row r="49" spans="1:6" ht="25.5" x14ac:dyDescent="0.25">
      <c r="A49" s="42">
        <v>20</v>
      </c>
      <c r="B49" s="379" t="s">
        <v>1157</v>
      </c>
      <c r="C49" s="370">
        <v>1368223930</v>
      </c>
      <c r="D49" s="47"/>
      <c r="E49" s="47"/>
      <c r="F49" s="47">
        <f>+C49</f>
        <v>1368223930</v>
      </c>
    </row>
    <row r="50" spans="1:6" ht="25.5" x14ac:dyDescent="0.25">
      <c r="A50" s="42">
        <v>20</v>
      </c>
      <c r="B50" s="379" t="s">
        <v>1158</v>
      </c>
      <c r="C50" s="370">
        <v>2382349720</v>
      </c>
      <c r="D50" s="47"/>
      <c r="E50" s="47"/>
      <c r="F50" s="47">
        <f>+C50</f>
        <v>2382349720</v>
      </c>
    </row>
    <row r="51" spans="1:6" ht="25.5" x14ac:dyDescent="0.25">
      <c r="A51" s="42">
        <v>20</v>
      </c>
      <c r="B51" s="379" t="s">
        <v>1160</v>
      </c>
      <c r="C51" s="909">
        <v>500000000</v>
      </c>
      <c r="D51" s="47"/>
      <c r="E51" s="47"/>
      <c r="F51" s="47">
        <f>+C51</f>
        <v>500000000</v>
      </c>
    </row>
    <row r="52" spans="1:6" x14ac:dyDescent="0.25">
      <c r="A52" s="42">
        <v>20</v>
      </c>
      <c r="B52" s="379" t="s">
        <v>606</v>
      </c>
      <c r="C52" s="370">
        <v>10000000</v>
      </c>
      <c r="D52" s="47"/>
      <c r="E52" s="47"/>
      <c r="F52" s="47">
        <f>+C52</f>
        <v>10000000</v>
      </c>
    </row>
    <row r="53" spans="1:6" ht="25.5" x14ac:dyDescent="0.25">
      <c r="A53" s="42">
        <v>20</v>
      </c>
      <c r="B53" s="379" t="s">
        <v>1804</v>
      </c>
      <c r="C53" s="370">
        <v>412620217</v>
      </c>
      <c r="D53" s="47"/>
      <c r="E53" s="47"/>
      <c r="F53" s="47">
        <f>+C53</f>
        <v>412620217</v>
      </c>
    </row>
    <row r="54" spans="1:6" ht="25.5" x14ac:dyDescent="0.25">
      <c r="A54" s="42">
        <v>4</v>
      </c>
      <c r="B54" s="379" t="s">
        <v>1805</v>
      </c>
      <c r="C54" s="370">
        <v>1664967</v>
      </c>
      <c r="D54" s="47">
        <f>+C54</f>
        <v>1664967</v>
      </c>
      <c r="E54" s="47"/>
      <c r="F54" s="369"/>
    </row>
    <row r="55" spans="1:6" ht="25.5" x14ac:dyDescent="0.25">
      <c r="A55" s="42">
        <v>176</v>
      </c>
      <c r="B55" s="379" t="s">
        <v>1806</v>
      </c>
      <c r="C55" s="370">
        <v>481528</v>
      </c>
      <c r="D55" s="47"/>
      <c r="E55" s="408">
        <f>+C55</f>
        <v>481528</v>
      </c>
      <c r="F55" s="369"/>
    </row>
    <row r="56" spans="1:6" ht="25.5" x14ac:dyDescent="0.25">
      <c r="A56" s="42">
        <v>5</v>
      </c>
      <c r="B56" s="379" t="s">
        <v>1807</v>
      </c>
      <c r="C56" s="370">
        <v>316121</v>
      </c>
      <c r="D56" s="47"/>
      <c r="E56" s="408">
        <f>+C56</f>
        <v>316121</v>
      </c>
      <c r="F56" s="369"/>
    </row>
    <row r="57" spans="1:6" ht="25.5" x14ac:dyDescent="0.25">
      <c r="A57" s="42">
        <v>33</v>
      </c>
      <c r="B57" s="379" t="s">
        <v>1808</v>
      </c>
      <c r="C57" s="370">
        <v>158060</v>
      </c>
      <c r="D57" s="47">
        <f>+C57</f>
        <v>158060</v>
      </c>
      <c r="E57" s="47"/>
      <c r="F57" s="369"/>
    </row>
    <row r="58" spans="1:6" ht="25.5" x14ac:dyDescent="0.25">
      <c r="A58" s="42">
        <v>34</v>
      </c>
      <c r="B58" s="379" t="s">
        <v>1809</v>
      </c>
      <c r="C58" s="370">
        <v>158060</v>
      </c>
      <c r="D58" s="47">
        <f>+C58</f>
        <v>158060</v>
      </c>
      <c r="E58" s="47"/>
      <c r="F58" s="369"/>
    </row>
    <row r="59" spans="1:6" ht="25.5" x14ac:dyDescent="0.25">
      <c r="A59" s="42">
        <v>39</v>
      </c>
      <c r="B59" s="379" t="s">
        <v>1810</v>
      </c>
      <c r="C59" s="370">
        <v>790301</v>
      </c>
      <c r="D59" s="47">
        <f>+C59</f>
        <v>790301</v>
      </c>
      <c r="E59" s="47"/>
      <c r="F59" s="369"/>
    </row>
    <row r="60" spans="1:6" ht="25.5" x14ac:dyDescent="0.25">
      <c r="A60" s="42">
        <v>41</v>
      </c>
      <c r="B60" s="379" t="s">
        <v>1811</v>
      </c>
      <c r="C60" s="370">
        <v>158060</v>
      </c>
      <c r="D60" s="47">
        <f>+C60</f>
        <v>158060</v>
      </c>
      <c r="E60" s="47"/>
      <c r="F60" s="369"/>
    </row>
    <row r="61" spans="1:6" ht="25.5" x14ac:dyDescent="0.25">
      <c r="A61" s="42">
        <v>6</v>
      </c>
      <c r="B61" s="379" t="s">
        <v>1812</v>
      </c>
      <c r="C61" s="370">
        <v>1400016</v>
      </c>
      <c r="D61" s="47">
        <f>+C61</f>
        <v>1400016</v>
      </c>
      <c r="E61" s="47"/>
      <c r="F61" s="369"/>
    </row>
    <row r="62" spans="1:6" ht="25.5" x14ac:dyDescent="0.25">
      <c r="A62" s="42">
        <v>178</v>
      </c>
      <c r="B62" s="379" t="s">
        <v>1813</v>
      </c>
      <c r="C62" s="370">
        <v>325004</v>
      </c>
      <c r="D62" s="47"/>
      <c r="E62" s="408">
        <f>+C62</f>
        <v>325004</v>
      </c>
      <c r="F62" s="369"/>
    </row>
    <row r="63" spans="1:6" ht="25.5" x14ac:dyDescent="0.25">
      <c r="A63" s="42">
        <v>42</v>
      </c>
      <c r="B63" s="379" t="s">
        <v>1814</v>
      </c>
      <c r="C63" s="370">
        <v>2314305</v>
      </c>
      <c r="D63" s="47">
        <f>+C63</f>
        <v>2314305</v>
      </c>
      <c r="E63" s="47"/>
      <c r="F63" s="369"/>
    </row>
    <row r="64" spans="1:6" ht="25.5" x14ac:dyDescent="0.25">
      <c r="A64" s="42">
        <v>27</v>
      </c>
      <c r="B64" s="379" t="s">
        <v>1815</v>
      </c>
      <c r="C64" s="370">
        <v>311522</v>
      </c>
      <c r="D64" s="47">
        <f>+C64</f>
        <v>311522</v>
      </c>
      <c r="E64" s="47"/>
      <c r="F64" s="369"/>
    </row>
    <row r="65" spans="1:6" ht="25.5" x14ac:dyDescent="0.25">
      <c r="A65" s="42">
        <v>136</v>
      </c>
      <c r="B65" s="379" t="s">
        <v>1816</v>
      </c>
      <c r="C65" s="370">
        <v>39724450</v>
      </c>
      <c r="D65" s="47"/>
      <c r="E65" s="408">
        <f>+C65</f>
        <v>39724450</v>
      </c>
      <c r="F65" s="369"/>
    </row>
    <row r="66" spans="1:6" ht="25.5" x14ac:dyDescent="0.25">
      <c r="A66" s="42">
        <v>20</v>
      </c>
      <c r="B66" s="379" t="s">
        <v>1184</v>
      </c>
      <c r="C66" s="370">
        <v>150000000</v>
      </c>
      <c r="D66" s="47"/>
      <c r="E66" s="47"/>
      <c r="F66" s="47">
        <f>+C66</f>
        <v>150000000</v>
      </c>
    </row>
    <row r="67" spans="1:6" x14ac:dyDescent="0.25">
      <c r="B67" s="381" t="s">
        <v>1817</v>
      </c>
      <c r="C67" s="373">
        <f>SUM(C49:C66)</f>
        <v>4870996261</v>
      </c>
      <c r="D67" s="60">
        <f>SUM(D49:D66)</f>
        <v>6955291</v>
      </c>
      <c r="E67" s="60">
        <f>SUM(E49:E66)</f>
        <v>40847103</v>
      </c>
      <c r="F67" s="60">
        <f>SUM(F49:F66)</f>
        <v>4823193867</v>
      </c>
    </row>
    <row r="68" spans="1:6" x14ac:dyDescent="0.25">
      <c r="B68" s="382"/>
      <c r="C68" s="371"/>
      <c r="D68" s="47"/>
      <c r="E68" s="47"/>
      <c r="F68" s="47"/>
    </row>
    <row r="69" spans="1:6" s="54" customFormat="1" x14ac:dyDescent="0.25">
      <c r="A69" s="42"/>
      <c r="B69" s="383" t="s">
        <v>953</v>
      </c>
      <c r="C69" s="387"/>
      <c r="D69" s="52"/>
      <c r="E69" s="52"/>
      <c r="F69" s="52"/>
    </row>
    <row r="70" spans="1:6" ht="25.5" x14ac:dyDescent="0.25">
      <c r="B70" s="384" t="s">
        <v>1100</v>
      </c>
      <c r="C70" s="388"/>
      <c r="D70" s="47"/>
      <c r="E70" s="47"/>
      <c r="F70" s="47"/>
    </row>
    <row r="71" spans="1:6" ht="25.5" x14ac:dyDescent="0.25">
      <c r="A71" s="42">
        <v>25</v>
      </c>
      <c r="B71" s="379" t="s">
        <v>1101</v>
      </c>
      <c r="C71" s="370">
        <v>148302000000</v>
      </c>
      <c r="D71" s="47">
        <f t="shared" ref="D71:D78" si="0">+C71</f>
        <v>148302000000</v>
      </c>
      <c r="E71" s="47"/>
      <c r="F71" s="47"/>
    </row>
    <row r="72" spans="1:6" s="54" customFormat="1" ht="25.5" x14ac:dyDescent="0.25">
      <c r="A72" s="42">
        <v>26</v>
      </c>
      <c r="B72" s="379" t="s">
        <v>1102</v>
      </c>
      <c r="C72" s="370">
        <v>29000000000</v>
      </c>
      <c r="D72" s="47">
        <f t="shared" si="0"/>
        <v>29000000000</v>
      </c>
      <c r="E72" s="47"/>
      <c r="F72" s="52"/>
    </row>
    <row r="73" spans="1:6" x14ac:dyDescent="0.25">
      <c r="A73" s="42">
        <v>25</v>
      </c>
      <c r="B73" s="379" t="s">
        <v>1105</v>
      </c>
      <c r="C73" s="370">
        <v>622000000</v>
      </c>
      <c r="D73" s="47">
        <f t="shared" si="0"/>
        <v>622000000</v>
      </c>
      <c r="E73" s="47"/>
      <c r="F73" s="47"/>
    </row>
    <row r="74" spans="1:6" x14ac:dyDescent="0.25">
      <c r="A74" s="42">
        <v>25</v>
      </c>
      <c r="B74" s="379" t="s">
        <v>1106</v>
      </c>
      <c r="C74" s="370">
        <v>1463000000</v>
      </c>
      <c r="D74" s="47">
        <f t="shared" si="0"/>
        <v>1463000000</v>
      </c>
      <c r="E74" s="47"/>
      <c r="F74" s="47"/>
    </row>
    <row r="75" spans="1:6" x14ac:dyDescent="0.25">
      <c r="A75" s="42">
        <v>81</v>
      </c>
      <c r="B75" s="379" t="s">
        <v>1107</v>
      </c>
      <c r="C75" s="370">
        <v>11000000000</v>
      </c>
      <c r="D75" s="47">
        <f t="shared" si="0"/>
        <v>11000000000</v>
      </c>
      <c r="E75" s="47"/>
      <c r="F75" s="47"/>
    </row>
    <row r="76" spans="1:6" s="54" customFormat="1" ht="25.5" x14ac:dyDescent="0.25">
      <c r="A76" s="42">
        <v>21</v>
      </c>
      <c r="B76" s="379" t="s">
        <v>1113</v>
      </c>
      <c r="C76" s="370">
        <v>5000000</v>
      </c>
      <c r="D76" s="47">
        <f t="shared" si="0"/>
        <v>5000000</v>
      </c>
      <c r="E76" s="47"/>
      <c r="F76" s="52"/>
    </row>
    <row r="77" spans="1:6" s="54" customFormat="1" ht="25.5" x14ac:dyDescent="0.25">
      <c r="A77" s="42">
        <v>81</v>
      </c>
      <c r="B77" s="379" t="s">
        <v>1818</v>
      </c>
      <c r="C77" s="370">
        <v>10000000</v>
      </c>
      <c r="D77" s="47">
        <f t="shared" si="0"/>
        <v>10000000</v>
      </c>
      <c r="E77" s="47"/>
      <c r="F77" s="52"/>
    </row>
    <row r="78" spans="1:6" s="54" customFormat="1" x14ac:dyDescent="0.25">
      <c r="A78" s="42">
        <v>9</v>
      </c>
      <c r="B78" s="379" t="s">
        <v>606</v>
      </c>
      <c r="C78" s="370">
        <v>80000000</v>
      </c>
      <c r="D78" s="47">
        <f t="shared" si="0"/>
        <v>80000000</v>
      </c>
      <c r="E78" s="47"/>
      <c r="F78" s="52"/>
    </row>
    <row r="79" spans="1:6" s="54" customFormat="1" x14ac:dyDescent="0.25">
      <c r="A79" s="42"/>
      <c r="B79" s="52" t="s">
        <v>1116</v>
      </c>
      <c r="C79" s="47"/>
      <c r="D79" s="52"/>
      <c r="E79" s="52"/>
      <c r="F79" s="52"/>
    </row>
    <row r="80" spans="1:6" s="54" customFormat="1" ht="25.5" x14ac:dyDescent="0.25">
      <c r="A80" s="42">
        <v>61</v>
      </c>
      <c r="B80" s="597" t="s">
        <v>1119</v>
      </c>
      <c r="C80" s="47">
        <v>4274847597</v>
      </c>
      <c r="D80" s="47">
        <f>+C80</f>
        <v>4274847597</v>
      </c>
      <c r="E80" s="47"/>
      <c r="F80" s="52"/>
    </row>
    <row r="81" spans="1:6" s="54" customFormat="1" ht="25.5" x14ac:dyDescent="0.25">
      <c r="A81" s="42">
        <v>171</v>
      </c>
      <c r="B81" s="597" t="s">
        <v>1120</v>
      </c>
      <c r="C81" s="47">
        <v>1724393294</v>
      </c>
      <c r="D81" s="47">
        <f>+C81</f>
        <v>1724393294</v>
      </c>
      <c r="E81" s="47"/>
      <c r="F81" s="52"/>
    </row>
    <row r="82" spans="1:6" s="54" customFormat="1" ht="25.5" x14ac:dyDescent="0.25">
      <c r="A82" s="42">
        <v>61</v>
      </c>
      <c r="B82" s="597" t="str">
        <f>+'[3]Plan Financiero 2021'!A100</f>
        <v>Rendimientos por Operaciones Financieras. (SGP - Salud Pública )</v>
      </c>
      <c r="C82" s="47">
        <v>3000000</v>
      </c>
      <c r="D82" s="47">
        <f>+C82</f>
        <v>3000000</v>
      </c>
      <c r="E82" s="47"/>
      <c r="F82" s="52"/>
    </row>
    <row r="83" spans="1:6" s="54" customFormat="1" ht="25.5" x14ac:dyDescent="0.25">
      <c r="A83" s="42">
        <v>171</v>
      </c>
      <c r="B83" s="597" t="str">
        <f>+'[3]Plan Financiero 2021'!A101</f>
        <v>Rendimientos por Operaciones Financieras. (SGP - Oferta)</v>
      </c>
      <c r="C83" s="47">
        <v>1000000</v>
      </c>
      <c r="D83" s="47">
        <f t="shared" ref="D83:D100" si="1">+C83</f>
        <v>1000000</v>
      </c>
      <c r="E83" s="47"/>
      <c r="F83" s="52"/>
    </row>
    <row r="84" spans="1:6" s="54" customFormat="1" ht="25.5" x14ac:dyDescent="0.25">
      <c r="A84" s="42"/>
      <c r="B84" s="597" t="str">
        <f>+'[3]Plan Financiero 2021'!A102</f>
        <v>Rendimientos por Operaciones Financieras. (Fondo Estupefacientes )</v>
      </c>
      <c r="C84" s="47">
        <v>1000000</v>
      </c>
      <c r="D84" s="47">
        <f t="shared" si="1"/>
        <v>1000000</v>
      </c>
      <c r="E84" s="47"/>
      <c r="F84" s="52"/>
    </row>
    <row r="85" spans="1:6" s="54" customFormat="1" ht="25.5" x14ac:dyDescent="0.25">
      <c r="A85" s="42"/>
      <c r="B85" s="597" t="str">
        <f>+'[3]Plan Financiero 2021'!A103</f>
        <v>Rendimientos por Operaciones Financieras. (Rentas Cedidas )</v>
      </c>
      <c r="C85" s="47">
        <v>2000000</v>
      </c>
      <c r="D85" s="47">
        <f t="shared" si="1"/>
        <v>2000000</v>
      </c>
      <c r="E85" s="47"/>
      <c r="F85" s="52"/>
    </row>
    <row r="86" spans="1:6" s="54" customFormat="1" x14ac:dyDescent="0.25">
      <c r="A86" s="42"/>
      <c r="B86" s="597" t="s">
        <v>1126</v>
      </c>
      <c r="C86" s="47">
        <v>7858326766.9395027</v>
      </c>
      <c r="D86" s="47">
        <f t="shared" si="1"/>
        <v>7858326766.9395027</v>
      </c>
      <c r="E86" s="47"/>
      <c r="F86" s="52"/>
    </row>
    <row r="87" spans="1:6" s="54" customFormat="1" x14ac:dyDescent="0.25">
      <c r="A87" s="42"/>
      <c r="B87" s="597" t="s">
        <v>1127</v>
      </c>
      <c r="C87" s="47">
        <v>3359643355.6668801</v>
      </c>
      <c r="D87" s="47">
        <f t="shared" si="1"/>
        <v>3359643355.6668801</v>
      </c>
      <c r="E87" s="47"/>
      <c r="F87" s="52"/>
    </row>
    <row r="88" spans="1:6" s="54" customFormat="1" x14ac:dyDescent="0.25">
      <c r="A88" s="42"/>
      <c r="B88" s="597" t="s">
        <v>1128</v>
      </c>
      <c r="C88" s="47">
        <v>6177689520</v>
      </c>
      <c r="D88" s="47">
        <f t="shared" si="1"/>
        <v>6177689520</v>
      </c>
      <c r="E88" s="47"/>
      <c r="F88" s="52"/>
    </row>
    <row r="89" spans="1:6" s="54" customFormat="1" x14ac:dyDescent="0.25">
      <c r="A89" s="42"/>
      <c r="B89" s="597" t="s">
        <v>1129</v>
      </c>
      <c r="C89" s="47">
        <v>919337676.18666661</v>
      </c>
      <c r="D89" s="47">
        <f t="shared" si="1"/>
        <v>919337676.18666661</v>
      </c>
      <c r="E89" s="47"/>
      <c r="F89" s="52"/>
    </row>
    <row r="90" spans="1:6" x14ac:dyDescent="0.25">
      <c r="B90" s="597" t="s">
        <v>1130</v>
      </c>
      <c r="C90" s="47">
        <v>20000000</v>
      </c>
      <c r="D90" s="47">
        <f t="shared" si="1"/>
        <v>20000000</v>
      </c>
      <c r="E90" s="47"/>
      <c r="F90" s="47"/>
    </row>
    <row r="91" spans="1:6" s="54" customFormat="1" ht="25.5" x14ac:dyDescent="0.25">
      <c r="A91" s="42"/>
      <c r="B91" s="597" t="s">
        <v>1132</v>
      </c>
      <c r="C91" s="47">
        <v>3280528488</v>
      </c>
      <c r="D91" s="47">
        <f t="shared" si="1"/>
        <v>3280528488</v>
      </c>
      <c r="E91" s="47"/>
      <c r="F91" s="52"/>
    </row>
    <row r="92" spans="1:6" x14ac:dyDescent="0.25">
      <c r="B92" s="597" t="s">
        <v>1133</v>
      </c>
      <c r="C92" s="47">
        <v>625919989.81500006</v>
      </c>
      <c r="D92" s="47">
        <f t="shared" si="1"/>
        <v>625919989.81500006</v>
      </c>
      <c r="E92" s="47"/>
      <c r="F92" s="47"/>
    </row>
    <row r="93" spans="1:6" x14ac:dyDescent="0.25">
      <c r="B93" s="597" t="s">
        <v>1137</v>
      </c>
      <c r="C93" s="47">
        <v>1952280000</v>
      </c>
      <c r="D93" s="47">
        <f t="shared" si="1"/>
        <v>1952280000</v>
      </c>
      <c r="E93" s="47"/>
      <c r="F93" s="47"/>
    </row>
    <row r="94" spans="1:6" s="54" customFormat="1" x14ac:dyDescent="0.25">
      <c r="A94" s="42"/>
      <c r="B94" s="597" t="s">
        <v>1138</v>
      </c>
      <c r="C94" s="47">
        <v>1092098809</v>
      </c>
      <c r="D94" s="47">
        <f t="shared" si="1"/>
        <v>1092098809</v>
      </c>
      <c r="E94" s="47"/>
      <c r="F94" s="52"/>
    </row>
    <row r="95" spans="1:6" x14ac:dyDescent="0.25">
      <c r="B95" s="597" t="s">
        <v>1139</v>
      </c>
      <c r="C95" s="47">
        <v>960000000</v>
      </c>
      <c r="D95" s="47">
        <f t="shared" si="1"/>
        <v>960000000</v>
      </c>
      <c r="E95" s="47"/>
      <c r="F95" s="47"/>
    </row>
    <row r="96" spans="1:6" s="54" customFormat="1" x14ac:dyDescent="0.25">
      <c r="A96" s="42"/>
      <c r="B96" s="597" t="s">
        <v>1141</v>
      </c>
      <c r="C96" s="47">
        <f>+'[5]Recaudo 2016 con IPC a 2022'!$R$21</f>
        <v>3749209145.4255209</v>
      </c>
      <c r="D96" s="47">
        <f t="shared" si="1"/>
        <v>3749209145.4255209</v>
      </c>
      <c r="E96" s="47"/>
      <c r="F96" s="52"/>
    </row>
    <row r="97" spans="1:6" s="54" customFormat="1" x14ac:dyDescent="0.25">
      <c r="A97" s="42"/>
      <c r="B97" s="597" t="s">
        <v>1142</v>
      </c>
      <c r="C97" s="47">
        <v>7157581678.5328007</v>
      </c>
      <c r="D97" s="47">
        <f t="shared" si="1"/>
        <v>7157581678.5328007</v>
      </c>
      <c r="E97" s="47"/>
      <c r="F97" s="52"/>
    </row>
    <row r="98" spans="1:6" s="54" customFormat="1" x14ac:dyDescent="0.25">
      <c r="A98" s="42"/>
      <c r="B98" s="597" t="s">
        <v>1143</v>
      </c>
      <c r="C98" s="47">
        <v>393715436</v>
      </c>
      <c r="D98" s="47">
        <f t="shared" si="1"/>
        <v>393715436</v>
      </c>
      <c r="E98" s="47"/>
      <c r="F98" s="52"/>
    </row>
    <row r="99" spans="1:6" s="54" customFormat="1" ht="25.5" x14ac:dyDescent="0.25">
      <c r="A99" s="42"/>
      <c r="B99" s="597" t="str">
        <f>+'[3]Plan Financiero 2021'!A127</f>
        <v>IVA Cedido Sobre Licores, Vinos, Aperitivos y Similares</v>
      </c>
      <c r="C99" s="47">
        <f>1322395926*1.03</f>
        <v>1362067803.78</v>
      </c>
      <c r="D99" s="47">
        <f t="shared" si="1"/>
        <v>1362067803.78</v>
      </c>
      <c r="E99" s="47"/>
      <c r="F99" s="52"/>
    </row>
    <row r="100" spans="1:6" s="54" customFormat="1" x14ac:dyDescent="0.25">
      <c r="A100" s="42"/>
      <c r="B100" s="597" t="s">
        <v>1146</v>
      </c>
      <c r="C100" s="47">
        <f>2059892617*1.03</f>
        <v>2121689395.51</v>
      </c>
      <c r="D100" s="47">
        <f t="shared" si="1"/>
        <v>2121689395.51</v>
      </c>
      <c r="E100" s="47"/>
      <c r="F100" s="52"/>
    </row>
    <row r="101" spans="1:6" s="54" customFormat="1" ht="25.5" x14ac:dyDescent="0.25">
      <c r="A101" s="42"/>
      <c r="B101" s="384" t="s">
        <v>1065</v>
      </c>
      <c r="C101" s="389"/>
      <c r="D101" s="47"/>
      <c r="E101" s="47"/>
      <c r="F101" s="52"/>
    </row>
    <row r="102" spans="1:6" s="54" customFormat="1" ht="25.5" x14ac:dyDescent="0.25">
      <c r="A102" s="42"/>
      <c r="B102" s="379" t="s">
        <v>1066</v>
      </c>
      <c r="C102" s="420">
        <v>2991799289</v>
      </c>
      <c r="D102" s="47">
        <f>+C102</f>
        <v>2991799289</v>
      </c>
      <c r="E102" s="47"/>
      <c r="F102" s="52"/>
    </row>
    <row r="103" spans="1:6" s="54" customFormat="1" x14ac:dyDescent="0.25">
      <c r="A103" s="42"/>
      <c r="B103" s="384" t="s">
        <v>961</v>
      </c>
      <c r="C103" s="389"/>
      <c r="D103" s="47"/>
      <c r="E103" s="47"/>
      <c r="F103" s="52"/>
    </row>
    <row r="104" spans="1:6" s="54" customFormat="1" ht="25.5" x14ac:dyDescent="0.25">
      <c r="A104" s="42"/>
      <c r="B104" s="379" t="s">
        <v>1149</v>
      </c>
      <c r="C104" s="415">
        <f>1564274678.02*1.03</f>
        <v>1611202918.3606</v>
      </c>
      <c r="D104" s="47">
        <f>+C104</f>
        <v>1611202918.3606</v>
      </c>
      <c r="E104" s="47"/>
      <c r="F104" s="52"/>
    </row>
    <row r="105" spans="1:6" s="54" customFormat="1" x14ac:dyDescent="0.25">
      <c r="A105" s="42"/>
      <c r="C105" s="389"/>
      <c r="D105" s="52"/>
      <c r="E105" s="52"/>
      <c r="F105" s="52"/>
    </row>
    <row r="106" spans="1:6" s="54" customFormat="1" ht="25.5" x14ac:dyDescent="0.25">
      <c r="A106" s="42"/>
      <c r="B106" s="381" t="s">
        <v>1825</v>
      </c>
      <c r="C106" s="374">
        <f>SUM(C70:C105)</f>
        <v>242121331163.21698</v>
      </c>
      <c r="D106" s="374">
        <f>SUM(D70:D105)</f>
        <v>242121331163.21698</v>
      </c>
      <c r="E106" s="66">
        <f>SUM(E70:E105)</f>
        <v>0</v>
      </c>
      <c r="F106" s="66">
        <f>SUM(F70:F105)</f>
        <v>0</v>
      </c>
    </row>
    <row r="107" spans="1:6" s="54" customFormat="1" x14ac:dyDescent="0.25">
      <c r="A107" s="42"/>
      <c r="B107" s="381" t="s">
        <v>1826</v>
      </c>
      <c r="C107" s="374">
        <f>+C106+C47+C67</f>
        <v>364299779521.56348</v>
      </c>
      <c r="D107" s="66">
        <f>+D106+D47+D67</f>
        <v>257509674366.04724</v>
      </c>
      <c r="E107" s="66">
        <f>+E106+E47+E67</f>
        <v>19860884802.983173</v>
      </c>
      <c r="F107" s="66">
        <f>+F106+F47+F67</f>
        <v>86929220352.533081</v>
      </c>
    </row>
    <row r="108" spans="1:6" s="54" customFormat="1" x14ac:dyDescent="0.25">
      <c r="A108" s="42"/>
      <c r="B108" s="1672"/>
      <c r="C108" s="1672"/>
      <c r="D108" s="73"/>
      <c r="E108" s="73"/>
      <c r="F108" s="74"/>
    </row>
    <row r="109" spans="1:6" s="54" customFormat="1" x14ac:dyDescent="0.25">
      <c r="A109" s="42"/>
      <c r="B109" s="379" t="s">
        <v>1827</v>
      </c>
      <c r="C109" s="375">
        <f>+F107*0.01</f>
        <v>869292203.52533078</v>
      </c>
      <c r="F109" s="74"/>
    </row>
    <row r="110" spans="1:6" s="54" customFormat="1" ht="25.5" x14ac:dyDescent="0.25">
      <c r="A110" s="42"/>
      <c r="B110" s="379" t="s">
        <v>1828</v>
      </c>
      <c r="C110" s="375">
        <f>+F107*0.01</f>
        <v>869292203.52533078</v>
      </c>
      <c r="F110" s="74"/>
    </row>
    <row r="111" spans="1:6" s="54" customFormat="1" ht="25.5" x14ac:dyDescent="0.25">
      <c r="A111" s="42"/>
      <c r="B111" s="379" t="s">
        <v>1829</v>
      </c>
      <c r="C111" s="375">
        <f>+F107*0.007</f>
        <v>608504542.4677316</v>
      </c>
      <c r="F111" s="74"/>
    </row>
    <row r="112" spans="1:6" s="54" customFormat="1" x14ac:dyDescent="0.25">
      <c r="A112" s="42"/>
      <c r="B112" s="379" t="s">
        <v>1980</v>
      </c>
      <c r="C112" s="375">
        <v>1150000000</v>
      </c>
      <c r="F112" s="74"/>
    </row>
    <row r="113" spans="1:6" s="54" customFormat="1" x14ac:dyDescent="0.25">
      <c r="A113" s="42"/>
      <c r="B113" s="379" t="s">
        <v>1981</v>
      </c>
      <c r="C113" s="375">
        <f>+F47*0.1</f>
        <v>8210602648.5533085</v>
      </c>
      <c r="F113" s="74"/>
    </row>
    <row r="114" spans="1:6" x14ac:dyDescent="0.25">
      <c r="B114" s="1753"/>
      <c r="C114" s="1746"/>
      <c r="D114" s="77"/>
      <c r="E114" s="77"/>
      <c r="F114" s="77"/>
    </row>
    <row r="115" spans="1:6" x14ac:dyDescent="0.25">
      <c r="B115" s="1756" t="s">
        <v>970</v>
      </c>
      <c r="C115" s="1750"/>
      <c r="D115" s="1750"/>
      <c r="E115" s="1750"/>
      <c r="F115" s="124"/>
    </row>
    <row r="116" spans="1:6" x14ac:dyDescent="0.25">
      <c r="B116" s="386" t="s">
        <v>972</v>
      </c>
      <c r="C116" s="376">
        <f>+F107-C109-C111-C112-C113-C110</f>
        <v>75221528754.46138</v>
      </c>
      <c r="D116" s="411"/>
      <c r="E116" s="411"/>
    </row>
    <row r="117" spans="1:6" x14ac:dyDescent="0.25">
      <c r="B117" s="386" t="s">
        <v>973</v>
      </c>
      <c r="C117" s="376">
        <f>+(C116*0.7)</f>
        <v>52655070128.122963</v>
      </c>
      <c r="D117" s="434">
        <f>+C132+C133</f>
        <v>41179225582</v>
      </c>
      <c r="E117" s="424">
        <f>+D117/C116</f>
        <v>0.54743936029826656</v>
      </c>
    </row>
    <row r="118" spans="1:6" x14ac:dyDescent="0.25">
      <c r="B118" s="386" t="s">
        <v>974</v>
      </c>
      <c r="C118" s="376">
        <f>+C116-C117</f>
        <v>22566458626.338417</v>
      </c>
      <c r="D118" s="434">
        <f>+C121+C122+C123+C142</f>
        <v>23356314721.635071</v>
      </c>
      <c r="E118" s="424">
        <f>+D118/C116</f>
        <v>0.31050039939862045</v>
      </c>
    </row>
    <row r="119" spans="1:6" x14ac:dyDescent="0.25">
      <c r="B119" s="1754"/>
      <c r="C119" s="1746"/>
      <c r="D119" s="411"/>
      <c r="E119" s="73"/>
      <c r="F119" s="74"/>
    </row>
    <row r="120" spans="1:6" x14ac:dyDescent="0.25">
      <c r="B120" s="1755" t="s">
        <v>1832</v>
      </c>
      <c r="C120" s="1755"/>
      <c r="D120" s="73"/>
      <c r="E120" s="73"/>
      <c r="F120" s="74"/>
    </row>
    <row r="121" spans="1:6" x14ac:dyDescent="0.25">
      <c r="B121" s="77" t="s">
        <v>1833</v>
      </c>
      <c r="C121" s="377">
        <f>+'Deuda 2022'!AT44-61824191+32163811</f>
        <v>-29660380</v>
      </c>
      <c r="D121" s="411"/>
      <c r="E121" s="73"/>
      <c r="F121" s="74"/>
    </row>
    <row r="122" spans="1:6" x14ac:dyDescent="0.25">
      <c r="B122" s="77" t="s">
        <v>1835</v>
      </c>
      <c r="C122" s="377">
        <f>+Asamblea!B26</f>
        <v>3756194244</v>
      </c>
      <c r="D122" s="411"/>
      <c r="E122" s="73"/>
      <c r="F122" s="74"/>
    </row>
    <row r="123" spans="1:6" x14ac:dyDescent="0.25">
      <c r="B123" s="77" t="s">
        <v>1837</v>
      </c>
      <c r="C123" s="377">
        <f>+C116*0.037</f>
        <v>2783196563.915071</v>
      </c>
      <c r="D123" s="411"/>
      <c r="E123" s="73"/>
      <c r="F123" s="74"/>
    </row>
    <row r="124" spans="1:6" ht="15" x14ac:dyDescent="0.25">
      <c r="B124" s="77" t="s">
        <v>1841</v>
      </c>
      <c r="C124" s="377">
        <f>+C118-C121-C122-C123</f>
        <v>16056728198.423346</v>
      </c>
      <c r="D124" s="411"/>
      <c r="E124" s="85"/>
      <c r="F124" s="74"/>
    </row>
    <row r="125" spans="1:6" x14ac:dyDescent="0.25">
      <c r="B125" s="381" t="s">
        <v>1982</v>
      </c>
      <c r="C125" s="374">
        <f>+C121+C122+C123+C124</f>
        <v>22566458626.338417</v>
      </c>
      <c r="D125" s="411"/>
      <c r="E125" s="411"/>
      <c r="F125" s="422"/>
    </row>
    <row r="126" spans="1:6" x14ac:dyDescent="0.25">
      <c r="B126" s="1669"/>
      <c r="C126" s="1669"/>
      <c r="D126" s="73"/>
      <c r="E126" s="73"/>
      <c r="F126" s="74"/>
    </row>
    <row r="127" spans="1:6" x14ac:dyDescent="0.25">
      <c r="B127" s="1750" t="s">
        <v>1983</v>
      </c>
      <c r="C127" s="1750"/>
      <c r="D127" s="124"/>
      <c r="E127" s="124"/>
      <c r="F127" s="124"/>
    </row>
    <row r="128" spans="1:6" x14ac:dyDescent="0.25">
      <c r="B128" s="1745"/>
      <c r="C128" s="1745"/>
      <c r="D128" s="87"/>
      <c r="E128" s="87"/>
      <c r="F128" s="88"/>
    </row>
    <row r="129" spans="2:6" x14ac:dyDescent="0.25">
      <c r="B129" s="77" t="s">
        <v>1843</v>
      </c>
      <c r="C129" s="421">
        <f>+C122</f>
        <v>3756194244</v>
      </c>
      <c r="D129" s="73"/>
      <c r="E129" s="73"/>
      <c r="F129" s="74"/>
    </row>
    <row r="130" spans="2:6" x14ac:dyDescent="0.25">
      <c r="B130" s="77" t="s">
        <v>1844</v>
      </c>
      <c r="C130" s="421">
        <f>+C123</f>
        <v>2783196563.915071</v>
      </c>
      <c r="D130" s="411"/>
      <c r="E130" s="411"/>
      <c r="F130" s="74"/>
    </row>
    <row r="131" spans="2:6" ht="25.5" x14ac:dyDescent="0.25">
      <c r="B131" s="77" t="s">
        <v>1845</v>
      </c>
      <c r="C131" s="377">
        <f>+E43</f>
        <v>580088442</v>
      </c>
      <c r="D131" s="73"/>
      <c r="E131" s="411"/>
      <c r="F131" s="74"/>
    </row>
    <row r="132" spans="2:6" ht="25.5" x14ac:dyDescent="0.25">
      <c r="B132" s="77" t="s">
        <v>1847</v>
      </c>
      <c r="C132" s="421">
        <f>37845500584+727831662+395248642-1000000000-550000000-580823600+2000000000-56000000+28000000+480000000+889468294</f>
        <v>40179225582</v>
      </c>
      <c r="D132" s="85"/>
      <c r="E132" s="85"/>
      <c r="F132" s="74"/>
    </row>
    <row r="133" spans="2:6" ht="15" x14ac:dyDescent="0.25">
      <c r="B133" s="77" t="s">
        <v>1848</v>
      </c>
      <c r="C133" s="421">
        <v>1000000000</v>
      </c>
      <c r="D133" s="85"/>
      <c r="E133" s="423"/>
      <c r="F133" s="74"/>
    </row>
    <row r="134" spans="2:6" ht="15" x14ac:dyDescent="0.25">
      <c r="B134" s="77" t="s">
        <v>1849</v>
      </c>
      <c r="C134" s="421">
        <f>+'Salud 2023'!J25+'Salud 2023'!K25</f>
        <v>7607566839</v>
      </c>
      <c r="D134" s="85"/>
      <c r="E134" s="423"/>
      <c r="F134" s="74"/>
    </row>
    <row r="135" spans="2:6" ht="15" x14ac:dyDescent="0.25">
      <c r="B135" s="77" t="s">
        <v>1984</v>
      </c>
      <c r="C135" s="377">
        <f>+E12+E23+E25+E31+E35+E55+E56+E62+E65</f>
        <v>11675776287.667521</v>
      </c>
      <c r="D135" s="413"/>
      <c r="E135" s="423"/>
      <c r="F135" s="74"/>
    </row>
    <row r="136" spans="2:6" ht="15" x14ac:dyDescent="0.25">
      <c r="B136" s="77" t="s">
        <v>1851</v>
      </c>
      <c r="C136" s="377">
        <f>+C113+C111+C109+C112</f>
        <v>10838399394.546371</v>
      </c>
      <c r="D136" s="413"/>
      <c r="E136" s="413"/>
      <c r="F136" s="74"/>
    </row>
    <row r="137" spans="2:6" ht="15" x14ac:dyDescent="0.25">
      <c r="B137" s="77" t="s">
        <v>1852</v>
      </c>
      <c r="C137" s="377">
        <f>+E9+E13+E16+E24+E32+E34+E41+E11</f>
        <v>7605020073.3156509</v>
      </c>
      <c r="D137" s="413"/>
      <c r="E137" s="85"/>
      <c r="F137" s="74"/>
    </row>
    <row r="138" spans="2:6" x14ac:dyDescent="0.25">
      <c r="B138" s="381" t="s">
        <v>1853</v>
      </c>
      <c r="C138" s="381">
        <f>+C129+C130+C132+C136+C137+C131+C135+C133+C134</f>
        <v>86025467426.444611</v>
      </c>
      <c r="D138" s="409"/>
      <c r="E138" s="87"/>
      <c r="F138" s="88"/>
    </row>
    <row r="139" spans="2:6" x14ac:dyDescent="0.25">
      <c r="B139" s="1746"/>
      <c r="C139" s="1746"/>
      <c r="D139" s="73"/>
      <c r="E139" s="73"/>
      <c r="F139" s="74"/>
    </row>
    <row r="140" spans="2:6" x14ac:dyDescent="0.25">
      <c r="B140" s="381" t="s">
        <v>1854</v>
      </c>
      <c r="C140" s="374">
        <f>+C121</f>
        <v>-29660380</v>
      </c>
      <c r="D140" s="87"/>
      <c r="E140" s="87"/>
      <c r="F140" s="88"/>
    </row>
    <row r="141" spans="2:6" x14ac:dyDescent="0.25">
      <c r="B141" s="1747"/>
      <c r="C141" s="1747"/>
      <c r="D141" s="87"/>
      <c r="E141" s="87"/>
      <c r="F141" s="88"/>
    </row>
    <row r="142" spans="2:6" x14ac:dyDescent="0.25">
      <c r="B142" s="77" t="s">
        <v>1958</v>
      </c>
      <c r="C142" s="377">
        <f>15796584292.72+1050000000+1</f>
        <v>16846584293.719999</v>
      </c>
      <c r="D142" s="73"/>
      <c r="E142" s="73"/>
      <c r="F142" s="74"/>
    </row>
    <row r="143" spans="2:6" x14ac:dyDescent="0.25">
      <c r="B143" s="77" t="s">
        <v>1859</v>
      </c>
      <c r="C143" s="377">
        <f>+D47+D67</f>
        <v>15388343202.830254</v>
      </c>
      <c r="D143" s="73"/>
      <c r="E143" s="73"/>
      <c r="F143" s="74"/>
    </row>
    <row r="144" spans="2:6" ht="15" x14ac:dyDescent="0.25">
      <c r="B144" s="77" t="s">
        <v>1860</v>
      </c>
      <c r="C144" s="377">
        <f>+C106-C134</f>
        <v>234513764324.21698</v>
      </c>
      <c r="D144" s="85"/>
      <c r="E144" s="413"/>
      <c r="F144" s="74"/>
    </row>
    <row r="145" spans="2:6" x14ac:dyDescent="0.25">
      <c r="B145" s="381" t="s">
        <v>1861</v>
      </c>
      <c r="C145" s="374">
        <f>+C144+C143+C142</f>
        <v>266748691820.76724</v>
      </c>
      <c r="D145" s="409"/>
      <c r="E145" s="409"/>
      <c r="F145" s="88"/>
    </row>
    <row r="146" spans="2:6" x14ac:dyDescent="0.25">
      <c r="B146" s="1672"/>
      <c r="C146" s="1672"/>
      <c r="D146" s="87"/>
      <c r="E146" s="87"/>
      <c r="F146" s="88"/>
    </row>
    <row r="147" spans="2:6" x14ac:dyDescent="0.25">
      <c r="B147" s="381" t="s">
        <v>1862</v>
      </c>
      <c r="C147" s="617">
        <f>+C145+C140+C138+0.43</f>
        <v>352744498867.64185</v>
      </c>
      <c r="D147" s="87"/>
      <c r="E147" s="87"/>
    </row>
    <row r="148" spans="2:6" x14ac:dyDescent="0.25">
      <c r="B148" s="77"/>
      <c r="C148" s="88">
        <f>+C107</f>
        <v>364299779521.56348</v>
      </c>
      <c r="D148" s="411"/>
      <c r="E148" s="411"/>
      <c r="F148" s="74"/>
    </row>
    <row r="149" spans="2:6" x14ac:dyDescent="0.25">
      <c r="C149" s="433"/>
    </row>
    <row r="150" spans="2:6" x14ac:dyDescent="0.25">
      <c r="C150" s="643"/>
    </row>
  </sheetData>
  <mergeCells count="21">
    <mergeCell ref="A1:F1"/>
    <mergeCell ref="A2:F2"/>
    <mergeCell ref="A3:F3"/>
    <mergeCell ref="A4:F4"/>
    <mergeCell ref="B127:C127"/>
    <mergeCell ref="F5:F6"/>
    <mergeCell ref="B108:C108"/>
    <mergeCell ref="B114:C114"/>
    <mergeCell ref="B119:C119"/>
    <mergeCell ref="B120:C120"/>
    <mergeCell ref="B115:E115"/>
    <mergeCell ref="A5:A6"/>
    <mergeCell ref="B5:B6"/>
    <mergeCell ref="C5:C6"/>
    <mergeCell ref="D5:D6"/>
    <mergeCell ref="E5:E6"/>
    <mergeCell ref="B128:C128"/>
    <mergeCell ref="B139:C139"/>
    <mergeCell ref="B141:C141"/>
    <mergeCell ref="B146:C146"/>
    <mergeCell ref="B126:C126"/>
  </mergeCells>
  <pageMargins left="0.39370078740157483" right="0.23622047244094491" top="0.26" bottom="0.27559055118110237" header="0.31496062992125984" footer="0.17"/>
  <pageSetup paperSize="5" scale="8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D102"/>
  <sheetViews>
    <sheetView workbookViewId="0">
      <selection activeCell="B8" sqref="B8"/>
    </sheetView>
  </sheetViews>
  <sheetFormatPr baseColWidth="10" defaultColWidth="11.42578125" defaultRowHeight="16.5" x14ac:dyDescent="0.25"/>
  <cols>
    <col min="1" max="1" width="11.42578125" style="847"/>
    <col min="2" max="2" width="35.5703125" style="848" customWidth="1"/>
    <col min="3" max="3" width="22.85546875" style="865" bestFit="1" customWidth="1"/>
    <col min="4" max="4" width="15.42578125" style="847" bestFit="1" customWidth="1"/>
    <col min="5" max="5" width="14.7109375" style="847" bestFit="1" customWidth="1"/>
    <col min="6" max="6" width="13.7109375" style="847" bestFit="1" customWidth="1"/>
    <col min="7" max="252" width="11.42578125" style="847"/>
    <col min="253" max="253" width="30.42578125" style="847" customWidth="1"/>
    <col min="254" max="254" width="23.28515625" style="847" bestFit="1" customWidth="1"/>
    <col min="255" max="255" width="18.140625" style="847" bestFit="1" customWidth="1"/>
    <col min="256" max="256" width="15.85546875" style="847" bestFit="1" customWidth="1"/>
    <col min="257" max="508" width="11.42578125" style="847"/>
    <col min="509" max="509" width="30.42578125" style="847" customWidth="1"/>
    <col min="510" max="510" width="23.28515625" style="847" bestFit="1" customWidth="1"/>
    <col min="511" max="511" width="18.140625" style="847" bestFit="1" customWidth="1"/>
    <col min="512" max="512" width="15.85546875" style="847" bestFit="1" customWidth="1"/>
    <col min="513" max="764" width="11.42578125" style="847"/>
    <col min="765" max="765" width="30.42578125" style="847" customWidth="1"/>
    <col min="766" max="766" width="23.28515625" style="847" bestFit="1" customWidth="1"/>
    <col min="767" max="767" width="18.140625" style="847" bestFit="1" customWidth="1"/>
    <col min="768" max="768" width="15.85546875" style="847" bestFit="1" customWidth="1"/>
    <col min="769" max="1020" width="11.42578125" style="847"/>
    <col min="1021" max="1021" width="30.42578125" style="847" customWidth="1"/>
    <col min="1022" max="1022" width="23.28515625" style="847" bestFit="1" customWidth="1"/>
    <col min="1023" max="1023" width="18.140625" style="847" bestFit="1" customWidth="1"/>
    <col min="1024" max="1024" width="15.85546875" style="847" bestFit="1" customWidth="1"/>
    <col min="1025" max="1276" width="11.42578125" style="847"/>
    <col min="1277" max="1277" width="30.42578125" style="847" customWidth="1"/>
    <col min="1278" max="1278" width="23.28515625" style="847" bestFit="1" customWidth="1"/>
    <col min="1279" max="1279" width="18.140625" style="847" bestFit="1" customWidth="1"/>
    <col min="1280" max="1280" width="15.85546875" style="847" bestFit="1" customWidth="1"/>
    <col min="1281" max="1532" width="11.42578125" style="847"/>
    <col min="1533" max="1533" width="30.42578125" style="847" customWidth="1"/>
    <col min="1534" max="1534" width="23.28515625" style="847" bestFit="1" customWidth="1"/>
    <col min="1535" max="1535" width="18.140625" style="847" bestFit="1" customWidth="1"/>
    <col min="1536" max="1536" width="15.85546875" style="847" bestFit="1" customWidth="1"/>
    <col min="1537" max="1788" width="11.42578125" style="847"/>
    <col min="1789" max="1789" width="30.42578125" style="847" customWidth="1"/>
    <col min="1790" max="1790" width="23.28515625" style="847" bestFit="1" customWidth="1"/>
    <col min="1791" max="1791" width="18.140625" style="847" bestFit="1" customWidth="1"/>
    <col min="1792" max="1792" width="15.85546875" style="847" bestFit="1" customWidth="1"/>
    <col min="1793" max="2044" width="11.42578125" style="847"/>
    <col min="2045" max="2045" width="30.42578125" style="847" customWidth="1"/>
    <col min="2046" max="2046" width="23.28515625" style="847" bestFit="1" customWidth="1"/>
    <col min="2047" max="2047" width="18.140625" style="847" bestFit="1" customWidth="1"/>
    <col min="2048" max="2048" width="15.85546875" style="847" bestFit="1" customWidth="1"/>
    <col min="2049" max="2300" width="11.42578125" style="847"/>
    <col min="2301" max="2301" width="30.42578125" style="847" customWidth="1"/>
    <col min="2302" max="2302" width="23.28515625" style="847" bestFit="1" customWidth="1"/>
    <col min="2303" max="2303" width="18.140625" style="847" bestFit="1" customWidth="1"/>
    <col min="2304" max="2304" width="15.85546875" style="847" bestFit="1" customWidth="1"/>
    <col min="2305" max="2556" width="11.42578125" style="847"/>
    <col min="2557" max="2557" width="30.42578125" style="847" customWidth="1"/>
    <col min="2558" max="2558" width="23.28515625" style="847" bestFit="1" customWidth="1"/>
    <col min="2559" max="2559" width="18.140625" style="847" bestFit="1" customWidth="1"/>
    <col min="2560" max="2560" width="15.85546875" style="847" bestFit="1" customWidth="1"/>
    <col min="2561" max="2812" width="11.42578125" style="847"/>
    <col min="2813" max="2813" width="30.42578125" style="847" customWidth="1"/>
    <col min="2814" max="2814" width="23.28515625" style="847" bestFit="1" customWidth="1"/>
    <col min="2815" max="2815" width="18.140625" style="847" bestFit="1" customWidth="1"/>
    <col min="2816" max="2816" width="15.85546875" style="847" bestFit="1" customWidth="1"/>
    <col min="2817" max="3068" width="11.42578125" style="847"/>
    <col min="3069" max="3069" width="30.42578125" style="847" customWidth="1"/>
    <col min="3070" max="3070" width="23.28515625" style="847" bestFit="1" customWidth="1"/>
    <col min="3071" max="3071" width="18.140625" style="847" bestFit="1" customWidth="1"/>
    <col min="3072" max="3072" width="15.85546875" style="847" bestFit="1" customWidth="1"/>
    <col min="3073" max="3324" width="11.42578125" style="847"/>
    <col min="3325" max="3325" width="30.42578125" style="847" customWidth="1"/>
    <col min="3326" max="3326" width="23.28515625" style="847" bestFit="1" customWidth="1"/>
    <col min="3327" max="3327" width="18.140625" style="847" bestFit="1" customWidth="1"/>
    <col min="3328" max="3328" width="15.85546875" style="847" bestFit="1" customWidth="1"/>
    <col min="3329" max="3580" width="11.42578125" style="847"/>
    <col min="3581" max="3581" width="30.42578125" style="847" customWidth="1"/>
    <col min="3582" max="3582" width="23.28515625" style="847" bestFit="1" customWidth="1"/>
    <col min="3583" max="3583" width="18.140625" style="847" bestFit="1" customWidth="1"/>
    <col min="3584" max="3584" width="15.85546875" style="847" bestFit="1" customWidth="1"/>
    <col min="3585" max="3836" width="11.42578125" style="847"/>
    <col min="3837" max="3837" width="30.42578125" style="847" customWidth="1"/>
    <col min="3838" max="3838" width="23.28515625" style="847" bestFit="1" customWidth="1"/>
    <col min="3839" max="3839" width="18.140625" style="847" bestFit="1" customWidth="1"/>
    <col min="3840" max="3840" width="15.85546875" style="847" bestFit="1" customWidth="1"/>
    <col min="3841" max="4092" width="11.42578125" style="847"/>
    <col min="4093" max="4093" width="30.42578125" style="847" customWidth="1"/>
    <col min="4094" max="4094" width="23.28515625" style="847" bestFit="1" customWidth="1"/>
    <col min="4095" max="4095" width="18.140625" style="847" bestFit="1" customWidth="1"/>
    <col min="4096" max="4096" width="15.85546875" style="847" bestFit="1" customWidth="1"/>
    <col min="4097" max="4348" width="11.42578125" style="847"/>
    <col min="4349" max="4349" width="30.42578125" style="847" customWidth="1"/>
    <col min="4350" max="4350" width="23.28515625" style="847" bestFit="1" customWidth="1"/>
    <col min="4351" max="4351" width="18.140625" style="847" bestFit="1" customWidth="1"/>
    <col min="4352" max="4352" width="15.85546875" style="847" bestFit="1" customWidth="1"/>
    <col min="4353" max="4604" width="11.42578125" style="847"/>
    <col min="4605" max="4605" width="30.42578125" style="847" customWidth="1"/>
    <col min="4606" max="4606" width="23.28515625" style="847" bestFit="1" customWidth="1"/>
    <col min="4607" max="4607" width="18.140625" style="847" bestFit="1" customWidth="1"/>
    <col min="4608" max="4608" width="15.85546875" style="847" bestFit="1" customWidth="1"/>
    <col min="4609" max="4860" width="11.42578125" style="847"/>
    <col min="4861" max="4861" width="30.42578125" style="847" customWidth="1"/>
    <col min="4862" max="4862" width="23.28515625" style="847" bestFit="1" customWidth="1"/>
    <col min="4863" max="4863" width="18.140625" style="847" bestFit="1" customWidth="1"/>
    <col min="4864" max="4864" width="15.85546875" style="847" bestFit="1" customWidth="1"/>
    <col min="4865" max="5116" width="11.42578125" style="847"/>
    <col min="5117" max="5117" width="30.42578125" style="847" customWidth="1"/>
    <col min="5118" max="5118" width="23.28515625" style="847" bestFit="1" customWidth="1"/>
    <col min="5119" max="5119" width="18.140625" style="847" bestFit="1" customWidth="1"/>
    <col min="5120" max="5120" width="15.85546875" style="847" bestFit="1" customWidth="1"/>
    <col min="5121" max="5372" width="11.42578125" style="847"/>
    <col min="5373" max="5373" width="30.42578125" style="847" customWidth="1"/>
    <col min="5374" max="5374" width="23.28515625" style="847" bestFit="1" customWidth="1"/>
    <col min="5375" max="5375" width="18.140625" style="847" bestFit="1" customWidth="1"/>
    <col min="5376" max="5376" width="15.85546875" style="847" bestFit="1" customWidth="1"/>
    <col min="5377" max="5628" width="11.42578125" style="847"/>
    <col min="5629" max="5629" width="30.42578125" style="847" customWidth="1"/>
    <col min="5630" max="5630" width="23.28515625" style="847" bestFit="1" customWidth="1"/>
    <col min="5631" max="5631" width="18.140625" style="847" bestFit="1" customWidth="1"/>
    <col min="5632" max="5632" width="15.85546875" style="847" bestFit="1" customWidth="1"/>
    <col min="5633" max="5884" width="11.42578125" style="847"/>
    <col min="5885" max="5885" width="30.42578125" style="847" customWidth="1"/>
    <col min="5886" max="5886" width="23.28515625" style="847" bestFit="1" customWidth="1"/>
    <col min="5887" max="5887" width="18.140625" style="847" bestFit="1" customWidth="1"/>
    <col min="5888" max="5888" width="15.85546875" style="847" bestFit="1" customWidth="1"/>
    <col min="5889" max="6140" width="11.42578125" style="847"/>
    <col min="6141" max="6141" width="30.42578125" style="847" customWidth="1"/>
    <col min="6142" max="6142" width="23.28515625" style="847" bestFit="1" customWidth="1"/>
    <col min="6143" max="6143" width="18.140625" style="847" bestFit="1" customWidth="1"/>
    <col min="6144" max="6144" width="15.85546875" style="847" bestFit="1" customWidth="1"/>
    <col min="6145" max="6396" width="11.42578125" style="847"/>
    <col min="6397" max="6397" width="30.42578125" style="847" customWidth="1"/>
    <col min="6398" max="6398" width="23.28515625" style="847" bestFit="1" customWidth="1"/>
    <col min="6399" max="6399" width="18.140625" style="847" bestFit="1" customWidth="1"/>
    <col min="6400" max="6400" width="15.85546875" style="847" bestFit="1" customWidth="1"/>
    <col min="6401" max="6652" width="11.42578125" style="847"/>
    <col min="6653" max="6653" width="30.42578125" style="847" customWidth="1"/>
    <col min="6654" max="6654" width="23.28515625" style="847" bestFit="1" customWidth="1"/>
    <col min="6655" max="6655" width="18.140625" style="847" bestFit="1" customWidth="1"/>
    <col min="6656" max="6656" width="15.85546875" style="847" bestFit="1" customWidth="1"/>
    <col min="6657" max="6908" width="11.42578125" style="847"/>
    <col min="6909" max="6909" width="30.42578125" style="847" customWidth="1"/>
    <col min="6910" max="6910" width="23.28515625" style="847" bestFit="1" customWidth="1"/>
    <col min="6911" max="6911" width="18.140625" style="847" bestFit="1" customWidth="1"/>
    <col min="6912" max="6912" width="15.85546875" style="847" bestFit="1" customWidth="1"/>
    <col min="6913" max="7164" width="11.42578125" style="847"/>
    <col min="7165" max="7165" width="30.42578125" style="847" customWidth="1"/>
    <col min="7166" max="7166" width="23.28515625" style="847" bestFit="1" customWidth="1"/>
    <col min="7167" max="7167" width="18.140625" style="847" bestFit="1" customWidth="1"/>
    <col min="7168" max="7168" width="15.85546875" style="847" bestFit="1" customWidth="1"/>
    <col min="7169" max="7420" width="11.42578125" style="847"/>
    <col min="7421" max="7421" width="30.42578125" style="847" customWidth="1"/>
    <col min="7422" max="7422" width="23.28515625" style="847" bestFit="1" customWidth="1"/>
    <col min="7423" max="7423" width="18.140625" style="847" bestFit="1" customWidth="1"/>
    <col min="7424" max="7424" width="15.85546875" style="847" bestFit="1" customWidth="1"/>
    <col min="7425" max="7676" width="11.42578125" style="847"/>
    <col min="7677" max="7677" width="30.42578125" style="847" customWidth="1"/>
    <col min="7678" max="7678" width="23.28515625" style="847" bestFit="1" customWidth="1"/>
    <col min="7679" max="7679" width="18.140625" style="847" bestFit="1" customWidth="1"/>
    <col min="7680" max="7680" width="15.85546875" style="847" bestFit="1" customWidth="1"/>
    <col min="7681" max="7932" width="11.42578125" style="847"/>
    <col min="7933" max="7933" width="30.42578125" style="847" customWidth="1"/>
    <col min="7934" max="7934" width="23.28515625" style="847" bestFit="1" customWidth="1"/>
    <col min="7935" max="7935" width="18.140625" style="847" bestFit="1" customWidth="1"/>
    <col min="7936" max="7936" width="15.85546875" style="847" bestFit="1" customWidth="1"/>
    <col min="7937" max="8188" width="11.42578125" style="847"/>
    <col min="8189" max="8189" width="30.42578125" style="847" customWidth="1"/>
    <col min="8190" max="8190" width="23.28515625" style="847" bestFit="1" customWidth="1"/>
    <col min="8191" max="8191" width="18.140625" style="847" bestFit="1" customWidth="1"/>
    <col min="8192" max="8192" width="15.85546875" style="847" bestFit="1" customWidth="1"/>
    <col min="8193" max="8444" width="11.42578125" style="847"/>
    <col min="8445" max="8445" width="30.42578125" style="847" customWidth="1"/>
    <col min="8446" max="8446" width="23.28515625" style="847" bestFit="1" customWidth="1"/>
    <col min="8447" max="8447" width="18.140625" style="847" bestFit="1" customWidth="1"/>
    <col min="8448" max="8448" width="15.85546875" style="847" bestFit="1" customWidth="1"/>
    <col min="8449" max="8700" width="11.42578125" style="847"/>
    <col min="8701" max="8701" width="30.42578125" style="847" customWidth="1"/>
    <col min="8702" max="8702" width="23.28515625" style="847" bestFit="1" customWidth="1"/>
    <col min="8703" max="8703" width="18.140625" style="847" bestFit="1" customWidth="1"/>
    <col min="8704" max="8704" width="15.85546875" style="847" bestFit="1" customWidth="1"/>
    <col min="8705" max="8956" width="11.42578125" style="847"/>
    <col min="8957" max="8957" width="30.42578125" style="847" customWidth="1"/>
    <col min="8958" max="8958" width="23.28515625" style="847" bestFit="1" customWidth="1"/>
    <col min="8959" max="8959" width="18.140625" style="847" bestFit="1" customWidth="1"/>
    <col min="8960" max="8960" width="15.85546875" style="847" bestFit="1" customWidth="1"/>
    <col min="8961" max="9212" width="11.42578125" style="847"/>
    <col min="9213" max="9213" width="30.42578125" style="847" customWidth="1"/>
    <col min="9214" max="9214" width="23.28515625" style="847" bestFit="1" customWidth="1"/>
    <col min="9215" max="9215" width="18.140625" style="847" bestFit="1" customWidth="1"/>
    <col min="9216" max="9216" width="15.85546875" style="847" bestFit="1" customWidth="1"/>
    <col min="9217" max="9468" width="11.42578125" style="847"/>
    <col min="9469" max="9469" width="30.42578125" style="847" customWidth="1"/>
    <col min="9470" max="9470" width="23.28515625" style="847" bestFit="1" customWidth="1"/>
    <col min="9471" max="9471" width="18.140625" style="847" bestFit="1" customWidth="1"/>
    <col min="9472" max="9472" width="15.85546875" style="847" bestFit="1" customWidth="1"/>
    <col min="9473" max="9724" width="11.42578125" style="847"/>
    <col min="9725" max="9725" width="30.42578125" style="847" customWidth="1"/>
    <col min="9726" max="9726" width="23.28515625" style="847" bestFit="1" customWidth="1"/>
    <col min="9727" max="9727" width="18.140625" style="847" bestFit="1" customWidth="1"/>
    <col min="9728" max="9728" width="15.85546875" style="847" bestFit="1" customWidth="1"/>
    <col min="9729" max="9980" width="11.42578125" style="847"/>
    <col min="9981" max="9981" width="30.42578125" style="847" customWidth="1"/>
    <col min="9982" max="9982" width="23.28515625" style="847" bestFit="1" customWidth="1"/>
    <col min="9983" max="9983" width="18.140625" style="847" bestFit="1" customWidth="1"/>
    <col min="9984" max="9984" width="15.85546875" style="847" bestFit="1" customWidth="1"/>
    <col min="9985" max="10236" width="11.42578125" style="847"/>
    <col min="10237" max="10237" width="30.42578125" style="847" customWidth="1"/>
    <col min="10238" max="10238" width="23.28515625" style="847" bestFit="1" customWidth="1"/>
    <col min="10239" max="10239" width="18.140625" style="847" bestFit="1" customWidth="1"/>
    <col min="10240" max="10240" width="15.85546875" style="847" bestFit="1" customWidth="1"/>
    <col min="10241" max="10492" width="11.42578125" style="847"/>
    <col min="10493" max="10493" width="30.42578125" style="847" customWidth="1"/>
    <col min="10494" max="10494" width="23.28515625" style="847" bestFit="1" customWidth="1"/>
    <col min="10495" max="10495" width="18.140625" style="847" bestFit="1" customWidth="1"/>
    <col min="10496" max="10496" width="15.85546875" style="847" bestFit="1" customWidth="1"/>
    <col min="10497" max="10748" width="11.42578125" style="847"/>
    <col min="10749" max="10749" width="30.42578125" style="847" customWidth="1"/>
    <col min="10750" max="10750" width="23.28515625" style="847" bestFit="1" customWidth="1"/>
    <col min="10751" max="10751" width="18.140625" style="847" bestFit="1" customWidth="1"/>
    <col min="10752" max="10752" width="15.85546875" style="847" bestFit="1" customWidth="1"/>
    <col min="10753" max="11004" width="11.42578125" style="847"/>
    <col min="11005" max="11005" width="30.42578125" style="847" customWidth="1"/>
    <col min="11006" max="11006" width="23.28515625" style="847" bestFit="1" customWidth="1"/>
    <col min="11007" max="11007" width="18.140625" style="847" bestFit="1" customWidth="1"/>
    <col min="11008" max="11008" width="15.85546875" style="847" bestFit="1" customWidth="1"/>
    <col min="11009" max="11260" width="11.42578125" style="847"/>
    <col min="11261" max="11261" width="30.42578125" style="847" customWidth="1"/>
    <col min="11262" max="11262" width="23.28515625" style="847" bestFit="1" customWidth="1"/>
    <col min="11263" max="11263" width="18.140625" style="847" bestFit="1" customWidth="1"/>
    <col min="11264" max="11264" width="15.85546875" style="847" bestFit="1" customWidth="1"/>
    <col min="11265" max="11516" width="11.42578125" style="847"/>
    <col min="11517" max="11517" width="30.42578125" style="847" customWidth="1"/>
    <col min="11518" max="11518" width="23.28515625" style="847" bestFit="1" customWidth="1"/>
    <col min="11519" max="11519" width="18.140625" style="847" bestFit="1" customWidth="1"/>
    <col min="11520" max="11520" width="15.85546875" style="847" bestFit="1" customWidth="1"/>
    <col min="11521" max="11772" width="11.42578125" style="847"/>
    <col min="11773" max="11773" width="30.42578125" style="847" customWidth="1"/>
    <col min="11774" max="11774" width="23.28515625" style="847" bestFit="1" customWidth="1"/>
    <col min="11775" max="11775" width="18.140625" style="847" bestFit="1" customWidth="1"/>
    <col min="11776" max="11776" width="15.85546875" style="847" bestFit="1" customWidth="1"/>
    <col min="11777" max="12028" width="11.42578125" style="847"/>
    <col min="12029" max="12029" width="30.42578125" style="847" customWidth="1"/>
    <col min="12030" max="12030" width="23.28515625" style="847" bestFit="1" customWidth="1"/>
    <col min="12031" max="12031" width="18.140625" style="847" bestFit="1" customWidth="1"/>
    <col min="12032" max="12032" width="15.85546875" style="847" bestFit="1" customWidth="1"/>
    <col min="12033" max="12284" width="11.42578125" style="847"/>
    <col min="12285" max="12285" width="30.42578125" style="847" customWidth="1"/>
    <col min="12286" max="12286" width="23.28515625" style="847" bestFit="1" customWidth="1"/>
    <col min="12287" max="12287" width="18.140625" style="847" bestFit="1" customWidth="1"/>
    <col min="12288" max="12288" width="15.85546875" style="847" bestFit="1" customWidth="1"/>
    <col min="12289" max="12540" width="11.42578125" style="847"/>
    <col min="12541" max="12541" width="30.42578125" style="847" customWidth="1"/>
    <col min="12542" max="12542" width="23.28515625" style="847" bestFit="1" customWidth="1"/>
    <col min="12543" max="12543" width="18.140625" style="847" bestFit="1" customWidth="1"/>
    <col min="12544" max="12544" width="15.85546875" style="847" bestFit="1" customWidth="1"/>
    <col min="12545" max="12796" width="11.42578125" style="847"/>
    <col min="12797" max="12797" width="30.42578125" style="847" customWidth="1"/>
    <col min="12798" max="12798" width="23.28515625" style="847" bestFit="1" customWidth="1"/>
    <col min="12799" max="12799" width="18.140625" style="847" bestFit="1" customWidth="1"/>
    <col min="12800" max="12800" width="15.85546875" style="847" bestFit="1" customWidth="1"/>
    <col min="12801" max="13052" width="11.42578125" style="847"/>
    <col min="13053" max="13053" width="30.42578125" style="847" customWidth="1"/>
    <col min="13054" max="13054" width="23.28515625" style="847" bestFit="1" customWidth="1"/>
    <col min="13055" max="13055" width="18.140625" style="847" bestFit="1" customWidth="1"/>
    <col min="13056" max="13056" width="15.85546875" style="847" bestFit="1" customWidth="1"/>
    <col min="13057" max="13308" width="11.42578125" style="847"/>
    <col min="13309" max="13309" width="30.42578125" style="847" customWidth="1"/>
    <col min="13310" max="13310" width="23.28515625" style="847" bestFit="1" customWidth="1"/>
    <col min="13311" max="13311" width="18.140625" style="847" bestFit="1" customWidth="1"/>
    <col min="13312" max="13312" width="15.85546875" style="847" bestFit="1" customWidth="1"/>
    <col min="13313" max="13564" width="11.42578125" style="847"/>
    <col min="13565" max="13565" width="30.42578125" style="847" customWidth="1"/>
    <col min="13566" max="13566" width="23.28515625" style="847" bestFit="1" customWidth="1"/>
    <col min="13567" max="13567" width="18.140625" style="847" bestFit="1" customWidth="1"/>
    <col min="13568" max="13568" width="15.85546875" style="847" bestFit="1" customWidth="1"/>
    <col min="13569" max="13820" width="11.42578125" style="847"/>
    <col min="13821" max="13821" width="30.42578125" style="847" customWidth="1"/>
    <col min="13822" max="13822" width="23.28515625" style="847" bestFit="1" customWidth="1"/>
    <col min="13823" max="13823" width="18.140625" style="847" bestFit="1" customWidth="1"/>
    <col min="13824" max="13824" width="15.85546875" style="847" bestFit="1" customWidth="1"/>
    <col min="13825" max="14076" width="11.42578125" style="847"/>
    <col min="14077" max="14077" width="30.42578125" style="847" customWidth="1"/>
    <col min="14078" max="14078" width="23.28515625" style="847" bestFit="1" customWidth="1"/>
    <col min="14079" max="14079" width="18.140625" style="847" bestFit="1" customWidth="1"/>
    <col min="14080" max="14080" width="15.85546875" style="847" bestFit="1" customWidth="1"/>
    <col min="14081" max="14332" width="11.42578125" style="847"/>
    <col min="14333" max="14333" width="30.42578125" style="847" customWidth="1"/>
    <col min="14334" max="14334" width="23.28515625" style="847" bestFit="1" customWidth="1"/>
    <col min="14335" max="14335" width="18.140625" style="847" bestFit="1" customWidth="1"/>
    <col min="14336" max="14336" width="15.85546875" style="847" bestFit="1" customWidth="1"/>
    <col min="14337" max="14588" width="11.42578125" style="847"/>
    <col min="14589" max="14589" width="30.42578125" style="847" customWidth="1"/>
    <col min="14590" max="14590" width="23.28515625" style="847" bestFit="1" customWidth="1"/>
    <col min="14591" max="14591" width="18.140625" style="847" bestFit="1" customWidth="1"/>
    <col min="14592" max="14592" width="15.85546875" style="847" bestFit="1" customWidth="1"/>
    <col min="14593" max="14844" width="11.42578125" style="847"/>
    <col min="14845" max="14845" width="30.42578125" style="847" customWidth="1"/>
    <col min="14846" max="14846" width="23.28515625" style="847" bestFit="1" customWidth="1"/>
    <col min="14847" max="14847" width="18.140625" style="847" bestFit="1" customWidth="1"/>
    <col min="14848" max="14848" width="15.85546875" style="847" bestFit="1" customWidth="1"/>
    <col min="14849" max="15100" width="11.42578125" style="847"/>
    <col min="15101" max="15101" width="30.42578125" style="847" customWidth="1"/>
    <col min="15102" max="15102" width="23.28515625" style="847" bestFit="1" customWidth="1"/>
    <col min="15103" max="15103" width="18.140625" style="847" bestFit="1" customWidth="1"/>
    <col min="15104" max="15104" width="15.85546875" style="847" bestFit="1" customWidth="1"/>
    <col min="15105" max="15356" width="11.42578125" style="847"/>
    <col min="15357" max="15357" width="30.42578125" style="847" customWidth="1"/>
    <col min="15358" max="15358" width="23.28515625" style="847" bestFit="1" customWidth="1"/>
    <col min="15359" max="15359" width="18.140625" style="847" bestFit="1" customWidth="1"/>
    <col min="15360" max="15360" width="15.85546875" style="847" bestFit="1" customWidth="1"/>
    <col min="15361" max="15612" width="11.42578125" style="847"/>
    <col min="15613" max="15613" width="30.42578125" style="847" customWidth="1"/>
    <col min="15614" max="15614" width="23.28515625" style="847" bestFit="1" customWidth="1"/>
    <col min="15615" max="15615" width="18.140625" style="847" bestFit="1" customWidth="1"/>
    <col min="15616" max="15616" width="15.85546875" style="847" bestFit="1" customWidth="1"/>
    <col min="15617" max="15868" width="11.42578125" style="847"/>
    <col min="15869" max="15869" width="30.42578125" style="847" customWidth="1"/>
    <col min="15870" max="15870" width="23.28515625" style="847" bestFit="1" customWidth="1"/>
    <col min="15871" max="15871" width="18.140625" style="847" bestFit="1" customWidth="1"/>
    <col min="15872" max="15872" width="15.85546875" style="847" bestFit="1" customWidth="1"/>
    <col min="15873" max="16124" width="11.42578125" style="847"/>
    <col min="16125" max="16125" width="30.42578125" style="847" customWidth="1"/>
    <col min="16126" max="16126" width="23.28515625" style="847" bestFit="1" customWidth="1"/>
    <col min="16127" max="16127" width="18.140625" style="847" bestFit="1" customWidth="1"/>
    <col min="16128" max="16128" width="15.85546875" style="847" bestFit="1" customWidth="1"/>
    <col min="16129" max="16384" width="11.42578125" style="847"/>
  </cols>
  <sheetData>
    <row r="1" spans="1:3" ht="15" customHeight="1" x14ac:dyDescent="0.25">
      <c r="A1" s="1764" t="s">
        <v>1767</v>
      </c>
      <c r="B1" s="1761"/>
      <c r="C1" s="1765"/>
    </row>
    <row r="2" spans="1:3" ht="15" customHeight="1" x14ac:dyDescent="0.25">
      <c r="A2" s="1764" t="s">
        <v>1768</v>
      </c>
      <c r="B2" s="1761"/>
      <c r="C2" s="1765"/>
    </row>
    <row r="3" spans="1:3" ht="15" customHeight="1" x14ac:dyDescent="0.25">
      <c r="A3" s="1764" t="s">
        <v>1769</v>
      </c>
      <c r="B3" s="1761"/>
      <c r="C3" s="1765"/>
    </row>
    <row r="4" spans="1:3" ht="15" customHeight="1" x14ac:dyDescent="0.25">
      <c r="A4" s="1764" t="s">
        <v>1876</v>
      </c>
      <c r="B4" s="1761"/>
      <c r="C4" s="1765"/>
    </row>
    <row r="5" spans="1:3" s="848" customFormat="1" ht="26.25" customHeight="1" x14ac:dyDescent="0.3">
      <c r="A5" s="826" t="s">
        <v>1771</v>
      </c>
      <c r="B5" s="826" t="s">
        <v>1772</v>
      </c>
      <c r="C5" s="861" t="s">
        <v>1877</v>
      </c>
    </row>
    <row r="6" spans="1:3" s="850" customFormat="1" x14ac:dyDescent="0.25">
      <c r="A6" s="849">
        <v>20</v>
      </c>
      <c r="B6" s="815" t="s">
        <v>1878</v>
      </c>
      <c r="C6" s="822">
        <v>869292204</v>
      </c>
    </row>
    <row r="7" spans="1:3" s="850" customFormat="1" x14ac:dyDescent="0.25">
      <c r="A7" s="849">
        <v>20</v>
      </c>
      <c r="B7" s="815" t="s">
        <v>1879</v>
      </c>
      <c r="C7" s="822">
        <v>17133292091</v>
      </c>
    </row>
    <row r="8" spans="1:3" x14ac:dyDescent="0.25">
      <c r="A8" s="849">
        <v>52</v>
      </c>
      <c r="B8" s="815" t="s">
        <v>1028</v>
      </c>
      <c r="C8" s="822">
        <v>705363027</v>
      </c>
    </row>
    <row r="9" spans="1:3" x14ac:dyDescent="0.25">
      <c r="A9" s="849">
        <v>4</v>
      </c>
      <c r="B9" s="815" t="s">
        <v>1050</v>
      </c>
      <c r="C9" s="822">
        <v>3528349952</v>
      </c>
    </row>
    <row r="10" spans="1:3" ht="33" x14ac:dyDescent="0.25">
      <c r="A10" s="849">
        <v>33</v>
      </c>
      <c r="B10" s="815" t="s">
        <v>1055</v>
      </c>
      <c r="C10" s="822">
        <v>174317619</v>
      </c>
    </row>
    <row r="11" spans="1:3" x14ac:dyDescent="0.25">
      <c r="A11" s="849">
        <v>34</v>
      </c>
      <c r="B11" s="815" t="s">
        <v>1056</v>
      </c>
      <c r="C11" s="822">
        <v>174317619</v>
      </c>
    </row>
    <row r="12" spans="1:3" x14ac:dyDescent="0.25">
      <c r="A12" s="849">
        <v>39</v>
      </c>
      <c r="B12" s="815" t="s">
        <v>1057</v>
      </c>
      <c r="C12" s="822">
        <v>871588097</v>
      </c>
    </row>
    <row r="13" spans="1:3" x14ac:dyDescent="0.25">
      <c r="A13" s="849">
        <v>41</v>
      </c>
      <c r="B13" s="815" t="s">
        <v>1058</v>
      </c>
      <c r="C13" s="822">
        <v>174317619</v>
      </c>
    </row>
    <row r="14" spans="1:3" x14ac:dyDescent="0.25">
      <c r="A14" s="849">
        <v>6</v>
      </c>
      <c r="B14" s="815" t="s">
        <v>1060</v>
      </c>
      <c r="C14" s="822">
        <v>3393118962</v>
      </c>
    </row>
    <row r="15" spans="1:3" s="851" customFormat="1" x14ac:dyDescent="0.25">
      <c r="A15" s="849">
        <v>35</v>
      </c>
      <c r="B15" s="815" t="s">
        <v>1880</v>
      </c>
      <c r="C15" s="822">
        <v>2473420939</v>
      </c>
    </row>
    <row r="16" spans="1:3" s="851" customFormat="1" x14ac:dyDescent="0.25">
      <c r="A16" s="849">
        <v>35</v>
      </c>
      <c r="B16" s="815" t="s">
        <v>1881</v>
      </c>
      <c r="C16" s="822">
        <v>500000000</v>
      </c>
    </row>
    <row r="17" spans="1:3" s="851" customFormat="1" ht="33" x14ac:dyDescent="0.25">
      <c r="A17" s="849">
        <v>56</v>
      </c>
      <c r="B17" s="815" t="s">
        <v>1799</v>
      </c>
      <c r="C17" s="822">
        <v>250000000</v>
      </c>
    </row>
    <row r="18" spans="1:3" x14ac:dyDescent="0.25">
      <c r="A18" s="849">
        <v>23</v>
      </c>
      <c r="B18" s="815" t="s">
        <v>1800</v>
      </c>
      <c r="C18" s="822">
        <v>2019430273</v>
      </c>
    </row>
    <row r="19" spans="1:3" x14ac:dyDescent="0.25">
      <c r="A19" s="849">
        <v>47</v>
      </c>
      <c r="B19" s="815" t="s">
        <v>1093</v>
      </c>
      <c r="C19" s="822">
        <v>141163803</v>
      </c>
    </row>
    <row r="20" spans="1:3" ht="33" x14ac:dyDescent="0.25">
      <c r="A20" s="849">
        <v>4</v>
      </c>
      <c r="B20" s="815" t="s">
        <v>1805</v>
      </c>
      <c r="C20" s="822">
        <v>1664967</v>
      </c>
    </row>
    <row r="21" spans="1:3" ht="33" x14ac:dyDescent="0.25">
      <c r="A21" s="849">
        <v>33</v>
      </c>
      <c r="B21" s="815" t="s">
        <v>1808</v>
      </c>
      <c r="C21" s="822">
        <v>158060</v>
      </c>
    </row>
    <row r="22" spans="1:3" ht="33" x14ac:dyDescent="0.25">
      <c r="A22" s="849">
        <v>34</v>
      </c>
      <c r="B22" s="815" t="s">
        <v>1809</v>
      </c>
      <c r="C22" s="822">
        <v>158060</v>
      </c>
    </row>
    <row r="23" spans="1:3" ht="33" x14ac:dyDescent="0.25">
      <c r="A23" s="849">
        <v>39</v>
      </c>
      <c r="B23" s="815" t="s">
        <v>1810</v>
      </c>
      <c r="C23" s="822">
        <v>790301</v>
      </c>
    </row>
    <row r="24" spans="1:3" ht="33" x14ac:dyDescent="0.25">
      <c r="A24" s="849">
        <v>41</v>
      </c>
      <c r="B24" s="815" t="s">
        <v>1811</v>
      </c>
      <c r="C24" s="822">
        <v>158060</v>
      </c>
    </row>
    <row r="25" spans="1:3" ht="33" x14ac:dyDescent="0.25">
      <c r="A25" s="849">
        <v>6</v>
      </c>
      <c r="B25" s="815" t="s">
        <v>1812</v>
      </c>
      <c r="C25" s="822">
        <v>1400016</v>
      </c>
    </row>
    <row r="26" spans="1:3" ht="33" x14ac:dyDescent="0.25">
      <c r="A26" s="849">
        <v>42</v>
      </c>
      <c r="B26" s="815" t="s">
        <v>1814</v>
      </c>
      <c r="C26" s="822">
        <v>2314305</v>
      </c>
    </row>
    <row r="27" spans="1:3" ht="33" x14ac:dyDescent="0.25">
      <c r="A27" s="849">
        <v>27</v>
      </c>
      <c r="B27" s="815" t="s">
        <v>1815</v>
      </c>
      <c r="C27" s="822">
        <v>311522</v>
      </c>
    </row>
    <row r="28" spans="1:3" ht="33" x14ac:dyDescent="0.25">
      <c r="A28" s="849">
        <v>27</v>
      </c>
      <c r="B28" s="815" t="s">
        <v>1066</v>
      </c>
      <c r="C28" s="822">
        <v>2991799289</v>
      </c>
    </row>
    <row r="29" spans="1:3" ht="33" x14ac:dyDescent="0.25">
      <c r="A29" s="849">
        <v>42</v>
      </c>
      <c r="B29" s="815" t="s">
        <v>1149</v>
      </c>
      <c r="C29" s="822">
        <v>1611202918</v>
      </c>
    </row>
    <row r="30" spans="1:3" x14ac:dyDescent="0.25">
      <c r="A30" s="867"/>
      <c r="B30" s="868" t="s">
        <v>1985</v>
      </c>
      <c r="C30" s="869">
        <f>SUM(C6:C29)</f>
        <v>37017929703</v>
      </c>
    </row>
    <row r="31" spans="1:3" s="851" customFormat="1" ht="15" customHeight="1" x14ac:dyDescent="0.25">
      <c r="A31" s="1766" t="s">
        <v>953</v>
      </c>
      <c r="B31" s="1767"/>
      <c r="C31" s="1768"/>
    </row>
    <row r="32" spans="1:3" x14ac:dyDescent="0.25">
      <c r="A32" s="1762" t="s">
        <v>1100</v>
      </c>
      <c r="B32" s="1763"/>
      <c r="C32" s="1763"/>
    </row>
    <row r="33" spans="1:3" ht="33" x14ac:dyDescent="0.25">
      <c r="A33" s="849">
        <v>25</v>
      </c>
      <c r="B33" s="853" t="s">
        <v>1101</v>
      </c>
      <c r="C33" s="854">
        <v>148302000000</v>
      </c>
    </row>
    <row r="34" spans="1:3" s="851" customFormat="1" ht="33" x14ac:dyDescent="0.25">
      <c r="A34" s="849">
        <v>26</v>
      </c>
      <c r="B34" s="853" t="s">
        <v>1102</v>
      </c>
      <c r="C34" s="854">
        <v>29000000000</v>
      </c>
    </row>
    <row r="35" spans="1:3" x14ac:dyDescent="0.25">
      <c r="A35" s="849">
        <v>25</v>
      </c>
      <c r="B35" s="853" t="s">
        <v>1105</v>
      </c>
      <c r="C35" s="854">
        <v>622000000</v>
      </c>
    </row>
    <row r="36" spans="1:3" x14ac:dyDescent="0.25">
      <c r="A36" s="849">
        <v>25</v>
      </c>
      <c r="B36" s="853" t="s">
        <v>1106</v>
      </c>
      <c r="C36" s="854">
        <v>1463000000</v>
      </c>
    </row>
    <row r="37" spans="1:3" x14ac:dyDescent="0.25">
      <c r="A37" s="849">
        <v>81</v>
      </c>
      <c r="B37" s="853" t="s">
        <v>1107</v>
      </c>
      <c r="C37" s="854">
        <v>11000000000</v>
      </c>
    </row>
    <row r="38" spans="1:3" s="851" customFormat="1" ht="33" x14ac:dyDescent="0.25">
      <c r="A38" s="849">
        <v>21</v>
      </c>
      <c r="B38" s="853" t="s">
        <v>1113</v>
      </c>
      <c r="C38" s="854">
        <v>5000000</v>
      </c>
    </row>
    <row r="39" spans="1:3" s="851" customFormat="1" ht="33" x14ac:dyDescent="0.25">
      <c r="A39" s="849">
        <v>81</v>
      </c>
      <c r="B39" s="853" t="s">
        <v>1818</v>
      </c>
      <c r="C39" s="854">
        <v>10000000</v>
      </c>
    </row>
    <row r="40" spans="1:3" s="851" customFormat="1" x14ac:dyDescent="0.25">
      <c r="A40" s="849">
        <v>9</v>
      </c>
      <c r="B40" s="853" t="s">
        <v>606</v>
      </c>
      <c r="C40" s="854">
        <v>80000000</v>
      </c>
    </row>
    <row r="41" spans="1:3" s="851" customFormat="1" x14ac:dyDescent="0.25">
      <c r="A41" s="867"/>
      <c r="B41" s="868" t="s">
        <v>1986</v>
      </c>
      <c r="C41" s="869">
        <f>SUM(C33:C40)</f>
        <v>190482000000</v>
      </c>
    </row>
    <row r="42" spans="1:3" s="851" customFormat="1" x14ac:dyDescent="0.25">
      <c r="A42" s="852"/>
      <c r="B42" s="852" t="s">
        <v>1116</v>
      </c>
      <c r="C42" s="862"/>
    </row>
    <row r="43" spans="1:3" s="851" customFormat="1" x14ac:dyDescent="0.25">
      <c r="A43" s="853"/>
      <c r="B43" s="853" t="s">
        <v>1882</v>
      </c>
      <c r="C43" s="855">
        <v>1724393294</v>
      </c>
    </row>
    <row r="44" spans="1:3" s="851" customFormat="1" x14ac:dyDescent="0.25">
      <c r="A44" s="853"/>
      <c r="B44" s="853" t="s">
        <v>1883</v>
      </c>
      <c r="C44" s="855">
        <v>4274847597</v>
      </c>
    </row>
    <row r="45" spans="1:3" s="851" customFormat="1" x14ac:dyDescent="0.25">
      <c r="A45" s="853"/>
      <c r="B45" s="853" t="s">
        <v>1884</v>
      </c>
      <c r="C45" s="855">
        <v>960000000</v>
      </c>
    </row>
    <row r="46" spans="1:3" s="851" customFormat="1" x14ac:dyDescent="0.25">
      <c r="A46" s="853"/>
      <c r="B46" s="853" t="s">
        <v>1885</v>
      </c>
      <c r="C46" s="855">
        <v>5893745075</v>
      </c>
    </row>
    <row r="47" spans="1:3" s="851" customFormat="1" ht="33" x14ac:dyDescent="0.25">
      <c r="A47" s="853"/>
      <c r="B47" s="853" t="s">
        <v>1886</v>
      </c>
      <c r="C47" s="855">
        <v>2460396366</v>
      </c>
    </row>
    <row r="48" spans="1:3" s="851" customFormat="1" ht="33" x14ac:dyDescent="0.25">
      <c r="A48" s="853"/>
      <c r="B48" s="853" t="s">
        <v>1887</v>
      </c>
      <c r="C48" s="855">
        <v>2519732517</v>
      </c>
    </row>
    <row r="49" spans="1:4" s="851" customFormat="1" ht="33" x14ac:dyDescent="0.25">
      <c r="A49" s="853"/>
      <c r="B49" s="853" t="s">
        <v>1888</v>
      </c>
      <c r="C49" s="855">
        <v>3000000</v>
      </c>
    </row>
    <row r="50" spans="1:4" s="851" customFormat="1" ht="33" x14ac:dyDescent="0.25">
      <c r="A50" s="853"/>
      <c r="B50" s="853" t="s">
        <v>1889</v>
      </c>
      <c r="C50" s="855">
        <v>1000000</v>
      </c>
    </row>
    <row r="51" spans="1:4" s="851" customFormat="1" ht="33" x14ac:dyDescent="0.25">
      <c r="A51" s="853"/>
      <c r="B51" s="853" t="s">
        <v>1890</v>
      </c>
      <c r="C51" s="855">
        <v>1000000</v>
      </c>
    </row>
    <row r="52" spans="1:4" s="851" customFormat="1" ht="33" x14ac:dyDescent="0.25">
      <c r="A52" s="853"/>
      <c r="B52" s="853" t="s">
        <v>1891</v>
      </c>
      <c r="C52" s="855">
        <v>1000000</v>
      </c>
    </row>
    <row r="53" spans="1:4" ht="33" x14ac:dyDescent="0.25">
      <c r="A53" s="853"/>
      <c r="B53" s="853" t="s">
        <v>1892</v>
      </c>
      <c r="C53" s="855">
        <v>4200828874</v>
      </c>
      <c r="D53" s="851"/>
    </row>
    <row r="54" spans="1:4" s="851" customFormat="1" x14ac:dyDescent="0.25">
      <c r="A54" s="853"/>
      <c r="B54" s="853" t="s">
        <v>1893</v>
      </c>
      <c r="C54" s="855">
        <v>1327550400</v>
      </c>
    </row>
    <row r="55" spans="1:4" x14ac:dyDescent="0.25">
      <c r="A55" s="853"/>
      <c r="B55" s="853" t="s">
        <v>1894</v>
      </c>
      <c r="C55" s="855">
        <v>742627190</v>
      </c>
      <c r="D55" s="851"/>
    </row>
    <row r="56" spans="1:4" x14ac:dyDescent="0.25">
      <c r="A56" s="853"/>
      <c r="B56" s="853" t="s">
        <v>1895</v>
      </c>
      <c r="C56" s="855">
        <v>425625594</v>
      </c>
      <c r="D56" s="851"/>
    </row>
    <row r="57" spans="1:4" s="851" customFormat="1" ht="33" x14ac:dyDescent="0.25">
      <c r="A57" s="853"/>
      <c r="B57" s="853" t="s">
        <v>1896</v>
      </c>
      <c r="C57" s="855">
        <v>625149620</v>
      </c>
    </row>
    <row r="58" spans="1:4" x14ac:dyDescent="0.25">
      <c r="A58" s="853"/>
      <c r="B58" s="853" t="s">
        <v>809</v>
      </c>
      <c r="C58" s="855">
        <v>13600000</v>
      </c>
      <c r="D58" s="851"/>
    </row>
    <row r="59" spans="1:4" s="851" customFormat="1" ht="33" x14ac:dyDescent="0.25">
      <c r="A59" s="853"/>
      <c r="B59" s="853" t="s">
        <v>1897</v>
      </c>
      <c r="C59" s="855">
        <v>1362067803.78</v>
      </c>
    </row>
    <row r="60" spans="1:4" s="851" customFormat="1" ht="33" x14ac:dyDescent="0.25">
      <c r="A60" s="853"/>
      <c r="B60" s="853" t="s">
        <v>1898</v>
      </c>
      <c r="C60" s="855">
        <v>3749209145.4255209</v>
      </c>
    </row>
    <row r="61" spans="1:4" s="851" customFormat="1" ht="49.5" x14ac:dyDescent="0.25">
      <c r="A61" s="853"/>
      <c r="B61" s="853" t="s">
        <v>1899</v>
      </c>
      <c r="C61" s="855">
        <v>7157581678.5328007</v>
      </c>
    </row>
    <row r="62" spans="1:4" s="851" customFormat="1" ht="33" x14ac:dyDescent="0.25">
      <c r="A62" s="853"/>
      <c r="B62" s="853" t="s">
        <v>1900</v>
      </c>
      <c r="C62" s="855">
        <v>393715436</v>
      </c>
    </row>
    <row r="63" spans="1:4" s="851" customFormat="1" ht="33" x14ac:dyDescent="0.25">
      <c r="A63" s="853"/>
      <c r="B63" s="853" t="s">
        <v>1987</v>
      </c>
      <c r="C63" s="855">
        <v>159135000</v>
      </c>
    </row>
    <row r="64" spans="1:4" s="851" customFormat="1" x14ac:dyDescent="0.25">
      <c r="A64" s="853"/>
      <c r="B64" s="853" t="s">
        <v>1146</v>
      </c>
      <c r="C64" s="855">
        <v>2121689396</v>
      </c>
    </row>
    <row r="65" spans="1:4" s="851" customFormat="1" x14ac:dyDescent="0.25">
      <c r="A65" s="867"/>
      <c r="B65" s="868" t="s">
        <v>1822</v>
      </c>
      <c r="C65" s="869">
        <f>SUM(C43:C64)</f>
        <v>40117894986.738319</v>
      </c>
    </row>
    <row r="66" spans="1:4" s="851" customFormat="1" ht="15" customHeight="1" x14ac:dyDescent="0.25">
      <c r="A66" s="1769" t="s">
        <v>1902</v>
      </c>
      <c r="B66" s="1770"/>
      <c r="C66" s="807">
        <f>+C65+C41+C30</f>
        <v>267617824689.73831</v>
      </c>
      <c r="D66" s="866"/>
    </row>
    <row r="67" spans="1:4" s="851" customFormat="1" ht="15" customHeight="1" x14ac:dyDescent="0.25">
      <c r="A67" s="856"/>
      <c r="B67" s="850"/>
      <c r="C67" s="863"/>
    </row>
    <row r="68" spans="1:4" s="851" customFormat="1" ht="15" customHeight="1" x14ac:dyDescent="0.25">
      <c r="A68" s="856"/>
      <c r="B68" s="850"/>
      <c r="C68" s="863"/>
    </row>
    <row r="70" spans="1:4" ht="39" customHeight="1" x14ac:dyDescent="0.25">
      <c r="B70" s="1761" t="s">
        <v>1906</v>
      </c>
      <c r="C70" s="1761"/>
    </row>
    <row r="71" spans="1:4" x14ac:dyDescent="0.3">
      <c r="B71" s="826" t="s">
        <v>1772</v>
      </c>
      <c r="C71" s="861" t="s">
        <v>971</v>
      </c>
    </row>
    <row r="72" spans="1:4" ht="33" x14ac:dyDescent="0.25">
      <c r="B72" s="853" t="s">
        <v>1907</v>
      </c>
      <c r="C72" s="855">
        <v>3639960000</v>
      </c>
    </row>
    <row r="73" spans="1:4" ht="33" x14ac:dyDescent="0.25">
      <c r="B73" s="853" t="s">
        <v>1908</v>
      </c>
      <c r="C73" s="855">
        <v>113516300</v>
      </c>
    </row>
    <row r="74" spans="1:4" x14ac:dyDescent="0.25">
      <c r="B74" s="807" t="s">
        <v>1909</v>
      </c>
      <c r="C74" s="807">
        <v>3753476300</v>
      </c>
    </row>
    <row r="75" spans="1:4" ht="33" x14ac:dyDescent="0.25">
      <c r="B75" s="859" t="s">
        <v>1910</v>
      </c>
      <c r="C75" s="860">
        <v>113516300</v>
      </c>
    </row>
    <row r="76" spans="1:4" x14ac:dyDescent="0.25">
      <c r="B76" s="857"/>
      <c r="C76" s="864"/>
    </row>
    <row r="77" spans="1:4" x14ac:dyDescent="0.25">
      <c r="B77" s="857"/>
      <c r="C77" s="864"/>
    </row>
    <row r="78" spans="1:4" x14ac:dyDescent="0.25">
      <c r="B78" s="858"/>
      <c r="C78" s="864"/>
    </row>
    <row r="79" spans="1:4" ht="33.75" customHeight="1" x14ac:dyDescent="0.25">
      <c r="B79" s="1761" t="s">
        <v>1911</v>
      </c>
      <c r="C79" s="1761"/>
    </row>
    <row r="80" spans="1:4" x14ac:dyDescent="0.3">
      <c r="B80" s="826" t="s">
        <v>1772</v>
      </c>
      <c r="C80" s="861" t="s">
        <v>971</v>
      </c>
    </row>
    <row r="81" spans="2:3" x14ac:dyDescent="0.25">
      <c r="B81" s="853" t="s">
        <v>1912</v>
      </c>
      <c r="C81" s="855">
        <v>265988797</v>
      </c>
    </row>
    <row r="82" spans="2:3" x14ac:dyDescent="0.25">
      <c r="B82" s="853" t="s">
        <v>1913</v>
      </c>
      <c r="C82" s="855">
        <v>637161630</v>
      </c>
    </row>
    <row r="83" spans="2:3" ht="33" x14ac:dyDescent="0.25">
      <c r="B83" s="853" t="s">
        <v>1914</v>
      </c>
      <c r="C83" s="855">
        <v>608504542.79999995</v>
      </c>
    </row>
    <row r="84" spans="2:3" x14ac:dyDescent="0.25">
      <c r="B84" s="853" t="s">
        <v>1915</v>
      </c>
      <c r="C84" s="855">
        <v>5321293168</v>
      </c>
    </row>
    <row r="85" spans="2:3" x14ac:dyDescent="0.25">
      <c r="B85" s="853" t="s">
        <v>1916</v>
      </c>
      <c r="C85" s="855">
        <v>15000000</v>
      </c>
    </row>
    <row r="86" spans="2:3" ht="33" x14ac:dyDescent="0.25">
      <c r="B86" s="853" t="s">
        <v>1917</v>
      </c>
      <c r="C86" s="855">
        <v>620558755</v>
      </c>
    </row>
    <row r="87" spans="2:3" x14ac:dyDescent="0.25">
      <c r="B87" s="853" t="s">
        <v>1918</v>
      </c>
      <c r="C87" s="855">
        <v>1000000000</v>
      </c>
    </row>
    <row r="88" spans="2:3" x14ac:dyDescent="0.25">
      <c r="B88" s="853" t="s">
        <v>1919</v>
      </c>
      <c r="C88" s="855">
        <v>1708758090.2</v>
      </c>
    </row>
    <row r="89" spans="2:3" x14ac:dyDescent="0.25">
      <c r="B89" s="807" t="s">
        <v>1920</v>
      </c>
      <c r="C89" s="807">
        <v>10177264983</v>
      </c>
    </row>
    <row r="90" spans="2:3" x14ac:dyDescent="0.25">
      <c r="B90" s="859" t="s">
        <v>1921</v>
      </c>
      <c r="C90" s="860">
        <v>8468506892.8000002</v>
      </c>
    </row>
    <row r="93" spans="2:3" x14ac:dyDescent="0.25">
      <c r="B93" s="1761" t="s">
        <v>1922</v>
      </c>
      <c r="C93" s="1761"/>
    </row>
    <row r="94" spans="2:3" x14ac:dyDescent="0.3">
      <c r="B94" s="826" t="s">
        <v>1772</v>
      </c>
      <c r="C94" s="861" t="s">
        <v>971</v>
      </c>
    </row>
    <row r="95" spans="2:3" x14ac:dyDescent="0.25">
      <c r="B95" s="853" t="s">
        <v>1923</v>
      </c>
      <c r="C95" s="855">
        <v>1058044541</v>
      </c>
    </row>
    <row r="96" spans="2:3" x14ac:dyDescent="0.25">
      <c r="B96" s="853" t="s">
        <v>1924</v>
      </c>
      <c r="C96" s="855">
        <v>2117009971</v>
      </c>
    </row>
    <row r="97" spans="2:3" x14ac:dyDescent="0.25">
      <c r="B97" s="853" t="s">
        <v>1925</v>
      </c>
      <c r="C97" s="855">
        <v>1150000000</v>
      </c>
    </row>
    <row r="98" spans="2:3" x14ac:dyDescent="0.25">
      <c r="B98" s="807" t="s">
        <v>1926</v>
      </c>
      <c r="C98" s="807">
        <v>4325054512</v>
      </c>
    </row>
    <row r="99" spans="2:3" ht="33" x14ac:dyDescent="0.25">
      <c r="B99" s="859" t="s">
        <v>1927</v>
      </c>
      <c r="C99" s="860">
        <v>3175054512</v>
      </c>
    </row>
    <row r="102" spans="2:3" ht="33" x14ac:dyDescent="0.25">
      <c r="B102" s="807" t="s">
        <v>1928</v>
      </c>
      <c r="C102" s="807">
        <f>+C99+C90+C75+C66</f>
        <v>279374902394.53833</v>
      </c>
    </row>
  </sheetData>
  <mergeCells count="10">
    <mergeCell ref="B70:C70"/>
    <mergeCell ref="B79:C79"/>
    <mergeCell ref="B93:C93"/>
    <mergeCell ref="A32:C32"/>
    <mergeCell ref="A1:C1"/>
    <mergeCell ref="A2:C2"/>
    <mergeCell ref="A3:C3"/>
    <mergeCell ref="A4:C4"/>
    <mergeCell ref="A31:C31"/>
    <mergeCell ref="A66:B66"/>
  </mergeCells>
  <pageMargins left="0.7" right="0.7" top="0.75" bottom="0.75" header="0.3" footer="0.3"/>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sheetPr>
  <dimension ref="A1:G152"/>
  <sheetViews>
    <sheetView topLeftCell="A127" workbookViewId="0">
      <selection activeCell="C37" sqref="C37"/>
    </sheetView>
  </sheetViews>
  <sheetFormatPr baseColWidth="10" defaultColWidth="11.42578125" defaultRowHeight="12.75" x14ac:dyDescent="0.25"/>
  <cols>
    <col min="1" max="1" width="11.42578125" style="42"/>
    <col min="2" max="2" width="38" style="95" bestFit="1" customWidth="1"/>
    <col min="3" max="3" width="23.28515625" style="42" bestFit="1" customWidth="1"/>
    <col min="4" max="4" width="18.5703125" style="42" bestFit="1" customWidth="1"/>
    <col min="5" max="5" width="18.140625" style="42" customWidth="1"/>
    <col min="6" max="6" width="16.28515625" style="42" bestFit="1" customWidth="1"/>
    <col min="7" max="7" width="14.85546875" style="42" bestFit="1" customWidth="1"/>
    <col min="8" max="8" width="13.7109375" style="42" bestFit="1" customWidth="1"/>
    <col min="9" max="12" width="11.42578125" style="42"/>
    <col min="13" max="13" width="13.7109375" style="42" bestFit="1" customWidth="1"/>
    <col min="14"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4" width="11.42578125" style="42"/>
  </cols>
  <sheetData>
    <row r="1" spans="1:6" ht="15" customHeight="1" x14ac:dyDescent="0.25">
      <c r="A1" s="1773" t="s">
        <v>1767</v>
      </c>
      <c r="B1" s="1774"/>
      <c r="C1" s="1774"/>
      <c r="D1" s="1774"/>
      <c r="E1" s="1774"/>
      <c r="F1" s="1775"/>
    </row>
    <row r="2" spans="1:6" ht="15" customHeight="1" x14ac:dyDescent="0.25">
      <c r="A2" s="1773" t="s">
        <v>1768</v>
      </c>
      <c r="B2" s="1774"/>
      <c r="C2" s="1774"/>
      <c r="D2" s="1774"/>
      <c r="E2" s="1774"/>
      <c r="F2" s="1775"/>
    </row>
    <row r="3" spans="1:6" ht="15" customHeight="1" x14ac:dyDescent="0.25">
      <c r="A3" s="1773" t="s">
        <v>1769</v>
      </c>
      <c r="B3" s="1774"/>
      <c r="C3" s="1774"/>
      <c r="D3" s="1774"/>
      <c r="E3" s="1774"/>
      <c r="F3" s="1775"/>
    </row>
    <row r="4" spans="1:6" ht="15" customHeight="1" x14ac:dyDescent="0.25">
      <c r="A4" s="1773" t="s">
        <v>1876</v>
      </c>
      <c r="B4" s="1774"/>
      <c r="C4" s="1774"/>
      <c r="D4" s="1774"/>
      <c r="E4" s="1774"/>
      <c r="F4" s="1775"/>
    </row>
    <row r="5" spans="1:6" s="95" customFormat="1" ht="26.25" customHeight="1" x14ac:dyDescent="0.25">
      <c r="A5" s="787" t="s">
        <v>1771</v>
      </c>
      <c r="B5" s="787" t="s">
        <v>1772</v>
      </c>
      <c r="C5" s="787" t="s">
        <v>1773</v>
      </c>
      <c r="D5" s="787" t="s">
        <v>1877</v>
      </c>
      <c r="E5" s="787" t="s">
        <v>1978</v>
      </c>
      <c r="F5" s="787" t="s">
        <v>1776</v>
      </c>
    </row>
    <row r="6" spans="1:6" s="204" customFormat="1" ht="16.5" x14ac:dyDescent="0.3">
      <c r="A6" s="788"/>
      <c r="B6" s="789"/>
      <c r="C6" s="790"/>
      <c r="D6" s="788"/>
      <c r="E6" s="788"/>
      <c r="F6" s="788"/>
    </row>
    <row r="7" spans="1:6" ht="33" x14ac:dyDescent="0.25">
      <c r="A7" s="788">
        <v>20</v>
      </c>
      <c r="B7" s="789" t="s">
        <v>1023</v>
      </c>
      <c r="C7" s="791">
        <v>18334260464</v>
      </c>
      <c r="D7" s="788">
        <v>0</v>
      </c>
      <c r="E7" s="788">
        <v>0</v>
      </c>
      <c r="F7" s="788">
        <v>18334260464</v>
      </c>
    </row>
    <row r="8" spans="1:6" ht="16.5" x14ac:dyDescent="0.25">
      <c r="A8" s="788">
        <v>20</v>
      </c>
      <c r="B8" s="789" t="s">
        <v>1779</v>
      </c>
      <c r="C8" s="791">
        <v>10580445405</v>
      </c>
      <c r="D8" s="788">
        <v>0</v>
      </c>
      <c r="E8" s="788">
        <v>0</v>
      </c>
      <c r="F8" s="788">
        <v>10580445405</v>
      </c>
    </row>
    <row r="9" spans="1:6" ht="16.5" x14ac:dyDescent="0.25">
      <c r="A9" s="788">
        <v>1</v>
      </c>
      <c r="B9" s="789" t="s">
        <v>1780</v>
      </c>
      <c r="C9" s="791">
        <v>3526815135</v>
      </c>
      <c r="D9" s="788">
        <v>0</v>
      </c>
      <c r="E9" s="788">
        <v>3526815135</v>
      </c>
      <c r="F9" s="788">
        <v>0</v>
      </c>
    </row>
    <row r="10" spans="1:6" ht="16.5" x14ac:dyDescent="0.25">
      <c r="A10" s="788">
        <v>52</v>
      </c>
      <c r="B10" s="789" t="s">
        <v>1028</v>
      </c>
      <c r="C10" s="791">
        <v>705363027</v>
      </c>
      <c r="D10" s="788">
        <v>705363027</v>
      </c>
      <c r="E10" s="788">
        <v>0</v>
      </c>
      <c r="F10" s="788">
        <v>0</v>
      </c>
    </row>
    <row r="11" spans="1:6" ht="16.5" x14ac:dyDescent="0.25">
      <c r="A11" s="788">
        <v>53</v>
      </c>
      <c r="B11" s="789" t="s">
        <v>1029</v>
      </c>
      <c r="C11" s="791">
        <v>1058044541</v>
      </c>
      <c r="D11" s="788">
        <v>0</v>
      </c>
      <c r="E11" s="792">
        <v>1058044541</v>
      </c>
      <c r="F11" s="788">
        <v>0</v>
      </c>
    </row>
    <row r="12" spans="1:6" ht="33" x14ac:dyDescent="0.3">
      <c r="A12" s="788">
        <v>13</v>
      </c>
      <c r="B12" s="789" t="s">
        <v>1030</v>
      </c>
      <c r="C12" s="790">
        <v>1763407568</v>
      </c>
      <c r="D12" s="788">
        <v>0</v>
      </c>
      <c r="E12" s="788">
        <v>1763407568</v>
      </c>
      <c r="F12" s="788">
        <v>0</v>
      </c>
    </row>
    <row r="13" spans="1:6" ht="33" x14ac:dyDescent="0.3">
      <c r="A13" s="788">
        <v>145</v>
      </c>
      <c r="B13" s="789" t="s">
        <v>1782</v>
      </c>
      <c r="C13" s="790">
        <v>149729169</v>
      </c>
      <c r="D13" s="788">
        <v>0</v>
      </c>
      <c r="E13" s="788">
        <v>149729169</v>
      </c>
      <c r="F13" s="788">
        <v>0</v>
      </c>
    </row>
    <row r="14" spans="1:6" ht="33" x14ac:dyDescent="0.3">
      <c r="A14" s="788">
        <v>20</v>
      </c>
      <c r="B14" s="789" t="s">
        <v>1783</v>
      </c>
      <c r="C14" s="790">
        <v>2994583375</v>
      </c>
      <c r="D14" s="788">
        <v>0</v>
      </c>
      <c r="E14" s="788">
        <v>0</v>
      </c>
      <c r="F14" s="788">
        <v>2994583375</v>
      </c>
    </row>
    <row r="15" spans="1:6" ht="33" x14ac:dyDescent="0.3">
      <c r="A15" s="788">
        <v>20</v>
      </c>
      <c r="B15" s="789" t="s">
        <v>1035</v>
      </c>
      <c r="C15" s="790">
        <v>2325192551</v>
      </c>
      <c r="D15" s="788">
        <v>0</v>
      </c>
      <c r="E15" s="788">
        <v>0</v>
      </c>
      <c r="F15" s="788">
        <v>2325192551</v>
      </c>
    </row>
    <row r="16" spans="1:6" ht="33" x14ac:dyDescent="0.3">
      <c r="A16" s="788">
        <v>145</v>
      </c>
      <c r="B16" s="789" t="s">
        <v>1036</v>
      </c>
      <c r="C16" s="790">
        <v>116259628</v>
      </c>
      <c r="D16" s="788">
        <v>0</v>
      </c>
      <c r="E16" s="788">
        <v>116259628</v>
      </c>
      <c r="F16" s="788">
        <v>0</v>
      </c>
    </row>
    <row r="17" spans="1:6" ht="33" x14ac:dyDescent="0.3">
      <c r="A17" s="788">
        <v>20</v>
      </c>
      <c r="B17" s="789" t="s">
        <v>1786</v>
      </c>
      <c r="C17" s="790">
        <v>16798216778</v>
      </c>
      <c r="D17" s="788">
        <v>0</v>
      </c>
      <c r="E17" s="788">
        <v>0</v>
      </c>
      <c r="F17" s="788">
        <v>16798216778</v>
      </c>
    </row>
    <row r="18" spans="1:6" ht="33" x14ac:dyDescent="0.3">
      <c r="A18" s="788">
        <v>20</v>
      </c>
      <c r="B18" s="789" t="s">
        <v>1787</v>
      </c>
      <c r="C18" s="790">
        <v>849123596</v>
      </c>
      <c r="D18" s="788">
        <v>0</v>
      </c>
      <c r="E18" s="788">
        <v>0</v>
      </c>
      <c r="F18" s="788">
        <v>849123596</v>
      </c>
    </row>
    <row r="19" spans="1:6" ht="33" x14ac:dyDescent="0.3">
      <c r="A19" s="788">
        <v>20</v>
      </c>
      <c r="B19" s="789" t="s">
        <v>1788</v>
      </c>
      <c r="C19" s="790">
        <v>10859778214</v>
      </c>
      <c r="D19" s="788">
        <v>0</v>
      </c>
      <c r="E19" s="788">
        <v>0</v>
      </c>
      <c r="F19" s="788">
        <v>10859778214</v>
      </c>
    </row>
    <row r="20" spans="1:6" ht="16.5" x14ac:dyDescent="0.3">
      <c r="A20" s="788">
        <v>20</v>
      </c>
      <c r="B20" s="789" t="s">
        <v>1045</v>
      </c>
      <c r="C20" s="790">
        <v>693652915</v>
      </c>
      <c r="D20" s="788">
        <v>0</v>
      </c>
      <c r="E20" s="788">
        <v>0</v>
      </c>
      <c r="F20" s="788">
        <v>693652915</v>
      </c>
    </row>
    <row r="21" spans="1:6" ht="16.5" x14ac:dyDescent="0.25">
      <c r="A21" s="788">
        <v>20</v>
      </c>
      <c r="B21" s="789" t="s">
        <v>1047</v>
      </c>
      <c r="C21" s="791">
        <v>7947476705</v>
      </c>
      <c r="D21" s="788">
        <v>0</v>
      </c>
      <c r="E21" s="788">
        <v>0</v>
      </c>
      <c r="F21" s="788">
        <v>7947476705</v>
      </c>
    </row>
    <row r="22" spans="1:6" ht="16.5" x14ac:dyDescent="0.25">
      <c r="A22" s="788">
        <v>4</v>
      </c>
      <c r="B22" s="789" t="s">
        <v>1050</v>
      </c>
      <c r="C22" s="791">
        <v>3528349952</v>
      </c>
      <c r="D22" s="788">
        <v>3528349952</v>
      </c>
      <c r="E22" s="792">
        <v>0</v>
      </c>
      <c r="F22" s="788">
        <v>0</v>
      </c>
    </row>
    <row r="23" spans="1:6" ht="16.5" x14ac:dyDescent="0.25">
      <c r="A23" s="788">
        <v>176</v>
      </c>
      <c r="B23" s="789" t="s">
        <v>1051</v>
      </c>
      <c r="C23" s="791">
        <v>1411339981</v>
      </c>
      <c r="D23" s="788">
        <v>0</v>
      </c>
      <c r="E23" s="788">
        <v>1411339981</v>
      </c>
      <c r="F23" s="788">
        <v>0</v>
      </c>
    </row>
    <row r="24" spans="1:6" ht="33" x14ac:dyDescent="0.25">
      <c r="A24" s="788">
        <v>177</v>
      </c>
      <c r="B24" s="789" t="s">
        <v>1052</v>
      </c>
      <c r="C24" s="793">
        <v>2117009971</v>
      </c>
      <c r="D24" s="788">
        <v>0</v>
      </c>
      <c r="E24" s="792">
        <v>2117009971</v>
      </c>
      <c r="F24" s="788">
        <v>0</v>
      </c>
    </row>
    <row r="25" spans="1:6" ht="16.5" x14ac:dyDescent="0.25">
      <c r="A25" s="788">
        <v>5</v>
      </c>
      <c r="B25" s="789" t="s">
        <v>1054</v>
      </c>
      <c r="C25" s="793">
        <v>348635239</v>
      </c>
      <c r="D25" s="788">
        <v>0</v>
      </c>
      <c r="E25" s="788">
        <v>348635239</v>
      </c>
      <c r="F25" s="788">
        <v>0</v>
      </c>
    </row>
    <row r="26" spans="1:6" ht="33" x14ac:dyDescent="0.25">
      <c r="A26" s="788">
        <v>33</v>
      </c>
      <c r="B26" s="789" t="s">
        <v>1055</v>
      </c>
      <c r="C26" s="793">
        <v>174317619</v>
      </c>
      <c r="D26" s="788">
        <v>174317619</v>
      </c>
      <c r="E26" s="788">
        <v>0</v>
      </c>
      <c r="F26" s="788">
        <v>0</v>
      </c>
    </row>
    <row r="27" spans="1:6" ht="16.5" x14ac:dyDescent="0.25">
      <c r="A27" s="788">
        <v>34</v>
      </c>
      <c r="B27" s="789" t="s">
        <v>1056</v>
      </c>
      <c r="C27" s="793">
        <v>174317619</v>
      </c>
      <c r="D27" s="788">
        <v>174317619</v>
      </c>
      <c r="E27" s="788">
        <v>0</v>
      </c>
      <c r="F27" s="788">
        <v>0</v>
      </c>
    </row>
    <row r="28" spans="1:6" ht="16.5" x14ac:dyDescent="0.25">
      <c r="A28" s="788">
        <v>39</v>
      </c>
      <c r="B28" s="789" t="s">
        <v>1057</v>
      </c>
      <c r="C28" s="793">
        <v>871588097</v>
      </c>
      <c r="D28" s="788">
        <v>871588097</v>
      </c>
      <c r="E28" s="788">
        <v>0</v>
      </c>
      <c r="F28" s="788">
        <v>0</v>
      </c>
    </row>
    <row r="29" spans="1:6" ht="16.5" x14ac:dyDescent="0.25">
      <c r="A29" s="788">
        <v>41</v>
      </c>
      <c r="B29" s="789" t="s">
        <v>1058</v>
      </c>
      <c r="C29" s="793">
        <v>174317619</v>
      </c>
      <c r="D29" s="788">
        <v>174317619</v>
      </c>
      <c r="E29" s="788">
        <v>0</v>
      </c>
      <c r="F29" s="788">
        <v>0</v>
      </c>
    </row>
    <row r="30" spans="1:6" ht="16.5" x14ac:dyDescent="0.25">
      <c r="A30" s="788">
        <v>6</v>
      </c>
      <c r="B30" s="789" t="s">
        <v>1060</v>
      </c>
      <c r="C30" s="793">
        <v>3393118962</v>
      </c>
      <c r="D30" s="788">
        <v>3393118962</v>
      </c>
      <c r="E30" s="792">
        <v>0</v>
      </c>
      <c r="F30" s="788">
        <v>0</v>
      </c>
    </row>
    <row r="31" spans="1:6" ht="16.5" x14ac:dyDescent="0.25">
      <c r="A31" s="788">
        <v>178</v>
      </c>
      <c r="B31" s="794" t="s">
        <v>1061</v>
      </c>
      <c r="C31" s="793">
        <v>848279741</v>
      </c>
      <c r="D31" s="788">
        <v>0</v>
      </c>
      <c r="E31" s="788">
        <v>848279741</v>
      </c>
      <c r="F31" s="795">
        <v>0</v>
      </c>
    </row>
    <row r="32" spans="1:6" s="54" customFormat="1" ht="16.5" x14ac:dyDescent="0.25">
      <c r="A32" s="788">
        <v>8</v>
      </c>
      <c r="B32" s="789" t="s">
        <v>1790</v>
      </c>
      <c r="C32" s="796">
        <v>0</v>
      </c>
      <c r="D32" s="788">
        <v>0</v>
      </c>
      <c r="E32" s="788">
        <v>0</v>
      </c>
      <c r="F32" s="788">
        <v>0</v>
      </c>
    </row>
    <row r="33" spans="1:6" ht="16.5" x14ac:dyDescent="0.25">
      <c r="A33" s="788">
        <v>20</v>
      </c>
      <c r="B33" s="789" t="s">
        <v>1068</v>
      </c>
      <c r="C33" s="796">
        <v>206000000</v>
      </c>
      <c r="D33" s="788">
        <v>0</v>
      </c>
      <c r="E33" s="788">
        <v>0</v>
      </c>
      <c r="F33" s="788">
        <v>206000000</v>
      </c>
    </row>
    <row r="34" spans="1:6" ht="16.5" x14ac:dyDescent="0.25">
      <c r="A34" s="788">
        <v>190</v>
      </c>
      <c r="B34" s="789" t="s">
        <v>1064</v>
      </c>
      <c r="C34" s="796">
        <v>0</v>
      </c>
      <c r="D34" s="788">
        <v>0</v>
      </c>
      <c r="E34" s="792">
        <v>0</v>
      </c>
      <c r="F34" s="788">
        <v>0</v>
      </c>
    </row>
    <row r="35" spans="1:6" ht="16.5" x14ac:dyDescent="0.25">
      <c r="A35" s="788">
        <v>135</v>
      </c>
      <c r="B35" s="789" t="s">
        <v>1803</v>
      </c>
      <c r="C35" s="796">
        <v>7263266657</v>
      </c>
      <c r="D35" s="788">
        <v>0</v>
      </c>
      <c r="E35" s="788">
        <v>7263266657</v>
      </c>
      <c r="F35" s="788">
        <v>0</v>
      </c>
    </row>
    <row r="36" spans="1:6" ht="16.5" x14ac:dyDescent="0.25">
      <c r="A36" s="788">
        <v>20</v>
      </c>
      <c r="B36" s="789" t="s">
        <v>1069</v>
      </c>
      <c r="C36" s="796">
        <v>244827263</v>
      </c>
      <c r="D36" s="788">
        <v>0</v>
      </c>
      <c r="E36" s="788">
        <v>0</v>
      </c>
      <c r="F36" s="788">
        <v>244827263</v>
      </c>
    </row>
    <row r="37" spans="1:6" ht="16.5" x14ac:dyDescent="0.25">
      <c r="A37" s="788">
        <v>20</v>
      </c>
      <c r="B37" s="789" t="s">
        <v>1070</v>
      </c>
      <c r="C37" s="796">
        <v>118460356</v>
      </c>
      <c r="D37" s="788">
        <v>0</v>
      </c>
      <c r="E37" s="788">
        <v>0</v>
      </c>
      <c r="F37" s="788">
        <v>118460356</v>
      </c>
    </row>
    <row r="38" spans="1:6" ht="16.5" x14ac:dyDescent="0.25">
      <c r="A38" s="788">
        <v>20</v>
      </c>
      <c r="B38" s="789" t="s">
        <v>1979</v>
      </c>
      <c r="C38" s="796">
        <v>354197207</v>
      </c>
      <c r="D38" s="788">
        <v>0</v>
      </c>
      <c r="E38" s="788">
        <v>0</v>
      </c>
      <c r="F38" s="788">
        <v>354197207</v>
      </c>
    </row>
    <row r="39" spans="1:6" ht="16.5" x14ac:dyDescent="0.3">
      <c r="A39" s="788">
        <v>20</v>
      </c>
      <c r="B39" s="789" t="s">
        <v>1072</v>
      </c>
      <c r="C39" s="797">
        <v>30000000</v>
      </c>
      <c r="D39" s="788">
        <v>0</v>
      </c>
      <c r="E39" s="788">
        <v>0</v>
      </c>
      <c r="F39" s="788">
        <v>30000000</v>
      </c>
    </row>
    <row r="40" spans="1:6" s="54" customFormat="1" ht="16.5" x14ac:dyDescent="0.3">
      <c r="A40" s="788">
        <v>35</v>
      </c>
      <c r="B40" s="789" t="s">
        <v>1796</v>
      </c>
      <c r="C40" s="797">
        <v>2973420939</v>
      </c>
      <c r="D40" s="788">
        <v>2973420939</v>
      </c>
      <c r="E40" s="788">
        <v>0</v>
      </c>
      <c r="F40" s="788">
        <v>0</v>
      </c>
    </row>
    <row r="41" spans="1:6" s="54" customFormat="1" ht="16.5" x14ac:dyDescent="0.25">
      <c r="A41" s="788">
        <v>179</v>
      </c>
      <c r="B41" s="789" t="s">
        <v>1797</v>
      </c>
      <c r="C41" s="796">
        <v>637161630</v>
      </c>
      <c r="D41" s="788">
        <v>0</v>
      </c>
      <c r="E41" s="788">
        <v>637161630</v>
      </c>
      <c r="F41" s="788">
        <v>0</v>
      </c>
    </row>
    <row r="42" spans="1:6" ht="16.5" x14ac:dyDescent="0.25">
      <c r="A42" s="788">
        <v>20</v>
      </c>
      <c r="B42" s="789" t="s">
        <v>1080</v>
      </c>
      <c r="C42" s="796">
        <v>9769811656</v>
      </c>
      <c r="D42" s="798">
        <v>0</v>
      </c>
      <c r="E42" s="788">
        <v>0</v>
      </c>
      <c r="F42" s="788">
        <v>9769811656</v>
      </c>
    </row>
    <row r="43" spans="1:6" s="54" customFormat="1" ht="16.5" x14ac:dyDescent="0.25">
      <c r="A43" s="788">
        <v>18</v>
      </c>
      <c r="B43" s="789" t="s">
        <v>1085</v>
      </c>
      <c r="C43" s="799">
        <v>580088442</v>
      </c>
      <c r="D43" s="788">
        <v>0</v>
      </c>
      <c r="E43" s="788">
        <v>580088442</v>
      </c>
      <c r="F43" s="795">
        <v>0</v>
      </c>
    </row>
    <row r="44" spans="1:6" s="54" customFormat="1" ht="33" x14ac:dyDescent="0.25">
      <c r="A44" s="788">
        <v>56</v>
      </c>
      <c r="B44" s="789" t="s">
        <v>1799</v>
      </c>
      <c r="C44" s="796">
        <v>250000000</v>
      </c>
      <c r="D44" s="788">
        <v>250000000</v>
      </c>
      <c r="E44" s="788">
        <v>0</v>
      </c>
      <c r="F44" s="788">
        <v>0</v>
      </c>
    </row>
    <row r="45" spans="1:6" ht="16.5" x14ac:dyDescent="0.25">
      <c r="A45" s="788">
        <v>23</v>
      </c>
      <c r="B45" s="789" t="s">
        <v>1988</v>
      </c>
      <c r="C45" s="796">
        <v>2995430273</v>
      </c>
      <c r="D45" s="788">
        <f>+C45-C143</f>
        <v>2019430273</v>
      </c>
      <c r="E45" s="788">
        <v>0</v>
      </c>
      <c r="F45" s="788">
        <v>0</v>
      </c>
    </row>
    <row r="46" spans="1:6" ht="16.5" x14ac:dyDescent="0.25">
      <c r="A46" s="788">
        <v>23</v>
      </c>
      <c r="B46" s="789" t="s">
        <v>1989</v>
      </c>
      <c r="C46" s="796"/>
      <c r="D46" s="788">
        <f>+C143</f>
        <v>976000000.00000012</v>
      </c>
      <c r="E46" s="788"/>
      <c r="F46" s="788"/>
    </row>
    <row r="47" spans="1:6" ht="16.5" x14ac:dyDescent="0.25">
      <c r="A47" s="788">
        <v>47</v>
      </c>
      <c r="B47" s="789" t="s">
        <v>1093</v>
      </c>
      <c r="C47" s="796">
        <v>141163803</v>
      </c>
      <c r="D47" s="788">
        <v>141163803</v>
      </c>
      <c r="E47" s="788">
        <v>0</v>
      </c>
      <c r="F47" s="788">
        <v>0</v>
      </c>
    </row>
    <row r="48" spans="1:6" ht="33" x14ac:dyDescent="0.25">
      <c r="A48" s="788"/>
      <c r="B48" s="789" t="s">
        <v>1066</v>
      </c>
      <c r="C48" s="838">
        <f>+'F y U 2022 Presupuesto'!C102</f>
        <v>2991799289</v>
      </c>
      <c r="D48" s="839">
        <f>+C48</f>
        <v>2991799289</v>
      </c>
      <c r="E48" s="839"/>
      <c r="F48" s="839"/>
    </row>
    <row r="49" spans="1:6" ht="16.5" x14ac:dyDescent="0.25">
      <c r="A49" s="788"/>
      <c r="B49" s="837" t="s">
        <v>1149</v>
      </c>
      <c r="C49" s="838">
        <f>+'F y U 2022 Presupuesto'!C104</f>
        <v>1611202918.3606</v>
      </c>
      <c r="D49" s="839">
        <f>+C49</f>
        <v>1611202918.3606</v>
      </c>
      <c r="E49" s="839"/>
      <c r="F49" s="839"/>
    </row>
    <row r="50" spans="1:6" ht="16.5" x14ac:dyDescent="0.3">
      <c r="A50" s="788"/>
      <c r="B50" s="836" t="s">
        <v>1802</v>
      </c>
      <c r="C50" s="800">
        <f>SUM(C7:C49)</f>
        <v>121910454304.3606</v>
      </c>
      <c r="D50" s="800">
        <f>SUM(D7:D49)</f>
        <v>19984390117.3606</v>
      </c>
      <c r="E50" s="800">
        <f>SUM(E7:E49)</f>
        <v>19820037702</v>
      </c>
      <c r="F50" s="800">
        <f>SUM(F7:F49)</f>
        <v>82106026485</v>
      </c>
    </row>
    <row r="51" spans="1:6" ht="16.5" x14ac:dyDescent="0.25">
      <c r="A51" s="788"/>
      <c r="B51" s="789"/>
      <c r="C51" s="798"/>
      <c r="D51" s="788"/>
      <c r="E51" s="788"/>
      <c r="F51" s="788"/>
    </row>
    <row r="52" spans="1:6" ht="33" x14ac:dyDescent="0.25">
      <c r="A52" s="788">
        <v>20</v>
      </c>
      <c r="B52" s="789" t="s">
        <v>1157</v>
      </c>
      <c r="C52" s="798">
        <v>1368223930</v>
      </c>
      <c r="D52" s="788">
        <v>0</v>
      </c>
      <c r="E52" s="788">
        <v>0</v>
      </c>
      <c r="F52" s="788">
        <v>1368223930</v>
      </c>
    </row>
    <row r="53" spans="1:6" ht="33" x14ac:dyDescent="0.25">
      <c r="A53" s="788">
        <v>20</v>
      </c>
      <c r="B53" s="789" t="s">
        <v>1158</v>
      </c>
      <c r="C53" s="798">
        <v>2382349720</v>
      </c>
      <c r="D53" s="788">
        <v>0</v>
      </c>
      <c r="E53" s="788">
        <v>0</v>
      </c>
      <c r="F53" s="788">
        <v>2382349720</v>
      </c>
    </row>
    <row r="54" spans="1:6" ht="33" x14ac:dyDescent="0.25">
      <c r="A54" s="788">
        <v>20</v>
      </c>
      <c r="B54" s="789" t="s">
        <v>1160</v>
      </c>
      <c r="C54" s="798">
        <v>500000000</v>
      </c>
      <c r="D54" s="788">
        <v>0</v>
      </c>
      <c r="E54" s="788">
        <v>0</v>
      </c>
      <c r="F54" s="788">
        <v>500000000</v>
      </c>
    </row>
    <row r="55" spans="1:6" ht="16.5" x14ac:dyDescent="0.25">
      <c r="A55" s="788">
        <v>20</v>
      </c>
      <c r="B55" s="789" t="s">
        <v>606</v>
      </c>
      <c r="C55" s="798">
        <v>10000000</v>
      </c>
      <c r="D55" s="788">
        <v>0</v>
      </c>
      <c r="E55" s="788">
        <v>0</v>
      </c>
      <c r="F55" s="788">
        <v>10000000</v>
      </c>
    </row>
    <row r="56" spans="1:6" ht="33" x14ac:dyDescent="0.25">
      <c r="A56" s="788">
        <v>20</v>
      </c>
      <c r="B56" s="789" t="s">
        <v>1804</v>
      </c>
      <c r="C56" s="798">
        <v>412620217</v>
      </c>
      <c r="D56" s="788">
        <v>0</v>
      </c>
      <c r="E56" s="788">
        <v>0</v>
      </c>
      <c r="F56" s="798">
        <v>412620217</v>
      </c>
    </row>
    <row r="57" spans="1:6" ht="16.5" x14ac:dyDescent="0.25">
      <c r="A57" s="788">
        <v>4</v>
      </c>
      <c r="B57" s="789" t="s">
        <v>1805</v>
      </c>
      <c r="C57" s="798">
        <v>1664967</v>
      </c>
      <c r="D57" s="788">
        <v>1664967</v>
      </c>
      <c r="E57" s="792">
        <v>0</v>
      </c>
      <c r="F57" s="802">
        <v>0</v>
      </c>
    </row>
    <row r="58" spans="1:6" ht="33" x14ac:dyDescent="0.25">
      <c r="A58" s="788">
        <v>176</v>
      </c>
      <c r="B58" s="789" t="s">
        <v>1806</v>
      </c>
      <c r="C58" s="798">
        <v>481528</v>
      </c>
      <c r="D58" s="788">
        <v>0</v>
      </c>
      <c r="E58" s="792">
        <v>481528</v>
      </c>
      <c r="F58" s="802">
        <v>0</v>
      </c>
    </row>
    <row r="59" spans="1:6" ht="33" x14ac:dyDescent="0.25">
      <c r="A59" s="788">
        <v>5</v>
      </c>
      <c r="B59" s="789" t="s">
        <v>1807</v>
      </c>
      <c r="C59" s="798">
        <v>316121</v>
      </c>
      <c r="D59" s="788">
        <v>0</v>
      </c>
      <c r="E59" s="788">
        <v>316121</v>
      </c>
      <c r="F59" s="802">
        <v>0</v>
      </c>
    </row>
    <row r="60" spans="1:6" ht="33" x14ac:dyDescent="0.25">
      <c r="A60" s="788">
        <v>33</v>
      </c>
      <c r="B60" s="789" t="s">
        <v>1808</v>
      </c>
      <c r="C60" s="798">
        <v>158060</v>
      </c>
      <c r="D60" s="788">
        <v>158060</v>
      </c>
      <c r="E60" s="788">
        <v>0</v>
      </c>
      <c r="F60" s="802">
        <v>0</v>
      </c>
    </row>
    <row r="61" spans="1:6" ht="33" x14ac:dyDescent="0.25">
      <c r="A61" s="788">
        <v>34</v>
      </c>
      <c r="B61" s="789" t="s">
        <v>1809</v>
      </c>
      <c r="C61" s="798">
        <v>158060</v>
      </c>
      <c r="D61" s="788">
        <v>158060</v>
      </c>
      <c r="E61" s="788">
        <v>0</v>
      </c>
      <c r="F61" s="802">
        <v>0</v>
      </c>
    </row>
    <row r="62" spans="1:6" ht="33" x14ac:dyDescent="0.25">
      <c r="A62" s="788">
        <v>39</v>
      </c>
      <c r="B62" s="789" t="s">
        <v>1810</v>
      </c>
      <c r="C62" s="798">
        <v>790301</v>
      </c>
      <c r="D62" s="788">
        <v>790301</v>
      </c>
      <c r="E62" s="788">
        <v>0</v>
      </c>
      <c r="F62" s="802">
        <v>0</v>
      </c>
    </row>
    <row r="63" spans="1:6" ht="33" x14ac:dyDescent="0.25">
      <c r="A63" s="788">
        <v>41</v>
      </c>
      <c r="B63" s="789" t="s">
        <v>1811</v>
      </c>
      <c r="C63" s="798">
        <v>158060</v>
      </c>
      <c r="D63" s="788">
        <v>158060</v>
      </c>
      <c r="E63" s="788">
        <v>0</v>
      </c>
      <c r="F63" s="802">
        <v>0</v>
      </c>
    </row>
    <row r="64" spans="1:6" ht="33" x14ac:dyDescent="0.25">
      <c r="A64" s="788">
        <v>6</v>
      </c>
      <c r="B64" s="789" t="s">
        <v>1812</v>
      </c>
      <c r="C64" s="798">
        <v>1400016</v>
      </c>
      <c r="D64" s="788">
        <v>1400016</v>
      </c>
      <c r="E64" s="792">
        <v>0</v>
      </c>
      <c r="F64" s="802">
        <v>0</v>
      </c>
    </row>
    <row r="65" spans="1:6" ht="33" x14ac:dyDescent="0.25">
      <c r="A65" s="788">
        <v>178</v>
      </c>
      <c r="B65" s="789" t="s">
        <v>1813</v>
      </c>
      <c r="C65" s="798">
        <v>325004</v>
      </c>
      <c r="D65" s="788">
        <v>0</v>
      </c>
      <c r="E65" s="788">
        <v>325004</v>
      </c>
      <c r="F65" s="802">
        <v>0</v>
      </c>
    </row>
    <row r="66" spans="1:6" ht="33" x14ac:dyDescent="0.25">
      <c r="A66" s="788">
        <v>42</v>
      </c>
      <c r="B66" s="789" t="s">
        <v>1814</v>
      </c>
      <c r="C66" s="798">
        <v>2314305</v>
      </c>
      <c r="D66" s="788">
        <v>2314305</v>
      </c>
      <c r="E66" s="788">
        <v>0</v>
      </c>
      <c r="F66" s="802">
        <v>0</v>
      </c>
    </row>
    <row r="67" spans="1:6" ht="33" x14ac:dyDescent="0.25">
      <c r="A67" s="788">
        <v>27</v>
      </c>
      <c r="B67" s="789" t="s">
        <v>1815</v>
      </c>
      <c r="C67" s="798">
        <v>311522</v>
      </c>
      <c r="D67" s="788">
        <v>311522</v>
      </c>
      <c r="E67" s="792">
        <v>0</v>
      </c>
      <c r="F67" s="802">
        <v>0</v>
      </c>
    </row>
    <row r="68" spans="1:6" ht="16.5" x14ac:dyDescent="0.25">
      <c r="A68" s="788">
        <v>136</v>
      </c>
      <c r="B68" s="789" t="s">
        <v>1816</v>
      </c>
      <c r="C68" s="798">
        <v>39724450</v>
      </c>
      <c r="D68" s="788">
        <v>0</v>
      </c>
      <c r="E68" s="788">
        <v>39724450</v>
      </c>
      <c r="F68" s="788">
        <v>0</v>
      </c>
    </row>
    <row r="69" spans="1:6" ht="16.5" x14ac:dyDescent="0.25">
      <c r="A69" s="788">
        <v>20</v>
      </c>
      <c r="B69" s="789" t="s">
        <v>1184</v>
      </c>
      <c r="C69" s="798">
        <v>150000000</v>
      </c>
      <c r="D69" s="788">
        <v>0</v>
      </c>
      <c r="E69" s="788">
        <v>0</v>
      </c>
      <c r="F69" s="788">
        <v>150000000</v>
      </c>
    </row>
    <row r="70" spans="1:6" ht="16.5" x14ac:dyDescent="0.3">
      <c r="B70" s="835" t="s">
        <v>1817</v>
      </c>
      <c r="C70" s="800">
        <f>SUM(C51:C69)</f>
        <v>4870996261</v>
      </c>
      <c r="D70" s="800">
        <f>SUM(D51:D69)</f>
        <v>6955291</v>
      </c>
      <c r="E70" s="800">
        <f>SUM(E51:E69)</f>
        <v>40847103</v>
      </c>
      <c r="F70" s="800">
        <f>SUM(F51:F69)</f>
        <v>4823193867</v>
      </c>
    </row>
    <row r="71" spans="1:6" ht="16.5" x14ac:dyDescent="0.25">
      <c r="A71" s="801"/>
      <c r="B71" s="1785"/>
      <c r="C71" s="1786"/>
      <c r="D71" s="1786"/>
      <c r="E71" s="1786"/>
      <c r="F71" s="1787"/>
    </row>
    <row r="72" spans="1:6" ht="16.5" x14ac:dyDescent="0.25">
      <c r="A72" s="801"/>
      <c r="B72" s="1780" t="s">
        <v>1990</v>
      </c>
      <c r="C72" s="1781"/>
      <c r="D72" s="1781"/>
      <c r="E72" s="1781"/>
      <c r="F72" s="1782"/>
    </row>
    <row r="73" spans="1:6" ht="16.5" x14ac:dyDescent="0.25">
      <c r="A73" s="801"/>
      <c r="B73" s="1785" t="s">
        <v>1100</v>
      </c>
      <c r="C73" s="1786"/>
      <c r="D73" s="1786"/>
      <c r="E73" s="1786"/>
      <c r="F73" s="1787"/>
    </row>
    <row r="74" spans="1:6" ht="33" x14ac:dyDescent="0.25">
      <c r="A74" s="788">
        <v>25</v>
      </c>
      <c r="B74" s="789" t="s">
        <v>1101</v>
      </c>
      <c r="C74" s="798">
        <v>148302000000</v>
      </c>
      <c r="D74" s="788">
        <v>148302000000</v>
      </c>
      <c r="E74" s="788"/>
      <c r="F74" s="795"/>
    </row>
    <row r="75" spans="1:6" s="54" customFormat="1" ht="33" x14ac:dyDescent="0.25">
      <c r="A75" s="788">
        <v>26</v>
      </c>
      <c r="B75" s="789" t="s">
        <v>1102</v>
      </c>
      <c r="C75" s="798">
        <v>29000000000</v>
      </c>
      <c r="D75" s="788">
        <v>29000000000</v>
      </c>
      <c r="E75" s="788"/>
      <c r="F75" s="788"/>
    </row>
    <row r="76" spans="1:6" ht="16.5" x14ac:dyDescent="0.25">
      <c r="A76" s="788">
        <v>25</v>
      </c>
      <c r="B76" s="789" t="s">
        <v>1105</v>
      </c>
      <c r="C76" s="798">
        <v>622000000</v>
      </c>
      <c r="D76" s="788">
        <v>622000000</v>
      </c>
      <c r="E76" s="788"/>
      <c r="F76" s="788"/>
    </row>
    <row r="77" spans="1:6" ht="16.5" x14ac:dyDescent="0.25">
      <c r="A77" s="788">
        <v>25</v>
      </c>
      <c r="B77" s="789" t="s">
        <v>1106</v>
      </c>
      <c r="C77" s="798">
        <v>1463000000</v>
      </c>
      <c r="D77" s="788">
        <v>1463000000</v>
      </c>
      <c r="E77" s="788"/>
      <c r="F77" s="788"/>
    </row>
    <row r="78" spans="1:6" ht="16.5" x14ac:dyDescent="0.25">
      <c r="A78" s="788">
        <v>81</v>
      </c>
      <c r="B78" s="789" t="s">
        <v>1107</v>
      </c>
      <c r="C78" s="798">
        <v>11000000000</v>
      </c>
      <c r="D78" s="788">
        <v>11000000000</v>
      </c>
      <c r="E78" s="788"/>
      <c r="F78" s="795"/>
    </row>
    <row r="79" spans="1:6" s="54" customFormat="1" ht="33" x14ac:dyDescent="0.25">
      <c r="A79" s="788">
        <v>21</v>
      </c>
      <c r="B79" s="789" t="s">
        <v>1113</v>
      </c>
      <c r="C79" s="798">
        <v>5000000</v>
      </c>
      <c r="D79" s="788">
        <v>5000000</v>
      </c>
      <c r="E79" s="788"/>
      <c r="F79" s="795"/>
    </row>
    <row r="80" spans="1:6" s="54" customFormat="1" ht="33" x14ac:dyDescent="0.25">
      <c r="A80" s="788">
        <v>81</v>
      </c>
      <c r="B80" s="789" t="s">
        <v>1818</v>
      </c>
      <c r="C80" s="798">
        <v>10000000</v>
      </c>
      <c r="D80" s="788">
        <v>10000000</v>
      </c>
      <c r="E80" s="788"/>
      <c r="F80" s="795"/>
    </row>
    <row r="81" spans="1:6" s="54" customFormat="1" ht="16.5" x14ac:dyDescent="0.25">
      <c r="A81" s="788">
        <v>9</v>
      </c>
      <c r="B81" s="789" t="s">
        <v>606</v>
      </c>
      <c r="C81" s="798">
        <v>80000000</v>
      </c>
      <c r="D81" s="788">
        <v>80000000</v>
      </c>
      <c r="E81" s="788"/>
      <c r="F81" s="795"/>
    </row>
    <row r="82" spans="1:6" ht="16.5" x14ac:dyDescent="0.3">
      <c r="B82" s="835" t="s">
        <v>1991</v>
      </c>
      <c r="C82" s="800">
        <f>SUM(C74:C81)</f>
        <v>190482000000</v>
      </c>
      <c r="D82" s="800">
        <f>SUM(D74:D81)</f>
        <v>190482000000</v>
      </c>
      <c r="E82" s="800"/>
      <c r="F82" s="800"/>
    </row>
    <row r="83" spans="1:6" ht="16.5" x14ac:dyDescent="0.3">
      <c r="B83" s="840"/>
      <c r="C83" s="841"/>
      <c r="D83" s="841"/>
      <c r="E83" s="841"/>
      <c r="F83" s="842"/>
    </row>
    <row r="84" spans="1:6" s="54" customFormat="1" ht="16.5" x14ac:dyDescent="0.25">
      <c r="A84" s="1777" t="s">
        <v>1116</v>
      </c>
      <c r="B84" s="1778"/>
      <c r="C84" s="1778"/>
      <c r="D84" s="1778"/>
      <c r="E84" s="1778"/>
      <c r="F84" s="1779"/>
    </row>
    <row r="85" spans="1:6" s="54" customFormat="1" ht="33" x14ac:dyDescent="0.25">
      <c r="A85" s="788">
        <v>61</v>
      </c>
      <c r="B85" s="803" t="s">
        <v>1119</v>
      </c>
      <c r="C85" s="788">
        <v>4274847597</v>
      </c>
      <c r="D85" s="788">
        <v>4274847597</v>
      </c>
      <c r="E85" s="788"/>
      <c r="F85" s="795"/>
    </row>
    <row r="86" spans="1:6" s="54" customFormat="1" ht="33" x14ac:dyDescent="0.25">
      <c r="A86" s="788">
        <v>171</v>
      </c>
      <c r="B86" s="803" t="s">
        <v>1120</v>
      </c>
      <c r="C86" s="788">
        <v>1724393294</v>
      </c>
      <c r="D86" s="788">
        <v>1724393294</v>
      </c>
      <c r="E86" s="788"/>
      <c r="F86" s="795"/>
    </row>
    <row r="87" spans="1:6" s="54" customFormat="1" ht="33" x14ac:dyDescent="0.25">
      <c r="A87" s="788">
        <v>61</v>
      </c>
      <c r="B87" s="803" t="str">
        <f>+'[3]Plan Financiero 2021'!A100</f>
        <v>Rendimientos por Operaciones Financieras. (SGP - Salud Pública )</v>
      </c>
      <c r="C87" s="788">
        <v>3000000</v>
      </c>
      <c r="D87" s="788">
        <v>3000000</v>
      </c>
      <c r="E87" s="788"/>
      <c r="F87" s="795"/>
    </row>
    <row r="88" spans="1:6" s="54" customFormat="1" ht="33" x14ac:dyDescent="0.25">
      <c r="A88" s="801">
        <v>171</v>
      </c>
      <c r="B88" s="803" t="str">
        <f>+'[3]Plan Financiero 2021'!A101</f>
        <v>Rendimientos por Operaciones Financieras. (SGP - Oferta)</v>
      </c>
      <c r="C88" s="788">
        <v>1000000</v>
      </c>
      <c r="D88" s="788">
        <v>1000000</v>
      </c>
      <c r="E88" s="788"/>
      <c r="F88" s="795"/>
    </row>
    <row r="89" spans="1:6" s="54" customFormat="1" ht="33" x14ac:dyDescent="0.25">
      <c r="A89" s="801"/>
      <c r="B89" s="803" t="str">
        <f>+'[3]Plan Financiero 2021'!A102</f>
        <v>Rendimientos por Operaciones Financieras. (Fondo Estupefacientes )</v>
      </c>
      <c r="C89" s="788">
        <v>1000000</v>
      </c>
      <c r="D89" s="788">
        <v>1000000</v>
      </c>
      <c r="E89" s="788"/>
      <c r="F89" s="795"/>
    </row>
    <row r="90" spans="1:6" s="54" customFormat="1" ht="33" x14ac:dyDescent="0.25">
      <c r="A90" s="801"/>
      <c r="B90" s="803" t="str">
        <f>+'[3]Plan Financiero 2021'!A103</f>
        <v>Rendimientos por Operaciones Financieras. (Rentas Cedidas )</v>
      </c>
      <c r="C90" s="788">
        <v>2000000</v>
      </c>
      <c r="D90" s="788">
        <v>2000000</v>
      </c>
      <c r="E90" s="788"/>
      <c r="F90" s="795"/>
    </row>
    <row r="91" spans="1:6" s="54" customFormat="1" ht="16.5" x14ac:dyDescent="0.25">
      <c r="A91" s="801"/>
      <c r="B91" s="803" t="s">
        <v>1126</v>
      </c>
      <c r="C91" s="788">
        <v>7858326767</v>
      </c>
      <c r="D91" s="788">
        <v>7858326767</v>
      </c>
      <c r="E91" s="788"/>
      <c r="F91" s="795"/>
    </row>
    <row r="92" spans="1:6" s="54" customFormat="1" ht="16.5" x14ac:dyDescent="0.25">
      <c r="A92" s="801"/>
      <c r="B92" s="803" t="s">
        <v>1127</v>
      </c>
      <c r="C92" s="788">
        <v>3359643356</v>
      </c>
      <c r="D92" s="788">
        <v>3359643356</v>
      </c>
      <c r="E92" s="788"/>
      <c r="F92" s="795"/>
    </row>
    <row r="93" spans="1:6" s="54" customFormat="1" ht="16.5" x14ac:dyDescent="0.25">
      <c r="A93" s="801"/>
      <c r="B93" s="803" t="s">
        <v>1128</v>
      </c>
      <c r="C93" s="788">
        <v>6177689520</v>
      </c>
      <c r="D93" s="788">
        <v>6177689520</v>
      </c>
      <c r="E93" s="788"/>
      <c r="F93" s="795"/>
    </row>
    <row r="94" spans="1:6" s="54" customFormat="1" ht="16.5" x14ac:dyDescent="0.25">
      <c r="A94" s="801"/>
      <c r="B94" s="803" t="s">
        <v>1129</v>
      </c>
      <c r="C94" s="788">
        <v>919337676</v>
      </c>
      <c r="D94" s="788">
        <v>919337676</v>
      </c>
      <c r="E94" s="788"/>
      <c r="F94" s="788"/>
    </row>
    <row r="95" spans="1:6" ht="16.5" x14ac:dyDescent="0.25">
      <c r="A95" s="801"/>
      <c r="B95" s="803" t="s">
        <v>1130</v>
      </c>
      <c r="C95" s="788">
        <v>20000000</v>
      </c>
      <c r="D95" s="788">
        <v>20000000</v>
      </c>
      <c r="E95" s="788"/>
      <c r="F95" s="795"/>
    </row>
    <row r="96" spans="1:6" s="54" customFormat="1" ht="33" x14ac:dyDescent="0.25">
      <c r="A96" s="801"/>
      <c r="B96" s="803" t="s">
        <v>1132</v>
      </c>
      <c r="C96" s="788">
        <v>3280528488</v>
      </c>
      <c r="D96" s="788">
        <v>3280528488</v>
      </c>
      <c r="E96" s="788"/>
      <c r="F96" s="788"/>
    </row>
    <row r="97" spans="1:6" ht="16.5" x14ac:dyDescent="0.25">
      <c r="A97" s="801"/>
      <c r="B97" s="803" t="s">
        <v>1133</v>
      </c>
      <c r="C97" s="788">
        <v>625919990</v>
      </c>
      <c r="D97" s="788">
        <v>625919990</v>
      </c>
      <c r="E97" s="788"/>
      <c r="F97" s="788"/>
    </row>
    <row r="98" spans="1:6" ht="16.5" x14ac:dyDescent="0.25">
      <c r="A98" s="801"/>
      <c r="B98" s="803" t="s">
        <v>1137</v>
      </c>
      <c r="C98" s="788">
        <v>1952280000</v>
      </c>
      <c r="D98" s="788">
        <v>1952280000</v>
      </c>
      <c r="E98" s="788"/>
      <c r="F98" s="795"/>
    </row>
    <row r="99" spans="1:6" s="54" customFormat="1" ht="16.5" x14ac:dyDescent="0.25">
      <c r="A99" s="801"/>
      <c r="B99" s="803" t="s">
        <v>1138</v>
      </c>
      <c r="C99" s="788">
        <v>1092098809</v>
      </c>
      <c r="D99" s="788">
        <v>1092098809</v>
      </c>
      <c r="E99" s="788"/>
      <c r="F99" s="788"/>
    </row>
    <row r="100" spans="1:6" ht="16.5" x14ac:dyDescent="0.25">
      <c r="A100" s="801"/>
      <c r="B100" s="803" t="s">
        <v>1139</v>
      </c>
      <c r="C100" s="788">
        <v>960000000</v>
      </c>
      <c r="D100" s="788">
        <v>960000000</v>
      </c>
      <c r="E100" s="788"/>
      <c r="F100" s="795"/>
    </row>
    <row r="101" spans="1:6" s="54" customFormat="1" ht="16.5" x14ac:dyDescent="0.25">
      <c r="A101" s="801"/>
      <c r="B101" s="803" t="s">
        <v>1141</v>
      </c>
      <c r="C101" s="788">
        <v>3749209145</v>
      </c>
      <c r="D101" s="788">
        <v>3749209145</v>
      </c>
      <c r="E101" s="788"/>
      <c r="F101" s="795"/>
    </row>
    <row r="102" spans="1:6" s="54" customFormat="1" ht="16.5" x14ac:dyDescent="0.25">
      <c r="A102" s="801"/>
      <c r="B102" s="803" t="s">
        <v>1142</v>
      </c>
      <c r="C102" s="788">
        <v>7157581679</v>
      </c>
      <c r="D102" s="788">
        <v>7157581679</v>
      </c>
      <c r="E102" s="788"/>
      <c r="F102" s="795"/>
    </row>
    <row r="103" spans="1:6" s="54" customFormat="1" ht="16.5" x14ac:dyDescent="0.25">
      <c r="A103" s="801"/>
      <c r="B103" s="803" t="s">
        <v>1143</v>
      </c>
      <c r="C103" s="788">
        <v>393715436</v>
      </c>
      <c r="D103" s="788">
        <v>393715436</v>
      </c>
      <c r="E103" s="788"/>
      <c r="F103" s="795"/>
    </row>
    <row r="104" spans="1:6" s="54" customFormat="1" ht="33" x14ac:dyDescent="0.25">
      <c r="A104" s="801"/>
      <c r="B104" s="803" t="str">
        <f>+'[3]Plan Financiero 2021'!A127</f>
        <v>IVA Cedido Sobre Licores, Vinos, Aperitivos y Similares</v>
      </c>
      <c r="C104" s="788">
        <v>1362067804</v>
      </c>
      <c r="D104" s="788">
        <v>1362067804</v>
      </c>
      <c r="E104" s="788"/>
      <c r="F104" s="795"/>
    </row>
    <row r="105" spans="1:6" s="54" customFormat="1" ht="16.5" x14ac:dyDescent="0.25">
      <c r="A105" s="801"/>
      <c r="B105" s="803" t="s">
        <v>1146</v>
      </c>
      <c r="C105" s="788">
        <v>2121689396</v>
      </c>
      <c r="D105" s="788">
        <v>2121689396</v>
      </c>
      <c r="E105" s="788"/>
      <c r="F105" s="795"/>
    </row>
    <row r="106" spans="1:6" ht="16.5" x14ac:dyDescent="0.3">
      <c r="B106" s="835" t="s">
        <v>1992</v>
      </c>
      <c r="C106" s="800">
        <f>SUM(C85:C105)</f>
        <v>47036328957</v>
      </c>
      <c r="D106" s="800">
        <f>SUM(D85:D105)</f>
        <v>47036328957</v>
      </c>
      <c r="E106" s="800"/>
      <c r="F106" s="800"/>
    </row>
    <row r="107" spans="1:6" s="54" customFormat="1" ht="16.5" x14ac:dyDescent="0.25">
      <c r="A107" s="801"/>
      <c r="B107" s="805"/>
      <c r="C107" s="806"/>
      <c r="D107" s="806"/>
      <c r="E107" s="806"/>
      <c r="F107" s="806"/>
    </row>
    <row r="108" spans="1:6" s="54" customFormat="1" ht="16.5" x14ac:dyDescent="0.25">
      <c r="A108" s="801"/>
      <c r="B108" s="844" t="s">
        <v>1825</v>
      </c>
      <c r="C108" s="845">
        <f>+C106+C82</f>
        <v>237518328957</v>
      </c>
      <c r="D108" s="845">
        <f>+D106+D82</f>
        <v>237518328957</v>
      </c>
      <c r="E108" s="845">
        <f>+E106+E82</f>
        <v>0</v>
      </c>
      <c r="F108" s="845">
        <f>+F106+F82</f>
        <v>0</v>
      </c>
    </row>
    <row r="109" spans="1:6" s="54" customFormat="1" ht="16.5" x14ac:dyDescent="0.25">
      <c r="A109" s="801"/>
      <c r="B109" s="843" t="s">
        <v>1826</v>
      </c>
      <c r="C109" s="807">
        <f>+C108+C70+C50</f>
        <v>364299779522.3606</v>
      </c>
      <c r="D109" s="807">
        <f>+D108+D70+D50</f>
        <v>257509674365.3606</v>
      </c>
      <c r="E109" s="807">
        <f>+E108+E70+E50</f>
        <v>19860884805</v>
      </c>
      <c r="F109" s="807">
        <f>+F108+F70+F50</f>
        <v>86929220352</v>
      </c>
    </row>
    <row r="110" spans="1:6" s="54" customFormat="1" ht="16.5" x14ac:dyDescent="0.25">
      <c r="A110" s="801"/>
      <c r="B110" s="1776"/>
      <c r="C110" s="1776">
        <f>ROUND('F y U 2022 Presupuesto'!C108*1,0)</f>
        <v>0</v>
      </c>
      <c r="D110" s="808"/>
      <c r="E110" s="808"/>
      <c r="F110" s="809"/>
    </row>
    <row r="111" spans="1:6" s="54" customFormat="1" ht="16.5" x14ac:dyDescent="0.25">
      <c r="A111" s="801"/>
      <c r="B111" s="789" t="s">
        <v>1827</v>
      </c>
      <c r="C111" s="810">
        <v>869292204</v>
      </c>
      <c r="D111" s="804"/>
      <c r="E111" s="804"/>
      <c r="F111" s="809"/>
    </row>
    <row r="112" spans="1:6" s="54" customFormat="1" ht="16.5" x14ac:dyDescent="0.25">
      <c r="A112" s="801"/>
      <c r="B112" s="789" t="s">
        <v>1828</v>
      </c>
      <c r="C112" s="810">
        <v>869292204</v>
      </c>
      <c r="D112" s="804"/>
      <c r="E112" s="804"/>
      <c r="F112" s="809"/>
    </row>
    <row r="113" spans="1:6" s="54" customFormat="1" ht="16.5" x14ac:dyDescent="0.25">
      <c r="A113" s="801"/>
      <c r="B113" s="789" t="s">
        <v>1829</v>
      </c>
      <c r="C113" s="810">
        <v>608504542</v>
      </c>
      <c r="D113" s="804"/>
      <c r="E113" s="804"/>
      <c r="F113" s="809"/>
    </row>
    <row r="114" spans="1:6" s="54" customFormat="1" ht="16.5" x14ac:dyDescent="0.25">
      <c r="A114" s="801"/>
      <c r="B114" s="789" t="s">
        <v>1980</v>
      </c>
      <c r="C114" s="810">
        <v>1150000000</v>
      </c>
      <c r="D114" s="804"/>
      <c r="E114" s="804"/>
      <c r="F114" s="809"/>
    </row>
    <row r="115" spans="1:6" s="54" customFormat="1" ht="16.5" x14ac:dyDescent="0.25">
      <c r="A115" s="801"/>
      <c r="B115" s="811" t="s">
        <v>1981</v>
      </c>
      <c r="C115" s="812">
        <v>8210602649</v>
      </c>
      <c r="D115" s="804"/>
      <c r="E115" s="804"/>
      <c r="F115" s="809"/>
    </row>
    <row r="116" spans="1:6" ht="16.5" x14ac:dyDescent="0.25">
      <c r="A116" s="801"/>
      <c r="B116" s="1783"/>
      <c r="C116" s="1783">
        <f>ROUND('F y U 2022 Presupuesto'!C114*1,0)</f>
        <v>0</v>
      </c>
      <c r="D116" s="813"/>
      <c r="E116" s="813"/>
      <c r="F116" s="813"/>
    </row>
    <row r="117" spans="1:6" ht="16.5" x14ac:dyDescent="0.25">
      <c r="A117" s="801"/>
      <c r="B117" s="787" t="s">
        <v>970</v>
      </c>
      <c r="C117" s="787" t="s">
        <v>1993</v>
      </c>
      <c r="D117" s="787" t="s">
        <v>1994</v>
      </c>
      <c r="E117" s="787" t="s">
        <v>1995</v>
      </c>
      <c r="F117" s="814"/>
    </row>
    <row r="118" spans="1:6" ht="16.5" x14ac:dyDescent="0.25">
      <c r="A118" s="801"/>
      <c r="B118" s="815" t="s">
        <v>972</v>
      </c>
      <c r="C118" s="822">
        <f>+F109-C111-C113-C114-C115-C112</f>
        <v>75221528753</v>
      </c>
      <c r="D118" s="816">
        <f>ROUND('F y U 2022 Presupuesto'!D116*1,0)</f>
        <v>0</v>
      </c>
      <c r="E118" s="817"/>
      <c r="F118" s="801"/>
    </row>
    <row r="119" spans="1:6" ht="16.5" x14ac:dyDescent="0.25">
      <c r="A119" s="801"/>
      <c r="B119" s="815" t="s">
        <v>973</v>
      </c>
      <c r="C119" s="822">
        <f>+C118*0.7</f>
        <v>52655070127.099998</v>
      </c>
      <c r="D119" s="816">
        <f>+C134+C135</f>
        <v>41179225582</v>
      </c>
      <c r="E119" s="817">
        <f>+D119/C118</f>
        <v>0.54743936030890206</v>
      </c>
      <c r="F119" s="801"/>
    </row>
    <row r="120" spans="1:6" ht="16.5" x14ac:dyDescent="0.25">
      <c r="A120" s="801"/>
      <c r="B120" s="818" t="s">
        <v>974</v>
      </c>
      <c r="C120" s="846">
        <f>+C118*0.3</f>
        <v>22566458625.899998</v>
      </c>
      <c r="D120" s="819">
        <f>+C118-D119</f>
        <v>34042303171</v>
      </c>
      <c r="E120" s="820">
        <f>+D120/C118</f>
        <v>0.452560639691098</v>
      </c>
      <c r="F120" s="801"/>
    </row>
    <row r="121" spans="1:6" ht="16.5" x14ac:dyDescent="0.25">
      <c r="A121" s="801"/>
      <c r="B121" s="1783"/>
      <c r="C121" s="1783">
        <f>ROUND('F y U 2022 Presupuesto'!C119*1,0)</f>
        <v>0</v>
      </c>
      <c r="D121" s="821"/>
      <c r="E121" s="808"/>
      <c r="F121" s="809"/>
    </row>
    <row r="122" spans="1:6" ht="16.5" x14ac:dyDescent="0.25">
      <c r="A122" s="801"/>
      <c r="B122" s="1771" t="s">
        <v>1832</v>
      </c>
      <c r="C122" s="1772">
        <f>ROUND('F y U 2022 Presupuesto'!C120*1,0)</f>
        <v>0</v>
      </c>
      <c r="D122" s="821"/>
      <c r="E122" s="808"/>
      <c r="F122" s="809"/>
    </row>
    <row r="123" spans="1:6" ht="16.5" x14ac:dyDescent="0.25">
      <c r="A123" s="801"/>
      <c r="B123" s="815" t="s">
        <v>1833</v>
      </c>
      <c r="C123" s="822">
        <f>+C142</f>
        <v>11081299351</v>
      </c>
      <c r="D123" s="821"/>
      <c r="E123" s="808"/>
      <c r="F123" s="809"/>
    </row>
    <row r="124" spans="1:6" ht="16.5" x14ac:dyDescent="0.25">
      <c r="A124" s="801"/>
      <c r="B124" s="815" t="s">
        <v>1835</v>
      </c>
      <c r="C124" s="822">
        <f>+C131</f>
        <v>3769319014</v>
      </c>
      <c r="D124" s="821"/>
      <c r="E124" s="808"/>
      <c r="F124" s="809"/>
    </row>
    <row r="125" spans="1:6" ht="16.5" x14ac:dyDescent="0.25">
      <c r="A125" s="801"/>
      <c r="B125" s="815" t="s">
        <v>1837</v>
      </c>
      <c r="C125" s="822">
        <f>ROUND('F y U 2022 Presupuesto'!C123*1,0)</f>
        <v>2783196564</v>
      </c>
      <c r="D125" s="821"/>
      <c r="E125" s="808"/>
      <c r="F125" s="809"/>
    </row>
    <row r="126" spans="1:6" ht="18.75" x14ac:dyDescent="0.25">
      <c r="A126" s="801"/>
      <c r="B126" s="815" t="s">
        <v>1841</v>
      </c>
      <c r="C126" s="822">
        <f>+C146</f>
        <v>18002584295</v>
      </c>
      <c r="D126" s="821"/>
      <c r="E126" s="823"/>
      <c r="F126" s="809"/>
    </row>
    <row r="127" spans="1:6" ht="16.5" x14ac:dyDescent="0.25">
      <c r="A127" s="801"/>
      <c r="B127" s="824" t="s">
        <v>1982</v>
      </c>
      <c r="C127" s="807">
        <f>SUM(C123:C126)</f>
        <v>35636399224</v>
      </c>
      <c r="D127" s="821"/>
      <c r="E127" s="821"/>
      <c r="F127" s="825"/>
    </row>
    <row r="128" spans="1:6" ht="16.5" x14ac:dyDescent="0.25">
      <c r="A128" s="801"/>
      <c r="B128" s="1784"/>
      <c r="C128" s="1784">
        <f>ROUND('F y U 2022 Presupuesto'!C126*1,0)</f>
        <v>0</v>
      </c>
      <c r="D128" s="808"/>
      <c r="E128" s="808"/>
      <c r="F128" s="809"/>
    </row>
    <row r="129" spans="1:7" ht="16.5" x14ac:dyDescent="0.25">
      <c r="A129" s="801"/>
      <c r="B129" s="1771" t="s">
        <v>1983</v>
      </c>
      <c r="C129" s="1772">
        <f>ROUND('F y U 2022 Presupuesto'!C127*1,0)</f>
        <v>0</v>
      </c>
      <c r="D129" s="814"/>
      <c r="E129" s="814"/>
      <c r="F129" s="814"/>
    </row>
    <row r="130" spans="1:7" ht="16.5" x14ac:dyDescent="0.3">
      <c r="A130" s="801"/>
      <c r="B130" s="826" t="s">
        <v>1772</v>
      </c>
      <c r="C130" s="826" t="s">
        <v>971</v>
      </c>
      <c r="D130" s="831"/>
      <c r="E130" s="831"/>
      <c r="F130" s="828"/>
    </row>
    <row r="131" spans="1:7" ht="16.5" x14ac:dyDescent="0.25">
      <c r="A131" s="801"/>
      <c r="B131" s="815" t="s">
        <v>1843</v>
      </c>
      <c r="C131" s="822">
        <f>ROUND('F y U 2022 Presupuesto'!C129*1,0)+13124770</f>
        <v>3769319014</v>
      </c>
      <c r="D131" s="821"/>
      <c r="E131" s="821"/>
      <c r="F131" s="809"/>
    </row>
    <row r="132" spans="1:7" ht="16.5" x14ac:dyDescent="0.25">
      <c r="A132" s="801"/>
      <c r="B132" s="815" t="s">
        <v>1844</v>
      </c>
      <c r="C132" s="822">
        <f>+C118*0.037</f>
        <v>2783196563.8610001</v>
      </c>
      <c r="D132" s="821"/>
      <c r="E132" s="821"/>
      <c r="F132" s="809"/>
    </row>
    <row r="133" spans="1:7" ht="33" x14ac:dyDescent="0.25">
      <c r="A133" s="801"/>
      <c r="B133" s="815" t="s">
        <v>1845</v>
      </c>
      <c r="C133" s="822">
        <f>ROUND('F y U 2022 Presupuesto'!C131*1,0)</f>
        <v>580088442</v>
      </c>
      <c r="D133" s="808"/>
      <c r="E133" s="821"/>
      <c r="F133" s="809"/>
    </row>
    <row r="134" spans="1:7" ht="33" x14ac:dyDescent="0.25">
      <c r="A134" s="801"/>
      <c r="B134" s="815" t="s">
        <v>1847</v>
      </c>
      <c r="C134" s="822">
        <f>37845500584+727831662+395248642-1000000000-550000000-580823600+2000000000-56000000+28000000+480000000+889468294</f>
        <v>40179225582</v>
      </c>
      <c r="D134" s="823"/>
      <c r="E134" s="823"/>
      <c r="F134" s="809"/>
      <c r="G134" s="648"/>
    </row>
    <row r="135" spans="1:7" ht="18.75" x14ac:dyDescent="0.25">
      <c r="A135" s="801"/>
      <c r="B135" s="815" t="s">
        <v>1848</v>
      </c>
      <c r="C135" s="822">
        <f>ROUND('F y U 2022 Presupuesto'!C133*1,0)</f>
        <v>1000000000</v>
      </c>
      <c r="D135" s="823"/>
      <c r="E135" s="829"/>
      <c r="F135" s="809"/>
    </row>
    <row r="136" spans="1:7" ht="18.75" x14ac:dyDescent="0.25">
      <c r="A136" s="801"/>
      <c r="B136" s="815" t="s">
        <v>1849</v>
      </c>
      <c r="C136" s="822">
        <f>+'F y U 2022 Presupuesto'!C134-159135000</f>
        <v>7448431839</v>
      </c>
      <c r="D136" s="823"/>
      <c r="E136" s="829"/>
      <c r="F136" s="809"/>
    </row>
    <row r="137" spans="1:7" ht="18.75" x14ac:dyDescent="0.25">
      <c r="A137" s="801"/>
      <c r="B137" s="815" t="s">
        <v>1984</v>
      </c>
      <c r="C137" s="822">
        <f>+E12+E23+E25+E31+E35+E58+E59+E65+E68</f>
        <v>11675776289</v>
      </c>
      <c r="D137" s="830"/>
      <c r="E137" s="829"/>
      <c r="F137" s="809"/>
    </row>
    <row r="138" spans="1:7" ht="18.75" x14ac:dyDescent="0.25">
      <c r="A138" s="801"/>
      <c r="B138" s="815" t="s">
        <v>1851</v>
      </c>
      <c r="C138" s="822">
        <f>+C111+C113+C114+C115</f>
        <v>10838399395</v>
      </c>
      <c r="D138" s="830"/>
      <c r="E138" s="830"/>
      <c r="F138" s="809"/>
    </row>
    <row r="139" spans="1:7" ht="18.75" x14ac:dyDescent="0.25">
      <c r="A139" s="801"/>
      <c r="B139" s="815" t="s">
        <v>1852</v>
      </c>
      <c r="C139" s="822">
        <f>+E9+E11+E13+E16+E24+E41</f>
        <v>7605020074</v>
      </c>
      <c r="D139" s="830"/>
      <c r="E139" s="830"/>
      <c r="F139" s="809"/>
    </row>
    <row r="140" spans="1:7" ht="16.5" x14ac:dyDescent="0.25">
      <c r="A140" s="801"/>
      <c r="B140" s="824" t="s">
        <v>1853</v>
      </c>
      <c r="C140" s="807">
        <f>+C131+C132+C133+C134+C135+C136+C137+C138+C139</f>
        <v>85879457198.860992</v>
      </c>
      <c r="D140" s="831"/>
      <c r="E140" s="827"/>
      <c r="F140" s="828"/>
    </row>
    <row r="141" spans="1:7" ht="16.5" x14ac:dyDescent="0.25">
      <c r="A141" s="801"/>
      <c r="B141" s="833"/>
      <c r="C141" s="834"/>
      <c r="D141" s="808"/>
      <c r="E141" s="808"/>
      <c r="F141" s="809"/>
    </row>
    <row r="142" spans="1:7" ht="16.5" x14ac:dyDescent="0.25">
      <c r="A142" s="801"/>
      <c r="B142" s="815" t="s">
        <v>1958</v>
      </c>
      <c r="C142" s="822">
        <f>11274424121-193124770</f>
        <v>11081299351</v>
      </c>
      <c r="D142" s="831"/>
      <c r="E142" s="827"/>
      <c r="F142" s="828"/>
    </row>
    <row r="143" spans="1:7" ht="16.5" x14ac:dyDescent="0.25">
      <c r="A143" s="801"/>
      <c r="B143" s="815" t="s">
        <v>1859</v>
      </c>
      <c r="C143" s="822">
        <f>+'Deuda Nueva'!D9</f>
        <v>976000000.00000012</v>
      </c>
      <c r="D143" s="821"/>
      <c r="E143" s="808"/>
      <c r="F143" s="809"/>
    </row>
    <row r="144" spans="1:7" ht="16.5" x14ac:dyDescent="0.25">
      <c r="A144" s="801"/>
      <c r="B144" s="824" t="s">
        <v>1854</v>
      </c>
      <c r="C144" s="807">
        <f>+C142+C143</f>
        <v>12057299351</v>
      </c>
      <c r="D144" s="821"/>
      <c r="E144" s="808"/>
      <c r="F144" s="809"/>
    </row>
    <row r="145" spans="1:6" ht="18.75" x14ac:dyDescent="0.25">
      <c r="A145" s="801"/>
      <c r="B145" s="833"/>
      <c r="C145" s="834"/>
      <c r="D145" s="821"/>
      <c r="E145" s="830"/>
      <c r="F145" s="809"/>
    </row>
    <row r="146" spans="1:6" ht="16.5" x14ac:dyDescent="0.25">
      <c r="A146" s="801"/>
      <c r="B146" s="815" t="s">
        <v>1958</v>
      </c>
      <c r="C146" s="822">
        <v>18002584295</v>
      </c>
      <c r="D146" s="831"/>
      <c r="E146" s="831"/>
      <c r="F146" s="828"/>
    </row>
    <row r="147" spans="1:6" ht="16.5" x14ac:dyDescent="0.25">
      <c r="A147" s="801"/>
      <c r="B147" s="815" t="s">
        <v>1859</v>
      </c>
      <c r="C147" s="822">
        <f>+D10+D22+D26+D27+D28+D29+D30+D40+D44+D45+D47+D48+D49+D60+D61+D62+D63+D64+D66+D67+D57</f>
        <v>19015345408.3606</v>
      </c>
      <c r="D147" s="831"/>
      <c r="E147" s="831"/>
      <c r="F147" s="828"/>
    </row>
    <row r="148" spans="1:6" ht="16.5" x14ac:dyDescent="0.25">
      <c r="A148" s="801"/>
      <c r="B148" s="815" t="s">
        <v>1860</v>
      </c>
      <c r="C148" s="822">
        <f>+C108-C136</f>
        <v>230069897118</v>
      </c>
      <c r="D148" s="831"/>
      <c r="E148" s="831"/>
      <c r="F148" s="801"/>
    </row>
    <row r="149" spans="1:6" ht="16.5" x14ac:dyDescent="0.25">
      <c r="A149" s="801"/>
      <c r="B149" s="824" t="s">
        <v>1861</v>
      </c>
      <c r="C149" s="807">
        <f>SUM(C146:C148)</f>
        <v>267087826821.3606</v>
      </c>
      <c r="D149" s="801"/>
      <c r="E149" s="801"/>
      <c r="F149" s="801"/>
    </row>
    <row r="150" spans="1:6" ht="16.5" x14ac:dyDescent="0.25">
      <c r="A150" s="801"/>
      <c r="B150" s="832"/>
      <c r="C150" s="801"/>
      <c r="D150" s="801"/>
      <c r="E150" s="801"/>
      <c r="F150" s="801"/>
    </row>
    <row r="151" spans="1:6" ht="33" x14ac:dyDescent="0.25">
      <c r="A151" s="801"/>
      <c r="B151" s="824" t="s">
        <v>1996</v>
      </c>
      <c r="C151" s="807">
        <f>+C149+C144+C140</f>
        <v>365024583371.22156</v>
      </c>
      <c r="D151" s="801"/>
      <c r="E151" s="801"/>
      <c r="F151" s="801"/>
    </row>
    <row r="152" spans="1:6" ht="16.5" x14ac:dyDescent="0.25">
      <c r="A152" s="801"/>
      <c r="B152" s="832"/>
      <c r="C152" s="801"/>
      <c r="D152" s="801"/>
      <c r="E152" s="801"/>
      <c r="F152" s="801"/>
    </row>
  </sheetData>
  <mergeCells count="14">
    <mergeCell ref="B129:C129"/>
    <mergeCell ref="A1:F1"/>
    <mergeCell ref="A2:F2"/>
    <mergeCell ref="A3:F3"/>
    <mergeCell ref="A4:F4"/>
    <mergeCell ref="B110:C110"/>
    <mergeCell ref="A84:F84"/>
    <mergeCell ref="B72:F72"/>
    <mergeCell ref="B116:C116"/>
    <mergeCell ref="B121:C121"/>
    <mergeCell ref="B122:C122"/>
    <mergeCell ref="B128:C128"/>
    <mergeCell ref="B71:F71"/>
    <mergeCell ref="B73:F7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D106"/>
  <sheetViews>
    <sheetView zoomScale="130" zoomScaleNormal="130" workbookViewId="0">
      <pane xSplit="2" ySplit="5" topLeftCell="C60" activePane="bottomRight" state="frozen"/>
      <selection pane="topRight" activeCell="F160" sqref="F160"/>
      <selection pane="bottomLeft" activeCell="F160" sqref="F160"/>
      <selection pane="bottomRight" activeCell="D63" sqref="D63"/>
    </sheetView>
  </sheetViews>
  <sheetFormatPr baseColWidth="10" defaultColWidth="11.42578125" defaultRowHeight="12.75" x14ac:dyDescent="0.25"/>
  <cols>
    <col min="1" max="1" width="11.42578125" style="42"/>
    <col min="2" max="2" width="35.5703125" style="95" customWidth="1"/>
    <col min="3" max="3" width="18.5703125" style="42" bestFit="1" customWidth="1"/>
    <col min="4" max="5" width="14.7109375" style="42" bestFit="1" customWidth="1"/>
    <col min="6" max="6" width="13.7109375" style="42" bestFit="1" customWidth="1"/>
    <col min="7" max="252" width="11.42578125" style="42"/>
    <col min="253" max="253" width="30.42578125" style="42" customWidth="1"/>
    <col min="254" max="254" width="23.28515625" style="42" bestFit="1" customWidth="1"/>
    <col min="255" max="255" width="18.140625" style="42" bestFit="1" customWidth="1"/>
    <col min="256" max="256" width="15.85546875" style="42" bestFit="1" customWidth="1"/>
    <col min="257" max="508" width="11.42578125" style="42"/>
    <col min="509" max="509" width="30.42578125" style="42" customWidth="1"/>
    <col min="510" max="510" width="23.28515625" style="42" bestFit="1" customWidth="1"/>
    <col min="511" max="511" width="18.140625" style="42" bestFit="1" customWidth="1"/>
    <col min="512" max="512" width="15.85546875" style="42" bestFit="1" customWidth="1"/>
    <col min="513" max="764" width="11.42578125" style="42"/>
    <col min="765" max="765" width="30.42578125" style="42" customWidth="1"/>
    <col min="766" max="766" width="23.28515625" style="42" bestFit="1" customWidth="1"/>
    <col min="767" max="767" width="18.140625" style="42" bestFit="1" customWidth="1"/>
    <col min="768" max="768" width="15.85546875" style="42" bestFit="1" customWidth="1"/>
    <col min="769" max="1020" width="11.42578125" style="42"/>
    <col min="1021" max="1021" width="30.42578125" style="42" customWidth="1"/>
    <col min="1022" max="1022" width="23.28515625" style="42" bestFit="1" customWidth="1"/>
    <col min="1023" max="1023" width="18.140625" style="42" bestFit="1" customWidth="1"/>
    <col min="1024" max="1024" width="15.85546875" style="42" bestFit="1" customWidth="1"/>
    <col min="1025" max="1276" width="11.42578125" style="42"/>
    <col min="1277" max="1277" width="30.42578125" style="42" customWidth="1"/>
    <col min="1278" max="1278" width="23.28515625" style="42" bestFit="1" customWidth="1"/>
    <col min="1279" max="1279" width="18.140625" style="42" bestFit="1" customWidth="1"/>
    <col min="1280" max="1280" width="15.85546875" style="42" bestFit="1" customWidth="1"/>
    <col min="1281" max="1532" width="11.42578125" style="42"/>
    <col min="1533" max="1533" width="30.42578125" style="42" customWidth="1"/>
    <col min="1534" max="1534" width="23.28515625" style="42" bestFit="1" customWidth="1"/>
    <col min="1535" max="1535" width="18.140625" style="42" bestFit="1" customWidth="1"/>
    <col min="1536" max="1536" width="15.85546875" style="42" bestFit="1" customWidth="1"/>
    <col min="1537" max="1788" width="11.42578125" style="42"/>
    <col min="1789" max="1789" width="30.42578125" style="42" customWidth="1"/>
    <col min="1790" max="1790" width="23.28515625" style="42" bestFit="1" customWidth="1"/>
    <col min="1791" max="1791" width="18.140625" style="42" bestFit="1" customWidth="1"/>
    <col min="1792" max="1792" width="15.85546875" style="42" bestFit="1" customWidth="1"/>
    <col min="1793" max="2044" width="11.42578125" style="42"/>
    <col min="2045" max="2045" width="30.42578125" style="42" customWidth="1"/>
    <col min="2046" max="2046" width="23.28515625" style="42" bestFit="1" customWidth="1"/>
    <col min="2047" max="2047" width="18.140625" style="42" bestFit="1" customWidth="1"/>
    <col min="2048" max="2048" width="15.85546875" style="42" bestFit="1" customWidth="1"/>
    <col min="2049" max="2300" width="11.42578125" style="42"/>
    <col min="2301" max="2301" width="30.42578125" style="42" customWidth="1"/>
    <col min="2302" max="2302" width="23.28515625" style="42" bestFit="1" customWidth="1"/>
    <col min="2303" max="2303" width="18.140625" style="42" bestFit="1" customWidth="1"/>
    <col min="2304" max="2304" width="15.85546875" style="42" bestFit="1" customWidth="1"/>
    <col min="2305" max="2556" width="11.42578125" style="42"/>
    <col min="2557" max="2557" width="30.42578125" style="42" customWidth="1"/>
    <col min="2558" max="2558" width="23.28515625" style="42" bestFit="1" customWidth="1"/>
    <col min="2559" max="2559" width="18.140625" style="42" bestFit="1" customWidth="1"/>
    <col min="2560" max="2560" width="15.85546875" style="42" bestFit="1" customWidth="1"/>
    <col min="2561" max="2812" width="11.42578125" style="42"/>
    <col min="2813" max="2813" width="30.42578125" style="42" customWidth="1"/>
    <col min="2814" max="2814" width="23.28515625" style="42" bestFit="1" customWidth="1"/>
    <col min="2815" max="2815" width="18.140625" style="42" bestFit="1" customWidth="1"/>
    <col min="2816" max="2816" width="15.85546875" style="42" bestFit="1" customWidth="1"/>
    <col min="2817" max="3068" width="11.42578125" style="42"/>
    <col min="3069" max="3069" width="30.42578125" style="42" customWidth="1"/>
    <col min="3070" max="3070" width="23.28515625" style="42" bestFit="1" customWidth="1"/>
    <col min="3071" max="3071" width="18.140625" style="42" bestFit="1" customWidth="1"/>
    <col min="3072" max="3072" width="15.85546875" style="42" bestFit="1" customWidth="1"/>
    <col min="3073" max="3324" width="11.42578125" style="42"/>
    <col min="3325" max="3325" width="30.42578125" style="42" customWidth="1"/>
    <col min="3326" max="3326" width="23.28515625" style="42" bestFit="1" customWidth="1"/>
    <col min="3327" max="3327" width="18.140625" style="42" bestFit="1" customWidth="1"/>
    <col min="3328" max="3328" width="15.85546875" style="42" bestFit="1" customWidth="1"/>
    <col min="3329" max="3580" width="11.42578125" style="42"/>
    <col min="3581" max="3581" width="30.42578125" style="42" customWidth="1"/>
    <col min="3582" max="3582" width="23.28515625" style="42" bestFit="1" customWidth="1"/>
    <col min="3583" max="3583" width="18.140625" style="42" bestFit="1" customWidth="1"/>
    <col min="3584" max="3584" width="15.85546875" style="42" bestFit="1" customWidth="1"/>
    <col min="3585" max="3836" width="11.42578125" style="42"/>
    <col min="3837" max="3837" width="30.42578125" style="42" customWidth="1"/>
    <col min="3838" max="3838" width="23.28515625" style="42" bestFit="1" customWidth="1"/>
    <col min="3839" max="3839" width="18.140625" style="42" bestFit="1" customWidth="1"/>
    <col min="3840" max="3840" width="15.85546875" style="42" bestFit="1" customWidth="1"/>
    <col min="3841" max="4092" width="11.42578125" style="42"/>
    <col min="4093" max="4093" width="30.42578125" style="42" customWidth="1"/>
    <col min="4094" max="4094" width="23.28515625" style="42" bestFit="1" customWidth="1"/>
    <col min="4095" max="4095" width="18.140625" style="42" bestFit="1" customWidth="1"/>
    <col min="4096" max="4096" width="15.85546875" style="42" bestFit="1" customWidth="1"/>
    <col min="4097" max="4348" width="11.42578125" style="42"/>
    <col min="4349" max="4349" width="30.42578125" style="42" customWidth="1"/>
    <col min="4350" max="4350" width="23.28515625" style="42" bestFit="1" customWidth="1"/>
    <col min="4351" max="4351" width="18.140625" style="42" bestFit="1" customWidth="1"/>
    <col min="4352" max="4352" width="15.85546875" style="42" bestFit="1" customWidth="1"/>
    <col min="4353" max="4604" width="11.42578125" style="42"/>
    <col min="4605" max="4605" width="30.42578125" style="42" customWidth="1"/>
    <col min="4606" max="4606" width="23.28515625" style="42" bestFit="1" customWidth="1"/>
    <col min="4607" max="4607" width="18.140625" style="42" bestFit="1" customWidth="1"/>
    <col min="4608" max="4608" width="15.85546875" style="42" bestFit="1" customWidth="1"/>
    <col min="4609" max="4860" width="11.42578125" style="42"/>
    <col min="4861" max="4861" width="30.42578125" style="42" customWidth="1"/>
    <col min="4862" max="4862" width="23.28515625" style="42" bestFit="1" customWidth="1"/>
    <col min="4863" max="4863" width="18.140625" style="42" bestFit="1" customWidth="1"/>
    <col min="4864" max="4864" width="15.85546875" style="42" bestFit="1" customWidth="1"/>
    <col min="4865" max="5116" width="11.42578125" style="42"/>
    <col min="5117" max="5117" width="30.42578125" style="42" customWidth="1"/>
    <col min="5118" max="5118" width="23.28515625" style="42" bestFit="1" customWidth="1"/>
    <col min="5119" max="5119" width="18.140625" style="42" bestFit="1" customWidth="1"/>
    <col min="5120" max="5120" width="15.85546875" style="42" bestFit="1" customWidth="1"/>
    <col min="5121" max="5372" width="11.42578125" style="42"/>
    <col min="5373" max="5373" width="30.42578125" style="42" customWidth="1"/>
    <col min="5374" max="5374" width="23.28515625" style="42" bestFit="1" customWidth="1"/>
    <col min="5375" max="5375" width="18.140625" style="42" bestFit="1" customWidth="1"/>
    <col min="5376" max="5376" width="15.85546875" style="42" bestFit="1" customWidth="1"/>
    <col min="5377" max="5628" width="11.42578125" style="42"/>
    <col min="5629" max="5629" width="30.42578125" style="42" customWidth="1"/>
    <col min="5630" max="5630" width="23.28515625" style="42" bestFit="1" customWidth="1"/>
    <col min="5631" max="5631" width="18.140625" style="42" bestFit="1" customWidth="1"/>
    <col min="5632" max="5632" width="15.85546875" style="42" bestFit="1" customWidth="1"/>
    <col min="5633" max="5884" width="11.42578125" style="42"/>
    <col min="5885" max="5885" width="30.42578125" style="42" customWidth="1"/>
    <col min="5886" max="5886" width="23.28515625" style="42" bestFit="1" customWidth="1"/>
    <col min="5887" max="5887" width="18.140625" style="42" bestFit="1" customWidth="1"/>
    <col min="5888" max="5888" width="15.85546875" style="42" bestFit="1" customWidth="1"/>
    <col min="5889" max="6140" width="11.42578125" style="42"/>
    <col min="6141" max="6141" width="30.42578125" style="42" customWidth="1"/>
    <col min="6142" max="6142" width="23.28515625" style="42" bestFit="1" customWidth="1"/>
    <col min="6143" max="6143" width="18.140625" style="42" bestFit="1" customWidth="1"/>
    <col min="6144" max="6144" width="15.85546875" style="42" bestFit="1" customWidth="1"/>
    <col min="6145" max="6396" width="11.42578125" style="42"/>
    <col min="6397" max="6397" width="30.42578125" style="42" customWidth="1"/>
    <col min="6398" max="6398" width="23.28515625" style="42" bestFit="1" customWidth="1"/>
    <col min="6399" max="6399" width="18.140625" style="42" bestFit="1" customWidth="1"/>
    <col min="6400" max="6400" width="15.85546875" style="42" bestFit="1" customWidth="1"/>
    <col min="6401" max="6652" width="11.42578125" style="42"/>
    <col min="6653" max="6653" width="30.42578125" style="42" customWidth="1"/>
    <col min="6654" max="6654" width="23.28515625" style="42" bestFit="1" customWidth="1"/>
    <col min="6655" max="6655" width="18.140625" style="42" bestFit="1" customWidth="1"/>
    <col min="6656" max="6656" width="15.85546875" style="42" bestFit="1" customWidth="1"/>
    <col min="6657" max="6908" width="11.42578125" style="42"/>
    <col min="6909" max="6909" width="30.42578125" style="42" customWidth="1"/>
    <col min="6910" max="6910" width="23.28515625" style="42" bestFit="1" customWidth="1"/>
    <col min="6911" max="6911" width="18.140625" style="42" bestFit="1" customWidth="1"/>
    <col min="6912" max="6912" width="15.85546875" style="42" bestFit="1" customWidth="1"/>
    <col min="6913" max="7164" width="11.42578125" style="42"/>
    <col min="7165" max="7165" width="30.42578125" style="42" customWidth="1"/>
    <col min="7166" max="7166" width="23.28515625" style="42" bestFit="1" customWidth="1"/>
    <col min="7167" max="7167" width="18.140625" style="42" bestFit="1" customWidth="1"/>
    <col min="7168" max="7168" width="15.85546875" style="42" bestFit="1" customWidth="1"/>
    <col min="7169" max="7420" width="11.42578125" style="42"/>
    <col min="7421" max="7421" width="30.42578125" style="42" customWidth="1"/>
    <col min="7422" max="7422" width="23.28515625" style="42" bestFit="1" customWidth="1"/>
    <col min="7423" max="7423" width="18.140625" style="42" bestFit="1" customWidth="1"/>
    <col min="7424" max="7424" width="15.85546875" style="42" bestFit="1" customWidth="1"/>
    <col min="7425" max="7676" width="11.42578125" style="42"/>
    <col min="7677" max="7677" width="30.42578125" style="42" customWidth="1"/>
    <col min="7678" max="7678" width="23.28515625" style="42" bestFit="1" customWidth="1"/>
    <col min="7679" max="7679" width="18.140625" style="42" bestFit="1" customWidth="1"/>
    <col min="7680" max="7680" width="15.85546875" style="42" bestFit="1" customWidth="1"/>
    <col min="7681" max="7932" width="11.42578125" style="42"/>
    <col min="7933" max="7933" width="30.42578125" style="42" customWidth="1"/>
    <col min="7934" max="7934" width="23.28515625" style="42" bestFit="1" customWidth="1"/>
    <col min="7935" max="7935" width="18.140625" style="42" bestFit="1" customWidth="1"/>
    <col min="7936" max="7936" width="15.85546875" style="42" bestFit="1" customWidth="1"/>
    <col min="7937" max="8188" width="11.42578125" style="42"/>
    <col min="8189" max="8189" width="30.42578125" style="42" customWidth="1"/>
    <col min="8190" max="8190" width="23.28515625" style="42" bestFit="1" customWidth="1"/>
    <col min="8191" max="8191" width="18.140625" style="42" bestFit="1" customWidth="1"/>
    <col min="8192" max="8192" width="15.85546875" style="42" bestFit="1" customWidth="1"/>
    <col min="8193" max="8444" width="11.42578125" style="42"/>
    <col min="8445" max="8445" width="30.42578125" style="42" customWidth="1"/>
    <col min="8446" max="8446" width="23.28515625" style="42" bestFit="1" customWidth="1"/>
    <col min="8447" max="8447" width="18.140625" style="42" bestFit="1" customWidth="1"/>
    <col min="8448" max="8448" width="15.85546875" style="42" bestFit="1" customWidth="1"/>
    <col min="8449" max="8700" width="11.42578125" style="42"/>
    <col min="8701" max="8701" width="30.42578125" style="42" customWidth="1"/>
    <col min="8702" max="8702" width="23.28515625" style="42" bestFit="1" customWidth="1"/>
    <col min="8703" max="8703" width="18.140625" style="42" bestFit="1" customWidth="1"/>
    <col min="8704" max="8704" width="15.85546875" style="42" bestFit="1" customWidth="1"/>
    <col min="8705" max="8956" width="11.42578125" style="42"/>
    <col min="8957" max="8957" width="30.42578125" style="42" customWidth="1"/>
    <col min="8958" max="8958" width="23.28515625" style="42" bestFit="1" customWidth="1"/>
    <col min="8959" max="8959" width="18.140625" style="42" bestFit="1" customWidth="1"/>
    <col min="8960" max="8960" width="15.85546875" style="42" bestFit="1" customWidth="1"/>
    <col min="8961" max="9212" width="11.42578125" style="42"/>
    <col min="9213" max="9213" width="30.42578125" style="42" customWidth="1"/>
    <col min="9214" max="9214" width="23.28515625" style="42" bestFit="1" customWidth="1"/>
    <col min="9215" max="9215" width="18.140625" style="42" bestFit="1" customWidth="1"/>
    <col min="9216" max="9216" width="15.85546875" style="42" bestFit="1" customWidth="1"/>
    <col min="9217" max="9468" width="11.42578125" style="42"/>
    <col min="9469" max="9469" width="30.42578125" style="42" customWidth="1"/>
    <col min="9470" max="9470" width="23.28515625" style="42" bestFit="1" customWidth="1"/>
    <col min="9471" max="9471" width="18.140625" style="42" bestFit="1" customWidth="1"/>
    <col min="9472" max="9472" width="15.85546875" style="42" bestFit="1" customWidth="1"/>
    <col min="9473" max="9724" width="11.42578125" style="42"/>
    <col min="9725" max="9725" width="30.42578125" style="42" customWidth="1"/>
    <col min="9726" max="9726" width="23.28515625" style="42" bestFit="1" customWidth="1"/>
    <col min="9727" max="9727" width="18.140625" style="42" bestFit="1" customWidth="1"/>
    <col min="9728" max="9728" width="15.85546875" style="42" bestFit="1" customWidth="1"/>
    <col min="9729" max="9980" width="11.42578125" style="42"/>
    <col min="9981" max="9981" width="30.42578125" style="42" customWidth="1"/>
    <col min="9982" max="9982" width="23.28515625" style="42" bestFit="1" customWidth="1"/>
    <col min="9983" max="9983" width="18.140625" style="42" bestFit="1" customWidth="1"/>
    <col min="9984" max="9984" width="15.85546875" style="42" bestFit="1" customWidth="1"/>
    <col min="9985" max="10236" width="11.42578125" style="42"/>
    <col min="10237" max="10237" width="30.42578125" style="42" customWidth="1"/>
    <col min="10238" max="10238" width="23.28515625" style="42" bestFit="1" customWidth="1"/>
    <col min="10239" max="10239" width="18.140625" style="42" bestFit="1" customWidth="1"/>
    <col min="10240" max="10240" width="15.85546875" style="42" bestFit="1" customWidth="1"/>
    <col min="10241" max="10492" width="11.42578125" style="42"/>
    <col min="10493" max="10493" width="30.42578125" style="42" customWidth="1"/>
    <col min="10494" max="10494" width="23.28515625" style="42" bestFit="1" customWidth="1"/>
    <col min="10495" max="10495" width="18.140625" style="42" bestFit="1" customWidth="1"/>
    <col min="10496" max="10496" width="15.85546875" style="42" bestFit="1" customWidth="1"/>
    <col min="10497" max="10748" width="11.42578125" style="42"/>
    <col min="10749" max="10749" width="30.42578125" style="42" customWidth="1"/>
    <col min="10750" max="10750" width="23.28515625" style="42" bestFit="1" customWidth="1"/>
    <col min="10751" max="10751" width="18.140625" style="42" bestFit="1" customWidth="1"/>
    <col min="10752" max="10752" width="15.85546875" style="42" bestFit="1" customWidth="1"/>
    <col min="10753" max="11004" width="11.42578125" style="42"/>
    <col min="11005" max="11005" width="30.42578125" style="42" customWidth="1"/>
    <col min="11006" max="11006" width="23.28515625" style="42" bestFit="1" customWidth="1"/>
    <col min="11007" max="11007" width="18.140625" style="42" bestFit="1" customWidth="1"/>
    <col min="11008" max="11008" width="15.85546875" style="42" bestFit="1" customWidth="1"/>
    <col min="11009" max="11260" width="11.42578125" style="42"/>
    <col min="11261" max="11261" width="30.42578125" style="42" customWidth="1"/>
    <col min="11262" max="11262" width="23.28515625" style="42" bestFit="1" customWidth="1"/>
    <col min="11263" max="11263" width="18.140625" style="42" bestFit="1" customWidth="1"/>
    <col min="11264" max="11264" width="15.85546875" style="42" bestFit="1" customWidth="1"/>
    <col min="11265" max="11516" width="11.42578125" style="42"/>
    <col min="11517" max="11517" width="30.42578125" style="42" customWidth="1"/>
    <col min="11518" max="11518" width="23.28515625" style="42" bestFit="1" customWidth="1"/>
    <col min="11519" max="11519" width="18.140625" style="42" bestFit="1" customWidth="1"/>
    <col min="11520" max="11520" width="15.85546875" style="42" bestFit="1" customWidth="1"/>
    <col min="11521" max="11772" width="11.42578125" style="42"/>
    <col min="11773" max="11773" width="30.42578125" style="42" customWidth="1"/>
    <col min="11774" max="11774" width="23.28515625" style="42" bestFit="1" customWidth="1"/>
    <col min="11775" max="11775" width="18.140625" style="42" bestFit="1" customWidth="1"/>
    <col min="11776" max="11776" width="15.85546875" style="42" bestFit="1" customWidth="1"/>
    <col min="11777" max="12028" width="11.42578125" style="42"/>
    <col min="12029" max="12029" width="30.42578125" style="42" customWidth="1"/>
    <col min="12030" max="12030" width="23.28515625" style="42" bestFit="1" customWidth="1"/>
    <col min="12031" max="12031" width="18.140625" style="42" bestFit="1" customWidth="1"/>
    <col min="12032" max="12032" width="15.85546875" style="42" bestFit="1" customWidth="1"/>
    <col min="12033" max="12284" width="11.42578125" style="42"/>
    <col min="12285" max="12285" width="30.42578125" style="42" customWidth="1"/>
    <col min="12286" max="12286" width="23.28515625" style="42" bestFit="1" customWidth="1"/>
    <col min="12287" max="12287" width="18.140625" style="42" bestFit="1" customWidth="1"/>
    <col min="12288" max="12288" width="15.85546875" style="42" bestFit="1" customWidth="1"/>
    <col min="12289" max="12540" width="11.42578125" style="42"/>
    <col min="12541" max="12541" width="30.42578125" style="42" customWidth="1"/>
    <col min="12542" max="12542" width="23.28515625" style="42" bestFit="1" customWidth="1"/>
    <col min="12543" max="12543" width="18.140625" style="42" bestFit="1" customWidth="1"/>
    <col min="12544" max="12544" width="15.85546875" style="42" bestFit="1" customWidth="1"/>
    <col min="12545" max="12796" width="11.42578125" style="42"/>
    <col min="12797" max="12797" width="30.42578125" style="42" customWidth="1"/>
    <col min="12798" max="12798" width="23.28515625" style="42" bestFit="1" customWidth="1"/>
    <col min="12799" max="12799" width="18.140625" style="42" bestFit="1" customWidth="1"/>
    <col min="12800" max="12800" width="15.85546875" style="42" bestFit="1" customWidth="1"/>
    <col min="12801" max="13052" width="11.42578125" style="42"/>
    <col min="13053" max="13053" width="30.42578125" style="42" customWidth="1"/>
    <col min="13054" max="13054" width="23.28515625" style="42" bestFit="1" customWidth="1"/>
    <col min="13055" max="13055" width="18.140625" style="42" bestFit="1" customWidth="1"/>
    <col min="13056" max="13056" width="15.85546875" style="42" bestFit="1" customWidth="1"/>
    <col min="13057" max="13308" width="11.42578125" style="42"/>
    <col min="13309" max="13309" width="30.42578125" style="42" customWidth="1"/>
    <col min="13310" max="13310" width="23.28515625" style="42" bestFit="1" customWidth="1"/>
    <col min="13311" max="13311" width="18.140625" style="42" bestFit="1" customWidth="1"/>
    <col min="13312" max="13312" width="15.85546875" style="42" bestFit="1" customWidth="1"/>
    <col min="13313" max="13564" width="11.42578125" style="42"/>
    <col min="13565" max="13565" width="30.42578125" style="42" customWidth="1"/>
    <col min="13566" max="13566" width="23.28515625" style="42" bestFit="1" customWidth="1"/>
    <col min="13567" max="13567" width="18.140625" style="42" bestFit="1" customWidth="1"/>
    <col min="13568" max="13568" width="15.85546875" style="42" bestFit="1" customWidth="1"/>
    <col min="13569" max="13820" width="11.42578125" style="42"/>
    <col min="13821" max="13821" width="30.42578125" style="42" customWidth="1"/>
    <col min="13822" max="13822" width="23.28515625" style="42" bestFit="1" customWidth="1"/>
    <col min="13823" max="13823" width="18.140625" style="42" bestFit="1" customWidth="1"/>
    <col min="13824" max="13824" width="15.85546875" style="42" bestFit="1" customWidth="1"/>
    <col min="13825" max="14076" width="11.42578125" style="42"/>
    <col min="14077" max="14077" width="30.42578125" style="42" customWidth="1"/>
    <col min="14078" max="14078" width="23.28515625" style="42" bestFit="1" customWidth="1"/>
    <col min="14079" max="14079" width="18.140625" style="42" bestFit="1" customWidth="1"/>
    <col min="14080" max="14080" width="15.85546875" style="42" bestFit="1" customWidth="1"/>
    <col min="14081" max="14332" width="11.42578125" style="42"/>
    <col min="14333" max="14333" width="30.42578125" style="42" customWidth="1"/>
    <col min="14334" max="14334" width="23.28515625" style="42" bestFit="1" customWidth="1"/>
    <col min="14335" max="14335" width="18.140625" style="42" bestFit="1" customWidth="1"/>
    <col min="14336" max="14336" width="15.85546875" style="42" bestFit="1" customWidth="1"/>
    <col min="14337" max="14588" width="11.42578125" style="42"/>
    <col min="14589" max="14589" width="30.42578125" style="42" customWidth="1"/>
    <col min="14590" max="14590" width="23.28515625" style="42" bestFit="1" customWidth="1"/>
    <col min="14591" max="14591" width="18.140625" style="42" bestFit="1" customWidth="1"/>
    <col min="14592" max="14592" width="15.85546875" style="42" bestFit="1" customWidth="1"/>
    <col min="14593" max="14844" width="11.42578125" style="42"/>
    <col min="14845" max="14845" width="30.42578125" style="42" customWidth="1"/>
    <col min="14846" max="14846" width="23.28515625" style="42" bestFit="1" customWidth="1"/>
    <col min="14847" max="14847" width="18.140625" style="42" bestFit="1" customWidth="1"/>
    <col min="14848" max="14848" width="15.85546875" style="42" bestFit="1" customWidth="1"/>
    <col min="14849" max="15100" width="11.42578125" style="42"/>
    <col min="15101" max="15101" width="30.42578125" style="42" customWidth="1"/>
    <col min="15102" max="15102" width="23.28515625" style="42" bestFit="1" customWidth="1"/>
    <col min="15103" max="15103" width="18.140625" style="42" bestFit="1" customWidth="1"/>
    <col min="15104" max="15104" width="15.85546875" style="42" bestFit="1" customWidth="1"/>
    <col min="15105" max="15356" width="11.42578125" style="42"/>
    <col min="15357" max="15357" width="30.42578125" style="42" customWidth="1"/>
    <col min="15358" max="15358" width="23.28515625" style="42" bestFit="1" customWidth="1"/>
    <col min="15359" max="15359" width="18.140625" style="42" bestFit="1" customWidth="1"/>
    <col min="15360" max="15360" width="15.85546875" style="42" bestFit="1" customWidth="1"/>
    <col min="15361" max="15612" width="11.42578125" style="42"/>
    <col min="15613" max="15613" width="30.42578125" style="42" customWidth="1"/>
    <col min="15614" max="15614" width="23.28515625" style="42" bestFit="1" customWidth="1"/>
    <col min="15615" max="15615" width="18.140625" style="42" bestFit="1" customWidth="1"/>
    <col min="15616" max="15616" width="15.85546875" style="42" bestFit="1" customWidth="1"/>
    <col min="15617" max="15868" width="11.42578125" style="42"/>
    <col min="15869" max="15869" width="30.42578125" style="42" customWidth="1"/>
    <col min="15870" max="15870" width="23.28515625" style="42" bestFit="1" customWidth="1"/>
    <col min="15871" max="15871" width="18.140625" style="42" bestFit="1" customWidth="1"/>
    <col min="15872" max="15872" width="15.85546875" style="42" bestFit="1" customWidth="1"/>
    <col min="15873" max="16124" width="11.42578125" style="42"/>
    <col min="16125" max="16125" width="30.42578125" style="42" customWidth="1"/>
    <col min="16126" max="16126" width="23.28515625" style="42" bestFit="1" customWidth="1"/>
    <col min="16127" max="16127" width="18.140625" style="42" bestFit="1" customWidth="1"/>
    <col min="16128" max="16128" width="15.85546875" style="42" bestFit="1" customWidth="1"/>
    <col min="16129" max="16384" width="11.42578125" style="42"/>
  </cols>
  <sheetData>
    <row r="1" spans="1:3" ht="15" customHeight="1" x14ac:dyDescent="0.25">
      <c r="A1" s="1739" t="s">
        <v>1767</v>
      </c>
      <c r="B1" s="1740"/>
      <c r="C1" s="1788"/>
    </row>
    <row r="2" spans="1:3" ht="15" customHeight="1" x14ac:dyDescent="0.25">
      <c r="A2" s="1739" t="s">
        <v>1768</v>
      </c>
      <c r="B2" s="1740"/>
      <c r="C2" s="1788"/>
    </row>
    <row r="3" spans="1:3" ht="15" customHeight="1" x14ac:dyDescent="0.25">
      <c r="A3" s="1739" t="s">
        <v>1769</v>
      </c>
      <c r="B3" s="1740"/>
      <c r="C3" s="1788"/>
    </row>
    <row r="4" spans="1:3" ht="15" customHeight="1" x14ac:dyDescent="0.25">
      <c r="A4" s="1739" t="s">
        <v>1876</v>
      </c>
      <c r="B4" s="1740"/>
      <c r="C4" s="1788"/>
    </row>
    <row r="5" spans="1:3" s="95" customFormat="1" ht="26.25" customHeight="1" x14ac:dyDescent="0.25">
      <c r="A5" s="634" t="s">
        <v>1771</v>
      </c>
      <c r="B5" s="634" t="s">
        <v>1772</v>
      </c>
      <c r="C5" s="634" t="s">
        <v>1877</v>
      </c>
    </row>
    <row r="6" spans="1:3" s="204" customFormat="1" x14ac:dyDescent="0.25">
      <c r="A6" s="604">
        <v>20</v>
      </c>
      <c r="B6" s="602" t="s">
        <v>1878</v>
      </c>
      <c r="C6" s="604">
        <v>869292204</v>
      </c>
    </row>
    <row r="7" spans="1:3" s="204" customFormat="1" x14ac:dyDescent="0.25">
      <c r="A7" s="604">
        <v>20</v>
      </c>
      <c r="B7" s="602" t="s">
        <v>1879</v>
      </c>
      <c r="C7" s="604">
        <v>16953292091</v>
      </c>
    </row>
    <row r="8" spans="1:3" x14ac:dyDescent="0.25">
      <c r="A8" s="604">
        <v>52</v>
      </c>
      <c r="B8" s="602" t="s">
        <v>1028</v>
      </c>
      <c r="C8" s="604">
        <v>705363027</v>
      </c>
    </row>
    <row r="9" spans="1:3" x14ac:dyDescent="0.25">
      <c r="A9" s="604">
        <v>4</v>
      </c>
      <c r="B9" s="602" t="s">
        <v>1050</v>
      </c>
      <c r="C9" s="604">
        <v>3528349952</v>
      </c>
    </row>
    <row r="10" spans="1:3" ht="25.5" x14ac:dyDescent="0.25">
      <c r="A10" s="604">
        <v>33</v>
      </c>
      <c r="B10" s="602" t="s">
        <v>1055</v>
      </c>
      <c r="C10" s="604">
        <v>174317619</v>
      </c>
    </row>
    <row r="11" spans="1:3" x14ac:dyDescent="0.25">
      <c r="A11" s="604">
        <v>34</v>
      </c>
      <c r="B11" s="602" t="s">
        <v>1056</v>
      </c>
      <c r="C11" s="604">
        <v>174317619</v>
      </c>
    </row>
    <row r="12" spans="1:3" ht="25.5" x14ac:dyDescent="0.25">
      <c r="A12" s="604">
        <v>39</v>
      </c>
      <c r="B12" s="602" t="s">
        <v>1057</v>
      </c>
      <c r="C12" s="604">
        <v>871588097</v>
      </c>
    </row>
    <row r="13" spans="1:3" x14ac:dyDescent="0.25">
      <c r="A13" s="604">
        <v>41</v>
      </c>
      <c r="B13" s="602" t="s">
        <v>1058</v>
      </c>
      <c r="C13" s="604">
        <v>174317619</v>
      </c>
    </row>
    <row r="14" spans="1:3" x14ac:dyDescent="0.25">
      <c r="A14" s="604">
        <v>6</v>
      </c>
      <c r="B14" s="602" t="s">
        <v>1060</v>
      </c>
      <c r="C14" s="604">
        <v>3393118962</v>
      </c>
    </row>
    <row r="15" spans="1:3" s="54" customFormat="1" x14ac:dyDescent="0.25">
      <c r="A15" s="604">
        <v>35</v>
      </c>
      <c r="B15" s="602" t="s">
        <v>1880</v>
      </c>
      <c r="C15" s="604">
        <v>2473420939</v>
      </c>
    </row>
    <row r="16" spans="1:3" s="54" customFormat="1" x14ac:dyDescent="0.25">
      <c r="A16" s="604">
        <v>35</v>
      </c>
      <c r="B16" s="602" t="s">
        <v>1881</v>
      </c>
      <c r="C16" s="604">
        <v>500000000</v>
      </c>
    </row>
    <row r="17" spans="1:3" s="54" customFormat="1" ht="25.5" x14ac:dyDescent="0.25">
      <c r="A17" s="604">
        <v>56</v>
      </c>
      <c r="B17" s="602" t="s">
        <v>1799</v>
      </c>
      <c r="C17" s="604">
        <v>250000000</v>
      </c>
    </row>
    <row r="18" spans="1:3" x14ac:dyDescent="0.25">
      <c r="A18" s="604">
        <v>23</v>
      </c>
      <c r="B18" s="602" t="s">
        <v>1800</v>
      </c>
      <c r="C18" s="604">
        <v>2019430273</v>
      </c>
    </row>
    <row r="19" spans="1:3" x14ac:dyDescent="0.25">
      <c r="A19" s="604">
        <v>47</v>
      </c>
      <c r="B19" s="602" t="s">
        <v>1093</v>
      </c>
      <c r="C19" s="604">
        <v>141163803</v>
      </c>
    </row>
    <row r="20" spans="1:3" ht="25.5" x14ac:dyDescent="0.25">
      <c r="A20" s="604">
        <v>4</v>
      </c>
      <c r="B20" s="602" t="s">
        <v>1805</v>
      </c>
      <c r="C20" s="604">
        <v>1664967</v>
      </c>
    </row>
    <row r="21" spans="1:3" ht="25.5" x14ac:dyDescent="0.25">
      <c r="A21" s="604">
        <v>33</v>
      </c>
      <c r="B21" s="602" t="s">
        <v>1808</v>
      </c>
      <c r="C21" s="604">
        <v>158060</v>
      </c>
    </row>
    <row r="22" spans="1:3" ht="25.5" x14ac:dyDescent="0.25">
      <c r="A22" s="604">
        <v>34</v>
      </c>
      <c r="B22" s="602" t="s">
        <v>1809</v>
      </c>
      <c r="C22" s="604">
        <v>158060</v>
      </c>
    </row>
    <row r="23" spans="1:3" ht="25.5" x14ac:dyDescent="0.25">
      <c r="A23" s="604">
        <v>39</v>
      </c>
      <c r="B23" s="602" t="s">
        <v>1810</v>
      </c>
      <c r="C23" s="604">
        <v>790301</v>
      </c>
    </row>
    <row r="24" spans="1:3" ht="25.5" x14ac:dyDescent="0.25">
      <c r="A24" s="604">
        <v>41</v>
      </c>
      <c r="B24" s="602" t="s">
        <v>1811</v>
      </c>
      <c r="C24" s="604">
        <v>158060</v>
      </c>
    </row>
    <row r="25" spans="1:3" ht="25.5" x14ac:dyDescent="0.25">
      <c r="A25" s="604">
        <v>6</v>
      </c>
      <c r="B25" s="602" t="s">
        <v>1812</v>
      </c>
      <c r="C25" s="604">
        <v>1400016</v>
      </c>
    </row>
    <row r="26" spans="1:3" ht="25.5" x14ac:dyDescent="0.25">
      <c r="A26" s="604">
        <v>42</v>
      </c>
      <c r="B26" s="602" t="s">
        <v>1814</v>
      </c>
      <c r="C26" s="604">
        <v>2314305</v>
      </c>
    </row>
    <row r="27" spans="1:3" ht="25.5" x14ac:dyDescent="0.25">
      <c r="A27" s="604">
        <v>27</v>
      </c>
      <c r="B27" s="602" t="s">
        <v>1815</v>
      </c>
      <c r="C27" s="604">
        <v>311522</v>
      </c>
    </row>
    <row r="28" spans="1:3" ht="25.5" x14ac:dyDescent="0.25">
      <c r="A28" s="604">
        <v>27</v>
      </c>
      <c r="B28" s="602" t="s">
        <v>1066</v>
      </c>
      <c r="C28" s="604">
        <v>2991799289</v>
      </c>
    </row>
    <row r="29" spans="1:3" ht="25.5" x14ac:dyDescent="0.25">
      <c r="A29" s="604">
        <v>42</v>
      </c>
      <c r="B29" s="602" t="s">
        <v>1149</v>
      </c>
      <c r="C29" s="604">
        <v>1611202918</v>
      </c>
    </row>
    <row r="30" spans="1:3" s="54" customFormat="1" x14ac:dyDescent="0.25">
      <c r="A30" s="604"/>
      <c r="B30" s="633" t="s">
        <v>953</v>
      </c>
      <c r="C30" s="605"/>
    </row>
    <row r="31" spans="1:3" ht="25.5" x14ac:dyDescent="0.25">
      <c r="A31" s="604"/>
      <c r="B31" s="633" t="s">
        <v>1100</v>
      </c>
      <c r="C31" s="605"/>
    </row>
    <row r="32" spans="1:3" ht="25.5" x14ac:dyDescent="0.25">
      <c r="A32" s="604">
        <v>25</v>
      </c>
      <c r="B32" s="602" t="s">
        <v>1101</v>
      </c>
      <c r="C32" s="604">
        <v>148302000000</v>
      </c>
    </row>
    <row r="33" spans="1:3" s="54" customFormat="1" ht="25.5" x14ac:dyDescent="0.25">
      <c r="A33" s="604">
        <v>26</v>
      </c>
      <c r="B33" s="602" t="s">
        <v>1102</v>
      </c>
      <c r="C33" s="604">
        <v>29000000000</v>
      </c>
    </row>
    <row r="34" spans="1:3" x14ac:dyDescent="0.25">
      <c r="A34" s="604">
        <v>25</v>
      </c>
      <c r="B34" s="602" t="s">
        <v>1105</v>
      </c>
      <c r="C34" s="604">
        <v>622000000</v>
      </c>
    </row>
    <row r="35" spans="1:3" x14ac:dyDescent="0.25">
      <c r="A35" s="604">
        <v>25</v>
      </c>
      <c r="B35" s="602" t="s">
        <v>1106</v>
      </c>
      <c r="C35" s="604">
        <v>1463000000</v>
      </c>
    </row>
    <row r="36" spans="1:3" x14ac:dyDescent="0.25">
      <c r="A36" s="604">
        <v>81</v>
      </c>
      <c r="B36" s="602" t="s">
        <v>1107</v>
      </c>
      <c r="C36" s="604">
        <v>11000000000</v>
      </c>
    </row>
    <row r="37" spans="1:3" s="54" customFormat="1" ht="25.5" x14ac:dyDescent="0.25">
      <c r="A37" s="604">
        <v>21</v>
      </c>
      <c r="B37" s="602" t="s">
        <v>1113</v>
      </c>
      <c r="C37" s="604">
        <v>5000000</v>
      </c>
    </row>
    <row r="38" spans="1:3" s="54" customFormat="1" ht="25.5" x14ac:dyDescent="0.25">
      <c r="A38" s="604">
        <v>81</v>
      </c>
      <c r="B38" s="602" t="s">
        <v>1818</v>
      </c>
      <c r="C38" s="604">
        <v>10000000</v>
      </c>
    </row>
    <row r="39" spans="1:3" s="54" customFormat="1" x14ac:dyDescent="0.25">
      <c r="A39" s="604">
        <v>9</v>
      </c>
      <c r="B39" s="602" t="s">
        <v>606</v>
      </c>
      <c r="C39" s="604">
        <v>80000000</v>
      </c>
    </row>
    <row r="40" spans="1:3" s="54" customFormat="1" x14ac:dyDescent="0.25">
      <c r="A40" s="604"/>
      <c r="B40" s="633" t="s">
        <v>1116</v>
      </c>
      <c r="C40" s="605"/>
    </row>
    <row r="41" spans="1:3" s="54" customFormat="1" x14ac:dyDescent="0.25">
      <c r="A41" s="604"/>
      <c r="B41" s="602" t="s">
        <v>1882</v>
      </c>
      <c r="C41" s="604">
        <v>1724393294</v>
      </c>
    </row>
    <row r="42" spans="1:3" s="54" customFormat="1" x14ac:dyDescent="0.25">
      <c r="A42" s="604"/>
      <c r="B42" s="602" t="s">
        <v>1883</v>
      </c>
      <c r="C42" s="604">
        <v>4274847597</v>
      </c>
    </row>
    <row r="43" spans="1:3" s="54" customFormat="1" x14ac:dyDescent="0.25">
      <c r="A43" s="604"/>
      <c r="B43" s="602" t="s">
        <v>1884</v>
      </c>
      <c r="C43" s="604">
        <v>960000000</v>
      </c>
    </row>
    <row r="44" spans="1:3" s="54" customFormat="1" x14ac:dyDescent="0.25">
      <c r="A44" s="604"/>
      <c r="B44" s="602" t="s">
        <v>1885</v>
      </c>
      <c r="C44" s="604">
        <v>5893745075</v>
      </c>
    </row>
    <row r="45" spans="1:3" s="54" customFormat="1" ht="25.5" x14ac:dyDescent="0.25">
      <c r="A45" s="604"/>
      <c r="B45" s="602" t="s">
        <v>1886</v>
      </c>
      <c r="C45" s="604">
        <v>2460396366</v>
      </c>
    </row>
    <row r="46" spans="1:3" s="54" customFormat="1" ht="25.5" x14ac:dyDescent="0.25">
      <c r="A46" s="604"/>
      <c r="B46" s="602" t="s">
        <v>1887</v>
      </c>
      <c r="C46" s="604">
        <v>2519732517</v>
      </c>
    </row>
    <row r="47" spans="1:3" s="54" customFormat="1" ht="25.5" x14ac:dyDescent="0.25">
      <c r="A47" s="604"/>
      <c r="B47" s="602" t="s">
        <v>1888</v>
      </c>
      <c r="C47" s="604">
        <v>3000000</v>
      </c>
    </row>
    <row r="48" spans="1:3" s="54" customFormat="1" ht="25.5" x14ac:dyDescent="0.25">
      <c r="A48" s="604"/>
      <c r="B48" s="602" t="s">
        <v>1889</v>
      </c>
      <c r="C48" s="604">
        <v>1000000</v>
      </c>
    </row>
    <row r="49" spans="1:4" s="54" customFormat="1" ht="25.5" x14ac:dyDescent="0.25">
      <c r="A49" s="604"/>
      <c r="B49" s="602" t="s">
        <v>1890</v>
      </c>
      <c r="C49" s="604">
        <v>1000000</v>
      </c>
    </row>
    <row r="50" spans="1:4" s="54" customFormat="1" ht="25.5" x14ac:dyDescent="0.25">
      <c r="A50" s="604"/>
      <c r="B50" s="602" t="s">
        <v>1891</v>
      </c>
      <c r="C50" s="604">
        <v>1000000</v>
      </c>
    </row>
    <row r="51" spans="1:4" ht="25.5" x14ac:dyDescent="0.25">
      <c r="A51" s="604"/>
      <c r="B51" s="602" t="s">
        <v>1892</v>
      </c>
      <c r="C51" s="604">
        <v>4200828874</v>
      </c>
      <c r="D51" s="54"/>
    </row>
    <row r="52" spans="1:4" s="54" customFormat="1" x14ac:dyDescent="0.25">
      <c r="A52" s="604"/>
      <c r="B52" s="602" t="s">
        <v>1893</v>
      </c>
      <c r="C52" s="604">
        <v>1327550400</v>
      </c>
    </row>
    <row r="53" spans="1:4" x14ac:dyDescent="0.25">
      <c r="A53" s="604"/>
      <c r="B53" s="602" t="s">
        <v>1894</v>
      </c>
      <c r="C53" s="604">
        <v>742627190</v>
      </c>
      <c r="D53" s="54"/>
    </row>
    <row r="54" spans="1:4" x14ac:dyDescent="0.25">
      <c r="A54" s="604"/>
      <c r="B54" s="602" t="s">
        <v>1895</v>
      </c>
      <c r="C54" s="604">
        <v>425625594</v>
      </c>
      <c r="D54" s="54"/>
    </row>
    <row r="55" spans="1:4" s="54" customFormat="1" ht="25.5" x14ac:dyDescent="0.25">
      <c r="A55" s="604"/>
      <c r="B55" s="602" t="s">
        <v>1896</v>
      </c>
      <c r="C55" s="604">
        <v>625149620</v>
      </c>
    </row>
    <row r="56" spans="1:4" x14ac:dyDescent="0.25">
      <c r="A56" s="604"/>
      <c r="B56" s="602" t="s">
        <v>809</v>
      </c>
      <c r="C56" s="604">
        <v>13600000</v>
      </c>
      <c r="D56" s="54"/>
    </row>
    <row r="57" spans="1:4" s="54" customFormat="1" ht="25.5" x14ac:dyDescent="0.25">
      <c r="A57" s="604"/>
      <c r="B57" s="602" t="s">
        <v>1897</v>
      </c>
      <c r="C57" s="604">
        <v>1362067803.78</v>
      </c>
    </row>
    <row r="58" spans="1:4" s="54" customFormat="1" ht="25.5" x14ac:dyDescent="0.25">
      <c r="A58" s="604"/>
      <c r="B58" s="602" t="s">
        <v>1898</v>
      </c>
      <c r="C58" s="604">
        <v>3749209145.4255209</v>
      </c>
    </row>
    <row r="59" spans="1:4" s="54" customFormat="1" ht="38.25" x14ac:dyDescent="0.25">
      <c r="A59" s="604"/>
      <c r="B59" s="602" t="s">
        <v>1899</v>
      </c>
      <c r="C59" s="604">
        <v>7157581678.5328007</v>
      </c>
    </row>
    <row r="60" spans="1:4" s="54" customFormat="1" ht="25.5" x14ac:dyDescent="0.25">
      <c r="A60" s="604"/>
      <c r="B60" s="602" t="s">
        <v>1900</v>
      </c>
      <c r="C60" s="604">
        <v>393715436</v>
      </c>
    </row>
    <row r="61" spans="1:4" s="54" customFormat="1" ht="25.5" x14ac:dyDescent="0.25">
      <c r="A61" s="604"/>
      <c r="B61" s="602" t="s">
        <v>1901</v>
      </c>
      <c r="C61" s="604">
        <v>159135000</v>
      </c>
    </row>
    <row r="62" spans="1:4" s="54" customFormat="1" x14ac:dyDescent="0.25">
      <c r="A62" s="604"/>
      <c r="B62" s="602" t="s">
        <v>1146</v>
      </c>
      <c r="C62" s="604">
        <v>2121689396</v>
      </c>
    </row>
    <row r="63" spans="1:4" s="54" customFormat="1" ht="15" customHeight="1" x14ac:dyDescent="0.25">
      <c r="A63" s="1744" t="s">
        <v>1902</v>
      </c>
      <c r="B63" s="1744"/>
      <c r="C63" s="605">
        <v>267437824689.73831</v>
      </c>
    </row>
    <row r="64" spans="1:4" s="54" customFormat="1" ht="15" customHeight="1" x14ac:dyDescent="0.25">
      <c r="A64" s="44"/>
      <c r="B64" s="204"/>
    </row>
    <row r="65" spans="1:3" s="54" customFormat="1" ht="25.5" x14ac:dyDescent="0.25">
      <c r="A65" s="44"/>
      <c r="B65" s="633" t="s">
        <v>1903</v>
      </c>
      <c r="C65" s="605">
        <v>267437824689.73831</v>
      </c>
    </row>
    <row r="66" spans="1:3" s="54" customFormat="1" ht="15" customHeight="1" x14ac:dyDescent="0.25">
      <c r="A66" s="44"/>
      <c r="B66" s="204"/>
    </row>
    <row r="67" spans="1:3" s="54" customFormat="1" ht="25.5" x14ac:dyDescent="0.25">
      <c r="A67" s="44"/>
      <c r="B67" s="633" t="s">
        <v>1904</v>
      </c>
      <c r="C67" s="605">
        <v>6163321151</v>
      </c>
    </row>
    <row r="68" spans="1:3" s="54" customFormat="1" ht="25.5" x14ac:dyDescent="0.25">
      <c r="A68" s="44"/>
      <c r="B68" s="633" t="s">
        <v>1905</v>
      </c>
      <c r="C68" s="605">
        <v>755112819</v>
      </c>
    </row>
    <row r="69" spans="1:3" s="54" customFormat="1" ht="15" customHeight="1" x14ac:dyDescent="0.25">
      <c r="A69" s="44"/>
      <c r="B69" s="204"/>
    </row>
    <row r="70" spans="1:3" s="54" customFormat="1" ht="15" customHeight="1" x14ac:dyDescent="0.25">
      <c r="A70" s="44"/>
      <c r="B70" s="204"/>
    </row>
    <row r="71" spans="1:3" s="54" customFormat="1" x14ac:dyDescent="0.25">
      <c r="B71" s="598"/>
    </row>
    <row r="72" spans="1:3" x14ac:dyDescent="0.25">
      <c r="B72" s="77"/>
      <c r="C72" s="411"/>
    </row>
    <row r="74" spans="1:3" ht="39" customHeight="1" x14ac:dyDescent="0.25">
      <c r="B74" s="1739" t="s">
        <v>1906</v>
      </c>
      <c r="C74" s="1740"/>
    </row>
    <row r="75" spans="1:3" x14ac:dyDescent="0.25">
      <c r="B75" s="634" t="s">
        <v>1772</v>
      </c>
      <c r="C75" s="634" t="s">
        <v>971</v>
      </c>
    </row>
    <row r="76" spans="1:3" ht="25.5" x14ac:dyDescent="0.25">
      <c r="B76" s="635" t="s">
        <v>1907</v>
      </c>
      <c r="C76" s="636">
        <v>3639960000</v>
      </c>
    </row>
    <row r="77" spans="1:3" ht="25.5" x14ac:dyDescent="0.25">
      <c r="B77" s="635" t="s">
        <v>1908</v>
      </c>
      <c r="C77" s="636">
        <v>113516300</v>
      </c>
    </row>
    <row r="78" spans="1:3" x14ac:dyDescent="0.25">
      <c r="B78" s="637" t="s">
        <v>1909</v>
      </c>
      <c r="C78" s="637">
        <v>3753476300</v>
      </c>
    </row>
    <row r="79" spans="1:3" ht="25.5" x14ac:dyDescent="0.25">
      <c r="B79" s="637" t="s">
        <v>1910</v>
      </c>
      <c r="C79" s="637">
        <v>113516300</v>
      </c>
    </row>
    <row r="80" spans="1:3" x14ac:dyDescent="0.25">
      <c r="B80" s="379"/>
      <c r="C80" s="632"/>
    </row>
    <row r="81" spans="2:3" x14ac:dyDescent="0.25">
      <c r="B81" s="379"/>
      <c r="C81" s="632"/>
    </row>
    <row r="82" spans="2:3" x14ac:dyDescent="0.25">
      <c r="B82" s="631"/>
      <c r="C82" s="632"/>
    </row>
    <row r="83" spans="2:3" ht="33.75" customHeight="1" x14ac:dyDescent="0.25">
      <c r="B83" s="1737" t="s">
        <v>1911</v>
      </c>
      <c r="C83" s="1738"/>
    </row>
    <row r="84" spans="2:3" x14ac:dyDescent="0.25">
      <c r="B84" s="634" t="s">
        <v>1772</v>
      </c>
      <c r="C84" s="634" t="s">
        <v>971</v>
      </c>
    </row>
    <row r="85" spans="2:3" x14ac:dyDescent="0.25">
      <c r="B85" s="635" t="s">
        <v>1912</v>
      </c>
      <c r="C85" s="638">
        <v>265988797</v>
      </c>
    </row>
    <row r="86" spans="2:3" x14ac:dyDescent="0.25">
      <c r="B86" s="635" t="s">
        <v>1913</v>
      </c>
      <c r="C86" s="638">
        <v>637161630</v>
      </c>
    </row>
    <row r="87" spans="2:3" ht="25.5" x14ac:dyDescent="0.25">
      <c r="B87" s="635" t="s">
        <v>1914</v>
      </c>
      <c r="C87" s="638">
        <v>608504542.79999995</v>
      </c>
    </row>
    <row r="88" spans="2:3" x14ac:dyDescent="0.25">
      <c r="B88" s="635" t="s">
        <v>1915</v>
      </c>
      <c r="C88" s="638">
        <v>5321293168</v>
      </c>
    </row>
    <row r="89" spans="2:3" x14ac:dyDescent="0.25">
      <c r="B89" s="635" t="s">
        <v>1916</v>
      </c>
      <c r="C89" s="638">
        <v>15000000</v>
      </c>
    </row>
    <row r="90" spans="2:3" ht="25.5" x14ac:dyDescent="0.25">
      <c r="B90" s="635" t="s">
        <v>1917</v>
      </c>
      <c r="C90" s="638">
        <v>620558755</v>
      </c>
    </row>
    <row r="91" spans="2:3" x14ac:dyDescent="0.25">
      <c r="B91" s="635" t="s">
        <v>1918</v>
      </c>
      <c r="C91" s="638">
        <v>1000000000</v>
      </c>
    </row>
    <row r="92" spans="2:3" x14ac:dyDescent="0.25">
      <c r="B92" s="635" t="s">
        <v>1919</v>
      </c>
      <c r="C92" s="638">
        <v>1708758090.2</v>
      </c>
    </row>
    <row r="93" spans="2:3" x14ac:dyDescent="0.25">
      <c r="B93" s="637" t="s">
        <v>1920</v>
      </c>
      <c r="C93" s="642">
        <v>10177264983</v>
      </c>
    </row>
    <row r="94" spans="2:3" x14ac:dyDescent="0.25">
      <c r="B94" s="637" t="s">
        <v>1921</v>
      </c>
      <c r="C94" s="637">
        <v>8468506892.8000002</v>
      </c>
    </row>
    <row r="97" spans="2:3" x14ac:dyDescent="0.25">
      <c r="B97" s="1739" t="s">
        <v>1922</v>
      </c>
      <c r="C97" s="1740"/>
    </row>
    <row r="98" spans="2:3" x14ac:dyDescent="0.25">
      <c r="B98" s="634" t="s">
        <v>1772</v>
      </c>
      <c r="C98" s="634" t="s">
        <v>971</v>
      </c>
    </row>
    <row r="99" spans="2:3" x14ac:dyDescent="0.25">
      <c r="B99" s="635" t="s">
        <v>1923</v>
      </c>
      <c r="C99" s="639">
        <v>1058044541</v>
      </c>
    </row>
    <row r="100" spans="2:3" x14ac:dyDescent="0.25">
      <c r="B100" s="635" t="s">
        <v>1924</v>
      </c>
      <c r="C100" s="639">
        <v>2117009971</v>
      </c>
    </row>
    <row r="101" spans="2:3" x14ac:dyDescent="0.25">
      <c r="B101" s="635" t="s">
        <v>1925</v>
      </c>
      <c r="C101" s="639">
        <v>1150000000</v>
      </c>
    </row>
    <row r="102" spans="2:3" x14ac:dyDescent="0.25">
      <c r="B102" s="637" t="s">
        <v>1926</v>
      </c>
      <c r="C102" s="637">
        <v>4325054512</v>
      </c>
    </row>
    <row r="103" spans="2:3" ht="25.5" x14ac:dyDescent="0.25">
      <c r="B103" s="637" t="s">
        <v>1927</v>
      </c>
      <c r="C103" s="637">
        <v>3175054512</v>
      </c>
    </row>
    <row r="106" spans="2:3" ht="25.5" x14ac:dyDescent="0.25">
      <c r="B106" s="640" t="s">
        <v>1928</v>
      </c>
      <c r="C106" s="641">
        <v>279194902394.53833</v>
      </c>
    </row>
  </sheetData>
  <mergeCells count="8">
    <mergeCell ref="B74:C74"/>
    <mergeCell ref="B83:C83"/>
    <mergeCell ref="B97:C97"/>
    <mergeCell ref="A1:C1"/>
    <mergeCell ref="A2:C2"/>
    <mergeCell ref="A3:C3"/>
    <mergeCell ref="A4:C4"/>
    <mergeCell ref="A63:B63"/>
  </mergeCells>
  <pageMargins left="0.39370078740157483" right="0.23622047244094491" top="0.26" bottom="0.27559055118110237" header="0.31496062992125984" footer="0.17"/>
  <pageSetup paperSize="5" scale="82" orientation="landscape"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4CE2-E0C3-4D81-A9BE-45AE11B5FF37}">
  <sheetPr>
    <tabColor rgb="FFFFC000"/>
  </sheetPr>
  <dimension ref="A1:V33"/>
  <sheetViews>
    <sheetView workbookViewId="0">
      <pane xSplit="2" ySplit="2" topLeftCell="C3" activePane="bottomRight" state="frozen"/>
      <selection pane="topRight"/>
      <selection pane="bottomLeft"/>
      <selection pane="bottomRight" activeCell="C4" sqref="C4"/>
    </sheetView>
  </sheetViews>
  <sheetFormatPr baseColWidth="10" defaultColWidth="9.140625" defaultRowHeight="12.75" x14ac:dyDescent="0.2"/>
  <cols>
    <col min="1" max="1" width="14.7109375" style="588" bestFit="1" customWidth="1"/>
    <col min="2" max="2" width="37.140625" style="583" customWidth="1"/>
    <col min="3" max="3" width="37.140625" style="918" customWidth="1"/>
    <col min="4" max="5" width="19.28515625" style="583" customWidth="1"/>
    <col min="6" max="6" width="20.42578125" style="583" bestFit="1" customWidth="1"/>
    <col min="7" max="7" width="3.140625" style="583" customWidth="1"/>
    <col min="8" max="8" width="20" style="584" bestFit="1" customWidth="1"/>
    <col min="9" max="9" width="20.5703125" style="584" bestFit="1" customWidth="1"/>
    <col min="10" max="10" width="18.28515625" style="584" customWidth="1"/>
    <col min="11" max="12" width="15.7109375" style="584" customWidth="1"/>
    <col min="13" max="13" width="21" style="584" customWidth="1"/>
    <col min="14" max="15" width="13.7109375" style="584" bestFit="1" customWidth="1"/>
    <col min="16" max="16" width="17.5703125" style="584" bestFit="1" customWidth="1"/>
    <col min="17" max="17" width="13.7109375" style="584" bestFit="1" customWidth="1"/>
    <col min="18" max="22" width="9.140625" style="584"/>
    <col min="23" max="16384" width="9.140625" style="583"/>
  </cols>
  <sheetData>
    <row r="1" spans="1:22" x14ac:dyDescent="0.2">
      <c r="I1" s="584">
        <f>H7+I7</f>
        <v>7042524667</v>
      </c>
    </row>
    <row r="2" spans="1:22" s="585" customFormat="1" ht="15.75" customHeight="1" x14ac:dyDescent="0.2">
      <c r="A2" s="1731" t="s">
        <v>1997</v>
      </c>
      <c r="B2" s="1732"/>
      <c r="C2" s="1732"/>
      <c r="D2" s="1732"/>
      <c r="E2" s="1732"/>
      <c r="F2" s="1732"/>
      <c r="G2" s="1732"/>
      <c r="H2" s="1732"/>
      <c r="I2" s="1732"/>
      <c r="J2" s="1732"/>
      <c r="K2" s="1732"/>
      <c r="L2" s="1732"/>
      <c r="M2" s="1732"/>
      <c r="N2" s="586"/>
      <c r="O2" s="586"/>
      <c r="P2" s="586"/>
      <c r="Q2" s="586"/>
      <c r="R2" s="586"/>
      <c r="S2" s="586"/>
      <c r="T2" s="586"/>
      <c r="U2" s="586"/>
      <c r="V2" s="586"/>
    </row>
    <row r="3" spans="1:22" s="616" customFormat="1" ht="38.25" x14ac:dyDescent="0.25">
      <c r="A3" s="615" t="s">
        <v>1998</v>
      </c>
      <c r="B3" s="615" t="s">
        <v>1</v>
      </c>
      <c r="C3" s="967"/>
      <c r="D3" s="615" t="s">
        <v>1999</v>
      </c>
      <c r="E3" s="615" t="s">
        <v>2000</v>
      </c>
      <c r="F3" s="615" t="s">
        <v>2001</v>
      </c>
      <c r="H3" s="603" t="s">
        <v>2002</v>
      </c>
      <c r="I3" s="603" t="s">
        <v>2003</v>
      </c>
      <c r="J3" s="603" t="s">
        <v>2004</v>
      </c>
      <c r="K3" s="603" t="s">
        <v>2005</v>
      </c>
      <c r="L3" s="603" t="s">
        <v>2006</v>
      </c>
      <c r="M3" s="603" t="s">
        <v>2007</v>
      </c>
      <c r="N3" s="169"/>
      <c r="O3" s="169"/>
      <c r="P3" s="169"/>
      <c r="Q3" s="169"/>
      <c r="R3" s="169"/>
      <c r="S3" s="169"/>
      <c r="T3" s="169"/>
      <c r="U3" s="169"/>
      <c r="V3" s="169"/>
    </row>
    <row r="4" spans="1:22" s="1039" customFormat="1" x14ac:dyDescent="0.2">
      <c r="A4" s="1035">
        <v>171</v>
      </c>
      <c r="B4" s="1013" t="s">
        <v>1882</v>
      </c>
      <c r="C4" s="1036">
        <f>+'F Y U 2023 Prespupuesto'!C89</f>
        <v>1809933808.7</v>
      </c>
      <c r="D4" s="1037">
        <f>+C4</f>
        <v>1809933808.7</v>
      </c>
      <c r="E4" s="1038">
        <f>+H4+I4+M4</f>
        <v>1809933808.7</v>
      </c>
      <c r="F4" s="1038">
        <f>+J4+K4</f>
        <v>0</v>
      </c>
      <c r="H4" s="1040"/>
      <c r="I4" s="1041">
        <f>+D4</f>
        <v>1809933808.7</v>
      </c>
      <c r="J4" s="1042"/>
      <c r="K4" s="1042"/>
      <c r="L4" s="1042"/>
      <c r="M4" s="1043"/>
      <c r="N4" s="1044">
        <f>+H4+I4+M4</f>
        <v>1809933808.7</v>
      </c>
      <c r="O4" s="1044">
        <f>+E4-N4</f>
        <v>0</v>
      </c>
      <c r="P4" s="1045">
        <f>+J4+K4</f>
        <v>0</v>
      </c>
      <c r="Q4" s="1044">
        <f>+F4-P4</f>
        <v>0</v>
      </c>
      <c r="R4" s="1044"/>
      <c r="S4" s="1044"/>
      <c r="T4" s="1044"/>
      <c r="U4" s="1044"/>
      <c r="V4" s="1044"/>
    </row>
    <row r="5" spans="1:22" s="1039" customFormat="1" x14ac:dyDescent="0.2">
      <c r="A5" s="1035">
        <v>61</v>
      </c>
      <c r="B5" s="1013" t="s">
        <v>1883</v>
      </c>
      <c r="C5" s="1036">
        <f>+'F Y U 2023 Prespupuesto'!C88</f>
        <v>4758262654.4000006</v>
      </c>
      <c r="D5" s="1037">
        <f t="shared" ref="D5:D24" si="0">+C5</f>
        <v>4758262654.4000006</v>
      </c>
      <c r="E5" s="1038">
        <f t="shared" ref="E5:E23" si="1">+H5+I5+M5</f>
        <v>4758262654.4000006</v>
      </c>
      <c r="F5" s="1038">
        <f t="shared" ref="F5:F24" si="2">+J5+K5</f>
        <v>0</v>
      </c>
      <c r="H5" s="1040"/>
      <c r="I5" s="1041"/>
      <c r="J5" s="1042"/>
      <c r="K5" s="1042"/>
      <c r="L5" s="1042"/>
      <c r="M5" s="1043">
        <f>D5</f>
        <v>4758262654.4000006</v>
      </c>
      <c r="N5" s="1044">
        <f t="shared" ref="N5:N25" si="3">+H5+I5+M5</f>
        <v>4758262654.4000006</v>
      </c>
      <c r="O5" s="1044">
        <f t="shared" ref="O5:O25" si="4">+E5-N5</f>
        <v>0</v>
      </c>
      <c r="P5" s="1045">
        <f t="shared" ref="P5:P24" si="5">+J5+K5</f>
        <v>0</v>
      </c>
      <c r="Q5" s="1044">
        <f t="shared" ref="Q5:Q24" si="6">+F5-P5</f>
        <v>0</v>
      </c>
      <c r="R5" s="1044"/>
      <c r="S5" s="1044"/>
      <c r="T5" s="1044"/>
      <c r="U5" s="1044"/>
      <c r="V5" s="1044"/>
    </row>
    <row r="6" spans="1:22" s="1039" customFormat="1" x14ac:dyDescent="0.2">
      <c r="A6" s="1035">
        <v>63</v>
      </c>
      <c r="B6" s="1013" t="s">
        <v>1884</v>
      </c>
      <c r="C6" s="1036">
        <f>+'F Y U 2023 Prespupuesto'!C103</f>
        <v>399000000</v>
      </c>
      <c r="D6" s="1037">
        <f t="shared" si="0"/>
        <v>399000000</v>
      </c>
      <c r="E6" s="1038">
        <f t="shared" si="1"/>
        <v>399000000</v>
      </c>
      <c r="F6" s="1038">
        <f t="shared" si="2"/>
        <v>0</v>
      </c>
      <c r="H6" s="1040"/>
      <c r="I6" s="1041"/>
      <c r="J6" s="1042"/>
      <c r="K6" s="1042"/>
      <c r="L6" s="1042"/>
      <c r="M6" s="1043">
        <f>+D6</f>
        <v>399000000</v>
      </c>
      <c r="N6" s="1044">
        <f t="shared" si="3"/>
        <v>399000000</v>
      </c>
      <c r="O6" s="1044">
        <f t="shared" si="4"/>
        <v>0</v>
      </c>
      <c r="P6" s="1045">
        <f t="shared" si="5"/>
        <v>0</v>
      </c>
      <c r="Q6" s="1044">
        <f t="shared" si="6"/>
        <v>0</v>
      </c>
      <c r="R6" s="1044"/>
      <c r="S6" s="1044"/>
      <c r="T6" s="1044"/>
      <c r="U6" s="1044"/>
      <c r="V6" s="1044"/>
    </row>
    <row r="7" spans="1:22" s="585" customFormat="1" x14ac:dyDescent="0.2">
      <c r="A7" s="607" t="s">
        <v>2008</v>
      </c>
      <c r="B7" s="608" t="s">
        <v>1885</v>
      </c>
      <c r="C7" s="1036">
        <f>+'F Y U 2023 Prespupuesto'!C94</f>
        <v>9390032889.6647472</v>
      </c>
      <c r="D7" s="910">
        <f t="shared" si="0"/>
        <v>9390032889.6647472</v>
      </c>
      <c r="E7" s="606">
        <f>+H7+I7+M7+L7</f>
        <v>7201659667</v>
      </c>
      <c r="F7" s="606">
        <f t="shared" si="2"/>
        <v>2188373222</v>
      </c>
      <c r="H7" s="1074">
        <f>ROUND(D7*0.5,0)</f>
        <v>4695016445</v>
      </c>
      <c r="I7" s="610">
        <f>ROUND(D7*0.25,0)</f>
        <v>2347508222</v>
      </c>
      <c r="J7" s="611"/>
      <c r="K7" s="1048">
        <v>2188373222</v>
      </c>
      <c r="L7" s="1048">
        <v>159135000</v>
      </c>
      <c r="M7" s="612"/>
      <c r="N7" s="586">
        <f t="shared" si="3"/>
        <v>7042524667</v>
      </c>
      <c r="O7" s="586">
        <f t="shared" si="4"/>
        <v>159135000</v>
      </c>
      <c r="P7" s="917">
        <f t="shared" si="5"/>
        <v>2188373222</v>
      </c>
      <c r="Q7" s="586">
        <f t="shared" si="6"/>
        <v>0</v>
      </c>
      <c r="R7" s="586"/>
      <c r="S7" s="586"/>
      <c r="T7" s="586"/>
      <c r="U7" s="586"/>
      <c r="V7" s="586"/>
    </row>
    <row r="8" spans="1:22" s="1039" customFormat="1" ht="25.5" x14ac:dyDescent="0.2">
      <c r="A8" s="1035" t="s">
        <v>2008</v>
      </c>
      <c r="B8" s="1013" t="s">
        <v>1886</v>
      </c>
      <c r="C8" s="1036">
        <f>+'F Y U 2023 Prespupuesto'!C99</f>
        <v>2062546781.6440899</v>
      </c>
      <c r="D8" s="1037">
        <f t="shared" si="0"/>
        <v>2062546781.6440899</v>
      </c>
      <c r="E8" s="1038">
        <f t="shared" si="1"/>
        <v>1546910086</v>
      </c>
      <c r="F8" s="1038">
        <f t="shared" si="2"/>
        <v>515636695</v>
      </c>
      <c r="H8" s="1073">
        <f>ROUND(D8*0.5,0)</f>
        <v>1031273391</v>
      </c>
      <c r="I8" s="1041">
        <f>ROUND(D8*0.25,0)</f>
        <v>515636695</v>
      </c>
      <c r="J8" s="1042"/>
      <c r="K8" s="1042">
        <f>ROUND(D8*0.25,0)</f>
        <v>515636695</v>
      </c>
      <c r="L8" s="1042"/>
      <c r="M8" s="1043"/>
      <c r="N8" s="1044">
        <f t="shared" si="3"/>
        <v>1546910086</v>
      </c>
      <c r="O8" s="1044">
        <f t="shared" si="4"/>
        <v>0</v>
      </c>
      <c r="P8" s="1045">
        <f t="shared" si="5"/>
        <v>515636695</v>
      </c>
      <c r="Q8" s="1044">
        <f t="shared" si="6"/>
        <v>0</v>
      </c>
      <c r="R8" s="1044"/>
      <c r="S8" s="1044"/>
      <c r="T8" s="1044"/>
      <c r="U8" s="1044"/>
      <c r="V8" s="1044"/>
    </row>
    <row r="9" spans="1:22" s="1039" customFormat="1" ht="25.5" x14ac:dyDescent="0.2">
      <c r="A9" s="1035" t="s">
        <v>2008</v>
      </c>
      <c r="B9" s="1013" t="s">
        <v>1887</v>
      </c>
      <c r="C9" s="1036">
        <f>+'F Y U 2023 Prespupuesto'!C95</f>
        <v>3851377846.7839999</v>
      </c>
      <c r="D9" s="1037">
        <f t="shared" si="0"/>
        <v>3851377846.7839999</v>
      </c>
      <c r="E9" s="1038">
        <f t="shared" si="1"/>
        <v>2888533385</v>
      </c>
      <c r="F9" s="1038">
        <f t="shared" si="2"/>
        <v>962844462</v>
      </c>
      <c r="H9" s="1073">
        <f>ROUND(D9*0.5,0)</f>
        <v>1925688923</v>
      </c>
      <c r="I9" s="1041">
        <f>ROUND(D9*0.25,0)</f>
        <v>962844462</v>
      </c>
      <c r="J9" s="1042"/>
      <c r="K9" s="1042">
        <f>ROUND(D9*0.25,0)</f>
        <v>962844462</v>
      </c>
      <c r="L9" s="1042"/>
      <c r="M9" s="1043"/>
      <c r="N9" s="1044">
        <f t="shared" si="3"/>
        <v>2888533385</v>
      </c>
      <c r="O9" s="1044">
        <f t="shared" si="4"/>
        <v>0</v>
      </c>
      <c r="P9" s="1045">
        <f t="shared" si="5"/>
        <v>962844462</v>
      </c>
      <c r="Q9" s="1044">
        <f t="shared" si="6"/>
        <v>0</v>
      </c>
      <c r="R9" s="1044"/>
      <c r="S9" s="1044"/>
      <c r="T9" s="1044"/>
      <c r="U9" s="1044"/>
      <c r="V9" s="1044"/>
    </row>
    <row r="10" spans="1:22" s="1019" customFormat="1" ht="25.5" x14ac:dyDescent="0.2">
      <c r="A10" s="1014">
        <v>61</v>
      </c>
      <c r="B10" s="1015" t="s">
        <v>1888</v>
      </c>
      <c r="C10" s="1016">
        <f>+'F Y U 2023 Prespupuesto'!C90</f>
        <v>3000000</v>
      </c>
      <c r="D10" s="1017">
        <f t="shared" si="0"/>
        <v>3000000</v>
      </c>
      <c r="E10" s="1018">
        <f t="shared" si="1"/>
        <v>3000000</v>
      </c>
      <c r="F10" s="1018">
        <f t="shared" si="2"/>
        <v>0</v>
      </c>
      <c r="H10" s="1020"/>
      <c r="I10" s="1021"/>
      <c r="J10" s="1022"/>
      <c r="K10" s="1022"/>
      <c r="L10" s="1022"/>
      <c r="M10" s="1023">
        <f>D10</f>
        <v>3000000</v>
      </c>
      <c r="N10" s="1024">
        <f t="shared" si="3"/>
        <v>3000000</v>
      </c>
      <c r="O10" s="1024">
        <f t="shared" si="4"/>
        <v>0</v>
      </c>
      <c r="P10" s="1025">
        <f t="shared" si="5"/>
        <v>0</v>
      </c>
      <c r="Q10" s="1024">
        <f t="shared" si="6"/>
        <v>0</v>
      </c>
      <c r="R10" s="1024"/>
      <c r="S10" s="1024"/>
      <c r="T10" s="1024"/>
      <c r="U10" s="1024"/>
      <c r="V10" s="1024"/>
    </row>
    <row r="11" spans="1:22" s="1019" customFormat="1" ht="31.5" customHeight="1" x14ac:dyDescent="0.2">
      <c r="A11" s="1014">
        <v>171</v>
      </c>
      <c r="B11" s="1015" t="s">
        <v>1889</v>
      </c>
      <c r="C11" s="1016">
        <f>+'F Y U 2023 Prespupuesto'!C91</f>
        <v>1000000</v>
      </c>
      <c r="D11" s="1017">
        <f t="shared" si="0"/>
        <v>1000000</v>
      </c>
      <c r="E11" s="1018">
        <f t="shared" si="1"/>
        <v>1000000</v>
      </c>
      <c r="F11" s="1018">
        <f t="shared" si="2"/>
        <v>0</v>
      </c>
      <c r="H11" s="1020"/>
      <c r="I11" s="1021">
        <f>D11</f>
        <v>1000000</v>
      </c>
      <c r="J11" s="1022"/>
      <c r="K11" s="1022"/>
      <c r="L11" s="1022"/>
      <c r="M11" s="1023"/>
      <c r="N11" s="1024">
        <f t="shared" si="3"/>
        <v>1000000</v>
      </c>
      <c r="O11" s="1024">
        <f t="shared" si="4"/>
        <v>0</v>
      </c>
      <c r="P11" s="1025">
        <f t="shared" si="5"/>
        <v>0</v>
      </c>
      <c r="Q11" s="1024">
        <f t="shared" si="6"/>
        <v>0</v>
      </c>
      <c r="R11" s="1024"/>
      <c r="S11" s="1024"/>
      <c r="T11" s="1024"/>
      <c r="U11" s="1024"/>
      <c r="V11" s="1024"/>
    </row>
    <row r="12" spans="1:22" s="1019" customFormat="1" ht="25.5" x14ac:dyDescent="0.2">
      <c r="A12" s="1014">
        <v>63</v>
      </c>
      <c r="B12" s="1015" t="s">
        <v>1890</v>
      </c>
      <c r="C12" s="1016">
        <f>+'F Y U 2023 Prespupuesto'!C92</f>
        <v>1000000</v>
      </c>
      <c r="D12" s="1017">
        <f t="shared" si="0"/>
        <v>1000000</v>
      </c>
      <c r="E12" s="1018">
        <f t="shared" si="1"/>
        <v>1000000</v>
      </c>
      <c r="F12" s="1018">
        <f t="shared" si="2"/>
        <v>0</v>
      </c>
      <c r="H12" s="1020"/>
      <c r="I12" s="1021"/>
      <c r="J12" s="1022"/>
      <c r="K12" s="1022">
        <v>0</v>
      </c>
      <c r="L12" s="1022"/>
      <c r="M12" s="1023">
        <v>1000000</v>
      </c>
      <c r="N12" s="1024">
        <f t="shared" si="3"/>
        <v>1000000</v>
      </c>
      <c r="O12" s="1024">
        <f t="shared" si="4"/>
        <v>0</v>
      </c>
      <c r="P12" s="1025">
        <f t="shared" si="5"/>
        <v>0</v>
      </c>
      <c r="Q12" s="1024">
        <f t="shared" si="6"/>
        <v>0</v>
      </c>
      <c r="R12" s="1024"/>
      <c r="S12" s="1024"/>
      <c r="T12" s="1024"/>
      <c r="U12" s="1024"/>
      <c r="V12" s="1024"/>
    </row>
    <row r="13" spans="1:22" s="1030" customFormat="1" ht="25.5" x14ac:dyDescent="0.2">
      <c r="A13" s="1051" t="s">
        <v>2009</v>
      </c>
      <c r="B13" s="1026" t="s">
        <v>1891</v>
      </c>
      <c r="C13" s="1027">
        <f>+'F Y U 2023 Prespupuesto'!C93</f>
        <v>2000000</v>
      </c>
      <c r="D13" s="1028">
        <f t="shared" si="0"/>
        <v>2000000</v>
      </c>
      <c r="E13" s="1029">
        <f t="shared" si="1"/>
        <v>2000000</v>
      </c>
      <c r="F13" s="1029">
        <f t="shared" si="2"/>
        <v>0</v>
      </c>
      <c r="H13" s="1031"/>
      <c r="I13" s="1049">
        <v>2000000</v>
      </c>
      <c r="J13" s="1032"/>
      <c r="K13" s="1032">
        <v>0</v>
      </c>
      <c r="L13" s="1032"/>
      <c r="M13" s="1050">
        <v>0</v>
      </c>
      <c r="N13" s="1033">
        <f t="shared" si="3"/>
        <v>2000000</v>
      </c>
      <c r="O13" s="1033">
        <f t="shared" si="4"/>
        <v>0</v>
      </c>
      <c r="P13" s="1034">
        <f t="shared" si="5"/>
        <v>0</v>
      </c>
      <c r="Q13" s="1033">
        <f t="shared" si="6"/>
        <v>0</v>
      </c>
      <c r="R13" s="1033"/>
      <c r="S13" s="1033"/>
      <c r="T13" s="1033"/>
      <c r="U13" s="1033"/>
      <c r="V13" s="1033"/>
    </row>
    <row r="14" spans="1:22" s="1039" customFormat="1" ht="25.5" x14ac:dyDescent="0.2">
      <c r="A14" s="1035" t="s">
        <v>2010</v>
      </c>
      <c r="B14" s="1013" t="s">
        <v>1892</v>
      </c>
      <c r="C14" s="1036">
        <f>+'F Y U 2023 Prespupuesto'!C96</f>
        <v>6362968705</v>
      </c>
      <c r="D14" s="1052">
        <f t="shared" si="0"/>
        <v>6362968705</v>
      </c>
      <c r="E14" s="1038">
        <f t="shared" si="1"/>
        <v>4326818719</v>
      </c>
      <c r="F14" s="1038">
        <f t="shared" si="2"/>
        <v>2036149985</v>
      </c>
      <c r="H14" s="1073">
        <f>ROUND(D14*0.68,0)</f>
        <v>4326818719</v>
      </c>
      <c r="I14" s="1041"/>
      <c r="J14" s="1042">
        <f t="shared" ref="J14:J19" si="7">ROUND(D14*0.07,0)</f>
        <v>445407809</v>
      </c>
      <c r="K14" s="1042">
        <f t="shared" ref="K14:K20" si="8">ROUND(D14*0.25,0)</f>
        <v>1590742176</v>
      </c>
      <c r="L14" s="1042"/>
      <c r="M14" s="1043"/>
      <c r="N14" s="1044">
        <f t="shared" si="3"/>
        <v>4326818719</v>
      </c>
      <c r="O14" s="1044">
        <f t="shared" si="4"/>
        <v>0</v>
      </c>
      <c r="P14" s="1045">
        <f t="shared" si="5"/>
        <v>2036149985</v>
      </c>
      <c r="Q14" s="1044">
        <f t="shared" si="6"/>
        <v>0</v>
      </c>
      <c r="R14" s="1044"/>
      <c r="S14" s="1044"/>
      <c r="T14" s="1044"/>
      <c r="U14" s="1044"/>
      <c r="V14" s="1044"/>
    </row>
    <row r="15" spans="1:22" s="1039" customFormat="1" x14ac:dyDescent="0.2">
      <c r="A15" s="1035" t="s">
        <v>2010</v>
      </c>
      <c r="B15" s="1013" t="s">
        <v>1893</v>
      </c>
      <c r="C15" s="1047">
        <f>+'F Y U 2023 Prespupuesto'!C101</f>
        <v>2170409040</v>
      </c>
      <c r="D15" s="1037">
        <f t="shared" si="0"/>
        <v>2170409040</v>
      </c>
      <c r="E15" s="1038">
        <f t="shared" si="1"/>
        <v>1475878147</v>
      </c>
      <c r="F15" s="1038">
        <f t="shared" si="2"/>
        <v>694530893</v>
      </c>
      <c r="H15" s="1073">
        <f>ROUND(D15*0.68,0)</f>
        <v>1475878147</v>
      </c>
      <c r="I15" s="1041"/>
      <c r="J15" s="1042">
        <f t="shared" si="7"/>
        <v>151928633</v>
      </c>
      <c r="K15" s="1042">
        <f t="shared" si="8"/>
        <v>542602260</v>
      </c>
      <c r="L15" s="1042"/>
      <c r="M15" s="1043"/>
      <c r="N15" s="1044">
        <f t="shared" si="3"/>
        <v>1475878147</v>
      </c>
      <c r="O15" s="1044">
        <f t="shared" si="4"/>
        <v>0</v>
      </c>
      <c r="P15" s="1045">
        <f t="shared" si="5"/>
        <v>694530893</v>
      </c>
      <c r="Q15" s="1044">
        <f t="shared" si="6"/>
        <v>0</v>
      </c>
      <c r="R15" s="1044"/>
      <c r="S15" s="1044"/>
      <c r="T15" s="1044"/>
      <c r="U15" s="1044"/>
      <c r="V15" s="1044"/>
    </row>
    <row r="16" spans="1:22" s="1039" customFormat="1" x14ac:dyDescent="0.2">
      <c r="A16" s="1035" t="s">
        <v>2010</v>
      </c>
      <c r="B16" s="1013" t="s">
        <v>1894</v>
      </c>
      <c r="C16" s="1036">
        <f>+'F Y U 2023 Prespupuesto'!C102</f>
        <v>1237100665</v>
      </c>
      <c r="D16" s="1037">
        <f t="shared" si="0"/>
        <v>1237100665</v>
      </c>
      <c r="E16" s="1038">
        <f t="shared" si="1"/>
        <v>841228452</v>
      </c>
      <c r="F16" s="1038">
        <f t="shared" si="2"/>
        <v>395872213</v>
      </c>
      <c r="H16" s="1073">
        <f>ROUND(D16*0.68,0)</f>
        <v>841228452</v>
      </c>
      <c r="I16" s="1041"/>
      <c r="J16" s="1042">
        <f t="shared" si="7"/>
        <v>86597047</v>
      </c>
      <c r="K16" s="1042">
        <f t="shared" si="8"/>
        <v>309275166</v>
      </c>
      <c r="L16" s="1042"/>
      <c r="M16" s="1043"/>
      <c r="N16" s="1044">
        <f t="shared" si="3"/>
        <v>841228452</v>
      </c>
      <c r="O16" s="1044">
        <f t="shared" si="4"/>
        <v>0</v>
      </c>
      <c r="P16" s="1045">
        <f t="shared" si="5"/>
        <v>395872213</v>
      </c>
      <c r="Q16" s="1044">
        <f t="shared" si="6"/>
        <v>0</v>
      </c>
      <c r="R16" s="1044"/>
      <c r="S16" s="1044"/>
      <c r="T16" s="1044"/>
      <c r="U16" s="1044"/>
      <c r="V16" s="1044"/>
    </row>
    <row r="17" spans="1:22" s="1039" customFormat="1" x14ac:dyDescent="0.2">
      <c r="A17" s="1035" t="s">
        <v>2011</v>
      </c>
      <c r="B17" s="1013" t="s">
        <v>1895</v>
      </c>
      <c r="C17" s="1036">
        <f>+'F Y U 2023 Prespupuesto'!C100</f>
        <v>632179189.28999996</v>
      </c>
      <c r="D17" s="1037">
        <f t="shared" si="0"/>
        <v>632179189.28999996</v>
      </c>
      <c r="E17" s="1038">
        <f t="shared" si="1"/>
        <v>429881850</v>
      </c>
      <c r="F17" s="1038">
        <f t="shared" si="2"/>
        <v>202297340</v>
      </c>
      <c r="H17" s="1073">
        <f>ROUND(D17*0.68,0)+1</f>
        <v>429881850</v>
      </c>
      <c r="I17" s="1041"/>
      <c r="J17" s="1042">
        <f t="shared" si="7"/>
        <v>44252543</v>
      </c>
      <c r="K17" s="1042">
        <f t="shared" si="8"/>
        <v>158044797</v>
      </c>
      <c r="L17" s="1042"/>
      <c r="M17" s="1043"/>
      <c r="N17" s="1044">
        <f t="shared" si="3"/>
        <v>429881850</v>
      </c>
      <c r="O17" s="1044">
        <f t="shared" si="4"/>
        <v>0</v>
      </c>
      <c r="P17" s="1045">
        <f t="shared" si="5"/>
        <v>202297340</v>
      </c>
      <c r="Q17" s="1044">
        <f t="shared" si="6"/>
        <v>0</v>
      </c>
      <c r="R17" s="1044"/>
      <c r="S17" s="1044"/>
      <c r="T17" s="1044"/>
      <c r="U17" s="1044"/>
      <c r="V17" s="1044"/>
    </row>
    <row r="18" spans="1:22" s="1039" customFormat="1" ht="25.5" x14ac:dyDescent="0.2">
      <c r="A18" s="1035" t="s">
        <v>2010</v>
      </c>
      <c r="B18" s="1013" t="s">
        <v>1896</v>
      </c>
      <c r="C18" s="1036">
        <f>+'F Y U 2023 Prespupuesto'!C97</f>
        <v>928531052.75999999</v>
      </c>
      <c r="D18" s="1037">
        <f t="shared" si="0"/>
        <v>928531052.75999999</v>
      </c>
      <c r="E18" s="1038">
        <f t="shared" si="1"/>
        <v>631401116</v>
      </c>
      <c r="F18" s="1038">
        <f t="shared" si="2"/>
        <v>297129937</v>
      </c>
      <c r="H18" s="1073">
        <f>ROUND(D18*0.68,0)</f>
        <v>631401116</v>
      </c>
      <c r="I18" s="1041"/>
      <c r="J18" s="1042">
        <f t="shared" si="7"/>
        <v>64997174</v>
      </c>
      <c r="K18" s="1042">
        <f t="shared" si="8"/>
        <v>232132763</v>
      </c>
      <c r="L18" s="1042"/>
      <c r="M18" s="1043"/>
      <c r="N18" s="1044">
        <f t="shared" si="3"/>
        <v>631401116</v>
      </c>
      <c r="O18" s="1044">
        <f t="shared" si="4"/>
        <v>0</v>
      </c>
      <c r="P18" s="1045">
        <f t="shared" si="5"/>
        <v>297129937</v>
      </c>
      <c r="Q18" s="1044">
        <f t="shared" si="6"/>
        <v>0</v>
      </c>
      <c r="R18" s="1044"/>
      <c r="S18" s="1044"/>
      <c r="T18" s="1044"/>
      <c r="U18" s="1044"/>
      <c r="V18" s="1044"/>
    </row>
    <row r="19" spans="1:22" s="1039" customFormat="1" x14ac:dyDescent="0.2">
      <c r="A19" s="1035" t="s">
        <v>2010</v>
      </c>
      <c r="B19" s="1013" t="s">
        <v>809</v>
      </c>
      <c r="C19" s="1036">
        <f>+'F Y U 2023 Prespupuesto'!C98</f>
        <v>31137815</v>
      </c>
      <c r="D19" s="1037">
        <f t="shared" si="0"/>
        <v>31137815</v>
      </c>
      <c r="E19" s="1038">
        <f t="shared" si="1"/>
        <v>21173714</v>
      </c>
      <c r="F19" s="1038">
        <f t="shared" si="2"/>
        <v>9964101</v>
      </c>
      <c r="H19" s="1040">
        <f>ROUND(D19*0.68,0)</f>
        <v>21173714</v>
      </c>
      <c r="I19" s="1041"/>
      <c r="J19" s="1042">
        <f t="shared" si="7"/>
        <v>2179647</v>
      </c>
      <c r="K19" s="1042">
        <f t="shared" si="8"/>
        <v>7784454</v>
      </c>
      <c r="L19" s="1042"/>
      <c r="M19" s="1043"/>
      <c r="N19" s="1044">
        <f t="shared" si="3"/>
        <v>21173714</v>
      </c>
      <c r="O19" s="1044">
        <f t="shared" si="4"/>
        <v>0</v>
      </c>
      <c r="P19" s="1045">
        <f t="shared" si="5"/>
        <v>9964101</v>
      </c>
      <c r="Q19" s="1044">
        <f t="shared" si="6"/>
        <v>0</v>
      </c>
      <c r="R19" s="1044"/>
      <c r="S19" s="1044"/>
      <c r="T19" s="1044"/>
      <c r="U19" s="1044"/>
      <c r="V19" s="1044"/>
    </row>
    <row r="20" spans="1:22" s="1039" customFormat="1" ht="25.5" x14ac:dyDescent="0.2">
      <c r="A20" s="1035">
        <v>154</v>
      </c>
      <c r="B20" s="1013" t="s">
        <v>1897</v>
      </c>
      <c r="C20" s="1036">
        <f>+'F Y U 2023 Prespupuesto'!C107</f>
        <v>1219071964</v>
      </c>
      <c r="D20" s="1037">
        <f t="shared" si="0"/>
        <v>1219071964</v>
      </c>
      <c r="E20" s="1038">
        <f>+H20+I20+M20</f>
        <v>914303973</v>
      </c>
      <c r="F20" s="1038">
        <f>+J20+K20</f>
        <v>304767991</v>
      </c>
      <c r="H20" s="1075">
        <f>ROUND(D20*0.75,0)</f>
        <v>914303973</v>
      </c>
      <c r="I20" s="1041"/>
      <c r="J20" s="1048"/>
      <c r="K20" s="1042">
        <f t="shared" si="8"/>
        <v>304767991</v>
      </c>
      <c r="L20" s="1042"/>
      <c r="M20" s="1043"/>
      <c r="N20" s="1044">
        <f t="shared" si="3"/>
        <v>914303973</v>
      </c>
      <c r="O20" s="1044">
        <f t="shared" si="4"/>
        <v>0</v>
      </c>
      <c r="P20" s="1045">
        <f t="shared" si="5"/>
        <v>304767991</v>
      </c>
      <c r="Q20" s="1044">
        <f t="shared" si="6"/>
        <v>0</v>
      </c>
      <c r="R20" s="1044"/>
      <c r="S20" s="1044"/>
      <c r="T20" s="1044"/>
      <c r="U20" s="1044"/>
      <c r="V20" s="1044"/>
    </row>
    <row r="21" spans="1:22" s="1039" customFormat="1" ht="25.5" x14ac:dyDescent="0.2">
      <c r="A21" s="1035">
        <v>154</v>
      </c>
      <c r="B21" s="1013" t="s">
        <v>1898</v>
      </c>
      <c r="C21" s="1036">
        <f>+'F Y U 2023 Prespupuesto'!C104</f>
        <v>13809428000</v>
      </c>
      <c r="D21" s="1037">
        <f t="shared" si="0"/>
        <v>13809428000</v>
      </c>
      <c r="E21" s="1038">
        <f t="shared" si="1"/>
        <v>13809428000</v>
      </c>
      <c r="F21" s="1038">
        <f t="shared" si="2"/>
        <v>0</v>
      </c>
      <c r="H21" s="1073">
        <f>D21</f>
        <v>13809428000</v>
      </c>
      <c r="I21" s="1041"/>
      <c r="J21" s="1042"/>
      <c r="K21" s="1042"/>
      <c r="L21" s="1042"/>
      <c r="M21" s="1043"/>
      <c r="N21" s="1044">
        <f t="shared" si="3"/>
        <v>13809428000</v>
      </c>
      <c r="O21" s="1044">
        <f t="shared" si="4"/>
        <v>0</v>
      </c>
      <c r="P21" s="1045">
        <f t="shared" si="5"/>
        <v>0</v>
      </c>
      <c r="Q21" s="1044">
        <f t="shared" si="6"/>
        <v>0</v>
      </c>
      <c r="R21" s="1044"/>
      <c r="T21" s="1044"/>
      <c r="U21" s="1044"/>
      <c r="V21" s="1044"/>
    </row>
    <row r="22" spans="1:22" s="1039" customFormat="1" ht="38.25" x14ac:dyDescent="0.2">
      <c r="A22" s="1035">
        <v>154</v>
      </c>
      <c r="B22" s="1013" t="s">
        <v>1899</v>
      </c>
      <c r="C22" s="1036">
        <f>+'F Y U 2023 Prespupuesto'!C105</f>
        <v>4335092422.8432827</v>
      </c>
      <c r="D22" s="1037">
        <f t="shared" si="0"/>
        <v>4335092422.8432827</v>
      </c>
      <c r="E22" s="1038">
        <f t="shared" si="1"/>
        <v>4335092422.8432827</v>
      </c>
      <c r="F22" s="1038">
        <f t="shared" si="2"/>
        <v>0</v>
      </c>
      <c r="H22" s="1073">
        <f>D22</f>
        <v>4335092422.8432827</v>
      </c>
      <c r="I22" s="1041"/>
      <c r="J22" s="1042"/>
      <c r="K22" s="1042"/>
      <c r="L22" s="1042"/>
      <c r="M22" s="1043"/>
      <c r="N22" s="1044">
        <f t="shared" si="3"/>
        <v>4335092422.8432827</v>
      </c>
      <c r="O22" s="1044">
        <f t="shared" si="4"/>
        <v>0</v>
      </c>
      <c r="P22" s="1045">
        <f t="shared" si="5"/>
        <v>0</v>
      </c>
      <c r="Q22" s="1044">
        <f t="shared" si="6"/>
        <v>0</v>
      </c>
      <c r="R22" s="1044"/>
      <c r="S22" s="1044"/>
      <c r="T22" s="1044"/>
      <c r="U22" s="1044"/>
      <c r="V22" s="1044"/>
    </row>
    <row r="23" spans="1:22" s="1039" customFormat="1" ht="25.5" x14ac:dyDescent="0.2">
      <c r="A23" s="1035">
        <v>154</v>
      </c>
      <c r="B23" s="1013" t="s">
        <v>1900</v>
      </c>
      <c r="C23" s="1036">
        <f>+'F Y U 2023 Prespupuesto'!C106</f>
        <v>636817959</v>
      </c>
      <c r="D23" s="1037">
        <f t="shared" si="0"/>
        <v>636817959</v>
      </c>
      <c r="E23" s="1038">
        <f t="shared" si="1"/>
        <v>636817959</v>
      </c>
      <c r="F23" s="1038">
        <f t="shared" si="2"/>
        <v>0</v>
      </c>
      <c r="H23" s="1073">
        <f>D23</f>
        <v>636817959</v>
      </c>
      <c r="I23" s="1041"/>
      <c r="J23" s="1042"/>
      <c r="K23" s="1042"/>
      <c r="L23" s="1042"/>
      <c r="M23" s="1043"/>
      <c r="N23" s="1044">
        <f t="shared" si="3"/>
        <v>636817959</v>
      </c>
      <c r="O23" s="1044">
        <f t="shared" si="4"/>
        <v>0</v>
      </c>
      <c r="P23" s="1045">
        <f t="shared" si="5"/>
        <v>0</v>
      </c>
      <c r="Q23" s="1044">
        <f t="shared" si="6"/>
        <v>0</v>
      </c>
      <c r="R23" s="1044"/>
      <c r="S23" s="1044"/>
      <c r="T23" s="1044"/>
      <c r="U23" s="1044"/>
      <c r="V23" s="1044"/>
    </row>
    <row r="24" spans="1:22" s="585" customFormat="1" ht="25.5" x14ac:dyDescent="0.2">
      <c r="A24" s="607" t="s">
        <v>2012</v>
      </c>
      <c r="B24" s="608" t="s">
        <v>1146</v>
      </c>
      <c r="C24" s="1036">
        <f>+'F Y U 2023 Prespupuesto'!C108</f>
        <v>2231975607</v>
      </c>
      <c r="D24" s="910">
        <f t="shared" si="0"/>
        <v>2231975607</v>
      </c>
      <c r="E24" s="606">
        <v>2231975607</v>
      </c>
      <c r="F24" s="606">
        <f t="shared" si="2"/>
        <v>0</v>
      </c>
      <c r="G24" s="587"/>
      <c r="H24" s="613"/>
      <c r="I24" s="1049">
        <v>1902238000</v>
      </c>
      <c r="J24" s="611"/>
      <c r="K24" s="611"/>
      <c r="L24" s="611"/>
      <c r="M24" s="1050">
        <v>329737607</v>
      </c>
      <c r="N24" s="586">
        <f t="shared" si="3"/>
        <v>2231975607</v>
      </c>
      <c r="O24" s="586">
        <f t="shared" si="4"/>
        <v>0</v>
      </c>
      <c r="P24" s="917">
        <f t="shared" si="5"/>
        <v>0</v>
      </c>
      <c r="Q24" s="586">
        <f t="shared" si="6"/>
        <v>0</v>
      </c>
      <c r="R24" s="586"/>
      <c r="S24" s="586"/>
      <c r="T24" s="586"/>
      <c r="U24" s="586"/>
      <c r="V24" s="586"/>
    </row>
    <row r="25" spans="1:22" x14ac:dyDescent="0.2">
      <c r="A25" s="1733" t="s">
        <v>1773</v>
      </c>
      <c r="B25" s="1733"/>
      <c r="C25" s="968">
        <f>SUM(C4:C24)</f>
        <v>55872866401.086121</v>
      </c>
      <c r="D25" s="609">
        <f>SUM(D4:D24)</f>
        <v>55872866401.086121</v>
      </c>
      <c r="E25" s="1070">
        <f>SUM(E4:E24)</f>
        <v>48265299560.943283</v>
      </c>
      <c r="F25" s="609">
        <f>SUM(F4:F24)</f>
        <v>7607566839</v>
      </c>
      <c r="H25" s="614">
        <f>SUM(H4:H24)</f>
        <v>35074003111.843285</v>
      </c>
      <c r="I25" s="614">
        <f t="shared" ref="I25:M25" si="9">SUM(I4:I24)</f>
        <v>7541161187.6999998</v>
      </c>
      <c r="J25" s="614">
        <f t="shared" si="9"/>
        <v>795362853</v>
      </c>
      <c r="K25" s="614">
        <f t="shared" si="9"/>
        <v>6812203986</v>
      </c>
      <c r="L25" s="614">
        <f t="shared" si="9"/>
        <v>159135000</v>
      </c>
      <c r="M25" s="614">
        <f t="shared" si="9"/>
        <v>5491000261.4000006</v>
      </c>
      <c r="N25" s="586">
        <f t="shared" si="3"/>
        <v>48106164560.943283</v>
      </c>
      <c r="O25" s="586">
        <f t="shared" si="4"/>
        <v>159135000</v>
      </c>
      <c r="P25" s="918">
        <f>SUM(P4:P24)</f>
        <v>7607566839</v>
      </c>
      <c r="Q25" s="586">
        <f>SUM(Q4:Q24)</f>
        <v>0</v>
      </c>
    </row>
    <row r="26" spans="1:22" s="584" customFormat="1" x14ac:dyDescent="0.2">
      <c r="A26" s="589"/>
      <c r="C26" s="918">
        <f>+'F Y U 2023 Prespupuesto'!C109</f>
        <v>55872866401.086121</v>
      </c>
      <c r="D26" s="584">
        <v>57316702201.010002</v>
      </c>
      <c r="H26" s="584">
        <f>H25+I25+M25</f>
        <v>48106164560.943283</v>
      </c>
      <c r="J26" s="584">
        <f>J25+K25</f>
        <v>7607566839</v>
      </c>
      <c r="P26" s="584">
        <f>P25+Q25</f>
        <v>7607566839</v>
      </c>
      <c r="Q26" s="584">
        <f>Q25-J26</f>
        <v>-7607566839</v>
      </c>
    </row>
    <row r="27" spans="1:22" x14ac:dyDescent="0.2">
      <c r="D27" s="911">
        <f>D25-D26</f>
        <v>-1443835799.9238815</v>
      </c>
      <c r="H27" s="584">
        <v>47354720333</v>
      </c>
      <c r="J27" s="584">
        <f>H25+I25+M25</f>
        <v>48106164560.943283</v>
      </c>
      <c r="P27" s="584">
        <v>57315381567.409988</v>
      </c>
    </row>
    <row r="28" spans="1:22" x14ac:dyDescent="0.2">
      <c r="H28" s="584">
        <f>H26-H27</f>
        <v>751444227.94328308</v>
      </c>
      <c r="P28" s="584">
        <f>P26-P27</f>
        <v>-49707814728.409988</v>
      </c>
    </row>
    <row r="29" spans="1:22" x14ac:dyDescent="0.2">
      <c r="J29" s="584">
        <v>7729262589</v>
      </c>
    </row>
    <row r="30" spans="1:22" x14ac:dyDescent="0.2">
      <c r="H30" s="584">
        <v>43129318421.943283</v>
      </c>
      <c r="J30" s="584">
        <f>J25+K25</f>
        <v>7607566839</v>
      </c>
    </row>
    <row r="31" spans="1:22" x14ac:dyDescent="0.2">
      <c r="H31" s="584">
        <f>H26-H30</f>
        <v>4976846139</v>
      </c>
    </row>
    <row r="33" spans="8:8" x14ac:dyDescent="0.2">
      <c r="H33" s="584">
        <f>H25+I25+M25</f>
        <v>48106164560.943283</v>
      </c>
    </row>
  </sheetData>
  <autoFilter ref="D1:D26" xr:uid="{00000000-0009-0000-0000-00000D000000}"/>
  <mergeCells count="2">
    <mergeCell ref="A2:M2"/>
    <mergeCell ref="A25:B25"/>
  </mergeCells>
  <pageMargins left="0.7" right="0.7" top="0.75" bottom="0.75" header="0.3" footer="0.3"/>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4A75C-152E-43A9-B97B-F1D99854B010}">
  <sheetPr filterMode="1">
    <tabColor rgb="FF7030A0"/>
  </sheetPr>
  <dimension ref="A1:U200"/>
  <sheetViews>
    <sheetView workbookViewId="0">
      <pane xSplit="1" ySplit="2" topLeftCell="O3" activePane="bottomRight" state="frozen"/>
      <selection pane="topRight" activeCell="B1" sqref="B1"/>
      <selection pane="bottomLeft" activeCell="A3" sqref="A3"/>
      <selection pane="bottomRight" activeCell="P94" sqref="P94"/>
    </sheetView>
  </sheetViews>
  <sheetFormatPr baseColWidth="10" defaultColWidth="11.42578125" defaultRowHeight="12.75" x14ac:dyDescent="0.25"/>
  <cols>
    <col min="1" max="1" width="54.140625" style="601" bestFit="1" customWidth="1"/>
    <col min="2" max="3" width="17.7109375" style="1132" customWidth="1"/>
    <col min="4" max="4" width="17.7109375" style="1133" customWidth="1"/>
    <col min="5" max="5" width="17.7109375" style="1132" customWidth="1"/>
    <col min="6" max="6" width="17.7109375" style="1133" customWidth="1"/>
    <col min="7" max="7" width="17.7109375" style="1132" customWidth="1"/>
    <col min="8" max="8" width="17.7109375" style="1133" customWidth="1"/>
    <col min="9" max="9" width="17.7109375" style="1132" customWidth="1"/>
    <col min="10" max="10" width="17.7109375" style="1133" customWidth="1"/>
    <col min="11" max="11" width="17.7109375" style="1132" customWidth="1"/>
    <col min="12" max="12" width="17.7109375" style="1133" customWidth="1"/>
    <col min="13" max="13" width="20.7109375" style="1092" customWidth="1"/>
    <col min="14" max="14" width="17.7109375" style="1133" hidden="1" customWidth="1"/>
    <col min="15" max="15" width="20.7109375" style="1092" customWidth="1"/>
    <col min="16" max="17" width="17.7109375" style="1092" customWidth="1"/>
    <col min="18" max="18" width="17.7109375" style="1134" customWidth="1"/>
    <col min="19" max="19" width="15.85546875" style="42" customWidth="1"/>
    <col min="20" max="20" width="23" style="42" bestFit="1" customWidth="1"/>
    <col min="21" max="22" width="14.28515625" style="42" customWidth="1"/>
    <col min="23" max="257" width="11.42578125" style="42"/>
    <col min="258" max="258" width="49.5703125" style="42" customWidth="1"/>
    <col min="259" max="259" width="18.5703125" style="42" bestFit="1" customWidth="1"/>
    <col min="260" max="263" width="17.28515625" style="42" bestFit="1" customWidth="1"/>
    <col min="264" max="264" width="1" style="42" customWidth="1"/>
    <col min="265" max="265" width="17.28515625" style="42" bestFit="1" customWidth="1"/>
    <col min="266" max="266" width="0.85546875" style="42" customWidth="1"/>
    <col min="267" max="267" width="18.28515625" style="42" customWidth="1"/>
    <col min="268" max="271" width="17.28515625" style="42" bestFit="1" customWidth="1"/>
    <col min="272" max="272" width="10.85546875" style="42" customWidth="1"/>
    <col min="273" max="274" width="14.28515625" style="42" customWidth="1"/>
    <col min="275" max="275" width="10.85546875" style="42" customWidth="1"/>
    <col min="276" max="276" width="45.42578125" style="42" customWidth="1"/>
    <col min="277" max="278" width="14.28515625" style="42" customWidth="1"/>
    <col min="279" max="513" width="11.42578125" style="42"/>
    <col min="514" max="514" width="49.5703125" style="42" customWidth="1"/>
    <col min="515" max="515" width="18.5703125" style="42" bestFit="1" customWidth="1"/>
    <col min="516" max="519" width="17.28515625" style="42" bestFit="1" customWidth="1"/>
    <col min="520" max="520" width="1" style="42" customWidth="1"/>
    <col min="521" max="521" width="17.28515625" style="42" bestFit="1" customWidth="1"/>
    <col min="522" max="522" width="0.85546875" style="42" customWidth="1"/>
    <col min="523" max="523" width="18.28515625" style="42" customWidth="1"/>
    <col min="524" max="527" width="17.28515625" style="42" bestFit="1" customWidth="1"/>
    <col min="528" max="528" width="10.85546875" style="42" customWidth="1"/>
    <col min="529" max="530" width="14.28515625" style="42" customWidth="1"/>
    <col min="531" max="531" width="10.85546875" style="42" customWidth="1"/>
    <col min="532" max="532" width="45.42578125" style="42" customWidth="1"/>
    <col min="533" max="534" width="14.28515625" style="42" customWidth="1"/>
    <col min="535" max="769" width="11.42578125" style="42"/>
    <col min="770" max="770" width="49.5703125" style="42" customWidth="1"/>
    <col min="771" max="771" width="18.5703125" style="42" bestFit="1" customWidth="1"/>
    <col min="772" max="775" width="17.28515625" style="42" bestFit="1" customWidth="1"/>
    <col min="776" max="776" width="1" style="42" customWidth="1"/>
    <col min="777" max="777" width="17.28515625" style="42" bestFit="1" customWidth="1"/>
    <col min="778" max="778" width="0.85546875" style="42" customWidth="1"/>
    <col min="779" max="779" width="18.28515625" style="42" customWidth="1"/>
    <col min="780" max="783" width="17.28515625" style="42" bestFit="1" customWidth="1"/>
    <col min="784" max="784" width="10.85546875" style="42" customWidth="1"/>
    <col min="785" max="786" width="14.28515625" style="42" customWidth="1"/>
    <col min="787" max="787" width="10.85546875" style="42" customWidth="1"/>
    <col min="788" max="788" width="45.42578125" style="42" customWidth="1"/>
    <col min="789" max="790" width="14.28515625" style="42" customWidth="1"/>
    <col min="791" max="1025" width="11.42578125" style="42"/>
    <col min="1026" max="1026" width="49.5703125" style="42" customWidth="1"/>
    <col min="1027" max="1027" width="18.5703125" style="42" bestFit="1" customWidth="1"/>
    <col min="1028" max="1031" width="17.28515625" style="42" bestFit="1" customWidth="1"/>
    <col min="1032" max="1032" width="1" style="42" customWidth="1"/>
    <col min="1033" max="1033" width="17.28515625" style="42" bestFit="1" customWidth="1"/>
    <col min="1034" max="1034" width="0.85546875" style="42" customWidth="1"/>
    <col min="1035" max="1035" width="18.28515625" style="42" customWidth="1"/>
    <col min="1036" max="1039" width="17.28515625" style="42" bestFit="1" customWidth="1"/>
    <col min="1040" max="1040" width="10.85546875" style="42" customWidth="1"/>
    <col min="1041" max="1042" width="14.28515625" style="42" customWidth="1"/>
    <col min="1043" max="1043" width="10.85546875" style="42" customWidth="1"/>
    <col min="1044" max="1044" width="45.42578125" style="42" customWidth="1"/>
    <col min="1045" max="1046" width="14.28515625" style="42" customWidth="1"/>
    <col min="1047" max="1281" width="11.42578125" style="42"/>
    <col min="1282" max="1282" width="49.5703125" style="42" customWidth="1"/>
    <col min="1283" max="1283" width="18.5703125" style="42" bestFit="1" customWidth="1"/>
    <col min="1284" max="1287" width="17.28515625" style="42" bestFit="1" customWidth="1"/>
    <col min="1288" max="1288" width="1" style="42" customWidth="1"/>
    <col min="1289" max="1289" width="17.28515625" style="42" bestFit="1" customWidth="1"/>
    <col min="1290" max="1290" width="0.85546875" style="42" customWidth="1"/>
    <col min="1291" max="1291" width="18.28515625" style="42" customWidth="1"/>
    <col min="1292" max="1295" width="17.28515625" style="42" bestFit="1" customWidth="1"/>
    <col min="1296" max="1296" width="10.85546875" style="42" customWidth="1"/>
    <col min="1297" max="1298" width="14.28515625" style="42" customWidth="1"/>
    <col min="1299" max="1299" width="10.85546875" style="42" customWidth="1"/>
    <col min="1300" max="1300" width="45.42578125" style="42" customWidth="1"/>
    <col min="1301" max="1302" width="14.28515625" style="42" customWidth="1"/>
    <col min="1303" max="1537" width="11.42578125" style="42"/>
    <col min="1538" max="1538" width="49.5703125" style="42" customWidth="1"/>
    <col min="1539" max="1539" width="18.5703125" style="42" bestFit="1" customWidth="1"/>
    <col min="1540" max="1543" width="17.28515625" style="42" bestFit="1" customWidth="1"/>
    <col min="1544" max="1544" width="1" style="42" customWidth="1"/>
    <col min="1545" max="1545" width="17.28515625" style="42" bestFit="1" customWidth="1"/>
    <col min="1546" max="1546" width="0.85546875" style="42" customWidth="1"/>
    <col min="1547" max="1547" width="18.28515625" style="42" customWidth="1"/>
    <col min="1548" max="1551" width="17.28515625" style="42" bestFit="1" customWidth="1"/>
    <col min="1552" max="1552" width="10.85546875" style="42" customWidth="1"/>
    <col min="1553" max="1554" width="14.28515625" style="42" customWidth="1"/>
    <col min="1555" max="1555" width="10.85546875" style="42" customWidth="1"/>
    <col min="1556" max="1556" width="45.42578125" style="42" customWidth="1"/>
    <col min="1557" max="1558" width="14.28515625" style="42" customWidth="1"/>
    <col min="1559" max="1793" width="11.42578125" style="42"/>
    <col min="1794" max="1794" width="49.5703125" style="42" customWidth="1"/>
    <col min="1795" max="1795" width="18.5703125" style="42" bestFit="1" customWidth="1"/>
    <col min="1796" max="1799" width="17.28515625" style="42" bestFit="1" customWidth="1"/>
    <col min="1800" max="1800" width="1" style="42" customWidth="1"/>
    <col min="1801" max="1801" width="17.28515625" style="42" bestFit="1" customWidth="1"/>
    <col min="1802" max="1802" width="0.85546875" style="42" customWidth="1"/>
    <col min="1803" max="1803" width="18.28515625" style="42" customWidth="1"/>
    <col min="1804" max="1807" width="17.28515625" style="42" bestFit="1" customWidth="1"/>
    <col min="1808" max="1808" width="10.85546875" style="42" customWidth="1"/>
    <col min="1809" max="1810" width="14.28515625" style="42" customWidth="1"/>
    <col min="1811" max="1811" width="10.85546875" style="42" customWidth="1"/>
    <col min="1812" max="1812" width="45.42578125" style="42" customWidth="1"/>
    <col min="1813" max="1814" width="14.28515625" style="42" customWidth="1"/>
    <col min="1815" max="2049" width="11.42578125" style="42"/>
    <col min="2050" max="2050" width="49.5703125" style="42" customWidth="1"/>
    <col min="2051" max="2051" width="18.5703125" style="42" bestFit="1" customWidth="1"/>
    <col min="2052" max="2055" width="17.28515625" style="42" bestFit="1" customWidth="1"/>
    <col min="2056" max="2056" width="1" style="42" customWidth="1"/>
    <col min="2057" max="2057" width="17.28515625" style="42" bestFit="1" customWidth="1"/>
    <col min="2058" max="2058" width="0.85546875" style="42" customWidth="1"/>
    <col min="2059" max="2059" width="18.28515625" style="42" customWidth="1"/>
    <col min="2060" max="2063" width="17.28515625" style="42" bestFit="1" customWidth="1"/>
    <col min="2064" max="2064" width="10.85546875" style="42" customWidth="1"/>
    <col min="2065" max="2066" width="14.28515625" style="42" customWidth="1"/>
    <col min="2067" max="2067" width="10.85546875" style="42" customWidth="1"/>
    <col min="2068" max="2068" width="45.42578125" style="42" customWidth="1"/>
    <col min="2069" max="2070" width="14.28515625" style="42" customWidth="1"/>
    <col min="2071" max="2305" width="11.42578125" style="42"/>
    <col min="2306" max="2306" width="49.5703125" style="42" customWidth="1"/>
    <col min="2307" max="2307" width="18.5703125" style="42" bestFit="1" customWidth="1"/>
    <col min="2308" max="2311" width="17.28515625" style="42" bestFit="1" customWidth="1"/>
    <col min="2312" max="2312" width="1" style="42" customWidth="1"/>
    <col min="2313" max="2313" width="17.28515625" style="42" bestFit="1" customWidth="1"/>
    <col min="2314" max="2314" width="0.85546875" style="42" customWidth="1"/>
    <col min="2315" max="2315" width="18.28515625" style="42" customWidth="1"/>
    <col min="2316" max="2319" width="17.28515625" style="42" bestFit="1" customWidth="1"/>
    <col min="2320" max="2320" width="10.85546875" style="42" customWidth="1"/>
    <col min="2321" max="2322" width="14.28515625" style="42" customWidth="1"/>
    <col min="2323" max="2323" width="10.85546875" style="42" customWidth="1"/>
    <col min="2324" max="2324" width="45.42578125" style="42" customWidth="1"/>
    <col min="2325" max="2326" width="14.28515625" style="42" customWidth="1"/>
    <col min="2327" max="2561" width="11.42578125" style="42"/>
    <col min="2562" max="2562" width="49.5703125" style="42" customWidth="1"/>
    <col min="2563" max="2563" width="18.5703125" style="42" bestFit="1" customWidth="1"/>
    <col min="2564" max="2567" width="17.28515625" style="42" bestFit="1" customWidth="1"/>
    <col min="2568" max="2568" width="1" style="42" customWidth="1"/>
    <col min="2569" max="2569" width="17.28515625" style="42" bestFit="1" customWidth="1"/>
    <col min="2570" max="2570" width="0.85546875" style="42" customWidth="1"/>
    <col min="2571" max="2571" width="18.28515625" style="42" customWidth="1"/>
    <col min="2572" max="2575" width="17.28515625" style="42" bestFit="1" customWidth="1"/>
    <col min="2576" max="2576" width="10.85546875" style="42" customWidth="1"/>
    <col min="2577" max="2578" width="14.28515625" style="42" customWidth="1"/>
    <col min="2579" max="2579" width="10.85546875" style="42" customWidth="1"/>
    <col min="2580" max="2580" width="45.42578125" style="42" customWidth="1"/>
    <col min="2581" max="2582" width="14.28515625" style="42" customWidth="1"/>
    <col min="2583" max="2817" width="11.42578125" style="42"/>
    <col min="2818" max="2818" width="49.5703125" style="42" customWidth="1"/>
    <col min="2819" max="2819" width="18.5703125" style="42" bestFit="1" customWidth="1"/>
    <col min="2820" max="2823" width="17.28515625" style="42" bestFit="1" customWidth="1"/>
    <col min="2824" max="2824" width="1" style="42" customWidth="1"/>
    <col min="2825" max="2825" width="17.28515625" style="42" bestFit="1" customWidth="1"/>
    <col min="2826" max="2826" width="0.85546875" style="42" customWidth="1"/>
    <col min="2827" max="2827" width="18.28515625" style="42" customWidth="1"/>
    <col min="2828" max="2831" width="17.28515625" style="42" bestFit="1" customWidth="1"/>
    <col min="2832" max="2832" width="10.85546875" style="42" customWidth="1"/>
    <col min="2833" max="2834" width="14.28515625" style="42" customWidth="1"/>
    <col min="2835" max="2835" width="10.85546875" style="42" customWidth="1"/>
    <col min="2836" max="2836" width="45.42578125" style="42" customWidth="1"/>
    <col min="2837" max="2838" width="14.28515625" style="42" customWidth="1"/>
    <col min="2839" max="3073" width="11.42578125" style="42"/>
    <col min="3074" max="3074" width="49.5703125" style="42" customWidth="1"/>
    <col min="3075" max="3075" width="18.5703125" style="42" bestFit="1" customWidth="1"/>
    <col min="3076" max="3079" width="17.28515625" style="42" bestFit="1" customWidth="1"/>
    <col min="3080" max="3080" width="1" style="42" customWidth="1"/>
    <col min="3081" max="3081" width="17.28515625" style="42" bestFit="1" customWidth="1"/>
    <col min="3082" max="3082" width="0.85546875" style="42" customWidth="1"/>
    <col min="3083" max="3083" width="18.28515625" style="42" customWidth="1"/>
    <col min="3084" max="3087" width="17.28515625" style="42" bestFit="1" customWidth="1"/>
    <col min="3088" max="3088" width="10.85546875" style="42" customWidth="1"/>
    <col min="3089" max="3090" width="14.28515625" style="42" customWidth="1"/>
    <col min="3091" max="3091" width="10.85546875" style="42" customWidth="1"/>
    <col min="3092" max="3092" width="45.42578125" style="42" customWidth="1"/>
    <col min="3093" max="3094" width="14.28515625" style="42" customWidth="1"/>
    <col min="3095" max="3329" width="11.42578125" style="42"/>
    <col min="3330" max="3330" width="49.5703125" style="42" customWidth="1"/>
    <col min="3331" max="3331" width="18.5703125" style="42" bestFit="1" customWidth="1"/>
    <col min="3332" max="3335" width="17.28515625" style="42" bestFit="1" customWidth="1"/>
    <col min="3336" max="3336" width="1" style="42" customWidth="1"/>
    <col min="3337" max="3337" width="17.28515625" style="42" bestFit="1" customWidth="1"/>
    <col min="3338" max="3338" width="0.85546875" style="42" customWidth="1"/>
    <col min="3339" max="3339" width="18.28515625" style="42" customWidth="1"/>
    <col min="3340" max="3343" width="17.28515625" style="42" bestFit="1" customWidth="1"/>
    <col min="3344" max="3344" width="10.85546875" style="42" customWidth="1"/>
    <col min="3345" max="3346" width="14.28515625" style="42" customWidth="1"/>
    <col min="3347" max="3347" width="10.85546875" style="42" customWidth="1"/>
    <col min="3348" max="3348" width="45.42578125" style="42" customWidth="1"/>
    <col min="3349" max="3350" width="14.28515625" style="42" customWidth="1"/>
    <col min="3351" max="3585" width="11.42578125" style="42"/>
    <col min="3586" max="3586" width="49.5703125" style="42" customWidth="1"/>
    <col min="3587" max="3587" width="18.5703125" style="42" bestFit="1" customWidth="1"/>
    <col min="3588" max="3591" width="17.28515625" style="42" bestFit="1" customWidth="1"/>
    <col min="3592" max="3592" width="1" style="42" customWidth="1"/>
    <col min="3593" max="3593" width="17.28515625" style="42" bestFit="1" customWidth="1"/>
    <col min="3594" max="3594" width="0.85546875" style="42" customWidth="1"/>
    <col min="3595" max="3595" width="18.28515625" style="42" customWidth="1"/>
    <col min="3596" max="3599" width="17.28515625" style="42" bestFit="1" customWidth="1"/>
    <col min="3600" max="3600" width="10.85546875" style="42" customWidth="1"/>
    <col min="3601" max="3602" width="14.28515625" style="42" customWidth="1"/>
    <col min="3603" max="3603" width="10.85546875" style="42" customWidth="1"/>
    <col min="3604" max="3604" width="45.42578125" style="42" customWidth="1"/>
    <col min="3605" max="3606" width="14.28515625" style="42" customWidth="1"/>
    <col min="3607" max="3841" width="11.42578125" style="42"/>
    <col min="3842" max="3842" width="49.5703125" style="42" customWidth="1"/>
    <col min="3843" max="3843" width="18.5703125" style="42" bestFit="1" customWidth="1"/>
    <col min="3844" max="3847" width="17.28515625" style="42" bestFit="1" customWidth="1"/>
    <col min="3848" max="3848" width="1" style="42" customWidth="1"/>
    <col min="3849" max="3849" width="17.28515625" style="42" bestFit="1" customWidth="1"/>
    <col min="3850" max="3850" width="0.85546875" style="42" customWidth="1"/>
    <col min="3851" max="3851" width="18.28515625" style="42" customWidth="1"/>
    <col min="3852" max="3855" width="17.28515625" style="42" bestFit="1" customWidth="1"/>
    <col min="3856" max="3856" width="10.85546875" style="42" customWidth="1"/>
    <col min="3857" max="3858" width="14.28515625" style="42" customWidth="1"/>
    <col min="3859" max="3859" width="10.85546875" style="42" customWidth="1"/>
    <col min="3860" max="3860" width="45.42578125" style="42" customWidth="1"/>
    <col min="3861" max="3862" width="14.28515625" style="42" customWidth="1"/>
    <col min="3863" max="4097" width="11.42578125" style="42"/>
    <col min="4098" max="4098" width="49.5703125" style="42" customWidth="1"/>
    <col min="4099" max="4099" width="18.5703125" style="42" bestFit="1" customWidth="1"/>
    <col min="4100" max="4103" width="17.28515625" style="42" bestFit="1" customWidth="1"/>
    <col min="4104" max="4104" width="1" style="42" customWidth="1"/>
    <col min="4105" max="4105" width="17.28515625" style="42" bestFit="1" customWidth="1"/>
    <col min="4106" max="4106" width="0.85546875" style="42" customWidth="1"/>
    <col min="4107" max="4107" width="18.28515625" style="42" customWidth="1"/>
    <col min="4108" max="4111" width="17.28515625" style="42" bestFit="1" customWidth="1"/>
    <col min="4112" max="4112" width="10.85546875" style="42" customWidth="1"/>
    <col min="4113" max="4114" width="14.28515625" style="42" customWidth="1"/>
    <col min="4115" max="4115" width="10.85546875" style="42" customWidth="1"/>
    <col min="4116" max="4116" width="45.42578125" style="42" customWidth="1"/>
    <col min="4117" max="4118" width="14.28515625" style="42" customWidth="1"/>
    <col min="4119" max="4353" width="11.42578125" style="42"/>
    <col min="4354" max="4354" width="49.5703125" style="42" customWidth="1"/>
    <col min="4355" max="4355" width="18.5703125" style="42" bestFit="1" customWidth="1"/>
    <col min="4356" max="4359" width="17.28515625" style="42" bestFit="1" customWidth="1"/>
    <col min="4360" max="4360" width="1" style="42" customWidth="1"/>
    <col min="4361" max="4361" width="17.28515625" style="42" bestFit="1" customWidth="1"/>
    <col min="4362" max="4362" width="0.85546875" style="42" customWidth="1"/>
    <col min="4363" max="4363" width="18.28515625" style="42" customWidth="1"/>
    <col min="4364" max="4367" width="17.28515625" style="42" bestFit="1" customWidth="1"/>
    <col min="4368" max="4368" width="10.85546875" style="42" customWidth="1"/>
    <col min="4369" max="4370" width="14.28515625" style="42" customWidth="1"/>
    <col min="4371" max="4371" width="10.85546875" style="42" customWidth="1"/>
    <col min="4372" max="4372" width="45.42578125" style="42" customWidth="1"/>
    <col min="4373" max="4374" width="14.28515625" style="42" customWidth="1"/>
    <col min="4375" max="4609" width="11.42578125" style="42"/>
    <col min="4610" max="4610" width="49.5703125" style="42" customWidth="1"/>
    <col min="4611" max="4611" width="18.5703125" style="42" bestFit="1" customWidth="1"/>
    <col min="4612" max="4615" width="17.28515625" style="42" bestFit="1" customWidth="1"/>
    <col min="4616" max="4616" width="1" style="42" customWidth="1"/>
    <col min="4617" max="4617" width="17.28515625" style="42" bestFit="1" customWidth="1"/>
    <col min="4618" max="4618" width="0.85546875" style="42" customWidth="1"/>
    <col min="4619" max="4619" width="18.28515625" style="42" customWidth="1"/>
    <col min="4620" max="4623" width="17.28515625" style="42" bestFit="1" customWidth="1"/>
    <col min="4624" max="4624" width="10.85546875" style="42" customWidth="1"/>
    <col min="4625" max="4626" width="14.28515625" style="42" customWidth="1"/>
    <col min="4627" max="4627" width="10.85546875" style="42" customWidth="1"/>
    <col min="4628" max="4628" width="45.42578125" style="42" customWidth="1"/>
    <col min="4629" max="4630" width="14.28515625" style="42" customWidth="1"/>
    <col min="4631" max="4865" width="11.42578125" style="42"/>
    <col min="4866" max="4866" width="49.5703125" style="42" customWidth="1"/>
    <col min="4867" max="4867" width="18.5703125" style="42" bestFit="1" customWidth="1"/>
    <col min="4868" max="4871" width="17.28515625" style="42" bestFit="1" customWidth="1"/>
    <col min="4872" max="4872" width="1" style="42" customWidth="1"/>
    <col min="4873" max="4873" width="17.28515625" style="42" bestFit="1" customWidth="1"/>
    <col min="4874" max="4874" width="0.85546875" style="42" customWidth="1"/>
    <col min="4875" max="4875" width="18.28515625" style="42" customWidth="1"/>
    <col min="4876" max="4879" width="17.28515625" style="42" bestFit="1" customWidth="1"/>
    <col min="4880" max="4880" width="10.85546875" style="42" customWidth="1"/>
    <col min="4881" max="4882" width="14.28515625" style="42" customWidth="1"/>
    <col min="4883" max="4883" width="10.85546875" style="42" customWidth="1"/>
    <col min="4884" max="4884" width="45.42578125" style="42" customWidth="1"/>
    <col min="4885" max="4886" width="14.28515625" style="42" customWidth="1"/>
    <col min="4887" max="5121" width="11.42578125" style="42"/>
    <col min="5122" max="5122" width="49.5703125" style="42" customWidth="1"/>
    <col min="5123" max="5123" width="18.5703125" style="42" bestFit="1" customWidth="1"/>
    <col min="5124" max="5127" width="17.28515625" style="42" bestFit="1" customWidth="1"/>
    <col min="5128" max="5128" width="1" style="42" customWidth="1"/>
    <col min="5129" max="5129" width="17.28515625" style="42" bestFit="1" customWidth="1"/>
    <col min="5130" max="5130" width="0.85546875" style="42" customWidth="1"/>
    <col min="5131" max="5131" width="18.28515625" style="42" customWidth="1"/>
    <col min="5132" max="5135" width="17.28515625" style="42" bestFit="1" customWidth="1"/>
    <col min="5136" max="5136" width="10.85546875" style="42" customWidth="1"/>
    <col min="5137" max="5138" width="14.28515625" style="42" customWidth="1"/>
    <col min="5139" max="5139" width="10.85546875" style="42" customWidth="1"/>
    <col min="5140" max="5140" width="45.42578125" style="42" customWidth="1"/>
    <col min="5141" max="5142" width="14.28515625" style="42" customWidth="1"/>
    <col min="5143" max="5377" width="11.42578125" style="42"/>
    <col min="5378" max="5378" width="49.5703125" style="42" customWidth="1"/>
    <col min="5379" max="5379" width="18.5703125" style="42" bestFit="1" customWidth="1"/>
    <col min="5380" max="5383" width="17.28515625" style="42" bestFit="1" customWidth="1"/>
    <col min="5384" max="5384" width="1" style="42" customWidth="1"/>
    <col min="5385" max="5385" width="17.28515625" style="42" bestFit="1" customWidth="1"/>
    <col min="5386" max="5386" width="0.85546875" style="42" customWidth="1"/>
    <col min="5387" max="5387" width="18.28515625" style="42" customWidth="1"/>
    <col min="5388" max="5391" width="17.28515625" style="42" bestFit="1" customWidth="1"/>
    <col min="5392" max="5392" width="10.85546875" style="42" customWidth="1"/>
    <col min="5393" max="5394" width="14.28515625" style="42" customWidth="1"/>
    <col min="5395" max="5395" width="10.85546875" style="42" customWidth="1"/>
    <col min="5396" max="5396" width="45.42578125" style="42" customWidth="1"/>
    <col min="5397" max="5398" width="14.28515625" style="42" customWidth="1"/>
    <col min="5399" max="5633" width="11.42578125" style="42"/>
    <col min="5634" max="5634" width="49.5703125" style="42" customWidth="1"/>
    <col min="5635" max="5635" width="18.5703125" style="42" bestFit="1" customWidth="1"/>
    <col min="5636" max="5639" width="17.28515625" style="42" bestFit="1" customWidth="1"/>
    <col min="5640" max="5640" width="1" style="42" customWidth="1"/>
    <col min="5641" max="5641" width="17.28515625" style="42" bestFit="1" customWidth="1"/>
    <col min="5642" max="5642" width="0.85546875" style="42" customWidth="1"/>
    <col min="5643" max="5643" width="18.28515625" style="42" customWidth="1"/>
    <col min="5644" max="5647" width="17.28515625" style="42" bestFit="1" customWidth="1"/>
    <col min="5648" max="5648" width="10.85546875" style="42" customWidth="1"/>
    <col min="5649" max="5650" width="14.28515625" style="42" customWidth="1"/>
    <col min="5651" max="5651" width="10.85546875" style="42" customWidth="1"/>
    <col min="5652" max="5652" width="45.42578125" style="42" customWidth="1"/>
    <col min="5653" max="5654" width="14.28515625" style="42" customWidth="1"/>
    <col min="5655" max="5889" width="11.42578125" style="42"/>
    <col min="5890" max="5890" width="49.5703125" style="42" customWidth="1"/>
    <col min="5891" max="5891" width="18.5703125" style="42" bestFit="1" customWidth="1"/>
    <col min="5892" max="5895" width="17.28515625" style="42" bestFit="1" customWidth="1"/>
    <col min="5896" max="5896" width="1" style="42" customWidth="1"/>
    <col min="5897" max="5897" width="17.28515625" style="42" bestFit="1" customWidth="1"/>
    <col min="5898" max="5898" width="0.85546875" style="42" customWidth="1"/>
    <col min="5899" max="5899" width="18.28515625" style="42" customWidth="1"/>
    <col min="5900" max="5903" width="17.28515625" style="42" bestFit="1" customWidth="1"/>
    <col min="5904" max="5904" width="10.85546875" style="42" customWidth="1"/>
    <col min="5905" max="5906" width="14.28515625" style="42" customWidth="1"/>
    <col min="5907" max="5907" width="10.85546875" style="42" customWidth="1"/>
    <col min="5908" max="5908" width="45.42578125" style="42" customWidth="1"/>
    <col min="5909" max="5910" width="14.28515625" style="42" customWidth="1"/>
    <col min="5911" max="6145" width="11.42578125" style="42"/>
    <col min="6146" max="6146" width="49.5703125" style="42" customWidth="1"/>
    <col min="6147" max="6147" width="18.5703125" style="42" bestFit="1" customWidth="1"/>
    <col min="6148" max="6151" width="17.28515625" style="42" bestFit="1" customWidth="1"/>
    <col min="6152" max="6152" width="1" style="42" customWidth="1"/>
    <col min="6153" max="6153" width="17.28515625" style="42" bestFit="1" customWidth="1"/>
    <col min="6154" max="6154" width="0.85546875" style="42" customWidth="1"/>
    <col min="6155" max="6155" width="18.28515625" style="42" customWidth="1"/>
    <col min="6156" max="6159" width="17.28515625" style="42" bestFit="1" customWidth="1"/>
    <col min="6160" max="6160" width="10.85546875" style="42" customWidth="1"/>
    <col min="6161" max="6162" width="14.28515625" style="42" customWidth="1"/>
    <col min="6163" max="6163" width="10.85546875" style="42" customWidth="1"/>
    <col min="6164" max="6164" width="45.42578125" style="42" customWidth="1"/>
    <col min="6165" max="6166" width="14.28515625" style="42" customWidth="1"/>
    <col min="6167" max="6401" width="11.42578125" style="42"/>
    <col min="6402" max="6402" width="49.5703125" style="42" customWidth="1"/>
    <col min="6403" max="6403" width="18.5703125" style="42" bestFit="1" customWidth="1"/>
    <col min="6404" max="6407" width="17.28515625" style="42" bestFit="1" customWidth="1"/>
    <col min="6408" max="6408" width="1" style="42" customWidth="1"/>
    <col min="6409" max="6409" width="17.28515625" style="42" bestFit="1" customWidth="1"/>
    <col min="6410" max="6410" width="0.85546875" style="42" customWidth="1"/>
    <col min="6411" max="6411" width="18.28515625" style="42" customWidth="1"/>
    <col min="6412" max="6415" width="17.28515625" style="42" bestFit="1" customWidth="1"/>
    <col min="6416" max="6416" width="10.85546875" style="42" customWidth="1"/>
    <col min="6417" max="6418" width="14.28515625" style="42" customWidth="1"/>
    <col min="6419" max="6419" width="10.85546875" style="42" customWidth="1"/>
    <col min="6420" max="6420" width="45.42578125" style="42" customWidth="1"/>
    <col min="6421" max="6422" width="14.28515625" style="42" customWidth="1"/>
    <col min="6423" max="6657" width="11.42578125" style="42"/>
    <col min="6658" max="6658" width="49.5703125" style="42" customWidth="1"/>
    <col min="6659" max="6659" width="18.5703125" style="42" bestFit="1" customWidth="1"/>
    <col min="6660" max="6663" width="17.28515625" style="42" bestFit="1" customWidth="1"/>
    <col min="6664" max="6664" width="1" style="42" customWidth="1"/>
    <col min="6665" max="6665" width="17.28515625" style="42" bestFit="1" customWidth="1"/>
    <col min="6666" max="6666" width="0.85546875" style="42" customWidth="1"/>
    <col min="6667" max="6667" width="18.28515625" style="42" customWidth="1"/>
    <col min="6668" max="6671" width="17.28515625" style="42" bestFit="1" customWidth="1"/>
    <col min="6672" max="6672" width="10.85546875" style="42" customWidth="1"/>
    <col min="6673" max="6674" width="14.28515625" style="42" customWidth="1"/>
    <col min="6675" max="6675" width="10.85546875" style="42" customWidth="1"/>
    <col min="6676" max="6676" width="45.42578125" style="42" customWidth="1"/>
    <col min="6677" max="6678" width="14.28515625" style="42" customWidth="1"/>
    <col min="6679" max="6913" width="11.42578125" style="42"/>
    <col min="6914" max="6914" width="49.5703125" style="42" customWidth="1"/>
    <col min="6915" max="6915" width="18.5703125" style="42" bestFit="1" customWidth="1"/>
    <col min="6916" max="6919" width="17.28515625" style="42" bestFit="1" customWidth="1"/>
    <col min="6920" max="6920" width="1" style="42" customWidth="1"/>
    <col min="6921" max="6921" width="17.28515625" style="42" bestFit="1" customWidth="1"/>
    <col min="6922" max="6922" width="0.85546875" style="42" customWidth="1"/>
    <col min="6923" max="6923" width="18.28515625" style="42" customWidth="1"/>
    <col min="6924" max="6927" width="17.28515625" style="42" bestFit="1" customWidth="1"/>
    <col min="6928" max="6928" width="10.85546875" style="42" customWidth="1"/>
    <col min="6929" max="6930" width="14.28515625" style="42" customWidth="1"/>
    <col min="6931" max="6931" width="10.85546875" style="42" customWidth="1"/>
    <col min="6932" max="6932" width="45.42578125" style="42" customWidth="1"/>
    <col min="6933" max="6934" width="14.28515625" style="42" customWidth="1"/>
    <col min="6935" max="7169" width="11.42578125" style="42"/>
    <col min="7170" max="7170" width="49.5703125" style="42" customWidth="1"/>
    <col min="7171" max="7171" width="18.5703125" style="42" bestFit="1" customWidth="1"/>
    <col min="7172" max="7175" width="17.28515625" style="42" bestFit="1" customWidth="1"/>
    <col min="7176" max="7176" width="1" style="42" customWidth="1"/>
    <col min="7177" max="7177" width="17.28515625" style="42" bestFit="1" customWidth="1"/>
    <col min="7178" max="7178" width="0.85546875" style="42" customWidth="1"/>
    <col min="7179" max="7179" width="18.28515625" style="42" customWidth="1"/>
    <col min="7180" max="7183" width="17.28515625" style="42" bestFit="1" customWidth="1"/>
    <col min="7184" max="7184" width="10.85546875" style="42" customWidth="1"/>
    <col min="7185" max="7186" width="14.28515625" style="42" customWidth="1"/>
    <col min="7187" max="7187" width="10.85546875" style="42" customWidth="1"/>
    <col min="7188" max="7188" width="45.42578125" style="42" customWidth="1"/>
    <col min="7189" max="7190" width="14.28515625" style="42" customWidth="1"/>
    <col min="7191" max="7425" width="11.42578125" style="42"/>
    <col min="7426" max="7426" width="49.5703125" style="42" customWidth="1"/>
    <col min="7427" max="7427" width="18.5703125" style="42" bestFit="1" customWidth="1"/>
    <col min="7428" max="7431" width="17.28515625" style="42" bestFit="1" customWidth="1"/>
    <col min="7432" max="7432" width="1" style="42" customWidth="1"/>
    <col min="7433" max="7433" width="17.28515625" style="42" bestFit="1" customWidth="1"/>
    <col min="7434" max="7434" width="0.85546875" style="42" customWidth="1"/>
    <col min="7435" max="7435" width="18.28515625" style="42" customWidth="1"/>
    <col min="7436" max="7439" width="17.28515625" style="42" bestFit="1" customWidth="1"/>
    <col min="7440" max="7440" width="10.85546875" style="42" customWidth="1"/>
    <col min="7441" max="7442" width="14.28515625" style="42" customWidth="1"/>
    <col min="7443" max="7443" width="10.85546875" style="42" customWidth="1"/>
    <col min="7444" max="7444" width="45.42578125" style="42" customWidth="1"/>
    <col min="7445" max="7446" width="14.28515625" style="42" customWidth="1"/>
    <col min="7447" max="7681" width="11.42578125" style="42"/>
    <col min="7682" max="7682" width="49.5703125" style="42" customWidth="1"/>
    <col min="7683" max="7683" width="18.5703125" style="42" bestFit="1" customWidth="1"/>
    <col min="7684" max="7687" width="17.28515625" style="42" bestFit="1" customWidth="1"/>
    <col min="7688" max="7688" width="1" style="42" customWidth="1"/>
    <col min="7689" max="7689" width="17.28515625" style="42" bestFit="1" customWidth="1"/>
    <col min="7690" max="7690" width="0.85546875" style="42" customWidth="1"/>
    <col min="7691" max="7691" width="18.28515625" style="42" customWidth="1"/>
    <col min="7692" max="7695" width="17.28515625" style="42" bestFit="1" customWidth="1"/>
    <col min="7696" max="7696" width="10.85546875" style="42" customWidth="1"/>
    <col min="7697" max="7698" width="14.28515625" style="42" customWidth="1"/>
    <col min="7699" max="7699" width="10.85546875" style="42" customWidth="1"/>
    <col min="7700" max="7700" width="45.42578125" style="42" customWidth="1"/>
    <col min="7701" max="7702" width="14.28515625" style="42" customWidth="1"/>
    <col min="7703" max="7937" width="11.42578125" style="42"/>
    <col min="7938" max="7938" width="49.5703125" style="42" customWidth="1"/>
    <col min="7939" max="7939" width="18.5703125" style="42" bestFit="1" customWidth="1"/>
    <col min="7940" max="7943" width="17.28515625" style="42" bestFit="1" customWidth="1"/>
    <col min="7944" max="7944" width="1" style="42" customWidth="1"/>
    <col min="7945" max="7945" width="17.28515625" style="42" bestFit="1" customWidth="1"/>
    <col min="7946" max="7946" width="0.85546875" style="42" customWidth="1"/>
    <col min="7947" max="7947" width="18.28515625" style="42" customWidth="1"/>
    <col min="7948" max="7951" width="17.28515625" style="42" bestFit="1" customWidth="1"/>
    <col min="7952" max="7952" width="10.85546875" style="42" customWidth="1"/>
    <col min="7953" max="7954" width="14.28515625" style="42" customWidth="1"/>
    <col min="7955" max="7955" width="10.85546875" style="42" customWidth="1"/>
    <col min="7956" max="7956" width="45.42578125" style="42" customWidth="1"/>
    <col min="7957" max="7958" width="14.28515625" style="42" customWidth="1"/>
    <col min="7959" max="8193" width="11.42578125" style="42"/>
    <col min="8194" max="8194" width="49.5703125" style="42" customWidth="1"/>
    <col min="8195" max="8195" width="18.5703125" style="42" bestFit="1" customWidth="1"/>
    <col min="8196" max="8199" width="17.28515625" style="42" bestFit="1" customWidth="1"/>
    <col min="8200" max="8200" width="1" style="42" customWidth="1"/>
    <col min="8201" max="8201" width="17.28515625" style="42" bestFit="1" customWidth="1"/>
    <col min="8202" max="8202" width="0.85546875" style="42" customWidth="1"/>
    <col min="8203" max="8203" width="18.28515625" style="42" customWidth="1"/>
    <col min="8204" max="8207" width="17.28515625" style="42" bestFit="1" customWidth="1"/>
    <col min="8208" max="8208" width="10.85546875" style="42" customWidth="1"/>
    <col min="8209" max="8210" width="14.28515625" style="42" customWidth="1"/>
    <col min="8211" max="8211" width="10.85546875" style="42" customWidth="1"/>
    <col min="8212" max="8212" width="45.42578125" style="42" customWidth="1"/>
    <col min="8213" max="8214" width="14.28515625" style="42" customWidth="1"/>
    <col min="8215" max="8449" width="11.42578125" style="42"/>
    <col min="8450" max="8450" width="49.5703125" style="42" customWidth="1"/>
    <col min="8451" max="8451" width="18.5703125" style="42" bestFit="1" customWidth="1"/>
    <col min="8452" max="8455" width="17.28515625" style="42" bestFit="1" customWidth="1"/>
    <col min="8456" max="8456" width="1" style="42" customWidth="1"/>
    <col min="8457" max="8457" width="17.28515625" style="42" bestFit="1" customWidth="1"/>
    <col min="8458" max="8458" width="0.85546875" style="42" customWidth="1"/>
    <col min="8459" max="8459" width="18.28515625" style="42" customWidth="1"/>
    <col min="8460" max="8463" width="17.28515625" style="42" bestFit="1" customWidth="1"/>
    <col min="8464" max="8464" width="10.85546875" style="42" customWidth="1"/>
    <col min="8465" max="8466" width="14.28515625" style="42" customWidth="1"/>
    <col min="8467" max="8467" width="10.85546875" style="42" customWidth="1"/>
    <col min="8468" max="8468" width="45.42578125" style="42" customWidth="1"/>
    <col min="8469" max="8470" width="14.28515625" style="42" customWidth="1"/>
    <col min="8471" max="8705" width="11.42578125" style="42"/>
    <col min="8706" max="8706" width="49.5703125" style="42" customWidth="1"/>
    <col min="8707" max="8707" width="18.5703125" style="42" bestFit="1" customWidth="1"/>
    <col min="8708" max="8711" width="17.28515625" style="42" bestFit="1" customWidth="1"/>
    <col min="8712" max="8712" width="1" style="42" customWidth="1"/>
    <col min="8713" max="8713" width="17.28515625" style="42" bestFit="1" customWidth="1"/>
    <col min="8714" max="8714" width="0.85546875" style="42" customWidth="1"/>
    <col min="8715" max="8715" width="18.28515625" style="42" customWidth="1"/>
    <col min="8716" max="8719" width="17.28515625" style="42" bestFit="1" customWidth="1"/>
    <col min="8720" max="8720" width="10.85546875" style="42" customWidth="1"/>
    <col min="8721" max="8722" width="14.28515625" style="42" customWidth="1"/>
    <col min="8723" max="8723" width="10.85546875" style="42" customWidth="1"/>
    <col min="8724" max="8724" width="45.42578125" style="42" customWidth="1"/>
    <col min="8725" max="8726" width="14.28515625" style="42" customWidth="1"/>
    <col min="8727" max="8961" width="11.42578125" style="42"/>
    <col min="8962" max="8962" width="49.5703125" style="42" customWidth="1"/>
    <col min="8963" max="8963" width="18.5703125" style="42" bestFit="1" customWidth="1"/>
    <col min="8964" max="8967" width="17.28515625" style="42" bestFit="1" customWidth="1"/>
    <col min="8968" max="8968" width="1" style="42" customWidth="1"/>
    <col min="8969" max="8969" width="17.28515625" style="42" bestFit="1" customWidth="1"/>
    <col min="8970" max="8970" width="0.85546875" style="42" customWidth="1"/>
    <col min="8971" max="8971" width="18.28515625" style="42" customWidth="1"/>
    <col min="8972" max="8975" width="17.28515625" style="42" bestFit="1" customWidth="1"/>
    <col min="8976" max="8976" width="10.85546875" style="42" customWidth="1"/>
    <col min="8977" max="8978" width="14.28515625" style="42" customWidth="1"/>
    <col min="8979" max="8979" width="10.85546875" style="42" customWidth="1"/>
    <col min="8980" max="8980" width="45.42578125" style="42" customWidth="1"/>
    <col min="8981" max="8982" width="14.28515625" style="42" customWidth="1"/>
    <col min="8983" max="9217" width="11.42578125" style="42"/>
    <col min="9218" max="9218" width="49.5703125" style="42" customWidth="1"/>
    <col min="9219" max="9219" width="18.5703125" style="42" bestFit="1" customWidth="1"/>
    <col min="9220" max="9223" width="17.28515625" style="42" bestFit="1" customWidth="1"/>
    <col min="9224" max="9224" width="1" style="42" customWidth="1"/>
    <col min="9225" max="9225" width="17.28515625" style="42" bestFit="1" customWidth="1"/>
    <col min="9226" max="9226" width="0.85546875" style="42" customWidth="1"/>
    <col min="9227" max="9227" width="18.28515625" style="42" customWidth="1"/>
    <col min="9228" max="9231" width="17.28515625" style="42" bestFit="1" customWidth="1"/>
    <col min="9232" max="9232" width="10.85546875" style="42" customWidth="1"/>
    <col min="9233" max="9234" width="14.28515625" style="42" customWidth="1"/>
    <col min="9235" max="9235" width="10.85546875" style="42" customWidth="1"/>
    <col min="9236" max="9236" width="45.42578125" style="42" customWidth="1"/>
    <col min="9237" max="9238" width="14.28515625" style="42" customWidth="1"/>
    <col min="9239" max="9473" width="11.42578125" style="42"/>
    <col min="9474" max="9474" width="49.5703125" style="42" customWidth="1"/>
    <col min="9475" max="9475" width="18.5703125" style="42" bestFit="1" customWidth="1"/>
    <col min="9476" max="9479" width="17.28515625" style="42" bestFit="1" customWidth="1"/>
    <col min="9480" max="9480" width="1" style="42" customWidth="1"/>
    <col min="9481" max="9481" width="17.28515625" style="42" bestFit="1" customWidth="1"/>
    <col min="9482" max="9482" width="0.85546875" style="42" customWidth="1"/>
    <col min="9483" max="9483" width="18.28515625" style="42" customWidth="1"/>
    <col min="9484" max="9487" width="17.28515625" style="42" bestFit="1" customWidth="1"/>
    <col min="9488" max="9488" width="10.85546875" style="42" customWidth="1"/>
    <col min="9489" max="9490" width="14.28515625" style="42" customWidth="1"/>
    <col min="9491" max="9491" width="10.85546875" style="42" customWidth="1"/>
    <col min="9492" max="9492" width="45.42578125" style="42" customWidth="1"/>
    <col min="9493" max="9494" width="14.28515625" style="42" customWidth="1"/>
    <col min="9495" max="9729" width="11.42578125" style="42"/>
    <col min="9730" max="9730" width="49.5703125" style="42" customWidth="1"/>
    <col min="9731" max="9731" width="18.5703125" style="42" bestFit="1" customWidth="1"/>
    <col min="9732" max="9735" width="17.28515625" style="42" bestFit="1" customWidth="1"/>
    <col min="9736" max="9736" width="1" style="42" customWidth="1"/>
    <col min="9737" max="9737" width="17.28515625" style="42" bestFit="1" customWidth="1"/>
    <col min="9738" max="9738" width="0.85546875" style="42" customWidth="1"/>
    <col min="9739" max="9739" width="18.28515625" style="42" customWidth="1"/>
    <col min="9740" max="9743" width="17.28515625" style="42" bestFit="1" customWidth="1"/>
    <col min="9744" max="9744" width="10.85546875" style="42" customWidth="1"/>
    <col min="9745" max="9746" width="14.28515625" style="42" customWidth="1"/>
    <col min="9747" max="9747" width="10.85546875" style="42" customWidth="1"/>
    <col min="9748" max="9748" width="45.42578125" style="42" customWidth="1"/>
    <col min="9749" max="9750" width="14.28515625" style="42" customWidth="1"/>
    <col min="9751" max="9985" width="11.42578125" style="42"/>
    <col min="9986" max="9986" width="49.5703125" style="42" customWidth="1"/>
    <col min="9987" max="9987" width="18.5703125" style="42" bestFit="1" customWidth="1"/>
    <col min="9988" max="9991" width="17.28515625" style="42" bestFit="1" customWidth="1"/>
    <col min="9992" max="9992" width="1" style="42" customWidth="1"/>
    <col min="9993" max="9993" width="17.28515625" style="42" bestFit="1" customWidth="1"/>
    <col min="9994" max="9994" width="0.85546875" style="42" customWidth="1"/>
    <col min="9995" max="9995" width="18.28515625" style="42" customWidth="1"/>
    <col min="9996" max="9999" width="17.28515625" style="42" bestFit="1" customWidth="1"/>
    <col min="10000" max="10000" width="10.85546875" style="42" customWidth="1"/>
    <col min="10001" max="10002" width="14.28515625" style="42" customWidth="1"/>
    <col min="10003" max="10003" width="10.85546875" style="42" customWidth="1"/>
    <col min="10004" max="10004" width="45.42578125" style="42" customWidth="1"/>
    <col min="10005" max="10006" width="14.28515625" style="42" customWidth="1"/>
    <col min="10007" max="10241" width="11.42578125" style="42"/>
    <col min="10242" max="10242" width="49.5703125" style="42" customWidth="1"/>
    <col min="10243" max="10243" width="18.5703125" style="42" bestFit="1" customWidth="1"/>
    <col min="10244" max="10247" width="17.28515625" style="42" bestFit="1" customWidth="1"/>
    <col min="10248" max="10248" width="1" style="42" customWidth="1"/>
    <col min="10249" max="10249" width="17.28515625" style="42" bestFit="1" customWidth="1"/>
    <col min="10250" max="10250" width="0.85546875" style="42" customWidth="1"/>
    <col min="10251" max="10251" width="18.28515625" style="42" customWidth="1"/>
    <col min="10252" max="10255" width="17.28515625" style="42" bestFit="1" customWidth="1"/>
    <col min="10256" max="10256" width="10.85546875" style="42" customWidth="1"/>
    <col min="10257" max="10258" width="14.28515625" style="42" customWidth="1"/>
    <col min="10259" max="10259" width="10.85546875" style="42" customWidth="1"/>
    <col min="10260" max="10260" width="45.42578125" style="42" customWidth="1"/>
    <col min="10261" max="10262" width="14.28515625" style="42" customWidth="1"/>
    <col min="10263" max="10497" width="11.42578125" style="42"/>
    <col min="10498" max="10498" width="49.5703125" style="42" customWidth="1"/>
    <col min="10499" max="10499" width="18.5703125" style="42" bestFit="1" customWidth="1"/>
    <col min="10500" max="10503" width="17.28515625" style="42" bestFit="1" customWidth="1"/>
    <col min="10504" max="10504" width="1" style="42" customWidth="1"/>
    <col min="10505" max="10505" width="17.28515625" style="42" bestFit="1" customWidth="1"/>
    <col min="10506" max="10506" width="0.85546875" style="42" customWidth="1"/>
    <col min="10507" max="10507" width="18.28515625" style="42" customWidth="1"/>
    <col min="10508" max="10511" width="17.28515625" style="42" bestFit="1" customWidth="1"/>
    <col min="10512" max="10512" width="10.85546875" style="42" customWidth="1"/>
    <col min="10513" max="10514" width="14.28515625" style="42" customWidth="1"/>
    <col min="10515" max="10515" width="10.85546875" style="42" customWidth="1"/>
    <col min="10516" max="10516" width="45.42578125" style="42" customWidth="1"/>
    <col min="10517" max="10518" width="14.28515625" style="42" customWidth="1"/>
    <col min="10519" max="10753" width="11.42578125" style="42"/>
    <col min="10754" max="10754" width="49.5703125" style="42" customWidth="1"/>
    <col min="10755" max="10755" width="18.5703125" style="42" bestFit="1" customWidth="1"/>
    <col min="10756" max="10759" width="17.28515625" style="42" bestFit="1" customWidth="1"/>
    <col min="10760" max="10760" width="1" style="42" customWidth="1"/>
    <col min="10761" max="10761" width="17.28515625" style="42" bestFit="1" customWidth="1"/>
    <col min="10762" max="10762" width="0.85546875" style="42" customWidth="1"/>
    <col min="10763" max="10763" width="18.28515625" style="42" customWidth="1"/>
    <col min="10764" max="10767" width="17.28515625" style="42" bestFit="1" customWidth="1"/>
    <col min="10768" max="10768" width="10.85546875" style="42" customWidth="1"/>
    <col min="10769" max="10770" width="14.28515625" style="42" customWidth="1"/>
    <col min="10771" max="10771" width="10.85546875" style="42" customWidth="1"/>
    <col min="10772" max="10772" width="45.42578125" style="42" customWidth="1"/>
    <col min="10773" max="10774" width="14.28515625" style="42" customWidth="1"/>
    <col min="10775" max="11009" width="11.42578125" style="42"/>
    <col min="11010" max="11010" width="49.5703125" style="42" customWidth="1"/>
    <col min="11011" max="11011" width="18.5703125" style="42" bestFit="1" customWidth="1"/>
    <col min="11012" max="11015" width="17.28515625" style="42" bestFit="1" customWidth="1"/>
    <col min="11016" max="11016" width="1" style="42" customWidth="1"/>
    <col min="11017" max="11017" width="17.28515625" style="42" bestFit="1" customWidth="1"/>
    <col min="11018" max="11018" width="0.85546875" style="42" customWidth="1"/>
    <col min="11019" max="11019" width="18.28515625" style="42" customWidth="1"/>
    <col min="11020" max="11023" width="17.28515625" style="42" bestFit="1" customWidth="1"/>
    <col min="11024" max="11024" width="10.85546875" style="42" customWidth="1"/>
    <col min="11025" max="11026" width="14.28515625" style="42" customWidth="1"/>
    <col min="11027" max="11027" width="10.85546875" style="42" customWidth="1"/>
    <col min="11028" max="11028" width="45.42578125" style="42" customWidth="1"/>
    <col min="11029" max="11030" width="14.28515625" style="42" customWidth="1"/>
    <col min="11031" max="11265" width="11.42578125" style="42"/>
    <col min="11266" max="11266" width="49.5703125" style="42" customWidth="1"/>
    <col min="11267" max="11267" width="18.5703125" style="42" bestFit="1" customWidth="1"/>
    <col min="11268" max="11271" width="17.28515625" style="42" bestFit="1" customWidth="1"/>
    <col min="11272" max="11272" width="1" style="42" customWidth="1"/>
    <col min="11273" max="11273" width="17.28515625" style="42" bestFit="1" customWidth="1"/>
    <col min="11274" max="11274" width="0.85546875" style="42" customWidth="1"/>
    <col min="11275" max="11275" width="18.28515625" style="42" customWidth="1"/>
    <col min="11276" max="11279" width="17.28515625" style="42" bestFit="1" customWidth="1"/>
    <col min="11280" max="11280" width="10.85546875" style="42" customWidth="1"/>
    <col min="11281" max="11282" width="14.28515625" style="42" customWidth="1"/>
    <col min="11283" max="11283" width="10.85546875" style="42" customWidth="1"/>
    <col min="11284" max="11284" width="45.42578125" style="42" customWidth="1"/>
    <col min="11285" max="11286" width="14.28515625" style="42" customWidth="1"/>
    <col min="11287" max="11521" width="11.42578125" style="42"/>
    <col min="11522" max="11522" width="49.5703125" style="42" customWidth="1"/>
    <col min="11523" max="11523" width="18.5703125" style="42" bestFit="1" customWidth="1"/>
    <col min="11524" max="11527" width="17.28515625" style="42" bestFit="1" customWidth="1"/>
    <col min="11528" max="11528" width="1" style="42" customWidth="1"/>
    <col min="11529" max="11529" width="17.28515625" style="42" bestFit="1" customWidth="1"/>
    <col min="11530" max="11530" width="0.85546875" style="42" customWidth="1"/>
    <col min="11531" max="11531" width="18.28515625" style="42" customWidth="1"/>
    <col min="11532" max="11535" width="17.28515625" style="42" bestFit="1" customWidth="1"/>
    <col min="11536" max="11536" width="10.85546875" style="42" customWidth="1"/>
    <col min="11537" max="11538" width="14.28515625" style="42" customWidth="1"/>
    <col min="11539" max="11539" width="10.85546875" style="42" customWidth="1"/>
    <col min="11540" max="11540" width="45.42578125" style="42" customWidth="1"/>
    <col min="11541" max="11542" width="14.28515625" style="42" customWidth="1"/>
    <col min="11543" max="11777" width="11.42578125" style="42"/>
    <col min="11778" max="11778" width="49.5703125" style="42" customWidth="1"/>
    <col min="11779" max="11779" width="18.5703125" style="42" bestFit="1" customWidth="1"/>
    <col min="11780" max="11783" width="17.28515625" style="42" bestFit="1" customWidth="1"/>
    <col min="11784" max="11784" width="1" style="42" customWidth="1"/>
    <col min="11785" max="11785" width="17.28515625" style="42" bestFit="1" customWidth="1"/>
    <col min="11786" max="11786" width="0.85546875" style="42" customWidth="1"/>
    <col min="11787" max="11787" width="18.28515625" style="42" customWidth="1"/>
    <col min="11788" max="11791" width="17.28515625" style="42" bestFit="1" customWidth="1"/>
    <col min="11792" max="11792" width="10.85546875" style="42" customWidth="1"/>
    <col min="11793" max="11794" width="14.28515625" style="42" customWidth="1"/>
    <col min="11795" max="11795" width="10.85546875" style="42" customWidth="1"/>
    <col min="11796" max="11796" width="45.42578125" style="42" customWidth="1"/>
    <col min="11797" max="11798" width="14.28515625" style="42" customWidth="1"/>
    <col min="11799" max="12033" width="11.42578125" style="42"/>
    <col min="12034" max="12034" width="49.5703125" style="42" customWidth="1"/>
    <col min="12035" max="12035" width="18.5703125" style="42" bestFit="1" customWidth="1"/>
    <col min="12036" max="12039" width="17.28515625" style="42" bestFit="1" customWidth="1"/>
    <col min="12040" max="12040" width="1" style="42" customWidth="1"/>
    <col min="12041" max="12041" width="17.28515625" style="42" bestFit="1" customWidth="1"/>
    <col min="12042" max="12042" width="0.85546875" style="42" customWidth="1"/>
    <col min="12043" max="12043" width="18.28515625" style="42" customWidth="1"/>
    <col min="12044" max="12047" width="17.28515625" style="42" bestFit="1" customWidth="1"/>
    <col min="12048" max="12048" width="10.85546875" style="42" customWidth="1"/>
    <col min="12049" max="12050" width="14.28515625" style="42" customWidth="1"/>
    <col min="12051" max="12051" width="10.85546875" style="42" customWidth="1"/>
    <col min="12052" max="12052" width="45.42578125" style="42" customWidth="1"/>
    <col min="12053" max="12054" width="14.28515625" style="42" customWidth="1"/>
    <col min="12055" max="12289" width="11.42578125" style="42"/>
    <col min="12290" max="12290" width="49.5703125" style="42" customWidth="1"/>
    <col min="12291" max="12291" width="18.5703125" style="42" bestFit="1" customWidth="1"/>
    <col min="12292" max="12295" width="17.28515625" style="42" bestFit="1" customWidth="1"/>
    <col min="12296" max="12296" width="1" style="42" customWidth="1"/>
    <col min="12297" max="12297" width="17.28515625" style="42" bestFit="1" customWidth="1"/>
    <col min="12298" max="12298" width="0.85546875" style="42" customWidth="1"/>
    <col min="12299" max="12299" width="18.28515625" style="42" customWidth="1"/>
    <col min="12300" max="12303" width="17.28515625" style="42" bestFit="1" customWidth="1"/>
    <col min="12304" max="12304" width="10.85546875" style="42" customWidth="1"/>
    <col min="12305" max="12306" width="14.28515625" style="42" customWidth="1"/>
    <col min="12307" max="12307" width="10.85546875" style="42" customWidth="1"/>
    <col min="12308" max="12308" width="45.42578125" style="42" customWidth="1"/>
    <col min="12309" max="12310" width="14.28515625" style="42" customWidth="1"/>
    <col min="12311" max="12545" width="11.42578125" style="42"/>
    <col min="12546" max="12546" width="49.5703125" style="42" customWidth="1"/>
    <col min="12547" max="12547" width="18.5703125" style="42" bestFit="1" customWidth="1"/>
    <col min="12548" max="12551" width="17.28515625" style="42" bestFit="1" customWidth="1"/>
    <col min="12552" max="12552" width="1" style="42" customWidth="1"/>
    <col min="12553" max="12553" width="17.28515625" style="42" bestFit="1" customWidth="1"/>
    <col min="12554" max="12554" width="0.85546875" style="42" customWidth="1"/>
    <col min="12555" max="12555" width="18.28515625" style="42" customWidth="1"/>
    <col min="12556" max="12559" width="17.28515625" style="42" bestFit="1" customWidth="1"/>
    <col min="12560" max="12560" width="10.85546875" style="42" customWidth="1"/>
    <col min="12561" max="12562" width="14.28515625" style="42" customWidth="1"/>
    <col min="12563" max="12563" width="10.85546875" style="42" customWidth="1"/>
    <col min="12564" max="12564" width="45.42578125" style="42" customWidth="1"/>
    <col min="12565" max="12566" width="14.28515625" style="42" customWidth="1"/>
    <col min="12567" max="12801" width="11.42578125" style="42"/>
    <col min="12802" max="12802" width="49.5703125" style="42" customWidth="1"/>
    <col min="12803" max="12803" width="18.5703125" style="42" bestFit="1" customWidth="1"/>
    <col min="12804" max="12807" width="17.28515625" style="42" bestFit="1" customWidth="1"/>
    <col min="12808" max="12808" width="1" style="42" customWidth="1"/>
    <col min="12809" max="12809" width="17.28515625" style="42" bestFit="1" customWidth="1"/>
    <col min="12810" max="12810" width="0.85546875" style="42" customWidth="1"/>
    <col min="12811" max="12811" width="18.28515625" style="42" customWidth="1"/>
    <col min="12812" max="12815" width="17.28515625" style="42" bestFit="1" customWidth="1"/>
    <col min="12816" max="12816" width="10.85546875" style="42" customWidth="1"/>
    <col min="12817" max="12818" width="14.28515625" style="42" customWidth="1"/>
    <col min="12819" max="12819" width="10.85546875" style="42" customWidth="1"/>
    <col min="12820" max="12820" width="45.42578125" style="42" customWidth="1"/>
    <col min="12821" max="12822" width="14.28515625" style="42" customWidth="1"/>
    <col min="12823" max="13057" width="11.42578125" style="42"/>
    <col min="13058" max="13058" width="49.5703125" style="42" customWidth="1"/>
    <col min="13059" max="13059" width="18.5703125" style="42" bestFit="1" customWidth="1"/>
    <col min="13060" max="13063" width="17.28515625" style="42" bestFit="1" customWidth="1"/>
    <col min="13064" max="13064" width="1" style="42" customWidth="1"/>
    <col min="13065" max="13065" width="17.28515625" style="42" bestFit="1" customWidth="1"/>
    <col min="13066" max="13066" width="0.85546875" style="42" customWidth="1"/>
    <col min="13067" max="13067" width="18.28515625" style="42" customWidth="1"/>
    <col min="13068" max="13071" width="17.28515625" style="42" bestFit="1" customWidth="1"/>
    <col min="13072" max="13072" width="10.85546875" style="42" customWidth="1"/>
    <col min="13073" max="13074" width="14.28515625" style="42" customWidth="1"/>
    <col min="13075" max="13075" width="10.85546875" style="42" customWidth="1"/>
    <col min="13076" max="13076" width="45.42578125" style="42" customWidth="1"/>
    <col min="13077" max="13078" width="14.28515625" style="42" customWidth="1"/>
    <col min="13079" max="13313" width="11.42578125" style="42"/>
    <col min="13314" max="13314" width="49.5703125" style="42" customWidth="1"/>
    <col min="13315" max="13315" width="18.5703125" style="42" bestFit="1" customWidth="1"/>
    <col min="13316" max="13319" width="17.28515625" style="42" bestFit="1" customWidth="1"/>
    <col min="13320" max="13320" width="1" style="42" customWidth="1"/>
    <col min="13321" max="13321" width="17.28515625" style="42" bestFit="1" customWidth="1"/>
    <col min="13322" max="13322" width="0.85546875" style="42" customWidth="1"/>
    <col min="13323" max="13323" width="18.28515625" style="42" customWidth="1"/>
    <col min="13324" max="13327" width="17.28515625" style="42" bestFit="1" customWidth="1"/>
    <col min="13328" max="13328" width="10.85546875" style="42" customWidth="1"/>
    <col min="13329" max="13330" width="14.28515625" style="42" customWidth="1"/>
    <col min="13331" max="13331" width="10.85546875" style="42" customWidth="1"/>
    <col min="13332" max="13332" width="45.42578125" style="42" customWidth="1"/>
    <col min="13333" max="13334" width="14.28515625" style="42" customWidth="1"/>
    <col min="13335" max="13569" width="11.42578125" style="42"/>
    <col min="13570" max="13570" width="49.5703125" style="42" customWidth="1"/>
    <col min="13571" max="13571" width="18.5703125" style="42" bestFit="1" customWidth="1"/>
    <col min="13572" max="13575" width="17.28515625" style="42" bestFit="1" customWidth="1"/>
    <col min="13576" max="13576" width="1" style="42" customWidth="1"/>
    <col min="13577" max="13577" width="17.28515625" style="42" bestFit="1" customWidth="1"/>
    <col min="13578" max="13578" width="0.85546875" style="42" customWidth="1"/>
    <col min="13579" max="13579" width="18.28515625" style="42" customWidth="1"/>
    <col min="13580" max="13583" width="17.28515625" style="42" bestFit="1" customWidth="1"/>
    <col min="13584" max="13584" width="10.85546875" style="42" customWidth="1"/>
    <col min="13585" max="13586" width="14.28515625" style="42" customWidth="1"/>
    <col min="13587" max="13587" width="10.85546875" style="42" customWidth="1"/>
    <col min="13588" max="13588" width="45.42578125" style="42" customWidth="1"/>
    <col min="13589" max="13590" width="14.28515625" style="42" customWidth="1"/>
    <col min="13591" max="13825" width="11.42578125" style="42"/>
    <col min="13826" max="13826" width="49.5703125" style="42" customWidth="1"/>
    <col min="13827" max="13827" width="18.5703125" style="42" bestFit="1" customWidth="1"/>
    <col min="13828" max="13831" width="17.28515625" style="42" bestFit="1" customWidth="1"/>
    <col min="13832" max="13832" width="1" style="42" customWidth="1"/>
    <col min="13833" max="13833" width="17.28515625" style="42" bestFit="1" customWidth="1"/>
    <col min="13834" max="13834" width="0.85546875" style="42" customWidth="1"/>
    <col min="13835" max="13835" width="18.28515625" style="42" customWidth="1"/>
    <col min="13836" max="13839" width="17.28515625" style="42" bestFit="1" customWidth="1"/>
    <col min="13840" max="13840" width="10.85546875" style="42" customWidth="1"/>
    <col min="13841" max="13842" width="14.28515625" style="42" customWidth="1"/>
    <col min="13843" max="13843" width="10.85546875" style="42" customWidth="1"/>
    <col min="13844" max="13844" width="45.42578125" style="42" customWidth="1"/>
    <col min="13845" max="13846" width="14.28515625" style="42" customWidth="1"/>
    <col min="13847" max="14081" width="11.42578125" style="42"/>
    <col min="14082" max="14082" width="49.5703125" style="42" customWidth="1"/>
    <col min="14083" max="14083" width="18.5703125" style="42" bestFit="1" customWidth="1"/>
    <col min="14084" max="14087" width="17.28515625" style="42" bestFit="1" customWidth="1"/>
    <col min="14088" max="14088" width="1" style="42" customWidth="1"/>
    <col min="14089" max="14089" width="17.28515625" style="42" bestFit="1" customWidth="1"/>
    <col min="14090" max="14090" width="0.85546875" style="42" customWidth="1"/>
    <col min="14091" max="14091" width="18.28515625" style="42" customWidth="1"/>
    <col min="14092" max="14095" width="17.28515625" style="42" bestFit="1" customWidth="1"/>
    <col min="14096" max="14096" width="10.85546875" style="42" customWidth="1"/>
    <col min="14097" max="14098" width="14.28515625" style="42" customWidth="1"/>
    <col min="14099" max="14099" width="10.85546875" style="42" customWidth="1"/>
    <col min="14100" max="14100" width="45.42578125" style="42" customWidth="1"/>
    <col min="14101" max="14102" width="14.28515625" style="42" customWidth="1"/>
    <col min="14103" max="14337" width="11.42578125" style="42"/>
    <col min="14338" max="14338" width="49.5703125" style="42" customWidth="1"/>
    <col min="14339" max="14339" width="18.5703125" style="42" bestFit="1" customWidth="1"/>
    <col min="14340" max="14343" width="17.28515625" style="42" bestFit="1" customWidth="1"/>
    <col min="14344" max="14344" width="1" style="42" customWidth="1"/>
    <col min="14345" max="14345" width="17.28515625" style="42" bestFit="1" customWidth="1"/>
    <col min="14346" max="14346" width="0.85546875" style="42" customWidth="1"/>
    <col min="14347" max="14347" width="18.28515625" style="42" customWidth="1"/>
    <col min="14348" max="14351" width="17.28515625" style="42" bestFit="1" customWidth="1"/>
    <col min="14352" max="14352" width="10.85546875" style="42" customWidth="1"/>
    <col min="14353" max="14354" width="14.28515625" style="42" customWidth="1"/>
    <col min="14355" max="14355" width="10.85546875" style="42" customWidth="1"/>
    <col min="14356" max="14356" width="45.42578125" style="42" customWidth="1"/>
    <col min="14357" max="14358" width="14.28515625" style="42" customWidth="1"/>
    <col min="14359" max="14593" width="11.42578125" style="42"/>
    <col min="14594" max="14594" width="49.5703125" style="42" customWidth="1"/>
    <col min="14595" max="14595" width="18.5703125" style="42" bestFit="1" customWidth="1"/>
    <col min="14596" max="14599" width="17.28515625" style="42" bestFit="1" customWidth="1"/>
    <col min="14600" max="14600" width="1" style="42" customWidth="1"/>
    <col min="14601" max="14601" width="17.28515625" style="42" bestFit="1" customWidth="1"/>
    <col min="14602" max="14602" width="0.85546875" style="42" customWidth="1"/>
    <col min="14603" max="14603" width="18.28515625" style="42" customWidth="1"/>
    <col min="14604" max="14607" width="17.28515625" style="42" bestFit="1" customWidth="1"/>
    <col min="14608" max="14608" width="10.85546875" style="42" customWidth="1"/>
    <col min="14609" max="14610" width="14.28515625" style="42" customWidth="1"/>
    <col min="14611" max="14611" width="10.85546875" style="42" customWidth="1"/>
    <col min="14612" max="14612" width="45.42578125" style="42" customWidth="1"/>
    <col min="14613" max="14614" width="14.28515625" style="42" customWidth="1"/>
    <col min="14615" max="14849" width="11.42578125" style="42"/>
    <col min="14850" max="14850" width="49.5703125" style="42" customWidth="1"/>
    <col min="14851" max="14851" width="18.5703125" style="42" bestFit="1" customWidth="1"/>
    <col min="14852" max="14855" width="17.28515625" style="42" bestFit="1" customWidth="1"/>
    <col min="14856" max="14856" width="1" style="42" customWidth="1"/>
    <col min="14857" max="14857" width="17.28515625" style="42" bestFit="1" customWidth="1"/>
    <col min="14858" max="14858" width="0.85546875" style="42" customWidth="1"/>
    <col min="14859" max="14859" width="18.28515625" style="42" customWidth="1"/>
    <col min="14860" max="14863" width="17.28515625" style="42" bestFit="1" customWidth="1"/>
    <col min="14864" max="14864" width="10.85546875" style="42" customWidth="1"/>
    <col min="14865" max="14866" width="14.28515625" style="42" customWidth="1"/>
    <col min="14867" max="14867" width="10.85546875" style="42" customWidth="1"/>
    <col min="14868" max="14868" width="45.42578125" style="42" customWidth="1"/>
    <col min="14869" max="14870" width="14.28515625" style="42" customWidth="1"/>
    <col min="14871" max="15105" width="11.42578125" style="42"/>
    <col min="15106" max="15106" width="49.5703125" style="42" customWidth="1"/>
    <col min="15107" max="15107" width="18.5703125" style="42" bestFit="1" customWidth="1"/>
    <col min="15108" max="15111" width="17.28515625" style="42" bestFit="1" customWidth="1"/>
    <col min="15112" max="15112" width="1" style="42" customWidth="1"/>
    <col min="15113" max="15113" width="17.28515625" style="42" bestFit="1" customWidth="1"/>
    <col min="15114" max="15114" width="0.85546875" style="42" customWidth="1"/>
    <col min="15115" max="15115" width="18.28515625" style="42" customWidth="1"/>
    <col min="15116" max="15119" width="17.28515625" style="42" bestFit="1" customWidth="1"/>
    <col min="15120" max="15120" width="10.85546875" style="42" customWidth="1"/>
    <col min="15121" max="15122" width="14.28515625" style="42" customWidth="1"/>
    <col min="15123" max="15123" width="10.85546875" style="42" customWidth="1"/>
    <col min="15124" max="15124" width="45.42578125" style="42" customWidth="1"/>
    <col min="15125" max="15126" width="14.28515625" style="42" customWidth="1"/>
    <col min="15127" max="15361" width="11.42578125" style="42"/>
    <col min="15362" max="15362" width="49.5703125" style="42" customWidth="1"/>
    <col min="15363" max="15363" width="18.5703125" style="42" bestFit="1" customWidth="1"/>
    <col min="15364" max="15367" width="17.28515625" style="42" bestFit="1" customWidth="1"/>
    <col min="15368" max="15368" width="1" style="42" customWidth="1"/>
    <col min="15369" max="15369" width="17.28515625" style="42" bestFit="1" customWidth="1"/>
    <col min="15370" max="15370" width="0.85546875" style="42" customWidth="1"/>
    <col min="15371" max="15371" width="18.28515625" style="42" customWidth="1"/>
    <col min="15372" max="15375" width="17.28515625" style="42" bestFit="1" customWidth="1"/>
    <col min="15376" max="15376" width="10.85546875" style="42" customWidth="1"/>
    <col min="15377" max="15378" width="14.28515625" style="42" customWidth="1"/>
    <col min="15379" max="15379" width="10.85546875" style="42" customWidth="1"/>
    <col min="15380" max="15380" width="45.42578125" style="42" customWidth="1"/>
    <col min="15381" max="15382" width="14.28515625" style="42" customWidth="1"/>
    <col min="15383" max="15617" width="11.42578125" style="42"/>
    <col min="15618" max="15618" width="49.5703125" style="42" customWidth="1"/>
    <col min="15619" max="15619" width="18.5703125" style="42" bestFit="1" customWidth="1"/>
    <col min="15620" max="15623" width="17.28515625" style="42" bestFit="1" customWidth="1"/>
    <col min="15624" max="15624" width="1" style="42" customWidth="1"/>
    <col min="15625" max="15625" width="17.28515625" style="42" bestFit="1" customWidth="1"/>
    <col min="15626" max="15626" width="0.85546875" style="42" customWidth="1"/>
    <col min="15627" max="15627" width="18.28515625" style="42" customWidth="1"/>
    <col min="15628" max="15631" width="17.28515625" style="42" bestFit="1" customWidth="1"/>
    <col min="15632" max="15632" width="10.85546875" style="42" customWidth="1"/>
    <col min="15633" max="15634" width="14.28515625" style="42" customWidth="1"/>
    <col min="15635" max="15635" width="10.85546875" style="42" customWidth="1"/>
    <col min="15636" max="15636" width="45.42578125" style="42" customWidth="1"/>
    <col min="15637" max="15638" width="14.28515625" style="42" customWidth="1"/>
    <col min="15639" max="15873" width="11.42578125" style="42"/>
    <col min="15874" max="15874" width="49.5703125" style="42" customWidth="1"/>
    <col min="15875" max="15875" width="18.5703125" style="42" bestFit="1" customWidth="1"/>
    <col min="15876" max="15879" width="17.28515625" style="42" bestFit="1" customWidth="1"/>
    <col min="15880" max="15880" width="1" style="42" customWidth="1"/>
    <col min="15881" max="15881" width="17.28515625" style="42" bestFit="1" customWidth="1"/>
    <col min="15882" max="15882" width="0.85546875" style="42" customWidth="1"/>
    <col min="15883" max="15883" width="18.28515625" style="42" customWidth="1"/>
    <col min="15884" max="15887" width="17.28515625" style="42" bestFit="1" customWidth="1"/>
    <col min="15888" max="15888" width="10.85546875" style="42" customWidth="1"/>
    <col min="15889" max="15890" width="14.28515625" style="42" customWidth="1"/>
    <col min="15891" max="15891" width="10.85546875" style="42" customWidth="1"/>
    <col min="15892" max="15892" width="45.42578125" style="42" customWidth="1"/>
    <col min="15893" max="15894" width="14.28515625" style="42" customWidth="1"/>
    <col min="15895" max="16129" width="11.42578125" style="42"/>
    <col min="16130" max="16130" width="49.5703125" style="42" customWidth="1"/>
    <col min="16131" max="16131" width="18.5703125" style="42" bestFit="1" customWidth="1"/>
    <col min="16132" max="16135" width="17.28515625" style="42" bestFit="1" customWidth="1"/>
    <col min="16136" max="16136" width="1" style="42" customWidth="1"/>
    <col min="16137" max="16137" width="17.28515625" style="42" bestFit="1" customWidth="1"/>
    <col min="16138" max="16138" width="0.85546875" style="42" customWidth="1"/>
    <col min="16139" max="16139" width="18.28515625" style="42" customWidth="1"/>
    <col min="16140" max="16143" width="17.28515625" style="42" bestFit="1" customWidth="1"/>
    <col min="16144" max="16144" width="10.85546875" style="42" customWidth="1"/>
    <col min="16145" max="16146" width="14.28515625" style="42" customWidth="1"/>
    <col min="16147" max="16147" width="10.85546875" style="42" customWidth="1"/>
    <col min="16148" max="16148" width="45.42578125" style="42" customWidth="1"/>
    <col min="16149" max="16150" width="14.28515625" style="42" customWidth="1"/>
    <col min="16151" max="16384" width="11.42578125" style="42"/>
  </cols>
  <sheetData>
    <row r="1" spans="1:18" ht="15" customHeight="1" x14ac:dyDescent="0.25">
      <c r="A1" s="650"/>
      <c r="B1" s="1100"/>
      <c r="C1" s="1100"/>
      <c r="D1" s="1101"/>
      <c r="E1" s="1100"/>
      <c r="F1" s="1101"/>
      <c r="G1" s="1100"/>
      <c r="H1" s="1101"/>
      <c r="I1" s="1100"/>
      <c r="J1" s="1101"/>
      <c r="K1" s="1100"/>
      <c r="L1" s="1101"/>
      <c r="M1" s="1081"/>
      <c r="N1" s="1101"/>
      <c r="O1" s="1081"/>
      <c r="P1" s="1081"/>
      <c r="Q1" s="1081"/>
      <c r="R1" s="1102"/>
    </row>
    <row r="2" spans="1:18" s="44" customFormat="1" ht="48" customHeight="1" x14ac:dyDescent="0.25">
      <c r="A2" s="1135" t="s">
        <v>946</v>
      </c>
      <c r="B2" s="1103" t="s">
        <v>1000</v>
      </c>
      <c r="C2" s="1103" t="s">
        <v>1001</v>
      </c>
      <c r="D2" s="1104" t="s">
        <v>1002</v>
      </c>
      <c r="E2" s="1103" t="s">
        <v>1003</v>
      </c>
      <c r="F2" s="1104" t="s">
        <v>1004</v>
      </c>
      <c r="G2" s="1103" t="s">
        <v>1005</v>
      </c>
      <c r="H2" s="1104" t="s">
        <v>1006</v>
      </c>
      <c r="I2" s="1103" t="s">
        <v>1007</v>
      </c>
      <c r="J2" s="1104" t="s">
        <v>1008</v>
      </c>
      <c r="K2" s="1103" t="s">
        <v>1009</v>
      </c>
      <c r="L2" s="1104" t="s">
        <v>1010</v>
      </c>
      <c r="M2" s="1082" t="s">
        <v>1011</v>
      </c>
      <c r="N2" s="1104" t="s">
        <v>1012</v>
      </c>
      <c r="O2" s="1082" t="s">
        <v>1863</v>
      </c>
      <c r="P2" s="1082" t="s">
        <v>1864</v>
      </c>
      <c r="Q2" s="1082" t="s">
        <v>1865</v>
      </c>
      <c r="R2" s="1105" t="s">
        <v>1866</v>
      </c>
    </row>
    <row r="3" spans="1:18" s="54" customFormat="1" hidden="1" x14ac:dyDescent="0.25">
      <c r="A3" s="1136" t="s">
        <v>949</v>
      </c>
      <c r="B3" s="884">
        <f t="shared" ref="B3:K3" si="0">+B4+B92+B151</f>
        <v>270276180113.07001</v>
      </c>
      <c r="C3" s="884">
        <f t="shared" si="0"/>
        <v>253082213376.06</v>
      </c>
      <c r="D3" s="1106">
        <f>+(C3-B3)/B3</f>
        <v>-6.3616285866615829E-2</v>
      </c>
      <c r="E3" s="884">
        <f t="shared" si="0"/>
        <v>280016159446.20001</v>
      </c>
      <c r="F3" s="1106">
        <f>+(E3-C3)/C3</f>
        <v>0.1064237020486237</v>
      </c>
      <c r="G3" s="884">
        <f t="shared" si="0"/>
        <v>299735962135.15997</v>
      </c>
      <c r="H3" s="1106">
        <f>+(G3-E3)/E3</f>
        <v>7.0423802426119481E-2</v>
      </c>
      <c r="I3" s="884">
        <f t="shared" si="0"/>
        <v>324219978503.97003</v>
      </c>
      <c r="J3" s="1106">
        <f>+(I3-G3)/G3</f>
        <v>8.1685281253536995E-2</v>
      </c>
      <c r="K3" s="884">
        <f t="shared" si="0"/>
        <v>365285884686.54999</v>
      </c>
      <c r="L3" s="1106">
        <f>+(K3-I3)/I3</f>
        <v>0.12666062829338295</v>
      </c>
      <c r="M3" s="1083">
        <f>+M4+M92+M151</f>
        <v>420125160996.92999</v>
      </c>
      <c r="N3" s="1106">
        <f>+(M3-K3)/K3</f>
        <v>0.15012700629655404</v>
      </c>
      <c r="O3" s="1083">
        <f>+O4++O53+O92+O151</f>
        <v>359095721046</v>
      </c>
      <c r="P3" s="1083">
        <f t="shared" ref="P3:Q3" si="1">+P4+P151</f>
        <v>184503769972.23001</v>
      </c>
      <c r="Q3" s="1083">
        <f t="shared" si="1"/>
        <v>165113358951.63</v>
      </c>
      <c r="R3" s="1083"/>
    </row>
    <row r="4" spans="1:18" s="54" customFormat="1" hidden="1" x14ac:dyDescent="0.25">
      <c r="A4" s="1137" t="s">
        <v>950</v>
      </c>
      <c r="B4" s="885">
        <f>+B5+B53</f>
        <v>90348126605</v>
      </c>
      <c r="C4" s="885">
        <f>+C5+C53</f>
        <v>86675913374.399994</v>
      </c>
      <c r="D4" s="1107">
        <f t="shared" ref="D4:D70" si="2">+(C4-B4)/B4</f>
        <v>-4.0645150802681725E-2</v>
      </c>
      <c r="E4" s="885">
        <f>+E5+E53</f>
        <v>96019427659.580002</v>
      </c>
      <c r="F4" s="1107">
        <f t="shared" ref="F4:F70" si="3">+(E4-C4)/C4</f>
        <v>0.10779827891539294</v>
      </c>
      <c r="G4" s="885">
        <f>+G5+G53</f>
        <v>97897983249.669998</v>
      </c>
      <c r="H4" s="1107">
        <f t="shared" ref="H4:H70" si="4">+(G4-E4)/E4</f>
        <v>1.9564328135240349E-2</v>
      </c>
      <c r="I4" s="885">
        <f>+I5+I53</f>
        <v>100421479501</v>
      </c>
      <c r="J4" s="1107">
        <f>+(I4-G4)/G4</f>
        <v>2.5776795063227293E-2</v>
      </c>
      <c r="K4" s="885">
        <f>+K5+K53+K90</f>
        <v>89505474690.869995</v>
      </c>
      <c r="L4" s="1107">
        <f t="shared" ref="L4:L70" si="5">+(K4-I4)/I4</f>
        <v>-0.10870189190970148</v>
      </c>
      <c r="M4" s="1084">
        <f>+M5+M53+M90</f>
        <v>108556427382.16</v>
      </c>
      <c r="N4" s="1107">
        <f t="shared" ref="N4:N68" si="6">+(M4-K4)/K4</f>
        <v>0.21284678682602753</v>
      </c>
      <c r="O4" s="1084">
        <f>+O7+O9+O17+O23+O26+O30+O32+O36+O40+O46+O49+O50+O51+O54+O70+O75+O78</f>
        <v>113693702822</v>
      </c>
      <c r="P4" s="1084">
        <f t="shared" ref="P4:Q4" si="7">+P7+P9+P17+P23+P26+P30+P32+P36+P40+P46+P49+P50+P51+P54+P70+P75+P78</f>
        <v>127532917395</v>
      </c>
      <c r="Q4" s="1084">
        <f t="shared" si="7"/>
        <v>116366197011.53</v>
      </c>
      <c r="R4" s="1084"/>
    </row>
    <row r="5" spans="1:18" s="54" customFormat="1" hidden="1" x14ac:dyDescent="0.25">
      <c r="A5" s="1138" t="s">
        <v>951</v>
      </c>
      <c r="B5" s="886">
        <f>+B6+B16</f>
        <v>86350066972</v>
      </c>
      <c r="C5" s="886">
        <f t="shared" ref="C5:I5" si="8">+C6+C16</f>
        <v>86675913374.399994</v>
      </c>
      <c r="D5" s="1108">
        <f t="shared" si="2"/>
        <v>3.7735512412011602E-3</v>
      </c>
      <c r="E5" s="886">
        <f t="shared" si="8"/>
        <v>96019427659.580002</v>
      </c>
      <c r="F5" s="1108">
        <f t="shared" si="3"/>
        <v>0.10779827891539294</v>
      </c>
      <c r="G5" s="886">
        <f t="shared" si="8"/>
        <v>97897983249.669998</v>
      </c>
      <c r="H5" s="1108">
        <f t="shared" si="4"/>
        <v>1.9564328135240349E-2</v>
      </c>
      <c r="I5" s="886">
        <f t="shared" si="8"/>
        <v>100421479501</v>
      </c>
      <c r="J5" s="1108">
        <f t="shared" ref="J5:J70" si="9">+(I5-G5)/G5</f>
        <v>2.5776795063227293E-2</v>
      </c>
      <c r="K5" s="886">
        <f>+K6+K16</f>
        <v>86738491060.869995</v>
      </c>
      <c r="L5" s="1108">
        <f t="shared" si="5"/>
        <v>-0.13625559499941195</v>
      </c>
      <c r="M5" s="1085">
        <f>+M6+M16</f>
        <v>108556427382.16</v>
      </c>
      <c r="N5" s="1108">
        <f t="shared" si="6"/>
        <v>0.25153695959477729</v>
      </c>
      <c r="O5" s="1085">
        <f>+O6+O16</f>
        <v>91743623872</v>
      </c>
      <c r="P5" s="1085">
        <f t="shared" ref="P5:Q5" si="10">+P6+P16</f>
        <v>91743623872</v>
      </c>
      <c r="Q5" s="1085">
        <f t="shared" si="10"/>
        <v>82039179208.550003</v>
      </c>
      <c r="R5" s="1085"/>
    </row>
    <row r="6" spans="1:18" s="54" customFormat="1" hidden="1" x14ac:dyDescent="0.25">
      <c r="A6" s="1139" t="s">
        <v>1021</v>
      </c>
      <c r="B6" s="887">
        <f>+B7+B9</f>
        <v>19411067015</v>
      </c>
      <c r="C6" s="887">
        <f>+C7+C9</f>
        <v>21250473507</v>
      </c>
      <c r="D6" s="1109">
        <f t="shared" si="2"/>
        <v>9.4760709989749115E-2</v>
      </c>
      <c r="E6" s="887">
        <f>+E7+E9</f>
        <v>24831928061.5</v>
      </c>
      <c r="F6" s="1109">
        <f t="shared" si="3"/>
        <v>0.16853528244065963</v>
      </c>
      <c r="G6" s="887">
        <f>+G7+G9</f>
        <v>26406651569.419998</v>
      </c>
      <c r="H6" s="1109">
        <f t="shared" si="4"/>
        <v>6.3415273434264105E-2</v>
      </c>
      <c r="I6" s="887">
        <f>+I7+I9</f>
        <v>29966697788</v>
      </c>
      <c r="J6" s="1109">
        <f t="shared" si="9"/>
        <v>0.13481626813687667</v>
      </c>
      <c r="K6" s="887">
        <f>+K7+K9</f>
        <v>30431617273.269997</v>
      </c>
      <c r="L6" s="1109">
        <f t="shared" si="5"/>
        <v>1.5514538457292785E-2</v>
      </c>
      <c r="M6" s="1086">
        <f>+M7+M9</f>
        <v>39856497594.900002</v>
      </c>
      <c r="N6" s="1109">
        <f t="shared" si="6"/>
        <v>0.30970684985278352</v>
      </c>
      <c r="O6" s="1086">
        <f>+O7+O9</f>
        <v>35968336141</v>
      </c>
      <c r="P6" s="1086">
        <f t="shared" ref="P6:Q6" si="11">+P7+P9</f>
        <v>35968336141</v>
      </c>
      <c r="Q6" s="1086">
        <f t="shared" si="11"/>
        <v>37062152938.150002</v>
      </c>
      <c r="R6" s="1086"/>
    </row>
    <row r="7" spans="1:18" s="54" customFormat="1" x14ac:dyDescent="0.25">
      <c r="A7" s="751" t="s">
        <v>1022</v>
      </c>
      <c r="B7" s="888">
        <f>SUM(B8:B8)</f>
        <v>8853239996</v>
      </c>
      <c r="C7" s="888">
        <f t="shared" ref="C7:K7" si="12">SUM(C8:C8)</f>
        <v>9951188398</v>
      </c>
      <c r="D7" s="1110">
        <f t="shared" si="2"/>
        <v>0.12401656370956467</v>
      </c>
      <c r="E7" s="888">
        <f t="shared" si="12"/>
        <v>11766990269.299999</v>
      </c>
      <c r="F7" s="1110">
        <f t="shared" si="3"/>
        <v>0.182470856612959</v>
      </c>
      <c r="G7" s="888">
        <f t="shared" si="12"/>
        <v>12835717964.42</v>
      </c>
      <c r="H7" s="1110">
        <f t="shared" si="4"/>
        <v>9.0824218484169605E-2</v>
      </c>
      <c r="I7" s="888">
        <f t="shared" si="12"/>
        <v>14906182505</v>
      </c>
      <c r="J7" s="1110">
        <f t="shared" si="9"/>
        <v>0.16130492632505866</v>
      </c>
      <c r="K7" s="888">
        <f t="shared" si="12"/>
        <v>15384016828.440001</v>
      </c>
      <c r="L7" s="1110">
        <f t="shared" si="5"/>
        <v>3.2056116532835952E-2</v>
      </c>
      <c r="M7" s="1087">
        <f>SUM(M8:M8)</f>
        <v>19215877903.310001</v>
      </c>
      <c r="N7" s="1110">
        <f t="shared" si="6"/>
        <v>0.24908066063644357</v>
      </c>
      <c r="O7" s="1087">
        <f>SUM(O8:O8)</f>
        <v>18334260465</v>
      </c>
      <c r="P7" s="1087">
        <f t="shared" ref="P7:Q7" si="13">SUM(P8:P8)</f>
        <v>18334260465</v>
      </c>
      <c r="Q7" s="1087">
        <f t="shared" si="13"/>
        <v>21056414375.990002</v>
      </c>
      <c r="R7" s="1087"/>
    </row>
    <row r="8" spans="1:18" hidden="1" x14ac:dyDescent="0.25">
      <c r="A8" s="1141" t="s">
        <v>1023</v>
      </c>
      <c r="B8" s="898">
        <v>8853239996</v>
      </c>
      <c r="C8" s="898">
        <v>9951188398</v>
      </c>
      <c r="D8" s="1111">
        <f t="shared" si="2"/>
        <v>0.12401656370956467</v>
      </c>
      <c r="E8" s="898">
        <v>11766990269.299999</v>
      </c>
      <c r="F8" s="1111">
        <f t="shared" si="3"/>
        <v>0.182470856612959</v>
      </c>
      <c r="G8" s="898">
        <v>12835717964.42</v>
      </c>
      <c r="H8" s="1111">
        <f t="shared" si="4"/>
        <v>9.0824218484169605E-2</v>
      </c>
      <c r="I8" s="898">
        <v>14906182505</v>
      </c>
      <c r="J8" s="1111">
        <f t="shared" si="9"/>
        <v>0.16130492632505866</v>
      </c>
      <c r="K8" s="898">
        <v>15384016828.440001</v>
      </c>
      <c r="L8" s="1111">
        <f t="shared" si="5"/>
        <v>3.2056116532835952E-2</v>
      </c>
      <c r="M8" s="1088">
        <v>19215877903.310001</v>
      </c>
      <c r="N8" s="1111">
        <f t="shared" si="6"/>
        <v>0.24908066063644357</v>
      </c>
      <c r="O8" s="1088">
        <f>+[2]MX8!G6</f>
        <v>18334260465</v>
      </c>
      <c r="P8" s="1088">
        <f>+[2]MX8!H6</f>
        <v>18334260465</v>
      </c>
      <c r="Q8" s="1088">
        <f>+[2]MX8!I6</f>
        <v>21056414375.990002</v>
      </c>
      <c r="R8" s="1098"/>
    </row>
    <row r="9" spans="1:18" s="54" customFormat="1" x14ac:dyDescent="0.25">
      <c r="A9" s="751" t="s">
        <v>1024</v>
      </c>
      <c r="B9" s="887">
        <f t="shared" ref="B9:K9" si="14">+B10+B11</f>
        <v>10557827019</v>
      </c>
      <c r="C9" s="887">
        <f t="shared" si="14"/>
        <v>11299285109</v>
      </c>
      <c r="D9" s="1109">
        <f t="shared" si="2"/>
        <v>7.0228285485797654E-2</v>
      </c>
      <c r="E9" s="887">
        <f t="shared" si="14"/>
        <v>13064937792.199999</v>
      </c>
      <c r="F9" s="1109">
        <f t="shared" si="3"/>
        <v>0.15626233572897791</v>
      </c>
      <c r="G9" s="887">
        <f t="shared" si="14"/>
        <v>13570933605</v>
      </c>
      <c r="H9" s="1109">
        <f t="shared" si="4"/>
        <v>3.8729293690329673E-2</v>
      </c>
      <c r="I9" s="887">
        <f t="shared" si="14"/>
        <v>15060515283</v>
      </c>
      <c r="J9" s="1109">
        <f>+(I9-G9)/G9</f>
        <v>0.10976265313472514</v>
      </c>
      <c r="K9" s="887">
        <f t="shared" si="14"/>
        <v>15047600444.829998</v>
      </c>
      <c r="L9" s="1109">
        <f t="shared" si="5"/>
        <v>-8.575296347648867E-4</v>
      </c>
      <c r="M9" s="1086">
        <f>+M10+M11</f>
        <v>20640619691.59</v>
      </c>
      <c r="N9" s="1112">
        <f t="shared" si="6"/>
        <v>0.37168844742163737</v>
      </c>
      <c r="O9" s="1086">
        <f>+O10+O11</f>
        <v>17634075676</v>
      </c>
      <c r="P9" s="1089">
        <f t="shared" ref="P9:Q9" si="15">+P10+P11</f>
        <v>17634075676</v>
      </c>
      <c r="Q9" s="1089">
        <f t="shared" si="15"/>
        <v>16005738562.16</v>
      </c>
      <c r="R9" s="1089"/>
    </row>
    <row r="10" spans="1:18" hidden="1" x14ac:dyDescent="0.25">
      <c r="A10" s="1141" t="s">
        <v>1025</v>
      </c>
      <c r="B10" s="1113">
        <v>8542748119.4099998</v>
      </c>
      <c r="C10" s="1113">
        <v>8361470980.4200001</v>
      </c>
      <c r="D10" s="1114">
        <f t="shared" si="2"/>
        <v>-2.1220002797240331E-2</v>
      </c>
      <c r="E10" s="1113">
        <v>9668053966.2199993</v>
      </c>
      <c r="F10" s="1114">
        <f t="shared" si="3"/>
        <v>0.15626233576120946</v>
      </c>
      <c r="G10" s="1113">
        <v>8929674312</v>
      </c>
      <c r="H10" s="1114">
        <f t="shared" si="4"/>
        <v>-7.6373141564981345E-2</v>
      </c>
      <c r="I10" s="1113">
        <v>9909819056</v>
      </c>
      <c r="J10" s="1114">
        <f t="shared" si="9"/>
        <v>0.10976265312194512</v>
      </c>
      <c r="K10" s="1113">
        <v>9901321094.3799992</v>
      </c>
      <c r="L10" s="1114">
        <f t="shared" si="5"/>
        <v>-8.5752944347209476E-4</v>
      </c>
      <c r="M10" s="1090">
        <v>13746652714.610001</v>
      </c>
      <c r="N10" s="1114">
        <f t="shared" si="6"/>
        <v>0.38836551037746025</v>
      </c>
      <c r="O10" s="1090">
        <f>+[2]MX8!G$12+[2]MX8!G$18</f>
        <v>10580445405</v>
      </c>
      <c r="P10" s="1090">
        <f>+[2]MX8!H$12+[2]MX8!H$18</f>
        <v>10580445405</v>
      </c>
      <c r="Q10" s="1090">
        <f>+[2]MX8!I$12+[2]MX8!I$18</f>
        <v>9603670526.8199997</v>
      </c>
      <c r="R10" s="1115"/>
    </row>
    <row r="11" spans="1:18" s="54" customFormat="1" hidden="1" x14ac:dyDescent="0.25">
      <c r="A11" s="1139" t="s">
        <v>1026</v>
      </c>
      <c r="B11" s="888">
        <f t="shared" ref="B11:K11" si="16">SUM(B12:B15)</f>
        <v>2015078899.5900002</v>
      </c>
      <c r="C11" s="888">
        <f t="shared" si="16"/>
        <v>2937814128.5799999</v>
      </c>
      <c r="D11" s="1110">
        <f t="shared" si="2"/>
        <v>0.45791518594023534</v>
      </c>
      <c r="E11" s="888">
        <f t="shared" si="16"/>
        <v>3396883825.98</v>
      </c>
      <c r="F11" s="1110">
        <f t="shared" si="3"/>
        <v>0.15626233563724218</v>
      </c>
      <c r="G11" s="888">
        <f t="shared" si="16"/>
        <v>4641259293</v>
      </c>
      <c r="H11" s="1110">
        <f t="shared" si="4"/>
        <v>0.3663285324928644</v>
      </c>
      <c r="I11" s="888">
        <f t="shared" si="16"/>
        <v>5150696227</v>
      </c>
      <c r="J11" s="1110">
        <f t="shared" si="9"/>
        <v>0.10976265315931359</v>
      </c>
      <c r="K11" s="888">
        <f t="shared" si="16"/>
        <v>5146279350.4499998</v>
      </c>
      <c r="L11" s="1110">
        <f t="shared" si="5"/>
        <v>-8.5753000280755845E-4</v>
      </c>
      <c r="M11" s="1087">
        <f>SUM(M12:M15)</f>
        <v>6893966976.9799995</v>
      </c>
      <c r="N11" s="888">
        <f t="shared" ref="N11:Q11" si="17">SUM(N12:N15)</f>
        <v>1.4094755716260821</v>
      </c>
      <c r="O11" s="1087">
        <f t="shared" si="17"/>
        <v>7053630271</v>
      </c>
      <c r="P11" s="1087">
        <f t="shared" si="17"/>
        <v>7053630271</v>
      </c>
      <c r="Q11" s="1087">
        <f t="shared" si="17"/>
        <v>6402068035.3400002</v>
      </c>
      <c r="R11" s="1087"/>
    </row>
    <row r="12" spans="1:18" hidden="1" x14ac:dyDescent="0.25">
      <c r="A12" s="1141" t="s">
        <v>1027</v>
      </c>
      <c r="B12" s="898">
        <v>591238313.05999994</v>
      </c>
      <c r="C12" s="898">
        <v>677957105.70000005</v>
      </c>
      <c r="D12" s="1111">
        <f t="shared" si="2"/>
        <v>0.14667316160750854</v>
      </c>
      <c r="E12" s="898">
        <v>783896267.51999998</v>
      </c>
      <c r="F12" s="1111">
        <f t="shared" si="3"/>
        <v>0.15626233714390572</v>
      </c>
      <c r="G12" s="898">
        <v>1927072572</v>
      </c>
      <c r="H12" s="1111">
        <f t="shared" si="4"/>
        <v>1.4583259952195569</v>
      </c>
      <c r="I12" s="898">
        <v>2138593170</v>
      </c>
      <c r="J12" s="1111">
        <f t="shared" si="9"/>
        <v>0.10976265298637648</v>
      </c>
      <c r="K12" s="898">
        <v>2136759265.45</v>
      </c>
      <c r="L12" s="1111">
        <f t="shared" si="5"/>
        <v>-8.5752847980897291E-4</v>
      </c>
      <c r="M12" s="1088">
        <v>2765843038.6799998</v>
      </c>
      <c r="N12" s="1111">
        <f t="shared" si="6"/>
        <v>0.29441022365124281</v>
      </c>
      <c r="O12" s="1088">
        <f>+[2]MX8!$G$10+[2]MX8!$G$16</f>
        <v>3526815135</v>
      </c>
      <c r="P12" s="1088">
        <f>+[2]MX8!$H$10+[2]MX8!$H$16</f>
        <v>3526815135</v>
      </c>
      <c r="Q12" s="1088">
        <f>+[2]MX8!$I$10+[2]MX8!$I$16</f>
        <v>3201223508.8600001</v>
      </c>
      <c r="R12" s="1098"/>
    </row>
    <row r="13" spans="1:18" hidden="1" x14ac:dyDescent="0.25">
      <c r="A13" s="1141" t="s">
        <v>1028</v>
      </c>
      <c r="B13" s="898">
        <v>422313080.75999999</v>
      </c>
      <c r="C13" s="898">
        <v>451971404.01999998</v>
      </c>
      <c r="D13" s="1111">
        <f t="shared" si="2"/>
        <v>7.0228284680707728E-2</v>
      </c>
      <c r="E13" s="898">
        <v>522597511.70999998</v>
      </c>
      <c r="F13" s="1111">
        <f t="shared" si="3"/>
        <v>0.15626233664746356</v>
      </c>
      <c r="G13" s="898">
        <v>542837344</v>
      </c>
      <c r="H13" s="1111">
        <f t="shared" si="4"/>
        <v>3.8729293263898124E-2</v>
      </c>
      <c r="I13" s="898">
        <v>602420611</v>
      </c>
      <c r="J13" s="1111">
        <f t="shared" si="9"/>
        <v>0.1097626529541048</v>
      </c>
      <c r="K13" s="898">
        <v>601904017</v>
      </c>
      <c r="L13" s="1111">
        <f t="shared" si="5"/>
        <v>-8.5753042071795918E-4</v>
      </c>
      <c r="M13" s="1088">
        <v>825624787.67000008</v>
      </c>
      <c r="N13" s="1111">
        <f t="shared" si="6"/>
        <v>0.37168844923990607</v>
      </c>
      <c r="O13" s="1088">
        <f>+[2]MX8!G19+[2]MX8!$G13</f>
        <v>705363027</v>
      </c>
      <c r="P13" s="1088">
        <f>+[2]MX8!H19+[2]MX8!$G13</f>
        <v>705363027</v>
      </c>
      <c r="Q13" s="1088">
        <f>+[2]MX8!I19+[2]MX8!$G13</f>
        <v>639865720.16999996</v>
      </c>
      <c r="R13" s="1098"/>
    </row>
    <row r="14" spans="1:18" hidden="1" x14ac:dyDescent="0.25">
      <c r="A14" s="1141" t="s">
        <v>1029</v>
      </c>
      <c r="B14" s="898">
        <v>633469621.13999999</v>
      </c>
      <c r="C14" s="898">
        <v>677957107.36000001</v>
      </c>
      <c r="D14" s="1111">
        <f t="shared" si="2"/>
        <v>7.0228286780255986E-2</v>
      </c>
      <c r="E14" s="898">
        <v>783896267.52999997</v>
      </c>
      <c r="F14" s="1111">
        <f t="shared" si="3"/>
        <v>0.15626233432751008</v>
      </c>
      <c r="G14" s="898">
        <v>814256016</v>
      </c>
      <c r="H14" s="1111">
        <f t="shared" si="4"/>
        <v>3.8729293310276094E-2</v>
      </c>
      <c r="I14" s="898">
        <v>903630917</v>
      </c>
      <c r="J14" s="1111">
        <f t="shared" si="9"/>
        <v>0.10976265356816228</v>
      </c>
      <c r="K14" s="898">
        <v>902856025</v>
      </c>
      <c r="L14" s="1111">
        <f t="shared" si="5"/>
        <v>-8.5753152688997688E-4</v>
      </c>
      <c r="M14" s="1088">
        <v>1238437181.47</v>
      </c>
      <c r="N14" s="1111">
        <f t="shared" si="6"/>
        <v>0.37168844996077866</v>
      </c>
      <c r="O14" s="1088">
        <f>+[2]MX8!G20+[2]MX8!G14</f>
        <v>1058044541</v>
      </c>
      <c r="P14" s="1088">
        <f>+[2]MX8!H20+[2]MX8!H14</f>
        <v>1058044541</v>
      </c>
      <c r="Q14" s="1088">
        <f>+[2]MX8!I20+[2]MX8!I14</f>
        <v>960367051.83999991</v>
      </c>
      <c r="R14" s="1098"/>
    </row>
    <row r="15" spans="1:18" ht="25.5" hidden="1" x14ac:dyDescent="0.25">
      <c r="A15" s="1141" t="s">
        <v>1030</v>
      </c>
      <c r="B15" s="898">
        <v>368057884.63</v>
      </c>
      <c r="C15" s="898">
        <v>1129928511.5</v>
      </c>
      <c r="D15" s="1111">
        <f t="shared" si="2"/>
        <v>2.0699750193801467</v>
      </c>
      <c r="E15" s="898">
        <v>1306493779.22</v>
      </c>
      <c r="F15" s="1111">
        <f t="shared" si="3"/>
        <v>0.1562623351149946</v>
      </c>
      <c r="G15" s="898">
        <v>1357093361</v>
      </c>
      <c r="H15" s="1111">
        <f t="shared" si="4"/>
        <v>3.8729294073033257E-2</v>
      </c>
      <c r="I15" s="898">
        <v>1506051529</v>
      </c>
      <c r="J15" s="1111">
        <f t="shared" si="9"/>
        <v>0.10976265324165858</v>
      </c>
      <c r="K15" s="898">
        <v>1504760043</v>
      </c>
      <c r="L15" s="1111">
        <f t="shared" si="5"/>
        <v>-8.5753108385177971E-4</v>
      </c>
      <c r="M15" s="1088">
        <v>2064061969.1600001</v>
      </c>
      <c r="N15" s="1111">
        <f t="shared" si="6"/>
        <v>0.37168844877415452</v>
      </c>
      <c r="O15" s="1088">
        <f>+[2]MX8!G11+[2]MX8!G$17</f>
        <v>1763407568</v>
      </c>
      <c r="P15" s="1088">
        <f>+[2]MX8!H11+[2]MX8!H$17</f>
        <v>1763407568</v>
      </c>
      <c r="Q15" s="1088">
        <f>+[2]MX8!I11+[2]MX8!I$17</f>
        <v>1600611754.47</v>
      </c>
      <c r="R15" s="1098"/>
    </row>
    <row r="16" spans="1:18" s="54" customFormat="1" hidden="1" x14ac:dyDescent="0.25">
      <c r="A16" s="1139" t="s">
        <v>1031</v>
      </c>
      <c r="B16" s="887">
        <f t="shared" ref="B16:K16" si="18">+B17+B23+B26+B30+B32+B35</f>
        <v>66938999957</v>
      </c>
      <c r="C16" s="887">
        <f t="shared" si="18"/>
        <v>65425439867.400002</v>
      </c>
      <c r="D16" s="1109">
        <f t="shared" si="2"/>
        <v>-2.2611035279467472E-2</v>
      </c>
      <c r="E16" s="887">
        <f t="shared" si="18"/>
        <v>71187499598.080002</v>
      </c>
      <c r="F16" s="1109">
        <f t="shared" si="3"/>
        <v>8.8070630359660798E-2</v>
      </c>
      <c r="G16" s="887">
        <f t="shared" si="18"/>
        <v>71491331680.25</v>
      </c>
      <c r="H16" s="1109">
        <f t="shared" si="4"/>
        <v>4.2680538561603422E-3</v>
      </c>
      <c r="I16" s="887">
        <f t="shared" si="18"/>
        <v>70454781713</v>
      </c>
      <c r="J16" s="1109">
        <f t="shared" si="9"/>
        <v>-1.4498960124089483E-2</v>
      </c>
      <c r="K16" s="887">
        <f t="shared" si="18"/>
        <v>56306873787.599998</v>
      </c>
      <c r="L16" s="1109">
        <f t="shared" si="5"/>
        <v>-0.20080834233554218</v>
      </c>
      <c r="M16" s="1086">
        <f>+M17+M23+M26+M30+M32+M35</f>
        <v>68699929787.259995</v>
      </c>
      <c r="N16" s="1109">
        <f t="shared" si="6"/>
        <v>0.22009845629876218</v>
      </c>
      <c r="O16" s="1086">
        <f t="shared" ref="O16:Q16" si="19">+O17+O23+O26+O30+O32+O35</f>
        <v>55775287731</v>
      </c>
      <c r="P16" s="1086">
        <f t="shared" si="19"/>
        <v>55775287731</v>
      </c>
      <c r="Q16" s="1086">
        <f t="shared" si="19"/>
        <v>44977026270.400002</v>
      </c>
      <c r="R16" s="1086"/>
    </row>
    <row r="17" spans="1:19" s="54" customFormat="1" x14ac:dyDescent="0.25">
      <c r="A17" s="751" t="s">
        <v>1032</v>
      </c>
      <c r="B17" s="887">
        <f>+B18+B19</f>
        <v>2588048042</v>
      </c>
      <c r="C17" s="887">
        <f t="shared" ref="C17:K17" si="20">+C18+C19</f>
        <v>2581582049.4000001</v>
      </c>
      <c r="D17" s="1109">
        <f t="shared" si="2"/>
        <v>-2.4984051667770023E-3</v>
      </c>
      <c r="E17" s="887">
        <f t="shared" si="20"/>
        <v>3517938239</v>
      </c>
      <c r="F17" s="1109">
        <f t="shared" si="3"/>
        <v>0.36270634505597982</v>
      </c>
      <c r="G17" s="887">
        <f t="shared" si="20"/>
        <v>3024300667.1999998</v>
      </c>
      <c r="H17" s="1109">
        <f t="shared" si="4"/>
        <v>-0.14032013590446668</v>
      </c>
      <c r="I17" s="887">
        <f t="shared" si="20"/>
        <v>4518440568</v>
      </c>
      <c r="J17" s="1109">
        <f t="shared" si="9"/>
        <v>0.49404476115905688</v>
      </c>
      <c r="K17" s="887">
        <f t="shared" si="20"/>
        <v>5164830996</v>
      </c>
      <c r="L17" s="1109">
        <f t="shared" si="5"/>
        <v>0.14305608722128488</v>
      </c>
      <c r="M17" s="1086">
        <f>+M18+M19+M20+M22</f>
        <v>6779127361.2599993</v>
      </c>
      <c r="N17" s="1109">
        <f t="shared" si="6"/>
        <v>0.31255550598078063</v>
      </c>
      <c r="O17" s="1086">
        <f t="shared" ref="O17:Q17" si="21">+O18+O19+O20+O21+O22</f>
        <v>5585764723</v>
      </c>
      <c r="P17" s="1086">
        <f t="shared" si="21"/>
        <v>5585764723</v>
      </c>
      <c r="Q17" s="1086">
        <f t="shared" si="21"/>
        <v>2681914957.4000001</v>
      </c>
      <c r="R17" s="1086"/>
    </row>
    <row r="18" spans="1:19" hidden="1" x14ac:dyDescent="0.25">
      <c r="A18" s="1141" t="s">
        <v>1867</v>
      </c>
      <c r="B18" s="898">
        <v>818895042</v>
      </c>
      <c r="C18" s="898">
        <v>690710961.39999998</v>
      </c>
      <c r="D18" s="1111">
        <f t="shared" si="2"/>
        <v>-0.15653297922885706</v>
      </c>
      <c r="E18" s="898">
        <v>710935239</v>
      </c>
      <c r="F18" s="1111">
        <f t="shared" si="3"/>
        <v>2.9280377365095662E-2</v>
      </c>
      <c r="G18" s="898">
        <v>645603667.20000005</v>
      </c>
      <c r="H18" s="1111">
        <f t="shared" si="4"/>
        <v>-9.1895250391435382E-2</v>
      </c>
      <c r="I18" s="898">
        <v>695202442</v>
      </c>
      <c r="J18" s="1111">
        <f t="shared" si="9"/>
        <v>7.6825422964387935E-2</v>
      </c>
      <c r="K18" s="898">
        <v>1011455996</v>
      </c>
      <c r="L18" s="1111">
        <f t="shared" si="5"/>
        <v>0.45490857755071007</v>
      </c>
      <c r="M18" s="1088">
        <v>0</v>
      </c>
      <c r="N18" s="1111">
        <f t="shared" si="6"/>
        <v>-1</v>
      </c>
      <c r="O18" s="1088">
        <f>+[2]MX8!G25</f>
        <v>2713085722</v>
      </c>
      <c r="P18" s="1088">
        <f>+[2]MX8!H25</f>
        <v>2713085722</v>
      </c>
      <c r="Q18" s="1088">
        <f>+[2]MX8!I25</f>
        <v>606441988</v>
      </c>
      <c r="R18" s="1098"/>
    </row>
    <row r="19" spans="1:19" hidden="1" x14ac:dyDescent="0.25">
      <c r="A19" s="1141" t="s">
        <v>1868</v>
      </c>
      <c r="B19" s="1116">
        <v>1769153000</v>
      </c>
      <c r="C19" s="1116">
        <v>1890871088</v>
      </c>
      <c r="D19" s="1117">
        <f t="shared" si="2"/>
        <v>6.8800204391593039E-2</v>
      </c>
      <c r="E19" s="1116">
        <v>2807003000</v>
      </c>
      <c r="F19" s="1117">
        <f t="shared" si="3"/>
        <v>0.48450257546060699</v>
      </c>
      <c r="G19" s="1116">
        <v>2378697000</v>
      </c>
      <c r="H19" s="1117">
        <f t="shared" si="4"/>
        <v>-0.15258480308001096</v>
      </c>
      <c r="I19" s="1116">
        <v>3823238126</v>
      </c>
      <c r="J19" s="1117">
        <f t="shared" si="9"/>
        <v>0.60728252736687349</v>
      </c>
      <c r="K19" s="1116">
        <v>4153375000</v>
      </c>
      <c r="L19" s="1117">
        <f t="shared" si="5"/>
        <v>8.6350068481190909E-2</v>
      </c>
      <c r="M19" s="1091">
        <v>2985922449.3200002</v>
      </c>
      <c r="N19" s="1117">
        <f t="shared" si="6"/>
        <v>-0.28108527418785922</v>
      </c>
      <c r="O19" s="1091">
        <f>+[2]MX8!G27</f>
        <v>2606690204</v>
      </c>
      <c r="P19" s="1091">
        <f>+[2]MX8!H27</f>
        <v>2606690204</v>
      </c>
      <c r="Q19" s="1091">
        <f>+[2]MX8!I27</f>
        <v>1945446960</v>
      </c>
      <c r="R19" s="1118"/>
    </row>
    <row r="20" spans="1:19" hidden="1" x14ac:dyDescent="0.25">
      <c r="A20" s="1141" t="s">
        <v>1035</v>
      </c>
      <c r="B20" s="1116"/>
      <c r="C20" s="1116"/>
      <c r="D20" s="1117"/>
      <c r="E20" s="1116"/>
      <c r="F20" s="1117"/>
      <c r="G20" s="1116"/>
      <c r="H20" s="1117"/>
      <c r="I20" s="1116"/>
      <c r="J20" s="1117"/>
      <c r="K20" s="1116">
        <v>0</v>
      </c>
      <c r="L20" s="1117"/>
      <c r="M20" s="1091">
        <v>3439875818</v>
      </c>
      <c r="N20" s="1117"/>
      <c r="O20" s="1091"/>
      <c r="P20" s="1091"/>
      <c r="Q20" s="1091"/>
      <c r="R20" s="1118"/>
    </row>
    <row r="21" spans="1:19" hidden="1" x14ac:dyDescent="0.25">
      <c r="A21" s="1141" t="s">
        <v>1036</v>
      </c>
      <c r="B21" s="1116"/>
      <c r="C21" s="1116"/>
      <c r="D21" s="1117"/>
      <c r="E21" s="1116"/>
      <c r="F21" s="1117"/>
      <c r="G21" s="1116"/>
      <c r="H21" s="1117"/>
      <c r="I21" s="1116"/>
      <c r="J21" s="1117"/>
      <c r="K21" s="1116">
        <v>0</v>
      </c>
      <c r="L21" s="1117"/>
      <c r="M21" s="1091"/>
      <c r="N21" s="1117"/>
      <c r="O21" s="1091">
        <f>+[2]MX8!G24+[2]MX8!G26</f>
        <v>265988797</v>
      </c>
      <c r="P21" s="1091">
        <f>+[2]MX8!H24+[2]MX8!H26</f>
        <v>265988797</v>
      </c>
      <c r="Q21" s="1091">
        <f>+[2]MX8!I24+[2]MX8!I26</f>
        <v>130026009.40000001</v>
      </c>
      <c r="R21" s="1118"/>
    </row>
    <row r="22" spans="1:19" hidden="1" x14ac:dyDescent="0.25">
      <c r="A22" s="1141" t="s">
        <v>259</v>
      </c>
      <c r="B22" s="1116"/>
      <c r="C22" s="1116"/>
      <c r="D22" s="1117"/>
      <c r="E22" s="1116"/>
      <c r="F22" s="1117"/>
      <c r="G22" s="1116"/>
      <c r="H22" s="1117"/>
      <c r="I22" s="1116"/>
      <c r="J22" s="1117"/>
      <c r="K22" s="1116">
        <v>0</v>
      </c>
      <c r="L22" s="1117"/>
      <c r="M22" s="1091">
        <v>353329093.94</v>
      </c>
      <c r="N22" s="1117"/>
      <c r="O22" s="1091"/>
      <c r="P22" s="1091"/>
      <c r="Q22" s="1091"/>
      <c r="R22" s="1118"/>
    </row>
    <row r="23" spans="1:19" s="54" customFormat="1" x14ac:dyDescent="0.25">
      <c r="A23" s="751" t="s">
        <v>1037</v>
      </c>
      <c r="B23" s="887">
        <f>+B24+B25</f>
        <v>14297751000</v>
      </c>
      <c r="C23" s="887">
        <f>+C24+C25</f>
        <v>15955521000</v>
      </c>
      <c r="D23" s="1109">
        <f t="shared" si="2"/>
        <v>0.11594620720419596</v>
      </c>
      <c r="E23" s="887">
        <f>+E24+E25</f>
        <v>16661517001</v>
      </c>
      <c r="F23" s="1109">
        <f t="shared" si="3"/>
        <v>4.4247756058858875E-2</v>
      </c>
      <c r="G23" s="887">
        <f>+G24+G25</f>
        <v>15264790000</v>
      </c>
      <c r="H23" s="1109">
        <f t="shared" si="4"/>
        <v>-8.3829521700585274E-2</v>
      </c>
      <c r="I23" s="887">
        <f>+I24+I25</f>
        <v>16634310844</v>
      </c>
      <c r="J23" s="1109">
        <f t="shared" si="9"/>
        <v>8.9717634110918001E-2</v>
      </c>
      <c r="K23" s="887">
        <f>+K24+K25</f>
        <v>13148122867</v>
      </c>
      <c r="L23" s="1109">
        <f t="shared" si="5"/>
        <v>-0.20957814301380984</v>
      </c>
      <c r="M23" s="1086">
        <f>+M24+M25</f>
        <v>17257695000</v>
      </c>
      <c r="N23" s="1109">
        <f t="shared" si="6"/>
        <v>0.312559608285565</v>
      </c>
      <c r="O23" s="1086">
        <f t="shared" ref="O23:Q23" si="22">+O24+O25</f>
        <v>17647340374</v>
      </c>
      <c r="P23" s="1086">
        <f t="shared" si="22"/>
        <v>17647340374</v>
      </c>
      <c r="Q23" s="1086">
        <f t="shared" si="22"/>
        <v>14047781000</v>
      </c>
      <c r="R23" s="1086"/>
    </row>
    <row r="24" spans="1:19" hidden="1" x14ac:dyDescent="0.25">
      <c r="A24" s="1141" t="s">
        <v>1038</v>
      </c>
      <c r="B24" s="1116">
        <v>13974970000</v>
      </c>
      <c r="C24" s="1116">
        <v>15690084000</v>
      </c>
      <c r="D24" s="1117">
        <f t="shared" si="2"/>
        <v>0.12272756220585805</v>
      </c>
      <c r="E24" s="1116">
        <v>16221634000</v>
      </c>
      <c r="F24" s="1117">
        <f t="shared" si="3"/>
        <v>3.3878085037658177E-2</v>
      </c>
      <c r="G24" s="1116">
        <v>14697388000</v>
      </c>
      <c r="H24" s="1117">
        <f t="shared" si="4"/>
        <v>-9.3963777015311778E-2</v>
      </c>
      <c r="I24" s="1116">
        <v>15833930416</v>
      </c>
      <c r="J24" s="1117">
        <f t="shared" si="9"/>
        <v>7.7329551073973143E-2</v>
      </c>
      <c r="K24" s="1116">
        <v>13000396867</v>
      </c>
      <c r="L24" s="1117">
        <f t="shared" si="5"/>
        <v>-0.17895326520677063</v>
      </c>
      <c r="M24" s="1091">
        <v>17001730000</v>
      </c>
      <c r="N24" s="1117">
        <f t="shared" si="6"/>
        <v>0.30778546023905778</v>
      </c>
      <c r="O24" s="1091">
        <f>+[2]MX8!G29</f>
        <v>17382630268.389999</v>
      </c>
      <c r="P24" s="1091">
        <f>+[2]MX8!H29</f>
        <v>17382630268.389999</v>
      </c>
      <c r="Q24" s="1091">
        <f>+[2]MX8!I29</f>
        <v>13879188000</v>
      </c>
      <c r="R24" s="1118"/>
    </row>
    <row r="25" spans="1:19" hidden="1" x14ac:dyDescent="0.25">
      <c r="A25" s="1141" t="s">
        <v>1039</v>
      </c>
      <c r="B25" s="1116">
        <v>322781000</v>
      </c>
      <c r="C25" s="1116">
        <v>265437000</v>
      </c>
      <c r="D25" s="1117">
        <f t="shared" si="2"/>
        <v>-0.17765605782248645</v>
      </c>
      <c r="E25" s="1116">
        <v>439883001</v>
      </c>
      <c r="F25" s="1117">
        <f t="shared" si="3"/>
        <v>0.65720303122774892</v>
      </c>
      <c r="G25" s="1116">
        <v>567402000</v>
      </c>
      <c r="H25" s="1117">
        <f t="shared" si="4"/>
        <v>0.28989299134112256</v>
      </c>
      <c r="I25" s="1116">
        <v>800380428</v>
      </c>
      <c r="J25" s="1117">
        <f t="shared" si="9"/>
        <v>0.41060558122812396</v>
      </c>
      <c r="K25" s="1116">
        <v>147726000</v>
      </c>
      <c r="L25" s="1117">
        <f t="shared" si="5"/>
        <v>-0.81543026936685659</v>
      </c>
      <c r="M25" s="1091">
        <v>255965000</v>
      </c>
      <c r="N25" s="1117">
        <f t="shared" si="6"/>
        <v>0.73270108173239645</v>
      </c>
      <c r="O25" s="1091">
        <f>+[2]MX8!G30</f>
        <v>264710105.61000001</v>
      </c>
      <c r="P25" s="1091">
        <f>+[2]MX8!H30</f>
        <v>264710105.61000001</v>
      </c>
      <c r="Q25" s="1091">
        <f>+[2]MX8!I30</f>
        <v>168593000</v>
      </c>
      <c r="R25" s="1118"/>
    </row>
    <row r="26" spans="1:19" s="54" customFormat="1" x14ac:dyDescent="0.25">
      <c r="A26" s="751" t="s">
        <v>1040</v>
      </c>
      <c r="B26" s="887">
        <f>+B27+B28</f>
        <v>8116773000</v>
      </c>
      <c r="C26" s="887">
        <f>+C27+C28</f>
        <v>8807068000</v>
      </c>
      <c r="D26" s="1109">
        <f t="shared" si="2"/>
        <v>8.5045497761240832E-2</v>
      </c>
      <c r="E26" s="887">
        <f>+E27+E28</f>
        <v>17783575000</v>
      </c>
      <c r="F26" s="1109">
        <f t="shared" si="3"/>
        <v>1.0192389794197114</v>
      </c>
      <c r="G26" s="887">
        <f>+G27+G28</f>
        <v>18477533760</v>
      </c>
      <c r="H26" s="1109">
        <f t="shared" si="4"/>
        <v>3.90224552712264E-2</v>
      </c>
      <c r="I26" s="887">
        <f>+I27+I28</f>
        <v>15212004711</v>
      </c>
      <c r="J26" s="1109">
        <f t="shared" si="9"/>
        <v>-0.17672970275227901</v>
      </c>
      <c r="K26" s="887">
        <f>+K27+K28</f>
        <v>10458008676.07</v>
      </c>
      <c r="L26" s="1109">
        <f t="shared" si="5"/>
        <v>-0.31251607695679473</v>
      </c>
      <c r="M26" s="1086">
        <f>+M27+M28</f>
        <v>10520777126</v>
      </c>
      <c r="N26" s="1109">
        <f t="shared" si="6"/>
        <v>6.0019504548343879E-3</v>
      </c>
      <c r="O26" s="1086">
        <f t="shared" ref="O26:Q26" si="23">+O27+O28</f>
        <v>10859778214</v>
      </c>
      <c r="P26" s="1086">
        <f t="shared" si="23"/>
        <v>10859778214</v>
      </c>
      <c r="Q26" s="1086">
        <f t="shared" si="23"/>
        <v>7612522563</v>
      </c>
      <c r="R26" s="1086"/>
    </row>
    <row r="27" spans="1:19" hidden="1" x14ac:dyDescent="0.25">
      <c r="A27" s="1141" t="s">
        <v>1869</v>
      </c>
      <c r="B27" s="1116">
        <v>6964307000</v>
      </c>
      <c r="C27" s="1116">
        <v>7267520000</v>
      </c>
      <c r="D27" s="1117">
        <f t="shared" si="2"/>
        <v>4.353814385264751E-2</v>
      </c>
      <c r="E27" s="1116">
        <v>15285292000</v>
      </c>
      <c r="F27" s="1117">
        <f t="shared" si="3"/>
        <v>1.1032335652327065</v>
      </c>
      <c r="G27" s="1116">
        <v>16281139560</v>
      </c>
      <c r="H27" s="1117">
        <f t="shared" si="4"/>
        <v>6.5150705658746977E-2</v>
      </c>
      <c r="I27" s="1116">
        <v>8127488794</v>
      </c>
      <c r="J27" s="1117">
        <f t="shared" si="9"/>
        <v>-0.50080344412943534</v>
      </c>
      <c r="K27" s="1116">
        <v>0</v>
      </c>
      <c r="L27" s="1117">
        <f t="shared" si="5"/>
        <v>-1</v>
      </c>
      <c r="M27" s="1091"/>
      <c r="N27" s="1117"/>
      <c r="O27" s="1091"/>
      <c r="P27" s="1091"/>
      <c r="Q27" s="1091"/>
      <c r="R27" s="1118"/>
    </row>
    <row r="28" spans="1:19" hidden="1" x14ac:dyDescent="0.25">
      <c r="A28" s="1141" t="s">
        <v>1870</v>
      </c>
      <c r="B28" s="1116">
        <v>1152466000</v>
      </c>
      <c r="C28" s="1116">
        <v>1539548000</v>
      </c>
      <c r="D28" s="1117">
        <f t="shared" si="2"/>
        <v>0.33587281533685159</v>
      </c>
      <c r="E28" s="1116">
        <v>2498283000</v>
      </c>
      <c r="F28" s="1117">
        <f t="shared" si="3"/>
        <v>0.6227379724438602</v>
      </c>
      <c r="G28" s="1116">
        <v>2196394200</v>
      </c>
      <c r="H28" s="1117">
        <f t="shared" si="4"/>
        <v>-0.12083851188996603</v>
      </c>
      <c r="I28" s="1116">
        <v>7084515917</v>
      </c>
      <c r="J28" s="1117">
        <f t="shared" si="9"/>
        <v>2.2255211368706038</v>
      </c>
      <c r="K28" s="1116">
        <v>10458008676.07</v>
      </c>
      <c r="L28" s="1117">
        <f t="shared" si="5"/>
        <v>0.47617830189003718</v>
      </c>
      <c r="M28" s="1091">
        <v>10520777126</v>
      </c>
      <c r="N28" s="1117">
        <f t="shared" si="6"/>
        <v>6.0019504548343879E-3</v>
      </c>
      <c r="O28" s="1091">
        <f>+[2]MX8!G33</f>
        <v>10859778214</v>
      </c>
      <c r="P28" s="1091">
        <f>+[2]MX8!H33</f>
        <v>10859778214</v>
      </c>
      <c r="Q28" s="1091">
        <f>+[2]MX8!I33</f>
        <v>7612522563</v>
      </c>
      <c r="R28" s="1118"/>
    </row>
    <row r="29" spans="1:19" hidden="1" x14ac:dyDescent="0.25">
      <c r="A29" s="1141" t="s">
        <v>1043</v>
      </c>
      <c r="B29" s="898"/>
      <c r="C29" s="898"/>
      <c r="D29" s="1111"/>
      <c r="E29" s="898">
        <v>0</v>
      </c>
      <c r="F29" s="1111"/>
      <c r="G29" s="898">
        <v>0</v>
      </c>
      <c r="H29" s="1111"/>
      <c r="I29" s="898">
        <v>0</v>
      </c>
      <c r="J29" s="1111"/>
      <c r="K29" s="898">
        <v>0</v>
      </c>
      <c r="L29" s="1111"/>
      <c r="M29" s="1088"/>
      <c r="N29" s="1111"/>
      <c r="O29" s="1088"/>
      <c r="P29" s="1088"/>
      <c r="Q29" s="1088"/>
      <c r="R29" s="1098"/>
    </row>
    <row r="30" spans="1:19" s="54" customFormat="1" x14ac:dyDescent="0.25">
      <c r="A30" s="751" t="s">
        <v>1044</v>
      </c>
      <c r="B30" s="887">
        <f t="shared" ref="B30:Q30" si="24">+B31</f>
        <v>610335310</v>
      </c>
      <c r="C30" s="887">
        <f t="shared" si="24"/>
        <v>615511700</v>
      </c>
      <c r="D30" s="1109">
        <f t="shared" si="2"/>
        <v>8.4812232148259621E-3</v>
      </c>
      <c r="E30" s="887">
        <f t="shared" si="24"/>
        <v>537403800</v>
      </c>
      <c r="F30" s="1109">
        <f t="shared" si="3"/>
        <v>-0.12689913124315916</v>
      </c>
      <c r="G30" s="887">
        <f t="shared" si="24"/>
        <v>565645500</v>
      </c>
      <c r="H30" s="1109">
        <f t="shared" si="4"/>
        <v>5.2552103278763564E-2</v>
      </c>
      <c r="I30" s="887">
        <f t="shared" si="24"/>
        <v>647439300</v>
      </c>
      <c r="J30" s="1109">
        <f t="shared" si="9"/>
        <v>0.14460258235944598</v>
      </c>
      <c r="K30" s="887">
        <f t="shared" si="24"/>
        <v>562423800</v>
      </c>
      <c r="L30" s="1109">
        <f t="shared" si="5"/>
        <v>-0.13131037921238331</v>
      </c>
      <c r="M30" s="1086">
        <f t="shared" si="24"/>
        <v>660196800</v>
      </c>
      <c r="N30" s="1112">
        <f t="shared" si="6"/>
        <v>0.17384221649226081</v>
      </c>
      <c r="O30" s="1086">
        <f t="shared" si="24"/>
        <v>693652915</v>
      </c>
      <c r="P30" s="1089">
        <f t="shared" si="24"/>
        <v>693652915</v>
      </c>
      <c r="Q30" s="1089">
        <f t="shared" si="24"/>
        <v>477293300</v>
      </c>
      <c r="R30" s="1089"/>
    </row>
    <row r="31" spans="1:19" hidden="1" x14ac:dyDescent="0.25">
      <c r="A31" s="1141" t="s">
        <v>1045</v>
      </c>
      <c r="B31" s="898">
        <v>610335310</v>
      </c>
      <c r="C31" s="898">
        <v>615511700</v>
      </c>
      <c r="D31" s="1111">
        <f t="shared" si="2"/>
        <v>8.4812232148259621E-3</v>
      </c>
      <c r="E31" s="898">
        <v>537403800</v>
      </c>
      <c r="F31" s="1111">
        <f t="shared" si="3"/>
        <v>-0.12689913124315916</v>
      </c>
      <c r="G31" s="898">
        <v>565645500</v>
      </c>
      <c r="H31" s="1111">
        <f t="shared" si="4"/>
        <v>5.2552103278763564E-2</v>
      </c>
      <c r="I31" s="898">
        <v>647439300</v>
      </c>
      <c r="J31" s="1111">
        <f t="shared" si="9"/>
        <v>0.14460258235944598</v>
      </c>
      <c r="K31" s="898">
        <v>562423800</v>
      </c>
      <c r="L31" s="1111">
        <f t="shared" si="5"/>
        <v>-0.13131037921238331</v>
      </c>
      <c r="M31" s="1088">
        <v>660196800</v>
      </c>
      <c r="N31" s="1111">
        <f t="shared" si="6"/>
        <v>0.17384221649226081</v>
      </c>
      <c r="O31" s="1088">
        <f>+[2]MX8!G21</f>
        <v>693652915</v>
      </c>
      <c r="P31" s="1088">
        <f>+[2]MX8!H21</f>
        <v>693652915</v>
      </c>
      <c r="Q31" s="1088">
        <f>+[2]MX8!I21</f>
        <v>477293300</v>
      </c>
      <c r="R31" s="1098"/>
      <c r="S31" s="651"/>
    </row>
    <row r="32" spans="1:19" s="54" customFormat="1" x14ac:dyDescent="0.25">
      <c r="A32" s="751" t="s">
        <v>1046</v>
      </c>
      <c r="B32" s="887">
        <f t="shared" ref="B32:Q32" si="25">+B33</f>
        <v>5986710600</v>
      </c>
      <c r="C32" s="887">
        <f t="shared" si="25"/>
        <v>6704117400</v>
      </c>
      <c r="D32" s="1109">
        <f t="shared" si="2"/>
        <v>0.11983321859586799</v>
      </c>
      <c r="E32" s="887">
        <f t="shared" si="25"/>
        <v>6713558000</v>
      </c>
      <c r="F32" s="1109">
        <f t="shared" si="3"/>
        <v>1.4081793973357327E-3</v>
      </c>
      <c r="G32" s="887">
        <f t="shared" si="25"/>
        <v>6992548550</v>
      </c>
      <c r="H32" s="1109">
        <f t="shared" si="4"/>
        <v>4.1556288036835309E-2</v>
      </c>
      <c r="I32" s="887">
        <f t="shared" si="25"/>
        <v>7173915300</v>
      </c>
      <c r="J32" s="1109">
        <f t="shared" si="9"/>
        <v>2.5937145620533446E-2</v>
      </c>
      <c r="K32" s="887">
        <f t="shared" si="25"/>
        <v>6045453100</v>
      </c>
      <c r="L32" s="1109">
        <f t="shared" si="5"/>
        <v>-0.1573007420369181</v>
      </c>
      <c r="M32" s="1086">
        <f t="shared" si="25"/>
        <v>7980125400</v>
      </c>
      <c r="N32" s="1112">
        <f t="shared" si="6"/>
        <v>0.32002105847120044</v>
      </c>
      <c r="O32" s="1086">
        <f t="shared" si="25"/>
        <v>7947476705</v>
      </c>
      <c r="P32" s="1089">
        <f t="shared" si="25"/>
        <v>7947476705</v>
      </c>
      <c r="Q32" s="1089">
        <f t="shared" si="25"/>
        <v>7045126850</v>
      </c>
      <c r="R32" s="1089"/>
      <c r="S32" s="54">
        <f>+O7+O9+O17+O23+O26+O30+O36+O32+O40+O46+O51+O55+O54+O62+O67+O70+O80+O82+O85+O170+O196+O197+O200</f>
        <v>126781450566</v>
      </c>
    </row>
    <row r="33" spans="1:18" hidden="1" x14ac:dyDescent="0.25">
      <c r="A33" s="1141" t="s">
        <v>1047</v>
      </c>
      <c r="B33" s="898">
        <v>5986710600</v>
      </c>
      <c r="C33" s="898">
        <v>6704117400</v>
      </c>
      <c r="D33" s="1111">
        <f t="shared" si="2"/>
        <v>0.11983321859586799</v>
      </c>
      <c r="E33" s="898">
        <v>6713558000</v>
      </c>
      <c r="F33" s="1111">
        <f t="shared" si="3"/>
        <v>1.4081793973357327E-3</v>
      </c>
      <c r="G33" s="898">
        <v>6992548550</v>
      </c>
      <c r="H33" s="1111">
        <f t="shared" si="4"/>
        <v>4.1556288036835309E-2</v>
      </c>
      <c r="I33" s="898">
        <v>7173915300</v>
      </c>
      <c r="J33" s="1111">
        <f t="shared" si="9"/>
        <v>2.5937145620533446E-2</v>
      </c>
      <c r="K33" s="898">
        <v>6045453100</v>
      </c>
      <c r="L33" s="1111">
        <f t="shared" si="5"/>
        <v>-0.1573007420369181</v>
      </c>
      <c r="M33" s="1088">
        <v>7980125400</v>
      </c>
      <c r="N33" s="1111">
        <f t="shared" si="6"/>
        <v>0.32002105847120044</v>
      </c>
      <c r="O33" s="1088">
        <f>+[2]MX8!$G$34</f>
        <v>7947476705</v>
      </c>
      <c r="P33" s="1088">
        <f>+[2]MX8!$H$34</f>
        <v>7947476705</v>
      </c>
      <c r="Q33" s="1088">
        <f>+[2]MX8!$I$34</f>
        <v>7045126850</v>
      </c>
      <c r="R33" s="1098"/>
    </row>
    <row r="34" spans="1:18" hidden="1" x14ac:dyDescent="0.25">
      <c r="A34" s="1141" t="s">
        <v>292</v>
      </c>
      <c r="B34" s="898"/>
      <c r="C34" s="898"/>
      <c r="D34" s="1111"/>
      <c r="E34" s="898"/>
      <c r="F34" s="1111"/>
      <c r="G34" s="898"/>
      <c r="H34" s="1111"/>
      <c r="I34" s="898"/>
      <c r="J34" s="1111"/>
      <c r="K34" s="898"/>
      <c r="L34" s="1111"/>
      <c r="N34" s="1111"/>
      <c r="P34" s="1088"/>
      <c r="Q34" s="1088"/>
      <c r="R34" s="1098"/>
    </row>
    <row r="35" spans="1:18" s="54" customFormat="1" hidden="1" x14ac:dyDescent="0.25">
      <c r="A35" s="1139" t="s">
        <v>1048</v>
      </c>
      <c r="B35" s="890">
        <f t="shared" ref="B35:K35" si="26">+B36+B40+B46+B49+B50</f>
        <v>35339382005</v>
      </c>
      <c r="C35" s="890">
        <f t="shared" si="26"/>
        <v>30761639718</v>
      </c>
      <c r="D35" s="1112">
        <f t="shared" si="2"/>
        <v>-0.1295365687592476</v>
      </c>
      <c r="E35" s="890">
        <f t="shared" si="26"/>
        <v>25973507558.080002</v>
      </c>
      <c r="F35" s="1112">
        <f t="shared" si="3"/>
        <v>-0.15565269614409566</v>
      </c>
      <c r="G35" s="890">
        <f t="shared" si="26"/>
        <v>27166513203.050003</v>
      </c>
      <c r="H35" s="1112">
        <f t="shared" si="4"/>
        <v>4.5931634081469046E-2</v>
      </c>
      <c r="I35" s="890">
        <f t="shared" si="26"/>
        <v>26268670990</v>
      </c>
      <c r="J35" s="1112">
        <f t="shared" si="9"/>
        <v>-3.3049593311415527E-2</v>
      </c>
      <c r="K35" s="890">
        <f t="shared" si="26"/>
        <v>20928034348.529999</v>
      </c>
      <c r="L35" s="1112">
        <f t="shared" si="5"/>
        <v>-0.20330821622087708</v>
      </c>
      <c r="M35" s="1089">
        <f>+M36+M40+M46+M49+M50</f>
        <v>25502008100</v>
      </c>
      <c r="N35" s="1112">
        <f t="shared" si="6"/>
        <v>0.21855725555951605</v>
      </c>
      <c r="O35" s="1089">
        <f t="shared" ref="O35:Q35" si="27">+O36+O40+O46+O49+O50</f>
        <v>13041274800</v>
      </c>
      <c r="P35" s="1089">
        <f t="shared" si="27"/>
        <v>13041274800</v>
      </c>
      <c r="Q35" s="1089">
        <f t="shared" si="27"/>
        <v>13112387600</v>
      </c>
      <c r="R35" s="1089"/>
    </row>
    <row r="36" spans="1:18" s="54" customFormat="1" x14ac:dyDescent="0.25">
      <c r="A36" s="751" t="s">
        <v>1049</v>
      </c>
      <c r="B36" s="888">
        <v>11403197500</v>
      </c>
      <c r="C36" s="888">
        <f t="shared" ref="C36:I36" si="28">SUM(C37:C39)</f>
        <v>10458539226</v>
      </c>
      <c r="D36" s="1110">
        <f t="shared" si="2"/>
        <v>-8.284152528271127E-2</v>
      </c>
      <c r="E36" s="888">
        <f t="shared" si="28"/>
        <v>10153842971.08</v>
      </c>
      <c r="F36" s="1110">
        <f t="shared" si="3"/>
        <v>-2.9133729705055091E-2</v>
      </c>
      <c r="G36" s="888">
        <f t="shared" si="28"/>
        <v>10604713000.050001</v>
      </c>
      <c r="H36" s="1110">
        <f t="shared" si="4"/>
        <v>4.4403880408054514E-2</v>
      </c>
      <c r="I36" s="888">
        <f t="shared" si="28"/>
        <v>9996886200</v>
      </c>
      <c r="J36" s="1110">
        <f t="shared" si="9"/>
        <v>-5.7316666660110011E-2</v>
      </c>
      <c r="K36" s="888">
        <f t="shared" ref="K36" si="29">SUM(K37:K39)</f>
        <v>6509027408</v>
      </c>
      <c r="L36" s="1110">
        <f t="shared" si="5"/>
        <v>-0.34889451797500703</v>
      </c>
      <c r="M36" s="1087">
        <f>SUM(M37:M39)</f>
        <v>8768407000</v>
      </c>
      <c r="N36" s="1110">
        <f t="shared" si="6"/>
        <v>0.34711477619883452</v>
      </c>
      <c r="O36" s="1087">
        <f t="shared" ref="O36:Q36" si="30">SUM(O37:O39)</f>
        <v>7056699904</v>
      </c>
      <c r="P36" s="1087">
        <f t="shared" si="30"/>
        <v>7056699904</v>
      </c>
      <c r="Q36" s="1087">
        <f t="shared" si="30"/>
        <v>7854009700</v>
      </c>
      <c r="R36" s="1087"/>
    </row>
    <row r="37" spans="1:18" hidden="1" x14ac:dyDescent="0.25">
      <c r="A37" s="1141" t="s">
        <v>1050</v>
      </c>
      <c r="B37" s="898">
        <v>0</v>
      </c>
      <c r="C37" s="898">
        <v>6798050496.8699999</v>
      </c>
      <c r="D37" s="1111"/>
      <c r="E37" s="898">
        <v>6599997931.1999998</v>
      </c>
      <c r="F37" s="1111">
        <f t="shared" si="3"/>
        <v>-2.9133729701064835E-2</v>
      </c>
      <c r="G37" s="898">
        <v>6893063450.0299997</v>
      </c>
      <c r="H37" s="1111">
        <f t="shared" si="4"/>
        <v>4.4403880407992077E-2</v>
      </c>
      <c r="I37" s="898">
        <v>6497976030</v>
      </c>
      <c r="J37" s="1111">
        <f t="shared" si="9"/>
        <v>-5.7316666659767979E-2</v>
      </c>
      <c r="K37" s="898">
        <v>4230867815.1900001</v>
      </c>
      <c r="L37" s="1111">
        <f t="shared" si="5"/>
        <v>-0.34889451797654597</v>
      </c>
      <c r="M37" s="1088">
        <v>5472692270</v>
      </c>
      <c r="N37" s="1111">
        <f t="shared" si="6"/>
        <v>0.29351530443742591</v>
      </c>
      <c r="O37" s="1088">
        <f>+[2]MX8!G41</f>
        <v>3528349952</v>
      </c>
      <c r="P37" s="1088">
        <f>+[2]MX8!H41</f>
        <v>3528349952</v>
      </c>
      <c r="Q37" s="1088">
        <f>+[2]MX8!I41</f>
        <v>3927004849.9899998</v>
      </c>
      <c r="R37" s="1098"/>
    </row>
    <row r="38" spans="1:18" hidden="1" x14ac:dyDescent="0.25">
      <c r="A38" s="1141" t="s">
        <v>1051</v>
      </c>
      <c r="B38" s="898">
        <v>0</v>
      </c>
      <c r="C38" s="898">
        <v>2091707845.1900001</v>
      </c>
      <c r="D38" s="1111"/>
      <c r="E38" s="898">
        <v>2030768594.23</v>
      </c>
      <c r="F38" s="1111">
        <f t="shared" si="3"/>
        <v>-2.9133729693720505E-2</v>
      </c>
      <c r="G38" s="898">
        <v>2120942599.99</v>
      </c>
      <c r="H38" s="1111">
        <f t="shared" si="4"/>
        <v>4.4403880391005839E-2</v>
      </c>
      <c r="I38" s="898">
        <v>1999377240</v>
      </c>
      <c r="J38" s="1111">
        <f t="shared" si="9"/>
        <v>-5.7316666651220628E-2</v>
      </c>
      <c r="K38" s="898">
        <v>1301805481.5999999</v>
      </c>
      <c r="L38" s="1111">
        <f t="shared" si="5"/>
        <v>-0.34889451797500709</v>
      </c>
      <c r="M38" s="1088">
        <v>1753681400</v>
      </c>
      <c r="N38" s="1111">
        <f t="shared" si="6"/>
        <v>0.34711477619883463</v>
      </c>
      <c r="O38" s="1088">
        <f>+[2]MX8!G42</f>
        <v>1411339981</v>
      </c>
      <c r="P38" s="1088">
        <f>+[2]MX8!H42</f>
        <v>1411339981</v>
      </c>
      <c r="Q38" s="1088">
        <f>+[2]MX8!I42</f>
        <v>1570842210</v>
      </c>
      <c r="R38" s="1098"/>
    </row>
    <row r="39" spans="1:18" hidden="1" x14ac:dyDescent="0.25">
      <c r="A39" s="1141" t="s">
        <v>1871</v>
      </c>
      <c r="B39" s="898">
        <v>0</v>
      </c>
      <c r="C39" s="898">
        <v>1568780883.9400001</v>
      </c>
      <c r="D39" s="1111"/>
      <c r="E39" s="898">
        <v>1523076445.6500001</v>
      </c>
      <c r="F39" s="1111">
        <f t="shared" si="3"/>
        <v>-2.913372973745898E-2</v>
      </c>
      <c r="G39" s="898">
        <v>1590706950.03</v>
      </c>
      <c r="H39" s="1111">
        <f t="shared" si="4"/>
        <v>4.4403880431055677E-2</v>
      </c>
      <c r="I39" s="898">
        <v>1499532930</v>
      </c>
      <c r="J39" s="1111">
        <f t="shared" si="9"/>
        <v>-5.7316666673443824E-2</v>
      </c>
      <c r="K39" s="898">
        <v>976354111.21000004</v>
      </c>
      <c r="L39" s="1111">
        <f t="shared" si="5"/>
        <v>-0.34889451796833831</v>
      </c>
      <c r="M39" s="1088">
        <v>1542033330</v>
      </c>
      <c r="N39" s="1111">
        <f t="shared" si="6"/>
        <v>0.57937915382867711</v>
      </c>
      <c r="O39" s="1088">
        <f>+[2]MX8!G43</f>
        <v>2117009971</v>
      </c>
      <c r="P39" s="1088">
        <f>+[2]MX8!H43</f>
        <v>2117009971</v>
      </c>
      <c r="Q39" s="1088">
        <f>+[2]MX8!I43</f>
        <v>2356162640.0100002</v>
      </c>
      <c r="R39" s="1098"/>
    </row>
    <row r="40" spans="1:18" s="54" customFormat="1" x14ac:dyDescent="0.25">
      <c r="A40" s="751" t="s">
        <v>1053</v>
      </c>
      <c r="B40" s="887">
        <v>2289938416</v>
      </c>
      <c r="C40" s="887">
        <f t="shared" ref="C40:Q40" si="31">SUM(C41:C45)</f>
        <v>1599285121</v>
      </c>
      <c r="D40" s="1109">
        <f t="shared" si="2"/>
        <v>-0.3016034362209678</v>
      </c>
      <c r="E40" s="887">
        <f t="shared" si="31"/>
        <v>1479244550</v>
      </c>
      <c r="F40" s="1109">
        <f t="shared" si="3"/>
        <v>-7.5058893141543834E-2</v>
      </c>
      <c r="G40" s="887">
        <f t="shared" si="31"/>
        <v>1829394900</v>
      </c>
      <c r="H40" s="1109">
        <f t="shared" si="4"/>
        <v>0.23670889982322396</v>
      </c>
      <c r="I40" s="887">
        <f t="shared" si="31"/>
        <v>1746077600</v>
      </c>
      <c r="J40" s="1109">
        <f t="shared" si="9"/>
        <v>-4.554363850035878E-2</v>
      </c>
      <c r="K40" s="887">
        <f t="shared" si="31"/>
        <v>1613225012.71</v>
      </c>
      <c r="L40" s="1109">
        <f t="shared" si="5"/>
        <v>-7.6086301828738864E-2</v>
      </c>
      <c r="M40" s="1086">
        <f>SUM(M41:M45)</f>
        <v>1789523700</v>
      </c>
      <c r="N40" s="1109">
        <f t="shared" si="6"/>
        <v>0.10928338322367194</v>
      </c>
      <c r="O40" s="1086">
        <f t="shared" si="31"/>
        <v>1743176193</v>
      </c>
      <c r="P40" s="1086">
        <f t="shared" si="31"/>
        <v>1743176193</v>
      </c>
      <c r="Q40" s="1086">
        <f t="shared" si="31"/>
        <v>1604554200</v>
      </c>
      <c r="R40" s="1086"/>
    </row>
    <row r="41" spans="1:18" hidden="1" x14ac:dyDescent="0.25">
      <c r="A41" s="1141" t="s">
        <v>1054</v>
      </c>
      <c r="B41" s="898">
        <v>0</v>
      </c>
      <c r="C41" s="898">
        <v>319857024.24000001</v>
      </c>
      <c r="D41" s="1111"/>
      <c r="E41" s="898">
        <v>295848910.00999999</v>
      </c>
      <c r="F41" s="1111">
        <f t="shared" si="3"/>
        <v>-7.5058893225949247E-2</v>
      </c>
      <c r="G41" s="898">
        <v>365878980.06</v>
      </c>
      <c r="H41" s="1111">
        <f t="shared" si="4"/>
        <v>0.23670889998422817</v>
      </c>
      <c r="I41" s="898">
        <v>349215520</v>
      </c>
      <c r="J41" s="1111">
        <f t="shared" si="9"/>
        <v>-4.5543638656878799E-2</v>
      </c>
      <c r="K41" s="898">
        <v>322645002.11000001</v>
      </c>
      <c r="L41" s="1111">
        <f t="shared" si="5"/>
        <v>-7.6086303065797264E-2</v>
      </c>
      <c r="M41" s="1088">
        <v>357904740</v>
      </c>
      <c r="N41" s="1111">
        <f t="shared" si="6"/>
        <v>0.1092833847089279</v>
      </c>
      <c r="O41" s="1088">
        <f>+[2]MX8!G45</f>
        <v>348635239</v>
      </c>
      <c r="P41" s="1088">
        <f>+[2]MX8!H45</f>
        <v>348635239</v>
      </c>
      <c r="Q41" s="1088">
        <f>+[2]MX8!I45</f>
        <v>320910840.00999999</v>
      </c>
      <c r="R41" s="1098"/>
    </row>
    <row r="42" spans="1:18" hidden="1" x14ac:dyDescent="0.25">
      <c r="A42" s="1141" t="s">
        <v>1055</v>
      </c>
      <c r="B42" s="898">
        <v>0</v>
      </c>
      <c r="C42" s="898">
        <v>159928512.06</v>
      </c>
      <c r="D42" s="1111"/>
      <c r="E42" s="898">
        <v>147924455</v>
      </c>
      <c r="F42" s="1111">
        <f t="shared" si="3"/>
        <v>-7.5058892910205205E-2</v>
      </c>
      <c r="G42" s="898">
        <v>182939489.97</v>
      </c>
      <c r="H42" s="1111">
        <f t="shared" si="4"/>
        <v>0.23670889962041772</v>
      </c>
      <c r="I42" s="898">
        <v>174607760</v>
      </c>
      <c r="J42" s="1111">
        <f t="shared" si="9"/>
        <v>-4.554363834383876E-2</v>
      </c>
      <c r="K42" s="898">
        <v>161322501.40000001</v>
      </c>
      <c r="L42" s="1111">
        <f t="shared" si="5"/>
        <v>-7.6086301089940064E-2</v>
      </c>
      <c r="M42" s="1088">
        <v>178952369.99000001</v>
      </c>
      <c r="N42" s="1111">
        <f t="shared" si="6"/>
        <v>0.10928338227465646</v>
      </c>
      <c r="O42" s="1088">
        <f>+[2]MX8!G46</f>
        <v>174317619</v>
      </c>
      <c r="P42" s="1088">
        <f>+[2]MX8!H46</f>
        <v>174317619</v>
      </c>
      <c r="Q42" s="1088">
        <f>+[2]MX8!I46</f>
        <v>160455419.99000001</v>
      </c>
      <c r="R42" s="1098"/>
    </row>
    <row r="43" spans="1:18" hidden="1" x14ac:dyDescent="0.25">
      <c r="A43" s="1141" t="s">
        <v>1056</v>
      </c>
      <c r="B43" s="898">
        <v>0</v>
      </c>
      <c r="C43" s="898">
        <v>159928512.06</v>
      </c>
      <c r="D43" s="1111"/>
      <c r="E43" s="898">
        <v>147924455</v>
      </c>
      <c r="F43" s="1111">
        <f t="shared" si="3"/>
        <v>-7.5058892910205205E-2</v>
      </c>
      <c r="G43" s="898">
        <v>182939489.97</v>
      </c>
      <c r="H43" s="1111">
        <f t="shared" si="4"/>
        <v>0.23670889962041772</v>
      </c>
      <c r="I43" s="898">
        <v>174607760</v>
      </c>
      <c r="J43" s="1111">
        <f t="shared" si="9"/>
        <v>-4.554363834383876E-2</v>
      </c>
      <c r="K43" s="898">
        <v>161322501.40000001</v>
      </c>
      <c r="L43" s="1111">
        <f t="shared" si="5"/>
        <v>-7.6086301089940064E-2</v>
      </c>
      <c r="M43" s="1088">
        <v>178952369.99000001</v>
      </c>
      <c r="N43" s="1111">
        <f t="shared" si="6"/>
        <v>0.10928338227465646</v>
      </c>
      <c r="O43" s="1088">
        <f>+[2]MX8!G47</f>
        <v>174317619</v>
      </c>
      <c r="P43" s="1088">
        <f>+[2]MX8!H47</f>
        <v>174317619</v>
      </c>
      <c r="Q43" s="1088">
        <f>+[2]MX8!I47</f>
        <v>160558539.99000001</v>
      </c>
      <c r="R43" s="1098"/>
    </row>
    <row r="44" spans="1:18" hidden="1" x14ac:dyDescent="0.25">
      <c r="A44" s="1141" t="s">
        <v>1057</v>
      </c>
      <c r="B44" s="898">
        <v>0</v>
      </c>
      <c r="C44" s="898">
        <v>799642560.58000004</v>
      </c>
      <c r="D44" s="1111"/>
      <c r="E44" s="898">
        <v>739622275</v>
      </c>
      <c r="F44" s="1111">
        <f t="shared" si="3"/>
        <v>-7.5058893234079341E-2</v>
      </c>
      <c r="G44" s="898">
        <v>914697450.01999998</v>
      </c>
      <c r="H44" s="1111">
        <f t="shared" si="4"/>
        <v>0.23670889985026475</v>
      </c>
      <c r="I44" s="898">
        <v>873038800</v>
      </c>
      <c r="J44" s="1111">
        <f t="shared" si="9"/>
        <v>-4.5543638521228093E-2</v>
      </c>
      <c r="K44" s="898">
        <v>806612506.39999998</v>
      </c>
      <c r="L44" s="1111">
        <f t="shared" si="5"/>
        <v>-7.6086301777194804E-2</v>
      </c>
      <c r="M44" s="1088">
        <v>894761850.03999996</v>
      </c>
      <c r="N44" s="1111">
        <f t="shared" si="6"/>
        <v>0.10928338321137639</v>
      </c>
      <c r="O44" s="1088">
        <f>+[2]MX8!G48</f>
        <v>871588097</v>
      </c>
      <c r="P44" s="1088">
        <f>+[2]MX8!H48</f>
        <v>871588097</v>
      </c>
      <c r="Q44" s="1088">
        <f>+[2]MX8!I48</f>
        <v>802173980.01999998</v>
      </c>
      <c r="R44" s="1098"/>
    </row>
    <row r="45" spans="1:18" hidden="1" x14ac:dyDescent="0.25">
      <c r="A45" s="1141" t="s">
        <v>1058</v>
      </c>
      <c r="B45" s="898">
        <v>0</v>
      </c>
      <c r="C45" s="898">
        <v>159928512.06</v>
      </c>
      <c r="D45" s="1111"/>
      <c r="E45" s="898">
        <v>147924454.99000001</v>
      </c>
      <c r="F45" s="1111">
        <f t="shared" si="3"/>
        <v>-7.5058892972733091E-2</v>
      </c>
      <c r="G45" s="898">
        <v>182939489.97999999</v>
      </c>
      <c r="H45" s="1111">
        <f t="shared" si="4"/>
        <v>0.23670889977162374</v>
      </c>
      <c r="I45" s="898">
        <v>174607760</v>
      </c>
      <c r="J45" s="1111">
        <f t="shared" si="9"/>
        <v>-4.5543638396012047E-2</v>
      </c>
      <c r="K45" s="898">
        <v>161322501.40000001</v>
      </c>
      <c r="L45" s="1111">
        <f t="shared" si="5"/>
        <v>-7.6086301089940064E-2</v>
      </c>
      <c r="M45" s="1088">
        <v>178952369.97999999</v>
      </c>
      <c r="N45" s="1111">
        <f t="shared" si="6"/>
        <v>0.10928338221266871</v>
      </c>
      <c r="O45" s="1088">
        <f>+[2]MX8!G49</f>
        <v>174317619</v>
      </c>
      <c r="P45" s="1088">
        <f>+[2]MX8!H49</f>
        <v>174317619</v>
      </c>
      <c r="Q45" s="1088">
        <f>+[2]MX8!I49</f>
        <v>160455419.99000001</v>
      </c>
      <c r="R45" s="1098"/>
    </row>
    <row r="46" spans="1:18" s="54" customFormat="1" x14ac:dyDescent="0.25">
      <c r="A46" s="751" t="s">
        <v>1059</v>
      </c>
      <c r="B46" s="887">
        <v>5579890950</v>
      </c>
      <c r="C46" s="887">
        <f>SUM(C47:C48)</f>
        <v>3908511362</v>
      </c>
      <c r="D46" s="1109">
        <f t="shared" si="2"/>
        <v>-0.29953624595477085</v>
      </c>
      <c r="E46" s="887">
        <f>SUM(E47:E48)</f>
        <v>3579000900</v>
      </c>
      <c r="F46" s="1109">
        <f t="shared" si="3"/>
        <v>-8.4305872871094395E-2</v>
      </c>
      <c r="G46" s="887">
        <f>SUM(G47:G48)</f>
        <v>4454135799</v>
      </c>
      <c r="H46" s="1109">
        <f t="shared" si="4"/>
        <v>0.24451932912338747</v>
      </c>
      <c r="I46" s="887">
        <f>SUM(I47:I48)</f>
        <v>4141927200</v>
      </c>
      <c r="J46" s="1109">
        <f t="shared" si="9"/>
        <v>-7.0094090770670733E-2</v>
      </c>
      <c r="K46" s="887">
        <f t="shared" ref="K46:Q46" si="32">SUM(K47:K48)</f>
        <v>4130204789.8299999</v>
      </c>
      <c r="L46" s="1109">
        <f t="shared" si="5"/>
        <v>-2.8301825705676518E-3</v>
      </c>
      <c r="M46" s="1086">
        <f>SUM(M47:M48)</f>
        <v>4277599200</v>
      </c>
      <c r="N46" s="1109">
        <f t="shared" si="6"/>
        <v>3.5686949599433027E-2</v>
      </c>
      <c r="O46" s="1086">
        <f t="shared" si="32"/>
        <v>4241398703</v>
      </c>
      <c r="P46" s="1086">
        <f t="shared" si="32"/>
        <v>4241398703</v>
      </c>
      <c r="Q46" s="1086">
        <f t="shared" si="32"/>
        <v>3653823700</v>
      </c>
      <c r="R46" s="1086"/>
    </row>
    <row r="47" spans="1:18" hidden="1" x14ac:dyDescent="0.25">
      <c r="A47" s="1141" t="s">
        <v>1060</v>
      </c>
      <c r="B47" s="898">
        <v>0</v>
      </c>
      <c r="C47" s="898">
        <v>3126809089.6199999</v>
      </c>
      <c r="D47" s="1111"/>
      <c r="E47" s="898">
        <v>2863200720</v>
      </c>
      <c r="F47" s="1111">
        <f t="shared" si="3"/>
        <v>-8.4305872876951418E-2</v>
      </c>
      <c r="G47" s="898">
        <v>3563308639.25</v>
      </c>
      <c r="H47" s="1111">
        <f t="shared" si="4"/>
        <v>0.24451932914085045</v>
      </c>
      <c r="I47" s="898">
        <v>3313541760</v>
      </c>
      <c r="J47" s="1111">
        <f t="shared" si="9"/>
        <v>-7.0094090783719074E-2</v>
      </c>
      <c r="K47" s="898">
        <v>3304163831.8299999</v>
      </c>
      <c r="L47" s="1111">
        <f t="shared" si="5"/>
        <v>-2.8301825808285802E-3</v>
      </c>
      <c r="M47" s="1088">
        <v>3422079359.2399998</v>
      </c>
      <c r="N47" s="1111">
        <f t="shared" si="6"/>
        <v>3.5686949380077417E-2</v>
      </c>
      <c r="O47" s="1088">
        <f>+[2]MX8!$G$38</f>
        <v>3393118962</v>
      </c>
      <c r="P47" s="1088">
        <f>+[2]MX8!$H$38</f>
        <v>3393118962</v>
      </c>
      <c r="Q47" s="1088">
        <f>+[2]MX8!$I$38</f>
        <v>2923058960.6999998</v>
      </c>
      <c r="R47" s="1098"/>
    </row>
    <row r="48" spans="1:18" hidden="1" x14ac:dyDescent="0.25">
      <c r="A48" s="1141" t="s">
        <v>1061</v>
      </c>
      <c r="B48" s="898">
        <v>0</v>
      </c>
      <c r="C48" s="898">
        <v>781702272.38</v>
      </c>
      <c r="D48" s="1111"/>
      <c r="E48" s="898">
        <v>715800180</v>
      </c>
      <c r="F48" s="1111">
        <f t="shared" si="3"/>
        <v>-8.4305872847666177E-2</v>
      </c>
      <c r="G48" s="898">
        <v>890827159.75</v>
      </c>
      <c r="H48" s="1111">
        <f t="shared" si="4"/>
        <v>0.24451932905353557</v>
      </c>
      <c r="I48" s="898">
        <v>828385440</v>
      </c>
      <c r="J48" s="1111">
        <f t="shared" si="9"/>
        <v>-7.0094090718477331E-2</v>
      </c>
      <c r="K48" s="898">
        <v>826040958</v>
      </c>
      <c r="L48" s="1111">
        <f t="shared" si="5"/>
        <v>-2.8301825295239374E-3</v>
      </c>
      <c r="M48" s="1088">
        <v>855519840.75999999</v>
      </c>
      <c r="N48" s="1111">
        <f t="shared" si="6"/>
        <v>3.5686950476855155E-2</v>
      </c>
      <c r="O48" s="1088">
        <f>+[2]MX8!$G$39</f>
        <v>848279741</v>
      </c>
      <c r="P48" s="1088">
        <f>+[2]MX8!$H$39</f>
        <v>848279741</v>
      </c>
      <c r="Q48" s="1088">
        <f>+[2]MX8!$I$39</f>
        <v>730764739.29999995</v>
      </c>
      <c r="R48" s="1098"/>
    </row>
    <row r="49" spans="1:19" s="54" customFormat="1" hidden="1" x14ac:dyDescent="0.25">
      <c r="A49" s="1140" t="s">
        <v>1062</v>
      </c>
      <c r="B49" s="887">
        <v>15422931239</v>
      </c>
      <c r="C49" s="887">
        <v>14148929209</v>
      </c>
      <c r="D49" s="1109">
        <f t="shared" si="2"/>
        <v>-8.2604403161600587E-2</v>
      </c>
      <c r="E49" s="887">
        <v>10219955337</v>
      </c>
      <c r="F49" s="1109">
        <f t="shared" si="3"/>
        <v>-0.27768701178466687</v>
      </c>
      <c r="G49" s="887">
        <v>9685315504</v>
      </c>
      <c r="H49" s="1109">
        <f t="shared" si="4"/>
        <v>-5.2313323822894511E-2</v>
      </c>
      <c r="I49" s="887">
        <v>9781893090</v>
      </c>
      <c r="J49" s="1109">
        <f t="shared" si="9"/>
        <v>9.971547747733546E-3</v>
      </c>
      <c r="K49" s="887">
        <v>8675577137.9899998</v>
      </c>
      <c r="L49" s="1109">
        <f t="shared" si="5"/>
        <v>-0.11309834832901453</v>
      </c>
      <c r="M49" s="1093">
        <v>10666478200</v>
      </c>
      <c r="N49" s="1109">
        <f t="shared" si="6"/>
        <v>0.22948341422634874</v>
      </c>
      <c r="O49" s="1086"/>
      <c r="P49" s="1086"/>
      <c r="Q49" s="1086"/>
      <c r="R49" s="1086"/>
    </row>
    <row r="50" spans="1:19" s="54" customFormat="1" hidden="1" x14ac:dyDescent="0.25">
      <c r="A50" s="1140" t="s">
        <v>1063</v>
      </c>
      <c r="B50" s="887">
        <v>643423900</v>
      </c>
      <c r="C50" s="887">
        <v>646374800</v>
      </c>
      <c r="D50" s="1109">
        <f t="shared" si="2"/>
        <v>4.5862455528928904E-3</v>
      </c>
      <c r="E50" s="887">
        <v>541463800</v>
      </c>
      <c r="F50" s="1109">
        <f t="shared" si="3"/>
        <v>-0.16230676072148853</v>
      </c>
      <c r="G50" s="887">
        <v>592954000</v>
      </c>
      <c r="H50" s="1109">
        <f t="shared" si="4"/>
        <v>9.5094445833682692E-2</v>
      </c>
      <c r="I50" s="887">
        <v>601886900</v>
      </c>
      <c r="J50" s="1109">
        <f t="shared" si="9"/>
        <v>1.506508093376552E-2</v>
      </c>
      <c r="K50" s="887">
        <v>0</v>
      </c>
      <c r="L50" s="1109">
        <f t="shared" si="5"/>
        <v>-1</v>
      </c>
      <c r="M50" s="1093">
        <v>0</v>
      </c>
      <c r="N50" s="1109"/>
      <c r="O50" s="1086"/>
      <c r="P50" s="1086"/>
      <c r="Q50" s="1086"/>
      <c r="R50" s="1086"/>
    </row>
    <row r="51" spans="1:19" s="54" customFormat="1" x14ac:dyDescent="0.25">
      <c r="A51" s="750" t="s">
        <v>1065</v>
      </c>
      <c r="B51" s="887">
        <v>5894008780</v>
      </c>
      <c r="C51" s="887">
        <v>2141958658</v>
      </c>
      <c r="D51" s="1109">
        <v>-0.63658712805650075</v>
      </c>
      <c r="E51" s="887">
        <v>2318525351</v>
      </c>
      <c r="F51" s="1109">
        <v>8.2432353369912711E-2</v>
      </c>
      <c r="G51" s="887">
        <v>2514716632</v>
      </c>
      <c r="H51" s="1109">
        <v>8.4618993238689849E-2</v>
      </c>
      <c r="I51" s="887">
        <v>2591680073</v>
      </c>
      <c r="J51" s="1109">
        <v>3.0605214130543835E-2</v>
      </c>
      <c r="K51" s="887">
        <v>0</v>
      </c>
      <c r="L51" s="1109">
        <v>-1</v>
      </c>
      <c r="M51" s="1086">
        <v>2876730086</v>
      </c>
      <c r="N51" s="1112" t="e">
        <v>#DIV/0!</v>
      </c>
      <c r="O51" s="1086">
        <v>2991799289</v>
      </c>
      <c r="P51" s="1089">
        <v>2866612086</v>
      </c>
      <c r="Q51" s="1089">
        <v>2147235980</v>
      </c>
      <c r="R51" s="1089"/>
    </row>
    <row r="52" spans="1:19" s="54" customFormat="1" hidden="1" x14ac:dyDescent="0.25">
      <c r="A52" s="1141" t="s">
        <v>1066</v>
      </c>
      <c r="B52" s="898">
        <v>1895949147</v>
      </c>
      <c r="C52" s="898">
        <v>2141958658</v>
      </c>
      <c r="D52" s="1111">
        <v>0.12975533198728773</v>
      </c>
      <c r="E52" s="898">
        <v>2318525351</v>
      </c>
      <c r="F52" s="1111">
        <v>8.2432353369912711E-2</v>
      </c>
      <c r="G52" s="898">
        <v>2514716632</v>
      </c>
      <c r="H52" s="1111">
        <v>8.4618993238689849E-2</v>
      </c>
      <c r="I52" s="898">
        <v>2591680073</v>
      </c>
      <c r="J52" s="1111">
        <v>3.0605214130543835E-2</v>
      </c>
      <c r="K52" s="898">
        <v>0</v>
      </c>
      <c r="L52" s="1111">
        <v>-1</v>
      </c>
      <c r="M52" s="1088">
        <v>2876730086</v>
      </c>
      <c r="N52" s="1111" t="e">
        <v>#DIV/0!</v>
      </c>
      <c r="O52" s="1088">
        <v>2991799289</v>
      </c>
      <c r="P52" s="1088">
        <v>2866612086</v>
      </c>
      <c r="Q52" s="1088">
        <v>2147235980</v>
      </c>
      <c r="R52" s="1098"/>
    </row>
    <row r="53" spans="1:19" s="54" customFormat="1" hidden="1" x14ac:dyDescent="0.25">
      <c r="A53" s="1141" t="s">
        <v>1148</v>
      </c>
      <c r="B53" s="898">
        <v>3998059633</v>
      </c>
      <c r="C53" s="898">
        <v>0</v>
      </c>
      <c r="D53" s="1111">
        <v>-1</v>
      </c>
      <c r="E53" s="898">
        <v>0</v>
      </c>
      <c r="F53" s="1111"/>
      <c r="G53" s="898">
        <v>0</v>
      </c>
      <c r="H53" s="1111"/>
      <c r="I53" s="898">
        <v>0</v>
      </c>
      <c r="J53" s="1111"/>
      <c r="K53" s="898">
        <v>0</v>
      </c>
      <c r="L53" s="1111"/>
      <c r="M53" s="1088"/>
      <c r="N53" s="1111"/>
      <c r="O53" s="1088"/>
      <c r="P53" s="1088"/>
      <c r="Q53" s="1088"/>
      <c r="R53" s="1098"/>
    </row>
    <row r="54" spans="1:19" s="54" customFormat="1" x14ac:dyDescent="0.25">
      <c r="A54" s="750" t="s">
        <v>961</v>
      </c>
      <c r="B54" s="887">
        <v>3812635261.73</v>
      </c>
      <c r="C54" s="887">
        <v>3551445354.8699999</v>
      </c>
      <c r="D54" s="1109">
        <v>-6.8506397525548796E-2</v>
      </c>
      <c r="E54" s="887">
        <v>1452461762.0999999</v>
      </c>
      <c r="F54" s="1109">
        <v>-0.59102235372753831</v>
      </c>
      <c r="G54" s="887">
        <v>2125937388.2</v>
      </c>
      <c r="H54" s="1109">
        <v>0.46367873060305204</v>
      </c>
      <c r="I54" s="887">
        <v>1471834403.8</v>
      </c>
      <c r="J54" s="1109">
        <v>-0.30767744526748242</v>
      </c>
      <c r="K54" s="887">
        <v>0</v>
      </c>
      <c r="L54" s="1109">
        <v>-1</v>
      </c>
      <c r="M54" s="1086">
        <v>1641312206.6300001</v>
      </c>
      <c r="N54" s="1112" t="e">
        <v>#DIV/0!</v>
      </c>
      <c r="O54" s="1086">
        <v>1611202918</v>
      </c>
      <c r="P54" s="1089">
        <v>1611202918</v>
      </c>
      <c r="Q54" s="1089">
        <v>2042069849.4000001</v>
      </c>
      <c r="R54" s="1089"/>
      <c r="S54" s="54">
        <f>+P7+P9+P17+P23+P26+P30+P32+P36+P40+P46+P51+P55+P54+P62+P67+P70+P80+P82+P85+P170+P196+P197+P200</f>
        <v>142954418339.59</v>
      </c>
    </row>
    <row r="55" spans="1:19" s="54" customFormat="1" x14ac:dyDescent="0.25">
      <c r="A55" s="751" t="s">
        <v>1067</v>
      </c>
      <c r="B55" s="887">
        <f t="shared" ref="B55:I55" si="33">SUM(B56:B60)</f>
        <v>960882495.78999996</v>
      </c>
      <c r="C55" s="887">
        <f t="shared" si="33"/>
        <v>1144636706.24</v>
      </c>
      <c r="D55" s="1109">
        <f t="shared" si="2"/>
        <v>0.19123484011322792</v>
      </c>
      <c r="E55" s="887">
        <f t="shared" si="33"/>
        <v>1591770949.5999999</v>
      </c>
      <c r="F55" s="1109">
        <f t="shared" si="3"/>
        <v>0.39063419941230476</v>
      </c>
      <c r="G55" s="887">
        <f t="shared" si="33"/>
        <v>1085680231.97</v>
      </c>
      <c r="H55" s="1109">
        <f t="shared" si="4"/>
        <v>-0.31794192358968271</v>
      </c>
      <c r="I55" s="887">
        <f t="shared" si="33"/>
        <v>745848808.88999999</v>
      </c>
      <c r="J55" s="1109">
        <f t="shared" si="9"/>
        <v>-0.31301244424738722</v>
      </c>
      <c r="K55" s="887">
        <f>SUM(K56:K60)</f>
        <v>340260354.64999998</v>
      </c>
      <c r="L55" s="1109">
        <f t="shared" si="5"/>
        <v>-0.54379446532013886</v>
      </c>
      <c r="M55" s="1086">
        <f>SUM(M56:M61)</f>
        <v>1181760096.96</v>
      </c>
      <c r="N55" s="1112">
        <f t="shared" si="6"/>
        <v>2.4731054641249259</v>
      </c>
      <c r="O55" s="1086">
        <f t="shared" ref="O55:Q55" si="34">SUM(O56:O60)</f>
        <v>580088442</v>
      </c>
      <c r="P55" s="1089">
        <f t="shared" si="34"/>
        <v>580088442</v>
      </c>
      <c r="Q55" s="1089">
        <f t="shared" si="34"/>
        <v>495833816.63999999</v>
      </c>
      <c r="R55" s="1089"/>
    </row>
    <row r="56" spans="1:19" hidden="1" x14ac:dyDescent="0.25">
      <c r="A56" s="1141" t="s">
        <v>1068</v>
      </c>
      <c r="B56" s="898">
        <v>578981062.78999996</v>
      </c>
      <c r="C56" s="898">
        <v>90545486.239999995</v>
      </c>
      <c r="D56" s="1111">
        <f t="shared" si="2"/>
        <v>-0.84361235270169554</v>
      </c>
      <c r="E56" s="898">
        <v>260275664.59999999</v>
      </c>
      <c r="F56" s="1111">
        <f t="shared" si="3"/>
        <v>1.8745294261285754</v>
      </c>
      <c r="G56" s="898">
        <v>230565301.97</v>
      </c>
      <c r="H56" s="1111">
        <f t="shared" si="4"/>
        <v>-0.11414959856373755</v>
      </c>
      <c r="I56" s="898">
        <v>365701944.88999999</v>
      </c>
      <c r="J56" s="1111">
        <f t="shared" si="9"/>
        <v>0.58611005977639818</v>
      </c>
      <c r="K56" s="898">
        <v>143745637.65000001</v>
      </c>
      <c r="L56" s="1111">
        <f t="shared" si="5"/>
        <v>-0.60693225819939933</v>
      </c>
      <c r="M56" s="1088">
        <v>176472032.95999998</v>
      </c>
      <c r="N56" s="1111">
        <f t="shared" si="6"/>
        <v>0.22766878943265081</v>
      </c>
      <c r="O56" s="1086">
        <f>+[2]MX8!$G$51</f>
        <v>580088442</v>
      </c>
      <c r="P56" s="1088">
        <f>+[2]MX8!$H$52</f>
        <v>580088442</v>
      </c>
      <c r="Q56" s="1088">
        <f>+[2]MX8!$I$51</f>
        <v>495833816.63999999</v>
      </c>
      <c r="R56" s="1098"/>
    </row>
    <row r="57" spans="1:19" hidden="1" x14ac:dyDescent="0.25">
      <c r="A57" s="1141" t="s">
        <v>1069</v>
      </c>
      <c r="B57" s="898">
        <v>162098133</v>
      </c>
      <c r="C57" s="898">
        <v>232799993</v>
      </c>
      <c r="D57" s="1111">
        <f t="shared" si="2"/>
        <v>0.43616702235552585</v>
      </c>
      <c r="E57" s="898">
        <v>164764687</v>
      </c>
      <c r="F57" s="1111">
        <f t="shared" si="3"/>
        <v>-0.29224788679439523</v>
      </c>
      <c r="G57" s="898">
        <v>127539819</v>
      </c>
      <c r="H57" s="1111">
        <f t="shared" si="4"/>
        <v>-0.22592746466359021</v>
      </c>
      <c r="I57" s="898">
        <v>155876324</v>
      </c>
      <c r="J57" s="1111">
        <f t="shared" si="9"/>
        <v>0.2221777106332572</v>
      </c>
      <c r="K57" s="898">
        <v>14580826</v>
      </c>
      <c r="L57" s="1111">
        <f t="shared" si="5"/>
        <v>-0.90645900784778577</v>
      </c>
      <c r="M57" s="1088"/>
      <c r="N57" s="1111"/>
      <c r="O57" s="1086"/>
      <c r="P57" s="1144"/>
      <c r="Q57" s="1144"/>
      <c r="R57" s="1098"/>
    </row>
    <row r="58" spans="1:19" hidden="1" x14ac:dyDescent="0.25">
      <c r="A58" s="1141" t="s">
        <v>1070</v>
      </c>
      <c r="B58" s="898">
        <v>0</v>
      </c>
      <c r="C58" s="898">
        <v>162286351</v>
      </c>
      <c r="D58" s="1111"/>
      <c r="E58" s="898">
        <v>97053613</v>
      </c>
      <c r="F58" s="1111">
        <f t="shared" si="3"/>
        <v>-0.40196071695518004</v>
      </c>
      <c r="G58" s="898">
        <v>94828941</v>
      </c>
      <c r="H58" s="1111">
        <f t="shared" si="4"/>
        <v>-2.2922093585531947E-2</v>
      </c>
      <c r="I58" s="898">
        <v>114793540</v>
      </c>
      <c r="J58" s="1111">
        <f t="shared" si="9"/>
        <v>0.21053276341027577</v>
      </c>
      <c r="K58" s="898">
        <v>6649781</v>
      </c>
      <c r="L58" s="1111">
        <f t="shared" si="5"/>
        <v>-0.94207181867551082</v>
      </c>
      <c r="M58" s="1088"/>
      <c r="N58" s="1111"/>
      <c r="O58" s="1086"/>
      <c r="P58" s="1088"/>
      <c r="Q58" s="1088"/>
      <c r="R58" s="1098"/>
    </row>
    <row r="59" spans="1:19" hidden="1" x14ac:dyDescent="0.25">
      <c r="A59" s="1141" t="s">
        <v>1071</v>
      </c>
      <c r="B59" s="1119">
        <v>0</v>
      </c>
      <c r="C59" s="1119">
        <v>514557468</v>
      </c>
      <c r="D59" s="1120"/>
      <c r="E59" s="1119">
        <v>948728685</v>
      </c>
      <c r="F59" s="1120">
        <f t="shared" si="3"/>
        <v>0.84377595118296878</v>
      </c>
      <c r="G59" s="1119">
        <v>508891370</v>
      </c>
      <c r="H59" s="1120">
        <f t="shared" si="4"/>
        <v>-0.46360705853433748</v>
      </c>
      <c r="I59" s="1119">
        <v>0</v>
      </c>
      <c r="J59" s="1120">
        <f t="shared" si="9"/>
        <v>-1</v>
      </c>
      <c r="K59" s="1119">
        <v>103197410</v>
      </c>
      <c r="L59" s="1120"/>
      <c r="M59" s="1094"/>
      <c r="N59" s="1120"/>
      <c r="O59" s="1086"/>
      <c r="P59" s="1094"/>
      <c r="Q59" s="1094"/>
      <c r="R59" s="1121"/>
    </row>
    <row r="60" spans="1:19" hidden="1" x14ac:dyDescent="0.25">
      <c r="A60" s="1141" t="s">
        <v>1072</v>
      </c>
      <c r="B60" s="898">
        <v>219803300</v>
      </c>
      <c r="C60" s="898">
        <v>144447408</v>
      </c>
      <c r="D60" s="1111">
        <f t="shared" si="2"/>
        <v>-0.34283330596037459</v>
      </c>
      <c r="E60" s="898">
        <v>120948300</v>
      </c>
      <c r="F60" s="1111">
        <f t="shared" si="3"/>
        <v>-0.16268279455731044</v>
      </c>
      <c r="G60" s="898">
        <v>123854800</v>
      </c>
      <c r="H60" s="1111">
        <f t="shared" si="4"/>
        <v>2.4030928917562297E-2</v>
      </c>
      <c r="I60" s="898">
        <v>109477000</v>
      </c>
      <c r="J60" s="1111">
        <f t="shared" si="9"/>
        <v>-0.11608593288269813</v>
      </c>
      <c r="K60" s="898">
        <v>72086700</v>
      </c>
      <c r="L60" s="1111">
        <f t="shared" si="5"/>
        <v>-0.34153566502553045</v>
      </c>
      <c r="M60" s="1088">
        <v>0</v>
      </c>
      <c r="N60" s="1111">
        <f t="shared" si="6"/>
        <v>-1</v>
      </c>
      <c r="O60" s="1086"/>
      <c r="P60" s="1088"/>
      <c r="Q60" s="1088"/>
      <c r="R60" s="1098"/>
    </row>
    <row r="61" spans="1:19" hidden="1" x14ac:dyDescent="0.25">
      <c r="A61" s="1141" t="s">
        <v>346</v>
      </c>
      <c r="B61" s="898"/>
      <c r="C61" s="898"/>
      <c r="D61" s="1111"/>
      <c r="E61" s="898"/>
      <c r="F61" s="1111"/>
      <c r="G61" s="898"/>
      <c r="H61" s="1111"/>
      <c r="I61" s="898"/>
      <c r="J61" s="1111"/>
      <c r="K61" s="898"/>
      <c r="L61" s="1111"/>
      <c r="M61" s="1088">
        <v>1005288064</v>
      </c>
      <c r="N61" s="1111" t="e">
        <f t="shared" si="6"/>
        <v>#DIV/0!</v>
      </c>
      <c r="O61" s="1086"/>
      <c r="P61" s="1088"/>
      <c r="Q61" s="1088"/>
      <c r="R61" s="1098"/>
    </row>
    <row r="62" spans="1:19" x14ac:dyDescent="0.25">
      <c r="A62" s="751" t="s">
        <v>1073</v>
      </c>
      <c r="B62" s="887">
        <f>SUM(B63:B69)</f>
        <v>324279205</v>
      </c>
      <c r="C62" s="887">
        <f t="shared" ref="C62:I62" si="35">SUM(C63:C69)</f>
        <v>1023235497</v>
      </c>
      <c r="D62" s="1109">
        <f t="shared" si="2"/>
        <v>2.1554150905236122</v>
      </c>
      <c r="E62" s="887">
        <f t="shared" si="35"/>
        <v>990450953</v>
      </c>
      <c r="F62" s="1109">
        <f t="shared" si="3"/>
        <v>-3.2040076889553022E-2</v>
      </c>
      <c r="G62" s="887">
        <f t="shared" si="35"/>
        <v>1350215622.6300001</v>
      </c>
      <c r="H62" s="1109">
        <f t="shared" si="4"/>
        <v>0.36323320053385838</v>
      </c>
      <c r="I62" s="887">
        <f t="shared" si="35"/>
        <v>1421608916</v>
      </c>
      <c r="J62" s="1109">
        <f t="shared" si="9"/>
        <v>5.2875475719157641E-2</v>
      </c>
      <c r="K62" s="887">
        <f>SUM(K63:K69)</f>
        <v>254904389.66</v>
      </c>
      <c r="L62" s="1109">
        <f t="shared" si="5"/>
        <v>-0.8206930283068089</v>
      </c>
      <c r="M62" s="1086">
        <f>SUM(M63:M69)</f>
        <v>4030233317.6800003</v>
      </c>
      <c r="N62" s="1109">
        <f t="shared" si="6"/>
        <v>14.810764667708</v>
      </c>
      <c r="O62" s="1086">
        <f>+O63+O64+O69+O65+O66</f>
        <v>4349861269</v>
      </c>
      <c r="P62" s="1086">
        <f t="shared" ref="P62:Q62" si="36">SUM(P63:P69)</f>
        <v>5204058476</v>
      </c>
      <c r="Q62" s="1086">
        <f t="shared" si="36"/>
        <v>3914879774.4400001</v>
      </c>
      <c r="R62" s="1086"/>
    </row>
    <row r="63" spans="1:19" ht="25.5" hidden="1" x14ac:dyDescent="0.25">
      <c r="A63" s="1141" t="s">
        <v>1074</v>
      </c>
      <c r="B63" s="898">
        <v>19580046</v>
      </c>
      <c r="C63" s="898">
        <v>166920338</v>
      </c>
      <c r="D63" s="1111">
        <f t="shared" si="2"/>
        <v>7.5250227706308763</v>
      </c>
      <c r="E63" s="898">
        <v>122557632</v>
      </c>
      <c r="F63" s="1111">
        <f t="shared" si="3"/>
        <v>-0.26577172399447213</v>
      </c>
      <c r="G63" s="898">
        <v>176255892.97999999</v>
      </c>
      <c r="H63" s="1111">
        <f t="shared" si="4"/>
        <v>0.43814701788624627</v>
      </c>
      <c r="I63" s="898">
        <v>195298958</v>
      </c>
      <c r="J63" s="1111">
        <f t="shared" si="9"/>
        <v>0.10804214655200695</v>
      </c>
      <c r="K63" s="898">
        <v>24445612.66</v>
      </c>
      <c r="L63" s="1111">
        <f t="shared" si="5"/>
        <v>-0.87482978449890147</v>
      </c>
      <c r="M63" s="1088">
        <v>629122437.20000005</v>
      </c>
      <c r="N63" s="1111">
        <f t="shared" si="6"/>
        <v>24.735597055803144</v>
      </c>
      <c r="O63" s="1088">
        <f>+[2]MX8!G82</f>
        <v>1368223930</v>
      </c>
      <c r="P63" s="1088">
        <f>+[2]MX8!H82</f>
        <v>1368223930</v>
      </c>
      <c r="Q63" s="1088">
        <f>+[2]MX8!I82</f>
        <v>508062206.51999998</v>
      </c>
      <c r="R63" s="1098"/>
    </row>
    <row r="64" spans="1:19" hidden="1" x14ac:dyDescent="0.25">
      <c r="A64" s="1141" t="s">
        <v>1075</v>
      </c>
      <c r="B64" s="898">
        <v>89801666</v>
      </c>
      <c r="C64" s="898">
        <v>856315159</v>
      </c>
      <c r="D64" s="1111">
        <f t="shared" si="2"/>
        <v>8.5356266441649318</v>
      </c>
      <c r="E64" s="898">
        <v>867893321</v>
      </c>
      <c r="F64" s="1111">
        <f t="shared" si="3"/>
        <v>1.3520912106146657E-2</v>
      </c>
      <c r="G64" s="898">
        <v>1173959729.6500001</v>
      </c>
      <c r="H64" s="1111">
        <f t="shared" si="4"/>
        <v>0.35265441183179713</v>
      </c>
      <c r="I64" s="898">
        <v>1226309958</v>
      </c>
      <c r="J64" s="1111">
        <f t="shared" si="9"/>
        <v>4.4592865519848285E-2</v>
      </c>
      <c r="K64" s="898">
        <v>230458777</v>
      </c>
      <c r="L64" s="1111">
        <f t="shared" si="5"/>
        <v>-0.81207134827816507</v>
      </c>
      <c r="M64" s="1088">
        <v>2509500558.7800002</v>
      </c>
      <c r="N64" s="1111">
        <f t="shared" si="6"/>
        <v>9.8891515933888705</v>
      </c>
      <c r="O64" s="1088">
        <f>+[2]MX8!G74</f>
        <v>2382349720</v>
      </c>
      <c r="P64" s="1088">
        <f>+[2]MX8!H74</f>
        <v>2382349720</v>
      </c>
      <c r="Q64" s="1088">
        <f>+[2]MX8!I74</f>
        <v>2528256929.8699999</v>
      </c>
      <c r="R64" s="1098"/>
    </row>
    <row r="65" spans="1:18" hidden="1" x14ac:dyDescent="0.25">
      <c r="A65" s="1141" t="s">
        <v>352</v>
      </c>
      <c r="B65" s="898"/>
      <c r="C65" s="898"/>
      <c r="D65" s="1111"/>
      <c r="E65" s="898"/>
      <c r="F65" s="1111"/>
      <c r="G65" s="898"/>
      <c r="H65" s="1111"/>
      <c r="I65" s="898"/>
      <c r="J65" s="1111"/>
      <c r="K65" s="898"/>
      <c r="L65" s="1111"/>
      <c r="M65" s="1088">
        <v>43588821</v>
      </c>
      <c r="N65" s="1111" t="e">
        <f t="shared" si="6"/>
        <v>#DIV/0!</v>
      </c>
      <c r="O65" s="1088">
        <f>+[2]MX8!G69+[2]MX8!G70+[2]MX8!G72+[2]MX8!G75+[2]MX8!G76</f>
        <v>44000000</v>
      </c>
      <c r="P65" s="1088">
        <f>+[2]MX8!H69+[2]MX8!H70+[2]MX8!H72+[2]MX8!H75+[2]MX8!H76</f>
        <v>44000000</v>
      </c>
      <c r="Q65" s="1088">
        <f>+[2]MX8!I69+[2]MX8!I70+[2]MX8!I72+[2]MX8!I75+[2]MX8!I76</f>
        <v>55050384</v>
      </c>
      <c r="R65" s="1098"/>
    </row>
    <row r="66" spans="1:18" hidden="1" x14ac:dyDescent="0.25">
      <c r="A66" s="1141" t="s">
        <v>356</v>
      </c>
      <c r="B66" s="898"/>
      <c r="C66" s="898"/>
      <c r="D66" s="1111"/>
      <c r="E66" s="898"/>
      <c r="F66" s="1111"/>
      <c r="G66" s="898"/>
      <c r="H66" s="1111"/>
      <c r="I66" s="898"/>
      <c r="J66" s="1111"/>
      <c r="K66" s="898"/>
      <c r="L66" s="1111"/>
      <c r="M66" s="1088">
        <v>411203908</v>
      </c>
      <c r="N66" s="1111" t="e">
        <f t="shared" si="6"/>
        <v>#DIV/0!</v>
      </c>
      <c r="O66" s="1088">
        <f>+[2]MX8!G71</f>
        <v>120000000</v>
      </c>
      <c r="P66" s="1088">
        <f>+[2]MX8!H71</f>
        <v>120000000</v>
      </c>
      <c r="Q66" s="1088">
        <f>+[2]MX8!I71</f>
        <v>139376554</v>
      </c>
      <c r="R66" s="1098"/>
    </row>
    <row r="67" spans="1:18" x14ac:dyDescent="0.25">
      <c r="A67" s="750" t="s">
        <v>1076</v>
      </c>
      <c r="B67" s="898"/>
      <c r="C67" s="898"/>
      <c r="D67" s="1111"/>
      <c r="E67" s="898"/>
      <c r="F67" s="1111"/>
      <c r="G67" s="898"/>
      <c r="H67" s="1111"/>
      <c r="I67" s="898"/>
      <c r="J67" s="1111"/>
      <c r="K67" s="898"/>
      <c r="L67" s="1111"/>
      <c r="M67" s="1088">
        <v>431798676.69999999</v>
      </c>
      <c r="N67" s="1111" t="e">
        <f t="shared" si="6"/>
        <v>#DIV/0!</v>
      </c>
      <c r="O67" s="1093">
        <f>+[2]MX8!$G$110</f>
        <v>854197207</v>
      </c>
      <c r="P67" s="1088">
        <f>+[2]MX8!$H$110</f>
        <v>854197207</v>
      </c>
      <c r="Q67" s="1088">
        <f>+[2]MX8!$I$110</f>
        <v>454062262.25</v>
      </c>
      <c r="R67" s="1098"/>
    </row>
    <row r="68" spans="1:18" s="54" customFormat="1" hidden="1" x14ac:dyDescent="0.25">
      <c r="A68" s="1141" t="s">
        <v>1077</v>
      </c>
      <c r="B68" s="898">
        <v>2564610</v>
      </c>
      <c r="C68" s="898">
        <v>0</v>
      </c>
      <c r="D68" s="1111">
        <f t="shared" si="2"/>
        <v>-1</v>
      </c>
      <c r="E68" s="898">
        <v>0</v>
      </c>
      <c r="F68" s="1111"/>
      <c r="G68" s="898">
        <v>0</v>
      </c>
      <c r="H68" s="1111"/>
      <c r="I68" s="898">
        <v>0</v>
      </c>
      <c r="J68" s="1111"/>
      <c r="K68" s="898">
        <v>0</v>
      </c>
      <c r="L68" s="1111"/>
      <c r="M68" s="1088">
        <v>5018916</v>
      </c>
      <c r="N68" s="1111" t="e">
        <f t="shared" si="6"/>
        <v>#DIV/0!</v>
      </c>
      <c r="O68" s="1088"/>
      <c r="P68" s="1088"/>
      <c r="Q68" s="1088"/>
      <c r="R68" s="1098"/>
    </row>
    <row r="69" spans="1:18" s="652" customFormat="1" hidden="1" x14ac:dyDescent="0.25">
      <c r="A69" s="1141" t="s">
        <v>1078</v>
      </c>
      <c r="B69" s="898">
        <v>212332883</v>
      </c>
      <c r="C69" s="898">
        <v>0</v>
      </c>
      <c r="D69" s="1111">
        <f t="shared" si="2"/>
        <v>-1</v>
      </c>
      <c r="E69" s="898">
        <v>0</v>
      </c>
      <c r="F69" s="1111"/>
      <c r="G69" s="898">
        <v>0</v>
      </c>
      <c r="H69" s="1111"/>
      <c r="I69" s="898">
        <v>0</v>
      </c>
      <c r="J69" s="1111"/>
      <c r="K69" s="898">
        <v>0</v>
      </c>
      <c r="L69" s="1111"/>
      <c r="M69" s="1088"/>
      <c r="N69" s="1111"/>
      <c r="O69" s="1088">
        <f>+[2]MX8!G83</f>
        <v>435287619</v>
      </c>
      <c r="P69" s="1088">
        <f>+[2]MX8!H83</f>
        <v>435287619</v>
      </c>
      <c r="Q69" s="1088">
        <f>+[2]MX8!I83</f>
        <v>230071437.80000001</v>
      </c>
      <c r="R69" s="1098"/>
    </row>
    <row r="70" spans="1:18" s="54" customFormat="1" x14ac:dyDescent="0.25">
      <c r="A70" s="751" t="s">
        <v>1079</v>
      </c>
      <c r="B70" s="887">
        <f t="shared" ref="B70:Q70" si="37">SUM(B71:B74)</f>
        <v>10116967147</v>
      </c>
      <c r="C70" s="887">
        <f t="shared" si="37"/>
        <v>9917557263.6000004</v>
      </c>
      <c r="D70" s="1109">
        <f t="shared" si="2"/>
        <v>-1.971044093576314E-2</v>
      </c>
      <c r="E70" s="887">
        <f t="shared" si="37"/>
        <v>9840903469.9699993</v>
      </c>
      <c r="F70" s="1109">
        <f t="shared" si="3"/>
        <v>-7.7291001798739604E-3</v>
      </c>
      <c r="G70" s="887">
        <f t="shared" si="37"/>
        <v>9955374237.0599995</v>
      </c>
      <c r="H70" s="1109">
        <f t="shared" si="4"/>
        <v>1.1632140020407002E-2</v>
      </c>
      <c r="I70" s="887">
        <f t="shared" si="37"/>
        <v>11359495674</v>
      </c>
      <c r="J70" s="1109">
        <f t="shared" si="9"/>
        <v>0.14104155238212951</v>
      </c>
      <c r="K70" s="887">
        <f>SUM(K71:K74)+K89+K91</f>
        <v>8783419456</v>
      </c>
      <c r="L70" s="1109">
        <f t="shared" si="5"/>
        <v>-0.2267773404673423</v>
      </c>
      <c r="M70" s="1086">
        <f>SUM(M71:M74)+M89+M91</f>
        <v>13832878655.059999</v>
      </c>
      <c r="N70" s="1112">
        <f t="shared" ref="N70:N131" si="38">+(M70-K70)/K70</f>
        <v>0.5748853535180638</v>
      </c>
      <c r="O70" s="1086">
        <f t="shared" si="37"/>
        <v>13380394225</v>
      </c>
      <c r="P70" s="1089">
        <f t="shared" si="37"/>
        <v>13380394225</v>
      </c>
      <c r="Q70" s="1089">
        <f t="shared" si="37"/>
        <v>13270074799.940001</v>
      </c>
      <c r="R70" s="1089"/>
    </row>
    <row r="71" spans="1:18" s="54" customFormat="1" hidden="1" x14ac:dyDescent="0.25">
      <c r="A71" s="1141" t="s">
        <v>1080</v>
      </c>
      <c r="B71" s="898">
        <v>4957313901.6400003</v>
      </c>
      <c r="C71" s="898">
        <v>4859603059.3299999</v>
      </c>
      <c r="D71" s="1111">
        <f t="shared" ref="D71:D134" si="39">+(C71-B71)/B71</f>
        <v>-1.9710440825156401E-2</v>
      </c>
      <c r="E71" s="898">
        <v>4822042700.2799997</v>
      </c>
      <c r="F71" s="1111">
        <f t="shared" ref="F71:F134" si="40">+(E71-C71)/C71</f>
        <v>-7.7291002148596657E-3</v>
      </c>
      <c r="G71" s="898">
        <v>7598599257.4799995</v>
      </c>
      <c r="H71" s="1111">
        <f t="shared" ref="H71:H134" si="41">+(G71-E71)/E71</f>
        <v>0.57580505395333281</v>
      </c>
      <c r="I71" s="898">
        <v>8552032883.1999998</v>
      </c>
      <c r="J71" s="1111">
        <f t="shared" ref="J71:J134" si="42">+(I71-G71)/G71</f>
        <v>0.12547491891764762</v>
      </c>
      <c r="K71" s="898">
        <v>6217400066</v>
      </c>
      <c r="L71" s="1111">
        <f t="shared" ref="L71:L134" si="43">+(K71-I71)/I71</f>
        <v>-0.27299156225021748</v>
      </c>
      <c r="M71" s="1088">
        <v>11174444262.870001</v>
      </c>
      <c r="N71" s="1111">
        <f t="shared" si="38"/>
        <v>0.79728570531880594</v>
      </c>
      <c r="O71" s="1088">
        <f>+[2]MX8!G139+[2]MX8!G143+[2]MX8!G148+[2]MX8!G151+[2]MX8!G154</f>
        <v>9769811656</v>
      </c>
      <c r="P71" s="1088">
        <f>+[2]MX8!H139+[2]MX8!H143+[2]MX8!H148+[2]MX8!H151+[2]MX8!H154</f>
        <v>9769811656</v>
      </c>
      <c r="Q71" s="1088">
        <f>+[2]MX8!I139+[2]MX8!I143+[2]MX8!I148+[2]MX8!I151+[2]MX8!I154</f>
        <v>9687396390.5400009</v>
      </c>
      <c r="R71" s="1098"/>
    </row>
    <row r="72" spans="1:18" s="54" customFormat="1" hidden="1" x14ac:dyDescent="0.25">
      <c r="A72" s="1141" t="s">
        <v>1081</v>
      </c>
      <c r="B72" s="898">
        <v>5159653245.3599997</v>
      </c>
      <c r="C72" s="898">
        <v>5057954204.2700005</v>
      </c>
      <c r="D72" s="1111">
        <f t="shared" si="39"/>
        <v>-1.9710441042032359E-2</v>
      </c>
      <c r="E72" s="898">
        <v>5018860769.6899996</v>
      </c>
      <c r="F72" s="1111">
        <f t="shared" si="40"/>
        <v>-7.7291001462602444E-3</v>
      </c>
      <c r="G72" s="898">
        <v>2313077275.3200002</v>
      </c>
      <c r="H72" s="1111">
        <f t="shared" si="41"/>
        <v>-0.53912304376140874</v>
      </c>
      <c r="I72" s="898">
        <v>2807462790.8000002</v>
      </c>
      <c r="J72" s="1111">
        <f t="shared" si="42"/>
        <v>0.21373497580689552</v>
      </c>
      <c r="K72" s="898">
        <v>1892737881</v>
      </c>
      <c r="L72" s="1111">
        <f t="shared" si="43"/>
        <v>-0.32581906794901627</v>
      </c>
      <c r="M72" s="1095"/>
      <c r="N72" s="1111"/>
      <c r="O72" s="1088">
        <f>+[2]MX8!$G$137+[2]MX8!$G$138+[2]MX8!$G$141+[2]MX8!$G$142+[2]MX8!$G$147+[2]MX8!$G$149+[2]MX8!$G$150+[2]MX8!$G$152+[2]MX8!$G$155+[2]MX8!$G$156</f>
        <v>3610582569</v>
      </c>
      <c r="P72" s="1088">
        <f>+[2]MX8!H137+[2]MX8!H138+[2]MX8!H141+[2]MX8!H142+[2]MX8!H147+[2]MX8!H149+[2]MX8!H150+[2]MX8!H152+[2]MX8!H155+[2]MX8!H156</f>
        <v>3610582569</v>
      </c>
      <c r="Q72" s="1088">
        <f>+[2]MX8!I137+[2]MX8!I138+[2]MX8!I141+[2]MX8!I142+[2]MX8!I147+[2]MX8!I149+[2]MX8!I150+[2]MX8!I152+[2]MX8!I155+[2]MX8!I156</f>
        <v>3582678409.4000001</v>
      </c>
      <c r="R72" s="1098"/>
    </row>
    <row r="73" spans="1:18" hidden="1" x14ac:dyDescent="0.25">
      <c r="A73" s="1141" t="s">
        <v>1874</v>
      </c>
      <c r="B73" s="898">
        <v>0</v>
      </c>
      <c r="C73" s="898">
        <v>0</v>
      </c>
      <c r="D73" s="1111"/>
      <c r="E73" s="898">
        <v>0</v>
      </c>
      <c r="F73" s="1111"/>
      <c r="G73" s="898">
        <v>33501573.48</v>
      </c>
      <c r="H73" s="1111"/>
      <c r="I73" s="898">
        <v>0</v>
      </c>
      <c r="J73" s="1111">
        <f t="shared" si="42"/>
        <v>-1</v>
      </c>
      <c r="K73" s="898">
        <v>0</v>
      </c>
      <c r="L73" s="1111"/>
      <c r="M73" s="1088"/>
      <c r="N73" s="1111"/>
      <c r="O73" s="1088"/>
      <c r="P73" s="1088"/>
      <c r="Q73" s="1088"/>
      <c r="R73" s="1098"/>
    </row>
    <row r="74" spans="1:18" hidden="1" x14ac:dyDescent="0.25">
      <c r="A74" s="1141" t="s">
        <v>1083</v>
      </c>
      <c r="B74" s="898">
        <v>0</v>
      </c>
      <c r="C74" s="898">
        <v>0</v>
      </c>
      <c r="D74" s="1111"/>
      <c r="E74" s="898">
        <v>0</v>
      </c>
      <c r="F74" s="1111"/>
      <c r="G74" s="898">
        <v>10196130.779999999</v>
      </c>
      <c r="H74" s="1111"/>
      <c r="I74" s="898">
        <v>0</v>
      </c>
      <c r="J74" s="1111">
        <f t="shared" si="42"/>
        <v>-1</v>
      </c>
      <c r="K74" s="898">
        <v>0</v>
      </c>
      <c r="L74" s="1111"/>
      <c r="M74" s="1088">
        <v>1989344899.1300001</v>
      </c>
      <c r="N74" s="1111" t="e">
        <f t="shared" si="38"/>
        <v>#DIV/0!</v>
      </c>
      <c r="O74" s="1088"/>
      <c r="P74" s="1088"/>
      <c r="Q74" s="1088"/>
      <c r="R74" s="1098"/>
    </row>
    <row r="75" spans="1:18" s="54" customFormat="1" hidden="1" x14ac:dyDescent="0.25">
      <c r="A75" s="1139" t="s">
        <v>1084</v>
      </c>
      <c r="B75" s="890">
        <f t="shared" ref="B75:I75" si="44">SUM(B76:B76)</f>
        <v>456466373</v>
      </c>
      <c r="C75" s="890">
        <f t="shared" si="44"/>
        <v>519662054</v>
      </c>
      <c r="D75" s="1112">
        <f t="shared" si="39"/>
        <v>0.13844542498205009</v>
      </c>
      <c r="E75" s="890">
        <f t="shared" si="44"/>
        <v>553647274</v>
      </c>
      <c r="F75" s="1112">
        <f t="shared" si="40"/>
        <v>6.5398694667823484E-2</v>
      </c>
      <c r="G75" s="890">
        <f t="shared" si="44"/>
        <v>514638803.17000002</v>
      </c>
      <c r="H75" s="1112">
        <f t="shared" si="41"/>
        <v>-7.0457261621051495E-2</v>
      </c>
      <c r="I75" s="890">
        <f t="shared" si="44"/>
        <v>566653321</v>
      </c>
      <c r="J75" s="1112">
        <f t="shared" si="42"/>
        <v>0.10106994946670994</v>
      </c>
      <c r="K75" s="890">
        <f>SUM(K76:K76)</f>
        <v>518294753.54000002</v>
      </c>
      <c r="L75" s="1112">
        <f t="shared" si="43"/>
        <v>-8.5340658331727978E-2</v>
      </c>
      <c r="M75" s="1089">
        <f>SUM(M76:M76)</f>
        <v>561617414</v>
      </c>
      <c r="N75" s="1112">
        <f t="shared" si="38"/>
        <v>8.3586916834681987E-2</v>
      </c>
      <c r="O75" s="1089">
        <f t="shared" ref="O75:Q75" si="45">SUM(O76:O76)</f>
        <v>580088442</v>
      </c>
      <c r="P75" s="1089">
        <f t="shared" si="45"/>
        <v>580088442</v>
      </c>
      <c r="Q75" s="1089">
        <f t="shared" si="45"/>
        <v>495833816.63999999</v>
      </c>
      <c r="R75" s="1089"/>
    </row>
    <row r="76" spans="1:18" hidden="1" x14ac:dyDescent="0.25">
      <c r="A76" s="1141" t="s">
        <v>1085</v>
      </c>
      <c r="B76" s="898">
        <v>456466373</v>
      </c>
      <c r="C76" s="898">
        <v>519662054</v>
      </c>
      <c r="D76" s="1111">
        <f t="shared" si="39"/>
        <v>0.13844542498205009</v>
      </c>
      <c r="E76" s="898">
        <v>553647274</v>
      </c>
      <c r="F76" s="1111">
        <f t="shared" si="40"/>
        <v>6.5398694667823484E-2</v>
      </c>
      <c r="G76" s="898">
        <v>514638803.17000002</v>
      </c>
      <c r="H76" s="1111">
        <f t="shared" si="41"/>
        <v>-7.0457261621051495E-2</v>
      </c>
      <c r="I76" s="898">
        <v>566653321</v>
      </c>
      <c r="J76" s="1111">
        <f t="shared" si="42"/>
        <v>0.10106994946670994</v>
      </c>
      <c r="K76" s="898">
        <v>518294753.54000002</v>
      </c>
      <c r="L76" s="1111">
        <f t="shared" si="43"/>
        <v>-8.5340658331727978E-2</v>
      </c>
      <c r="M76" s="1088">
        <v>561617414</v>
      </c>
      <c r="N76" s="1111">
        <f t="shared" si="38"/>
        <v>8.3586916834681987E-2</v>
      </c>
      <c r="O76" s="1088">
        <f>+[2]MX8!G51</f>
        <v>580088442</v>
      </c>
      <c r="P76" s="1088">
        <f>+[2]MX8!H51</f>
        <v>580088442</v>
      </c>
      <c r="Q76" s="1088">
        <f>+[2]MX8!I51</f>
        <v>495833816.63999999</v>
      </c>
      <c r="R76" s="1098"/>
    </row>
    <row r="77" spans="1:18" hidden="1" x14ac:dyDescent="0.25">
      <c r="A77" s="1141" t="s">
        <v>1086</v>
      </c>
      <c r="B77" s="898"/>
      <c r="C77" s="898"/>
      <c r="D77" s="1111"/>
      <c r="E77" s="898"/>
      <c r="F77" s="1111"/>
      <c r="G77" s="898"/>
      <c r="H77" s="1111"/>
      <c r="I77" s="898"/>
      <c r="J77" s="1111"/>
      <c r="K77" s="898"/>
      <c r="L77" s="1111"/>
      <c r="M77" s="1088"/>
      <c r="N77" s="1111"/>
      <c r="O77" s="1088"/>
      <c r="P77" s="1088"/>
      <c r="Q77" s="1088"/>
      <c r="R77" s="1098"/>
    </row>
    <row r="78" spans="1:18" ht="12.75" hidden="1" customHeight="1" x14ac:dyDescent="0.25">
      <c r="A78" s="1139" t="s">
        <v>1087</v>
      </c>
      <c r="B78" s="890">
        <f>+B79</f>
        <v>3180992075</v>
      </c>
      <c r="C78" s="890">
        <f t="shared" ref="C78:I78" si="46">+C79</f>
        <v>3611727149.1999998</v>
      </c>
      <c r="D78" s="1112">
        <f t="shared" si="39"/>
        <v>0.13540903719478767</v>
      </c>
      <c r="E78" s="890">
        <f t="shared" si="46"/>
        <v>3753902782.4299998</v>
      </c>
      <c r="F78" s="1112">
        <f t="shared" si="40"/>
        <v>3.9364998339227263E-2</v>
      </c>
      <c r="G78" s="890">
        <f t="shared" si="46"/>
        <v>4398453532.4099998</v>
      </c>
      <c r="H78" s="1112">
        <f t="shared" si="41"/>
        <v>0.17170150303220302</v>
      </c>
      <c r="I78" s="890">
        <f t="shared" si="46"/>
        <v>3585983010.8600001</v>
      </c>
      <c r="J78" s="1112">
        <f t="shared" si="42"/>
        <v>-0.18471731383844608</v>
      </c>
      <c r="K78" s="890">
        <f>+K79</f>
        <v>3422927635.1399999</v>
      </c>
      <c r="L78" s="1112">
        <f t="shared" si="43"/>
        <v>-4.547020307296322E-2</v>
      </c>
      <c r="M78" s="1089">
        <f>+M79</f>
        <v>9219008514.7200012</v>
      </c>
      <c r="N78" s="1112">
        <f t="shared" si="38"/>
        <v>1.6933109599154406</v>
      </c>
      <c r="O78" s="1089">
        <f t="shared" ref="O78:Q78" si="47">+O79</f>
        <v>3386594076</v>
      </c>
      <c r="P78" s="1089">
        <f t="shared" si="47"/>
        <v>17350995852</v>
      </c>
      <c r="Q78" s="1089">
        <f t="shared" si="47"/>
        <v>16371803357</v>
      </c>
      <c r="R78" s="1089"/>
    </row>
    <row r="79" spans="1:18" hidden="1" x14ac:dyDescent="0.25">
      <c r="A79" s="1139" t="s">
        <v>1088</v>
      </c>
      <c r="B79" s="890">
        <f>+B82+B85+B88+B80</f>
        <v>3180992075</v>
      </c>
      <c r="C79" s="890">
        <f t="shared" ref="C79:I79" si="48">+C82+C85+C88+C80</f>
        <v>3611727149.1999998</v>
      </c>
      <c r="D79" s="1112">
        <f t="shared" si="39"/>
        <v>0.13540903719478767</v>
      </c>
      <c r="E79" s="890">
        <f t="shared" si="48"/>
        <v>3753902782.4299998</v>
      </c>
      <c r="F79" s="1112">
        <f t="shared" si="40"/>
        <v>3.9364998339227263E-2</v>
      </c>
      <c r="G79" s="890">
        <f t="shared" si="48"/>
        <v>4398453532.4099998</v>
      </c>
      <c r="H79" s="1112">
        <f t="shared" si="41"/>
        <v>0.17170150303220302</v>
      </c>
      <c r="I79" s="890">
        <f t="shared" si="48"/>
        <v>3585983010.8600001</v>
      </c>
      <c r="J79" s="1112">
        <f t="shared" si="42"/>
        <v>-0.18471731383844608</v>
      </c>
      <c r="K79" s="890">
        <f>+K82+K80+K85</f>
        <v>3422927635.1399999</v>
      </c>
      <c r="L79" s="1112">
        <f t="shared" si="43"/>
        <v>-4.547020307296322E-2</v>
      </c>
      <c r="M79" s="1089">
        <f>+M82+M80+M85+M81</f>
        <v>9219008514.7200012</v>
      </c>
      <c r="N79" s="1112">
        <f t="shared" si="38"/>
        <v>1.6933109599154406</v>
      </c>
      <c r="O79" s="1089">
        <f t="shared" ref="O79:Q79" si="49">+O82+O85+O88+O80</f>
        <v>3386594076</v>
      </c>
      <c r="P79" s="1089">
        <f t="shared" si="49"/>
        <v>17350995852</v>
      </c>
      <c r="Q79" s="1089">
        <f t="shared" si="49"/>
        <v>16371803357</v>
      </c>
      <c r="R79" s="1089"/>
    </row>
    <row r="80" spans="1:18" s="54" customFormat="1" ht="23.25" customHeight="1" x14ac:dyDescent="0.25">
      <c r="A80" s="752" t="s">
        <v>1799</v>
      </c>
      <c r="B80" s="898">
        <v>0</v>
      </c>
      <c r="C80" s="898">
        <v>318519904</v>
      </c>
      <c r="D80" s="1111"/>
      <c r="E80" s="898">
        <v>368742584.51999998</v>
      </c>
      <c r="F80" s="1111">
        <f t="shared" si="40"/>
        <v>0.15767517159618377</v>
      </c>
      <c r="G80" s="898">
        <v>1235675250</v>
      </c>
      <c r="H80" s="1111">
        <f t="shared" si="41"/>
        <v>2.3510511177018096</v>
      </c>
      <c r="I80" s="898">
        <v>272414720.86000001</v>
      </c>
      <c r="J80" s="1111">
        <f t="shared" si="42"/>
        <v>-0.77954181662212618</v>
      </c>
      <c r="K80" s="898">
        <v>147570542.13999999</v>
      </c>
      <c r="L80" s="1111">
        <f t="shared" si="43"/>
        <v>-0.45828719654309807</v>
      </c>
      <c r="M80" s="1088">
        <v>4420597120.7200003</v>
      </c>
      <c r="N80" s="1111">
        <f t="shared" si="38"/>
        <v>28.955823544553937</v>
      </c>
      <c r="O80" s="1086">
        <f>+[2]MX8!G105</f>
        <v>250000000</v>
      </c>
      <c r="P80" s="1088">
        <f>+[2]MX8!H105</f>
        <v>14251706157</v>
      </c>
      <c r="Q80" s="1088">
        <f>+[2]MX8!I105</f>
        <v>13798323517</v>
      </c>
      <c r="R80" s="1098"/>
    </row>
    <row r="81" spans="1:18" hidden="1" x14ac:dyDescent="0.25">
      <c r="A81" s="1141" t="s">
        <v>1071</v>
      </c>
      <c r="B81" s="898">
        <v>0</v>
      </c>
      <c r="C81" s="898">
        <v>514557468</v>
      </c>
      <c r="D81" s="1111"/>
      <c r="E81" s="898">
        <v>948728685</v>
      </c>
      <c r="F81" s="1111">
        <f t="shared" si="40"/>
        <v>0.84377595118296878</v>
      </c>
      <c r="G81" s="898">
        <v>508891370</v>
      </c>
      <c r="H81" s="1111">
        <f t="shared" si="41"/>
        <v>-0.46360705853433748</v>
      </c>
      <c r="I81" s="898">
        <v>186428977</v>
      </c>
      <c r="J81" s="1111">
        <f t="shared" si="42"/>
        <v>-0.63365663481383072</v>
      </c>
      <c r="K81" s="898">
        <v>0</v>
      </c>
      <c r="L81" s="1111">
        <f t="shared" si="43"/>
        <v>-1</v>
      </c>
      <c r="M81" s="1088">
        <v>4998651</v>
      </c>
      <c r="N81" s="1111" t="e">
        <f t="shared" si="38"/>
        <v>#DIV/0!</v>
      </c>
      <c r="O81" s="1088"/>
      <c r="P81" s="1088"/>
      <c r="Q81" s="1088"/>
      <c r="R81" s="1098"/>
    </row>
    <row r="82" spans="1:18" s="54" customFormat="1" x14ac:dyDescent="0.25">
      <c r="A82" s="751" t="s">
        <v>145</v>
      </c>
      <c r="B82" s="887">
        <f>SUM(B83:B84)</f>
        <v>2287233345</v>
      </c>
      <c r="C82" s="887">
        <f>SUM(C83:C84)</f>
        <v>2410945833</v>
      </c>
      <c r="D82" s="1109">
        <f t="shared" si="39"/>
        <v>5.4088267063105447E-2</v>
      </c>
      <c r="E82" s="887">
        <f>SUM(E83:E84)</f>
        <v>2269932364</v>
      </c>
      <c r="F82" s="1109">
        <f t="shared" si="40"/>
        <v>-5.8488858218989276E-2</v>
      </c>
      <c r="G82" s="887">
        <f>SUM(G83:G84)</f>
        <v>2329571431</v>
      </c>
      <c r="H82" s="1109">
        <f t="shared" si="41"/>
        <v>2.6273499574633142E-2</v>
      </c>
      <c r="I82" s="887">
        <f>SUM(I83:I84)</f>
        <v>2335055953</v>
      </c>
      <c r="J82" s="1109">
        <f t="shared" si="42"/>
        <v>2.3543051425753856E-3</v>
      </c>
      <c r="K82" s="887">
        <f>SUM(K83:K84)</f>
        <v>3056158641</v>
      </c>
      <c r="L82" s="1109">
        <f t="shared" si="43"/>
        <v>0.30881602090671617</v>
      </c>
      <c r="M82" s="1086">
        <f>SUM(M83:M84)</f>
        <v>4652248940</v>
      </c>
      <c r="N82" s="1109">
        <f t="shared" si="38"/>
        <v>0.52225374612024267</v>
      </c>
      <c r="O82" s="1086">
        <f>+O83+O84</f>
        <v>2995430273</v>
      </c>
      <c r="P82" s="1086">
        <f t="shared" ref="P82:Q82" si="50">+P83+P84</f>
        <v>2995430273</v>
      </c>
      <c r="Q82" s="1086">
        <f t="shared" si="50"/>
        <v>2478270418</v>
      </c>
      <c r="R82" s="1086"/>
    </row>
    <row r="83" spans="1:18" s="54" customFormat="1" hidden="1" x14ac:dyDescent="0.25">
      <c r="A83" s="1141" t="s">
        <v>1090</v>
      </c>
      <c r="B83" s="898">
        <v>2287233345</v>
      </c>
      <c r="C83" s="898">
        <v>451574124.73097914</v>
      </c>
      <c r="D83" s="1111">
        <f t="shared" si="39"/>
        <v>-0.80256753176577211</v>
      </c>
      <c r="E83" s="898">
        <v>2269932364</v>
      </c>
      <c r="F83" s="1111">
        <f t="shared" si="40"/>
        <v>4.026710432871436</v>
      </c>
      <c r="G83" s="898">
        <v>618776355.79999995</v>
      </c>
      <c r="H83" s="1111">
        <f t="shared" si="41"/>
        <v>-0.72740317481988204</v>
      </c>
      <c r="I83" s="898">
        <v>857974331.57088304</v>
      </c>
      <c r="J83" s="1111">
        <f t="shared" si="42"/>
        <v>0.38656612123071543</v>
      </c>
      <c r="K83" s="898">
        <v>3056158641</v>
      </c>
      <c r="L83" s="1111">
        <f t="shared" si="43"/>
        <v>2.56206302279978</v>
      </c>
      <c r="M83" s="1088">
        <v>4652248940</v>
      </c>
      <c r="N83" s="1111">
        <f t="shared" si="38"/>
        <v>0.52225374612024267</v>
      </c>
      <c r="O83" s="1088">
        <f>+[2]MX8!$G$98</f>
        <v>2995430273</v>
      </c>
      <c r="P83" s="1088">
        <f>+[2]MX8!$H$98</f>
        <v>2995430273</v>
      </c>
      <c r="Q83" s="1088">
        <f>+[2]MX8!$I$98</f>
        <v>2478270418</v>
      </c>
      <c r="R83" s="1098"/>
    </row>
    <row r="84" spans="1:18" hidden="1" x14ac:dyDescent="0.25">
      <c r="A84" s="1141" t="s">
        <v>1091</v>
      </c>
      <c r="B84" s="898">
        <v>0</v>
      </c>
      <c r="C84" s="898">
        <v>1959371708.2690208</v>
      </c>
      <c r="D84" s="1111"/>
      <c r="E84" s="898">
        <v>0</v>
      </c>
      <c r="F84" s="1111">
        <f t="shared" si="40"/>
        <v>-1</v>
      </c>
      <c r="G84" s="898">
        <v>1710795075.2</v>
      </c>
      <c r="H84" s="1111"/>
      <c r="I84" s="898">
        <v>1477081621.4291172</v>
      </c>
      <c r="J84" s="1111">
        <f t="shared" si="42"/>
        <v>-0.13661101622212737</v>
      </c>
      <c r="K84" s="898">
        <v>0</v>
      </c>
      <c r="L84" s="1111">
        <f t="shared" si="43"/>
        <v>-1</v>
      </c>
      <c r="M84" s="1088"/>
      <c r="N84" s="1111"/>
      <c r="O84" s="1088"/>
      <c r="P84" s="1088"/>
      <c r="Q84" s="1088"/>
      <c r="R84" s="1098"/>
    </row>
    <row r="85" spans="1:18" s="54" customFormat="1" x14ac:dyDescent="0.25">
      <c r="A85" s="751" t="s">
        <v>1092</v>
      </c>
      <c r="B85" s="887">
        <f t="shared" ref="B85:I85" si="51">SUM(B86:B87)</f>
        <v>446695888</v>
      </c>
      <c r="C85" s="887">
        <f t="shared" si="51"/>
        <v>435938414.19999999</v>
      </c>
      <c r="D85" s="1109">
        <f t="shared" si="39"/>
        <v>-2.4082321080152885E-2</v>
      </c>
      <c r="E85" s="887">
        <f t="shared" si="51"/>
        <v>413355286</v>
      </c>
      <c r="F85" s="1109">
        <f t="shared" si="40"/>
        <v>-5.1803482933346849E-2</v>
      </c>
      <c r="G85" s="887">
        <f t="shared" si="51"/>
        <v>176268649</v>
      </c>
      <c r="H85" s="1109">
        <f t="shared" si="41"/>
        <v>-0.5735662395762855</v>
      </c>
      <c r="I85" s="887">
        <f t="shared" si="51"/>
        <v>173782366</v>
      </c>
      <c r="J85" s="1109">
        <f t="shared" si="42"/>
        <v>-1.4105077755489009E-2</v>
      </c>
      <c r="K85" s="887">
        <f>SUM(K86:K87)</f>
        <v>219198452</v>
      </c>
      <c r="L85" s="1109">
        <f t="shared" si="43"/>
        <v>0.26133886334589324</v>
      </c>
      <c r="M85" s="1086">
        <f>SUM(M86:M87)</f>
        <v>141163803</v>
      </c>
      <c r="N85" s="1109">
        <f t="shared" si="38"/>
        <v>-0.35600000040146268</v>
      </c>
      <c r="O85" s="1086">
        <f>+O86</f>
        <v>141163803</v>
      </c>
      <c r="P85" s="1086">
        <f t="shared" ref="P85:Q85" si="52">+P86</f>
        <v>103859422</v>
      </c>
      <c r="Q85" s="1086">
        <f t="shared" si="52"/>
        <v>95209422</v>
      </c>
      <c r="R85" s="1086"/>
    </row>
    <row r="86" spans="1:18" s="54" customFormat="1" hidden="1" x14ac:dyDescent="0.25">
      <c r="A86" s="1141" t="s">
        <v>1093</v>
      </c>
      <c r="B86" s="898">
        <v>223347944</v>
      </c>
      <c r="C86" s="898">
        <v>217969207</v>
      </c>
      <c r="D86" s="1111">
        <f t="shared" si="39"/>
        <v>-2.408232152788476E-2</v>
      </c>
      <c r="E86" s="898">
        <v>206677643</v>
      </c>
      <c r="F86" s="1111">
        <f t="shared" si="40"/>
        <v>-5.1803482498332894E-2</v>
      </c>
      <c r="G86" s="898">
        <v>176268649</v>
      </c>
      <c r="H86" s="1111">
        <f t="shared" si="41"/>
        <v>-0.14713247915257094</v>
      </c>
      <c r="I86" s="898">
        <v>173782366</v>
      </c>
      <c r="J86" s="1111">
        <f t="shared" si="42"/>
        <v>-1.4105077755489009E-2</v>
      </c>
      <c r="K86" s="898">
        <v>219198452</v>
      </c>
      <c r="L86" s="1111">
        <f t="shared" si="43"/>
        <v>0.26133886334589324</v>
      </c>
      <c r="M86" s="1088">
        <v>141163803</v>
      </c>
      <c r="N86" s="1111">
        <f t="shared" si="38"/>
        <v>-0.35600000040146268</v>
      </c>
      <c r="O86" s="1088">
        <f>+[2]MX8!$G$99</f>
        <v>141163803</v>
      </c>
      <c r="P86" s="1088">
        <f>+[2]MX8!$H$99</f>
        <v>103859422</v>
      </c>
      <c r="Q86" s="1088">
        <f>+[2]MX8!$I$99</f>
        <v>95209422</v>
      </c>
      <c r="R86" s="1098"/>
    </row>
    <row r="87" spans="1:18" hidden="1" x14ac:dyDescent="0.25">
      <c r="A87" s="1141" t="s">
        <v>1094</v>
      </c>
      <c r="B87" s="898">
        <v>223347944</v>
      </c>
      <c r="C87" s="898">
        <v>217969207.19999999</v>
      </c>
      <c r="D87" s="1111">
        <f t="shared" si="39"/>
        <v>-2.4082320632421009E-2</v>
      </c>
      <c r="E87" s="898">
        <v>206677643</v>
      </c>
      <c r="F87" s="1111">
        <f t="shared" si="40"/>
        <v>-5.1803483368360798E-2</v>
      </c>
      <c r="G87" s="898">
        <v>0</v>
      </c>
      <c r="H87" s="1111">
        <f t="shared" si="41"/>
        <v>-1</v>
      </c>
      <c r="I87" s="898">
        <v>0</v>
      </c>
      <c r="J87" s="1111"/>
      <c r="K87" s="898">
        <v>0</v>
      </c>
      <c r="L87" s="1111"/>
      <c r="M87" s="1088"/>
      <c r="N87" s="1111"/>
      <c r="O87" s="1088"/>
      <c r="P87" s="1088"/>
      <c r="Q87" s="1088"/>
      <c r="R87" s="1098"/>
    </row>
    <row r="88" spans="1:18" s="54" customFormat="1" hidden="1" x14ac:dyDescent="0.25">
      <c r="A88" s="1140" t="s">
        <v>1095</v>
      </c>
      <c r="B88" s="890">
        <f t="shared" ref="B88:I88" si="53">SUM(B89:B91)</f>
        <v>447062842</v>
      </c>
      <c r="C88" s="890">
        <f t="shared" si="53"/>
        <v>446322998</v>
      </c>
      <c r="D88" s="1112">
        <f t="shared" si="39"/>
        <v>-1.6548993351587918E-3</v>
      </c>
      <c r="E88" s="890">
        <f t="shared" si="53"/>
        <v>701872547.90999997</v>
      </c>
      <c r="F88" s="1112">
        <f t="shared" si="40"/>
        <v>0.57256639486455496</v>
      </c>
      <c r="G88" s="890">
        <f t="shared" si="53"/>
        <v>656938202.41000009</v>
      </c>
      <c r="H88" s="1112">
        <f t="shared" si="41"/>
        <v>-6.4020662488942004E-2</v>
      </c>
      <c r="I88" s="890">
        <f t="shared" si="53"/>
        <v>804729971</v>
      </c>
      <c r="J88" s="1112">
        <f t="shared" si="42"/>
        <v>0.224970580258266</v>
      </c>
      <c r="K88" s="890">
        <f>+K89</f>
        <v>422511777</v>
      </c>
      <c r="L88" s="1112">
        <f t="shared" si="43"/>
        <v>-0.47496453192247268</v>
      </c>
      <c r="M88" s="1089">
        <f>+M89</f>
        <v>0</v>
      </c>
      <c r="N88" s="1112"/>
      <c r="O88" s="1089"/>
      <c r="P88" s="1097"/>
      <c r="Q88" s="1097"/>
      <c r="R88" s="1089"/>
    </row>
    <row r="89" spans="1:18" hidden="1" x14ac:dyDescent="0.25">
      <c r="A89" s="1141" t="s">
        <v>1096</v>
      </c>
      <c r="B89" s="898">
        <v>447062842</v>
      </c>
      <c r="C89" s="898">
        <v>446322998</v>
      </c>
      <c r="D89" s="1111">
        <f t="shared" si="39"/>
        <v>-1.6548993351587918E-3</v>
      </c>
      <c r="E89" s="898">
        <v>701872547.90999997</v>
      </c>
      <c r="F89" s="1111">
        <f t="shared" si="40"/>
        <v>0.57256639486455496</v>
      </c>
      <c r="G89" s="898">
        <v>157789808.06</v>
      </c>
      <c r="H89" s="1111">
        <f t="shared" si="41"/>
        <v>-0.77518737763735246</v>
      </c>
      <c r="I89" s="898">
        <v>234634941.90000001</v>
      </c>
      <c r="J89" s="1111">
        <f t="shared" si="42"/>
        <v>0.48700948929971088</v>
      </c>
      <c r="K89" s="898">
        <v>422511777</v>
      </c>
      <c r="L89" s="1111">
        <f t="shared" si="43"/>
        <v>0.80071976312919313</v>
      </c>
      <c r="M89" s="1088"/>
      <c r="N89" s="1111"/>
      <c r="O89" s="1088"/>
      <c r="P89" s="1088"/>
      <c r="Q89" s="1088"/>
      <c r="R89" s="1098"/>
    </row>
    <row r="90" spans="1:18" hidden="1" x14ac:dyDescent="0.25">
      <c r="A90" s="1139" t="s">
        <v>1097</v>
      </c>
      <c r="B90" s="898"/>
      <c r="C90" s="898"/>
      <c r="D90" s="1111"/>
      <c r="E90" s="898"/>
      <c r="F90" s="1111"/>
      <c r="G90" s="898"/>
      <c r="H90" s="1111"/>
      <c r="I90" s="898"/>
      <c r="J90" s="1111"/>
      <c r="K90" s="898">
        <v>2766983630</v>
      </c>
      <c r="L90" s="1111"/>
      <c r="M90" s="1088"/>
      <c r="N90" s="1111"/>
      <c r="O90" s="1088"/>
      <c r="P90" s="1088"/>
      <c r="Q90" s="1088"/>
      <c r="R90" s="1098"/>
    </row>
    <row r="91" spans="1:18" hidden="1" x14ac:dyDescent="0.25">
      <c r="A91" s="1141" t="s">
        <v>1098</v>
      </c>
      <c r="B91" s="898">
        <v>0</v>
      </c>
      <c r="C91" s="898">
        <v>0</v>
      </c>
      <c r="D91" s="1111"/>
      <c r="E91" s="898">
        <v>0</v>
      </c>
      <c r="F91" s="1111"/>
      <c r="G91" s="898">
        <v>499148394.35000002</v>
      </c>
      <c r="H91" s="1111"/>
      <c r="I91" s="898">
        <v>570095029.10000002</v>
      </c>
      <c r="J91" s="1111">
        <f t="shared" si="42"/>
        <v>0.14213535604454458</v>
      </c>
      <c r="K91" s="898">
        <v>250769732</v>
      </c>
      <c r="L91" s="1111">
        <f t="shared" si="43"/>
        <v>-0.56012643647167704</v>
      </c>
      <c r="M91" s="1088">
        <v>669089493.05999994</v>
      </c>
      <c r="N91" s="1111">
        <f t="shared" si="38"/>
        <v>1.6681429521964795</v>
      </c>
      <c r="O91" s="1088"/>
      <c r="P91" s="1088"/>
      <c r="Q91" s="1088"/>
      <c r="R91" s="1098"/>
    </row>
    <row r="92" spans="1:18" s="54" customFormat="1" hidden="1" x14ac:dyDescent="0.25">
      <c r="A92" s="1142" t="s">
        <v>953</v>
      </c>
      <c r="B92" s="1122">
        <f>+B94+B112+B146+B149</f>
        <v>155051759491.47</v>
      </c>
      <c r="C92" s="1122">
        <f>+C94+C112+C146+C149</f>
        <v>165445661532.92999</v>
      </c>
      <c r="D92" s="1123">
        <f t="shared" si="39"/>
        <v>6.7035047364501527E-2</v>
      </c>
      <c r="E92" s="1122">
        <f>+E94+E112+E146+E149</f>
        <v>182369314876.69</v>
      </c>
      <c r="F92" s="1123">
        <f t="shared" si="40"/>
        <v>0.10229130934564613</v>
      </c>
      <c r="G92" s="1122">
        <f>+G94+G112+G146+G149</f>
        <v>197483349462.87</v>
      </c>
      <c r="H92" s="1123">
        <f t="shared" si="41"/>
        <v>8.2875973934537342E-2</v>
      </c>
      <c r="I92" s="1122">
        <f>+I94+I112+I146+I149</f>
        <v>213064679792.67001</v>
      </c>
      <c r="J92" s="1123">
        <f t="shared" si="42"/>
        <v>7.8899463535428621E-2</v>
      </c>
      <c r="K92" s="1122">
        <f>+K94+K112+K146+K149+K93</f>
        <v>224176154573.15997</v>
      </c>
      <c r="L92" s="1122">
        <f t="shared" ref="L92:N92" si="54">+L94+L112+L146+L149+L93</f>
        <v>1564274686.2942429</v>
      </c>
      <c r="M92" s="1124">
        <f t="shared" si="54"/>
        <v>264310991749.94998</v>
      </c>
      <c r="N92" s="1122" t="e">
        <f t="shared" si="54"/>
        <v>#DIV/0!</v>
      </c>
      <c r="O92" s="1124">
        <f>+O94+O112</f>
        <v>237518328956</v>
      </c>
      <c r="P92" s="1124">
        <f t="shared" ref="P92:Q92" si="55">+P94+P112</f>
        <v>261232089622.22</v>
      </c>
      <c r="Q92" s="1124">
        <f t="shared" si="55"/>
        <v>190801865917.22</v>
      </c>
      <c r="R92" s="1124"/>
    </row>
    <row r="93" spans="1:18" s="54" customFormat="1" hidden="1" x14ac:dyDescent="0.25">
      <c r="A93" s="1142" t="s">
        <v>1099</v>
      </c>
      <c r="B93" s="887"/>
      <c r="C93" s="887"/>
      <c r="D93" s="1109"/>
      <c r="E93" s="887"/>
      <c r="F93" s="1109"/>
      <c r="G93" s="887"/>
      <c r="H93" s="1109"/>
      <c r="I93" s="887"/>
      <c r="J93" s="1109"/>
      <c r="K93" s="887">
        <v>1564274678.02</v>
      </c>
      <c r="L93" s="887">
        <v>1564274679.02</v>
      </c>
      <c r="M93" s="1086">
        <v>1564274680.02</v>
      </c>
      <c r="N93" s="887">
        <v>1564274681.02</v>
      </c>
      <c r="O93" s="1086"/>
      <c r="P93" s="1086"/>
      <c r="Q93" s="1086"/>
      <c r="R93" s="1086"/>
    </row>
    <row r="94" spans="1:18" s="54" customFormat="1" ht="12.75" customHeight="1" x14ac:dyDescent="0.25">
      <c r="A94" s="750" t="s">
        <v>1100</v>
      </c>
      <c r="B94" s="887">
        <f>SUM(B95:B110)</f>
        <v>107742794290.12999</v>
      </c>
      <c r="C94" s="887">
        <f>SUM(C95:C110)</f>
        <v>121790223603.26999</v>
      </c>
      <c r="D94" s="1109">
        <f t="shared" si="39"/>
        <v>0.13037929270066131</v>
      </c>
      <c r="E94" s="887">
        <f>SUM(E95:E110)</f>
        <v>138720661080</v>
      </c>
      <c r="F94" s="1109">
        <f t="shared" si="40"/>
        <v>0.13901310775059156</v>
      </c>
      <c r="G94" s="887">
        <f>SUM(G95:G110)</f>
        <v>143891587484.09998</v>
      </c>
      <c r="H94" s="1109">
        <f t="shared" si="41"/>
        <v>3.7275820082185954E-2</v>
      </c>
      <c r="I94" s="887">
        <f>SUM(I95:I110)</f>
        <v>159829593376.34003</v>
      </c>
      <c r="J94" s="1109">
        <f t="shared" si="42"/>
        <v>0.11076398676886653</v>
      </c>
      <c r="K94" s="887">
        <f>SUM(K95:K111)</f>
        <v>171706788244.69998</v>
      </c>
      <c r="L94" s="887">
        <f t="shared" ref="L94:Q94" si="56">SUM(L95:L111)</f>
        <v>9.2389883885972921</v>
      </c>
      <c r="M94" s="1086">
        <f t="shared" si="56"/>
        <v>182122210136.75</v>
      </c>
      <c r="N94" s="890" t="e">
        <f t="shared" si="56"/>
        <v>#DIV/0!</v>
      </c>
      <c r="O94" s="1086">
        <f t="shared" si="56"/>
        <v>190482000000</v>
      </c>
      <c r="P94" s="1089">
        <f t="shared" si="56"/>
        <v>188262177787</v>
      </c>
      <c r="Q94" s="1089">
        <f t="shared" si="56"/>
        <v>130899349351.72</v>
      </c>
      <c r="R94" s="1089"/>
    </row>
    <row r="95" spans="1:18" ht="25.5" hidden="1" x14ac:dyDescent="0.25">
      <c r="A95" s="1141" t="s">
        <v>1101</v>
      </c>
      <c r="B95" s="898">
        <v>87690630035</v>
      </c>
      <c r="C95" s="898">
        <v>93842849807</v>
      </c>
      <c r="D95" s="1111">
        <f t="shared" si="39"/>
        <v>7.0158234346639564E-2</v>
      </c>
      <c r="E95" s="898">
        <v>104784789015</v>
      </c>
      <c r="F95" s="1111">
        <f t="shared" si="40"/>
        <v>0.11659853926541572</v>
      </c>
      <c r="G95" s="898">
        <v>112348234883</v>
      </c>
      <c r="H95" s="1111">
        <f t="shared" si="41"/>
        <v>7.2180761531306689E-2</v>
      </c>
      <c r="I95" s="898">
        <v>121574561361</v>
      </c>
      <c r="J95" s="1111">
        <f t="shared" si="42"/>
        <v>8.2122576181177576E-2</v>
      </c>
      <c r="K95" s="898">
        <v>129499737226</v>
      </c>
      <c r="L95" s="1111">
        <f t="shared" si="43"/>
        <v>6.5187780866979322E-2</v>
      </c>
      <c r="M95" s="1088">
        <v>137464911058</v>
      </c>
      <c r="N95" s="1111">
        <f t="shared" si="38"/>
        <v>6.1507258644852382E-2</v>
      </c>
      <c r="O95" s="1088"/>
      <c r="P95" s="1088"/>
      <c r="Q95" s="1088"/>
      <c r="R95" s="1098"/>
    </row>
    <row r="96" spans="1:18" ht="25.5" hidden="1" x14ac:dyDescent="0.25">
      <c r="A96" s="1141" t="s">
        <v>1102</v>
      </c>
      <c r="B96" s="898">
        <v>10919071675</v>
      </c>
      <c r="C96" s="898">
        <v>11873114014</v>
      </c>
      <c r="D96" s="1111">
        <f t="shared" si="39"/>
        <v>8.7373942345698535E-2</v>
      </c>
      <c r="E96" s="898">
        <v>13041415193</v>
      </c>
      <c r="F96" s="1111">
        <f t="shared" si="40"/>
        <v>9.8398884877414272E-2</v>
      </c>
      <c r="G96" s="898">
        <v>11304023703</v>
      </c>
      <c r="H96" s="1111">
        <f t="shared" si="41"/>
        <v>-0.1332210856174986</v>
      </c>
      <c r="I96" s="898">
        <v>15004128114</v>
      </c>
      <c r="J96" s="1111">
        <f t="shared" si="42"/>
        <v>0.32732631390520006</v>
      </c>
      <c r="K96" s="898">
        <v>15490716241</v>
      </c>
      <c r="L96" s="1111">
        <f t="shared" si="43"/>
        <v>3.2430283406203124E-2</v>
      </c>
      <c r="M96" s="1088">
        <v>28315024554</v>
      </c>
      <c r="N96" s="1111">
        <f t="shared" si="38"/>
        <v>0.82787058477369213</v>
      </c>
      <c r="O96" s="1088"/>
      <c r="P96" s="1088"/>
      <c r="Q96" s="1088"/>
      <c r="R96" s="1098"/>
    </row>
    <row r="97" spans="1:19" hidden="1" x14ac:dyDescent="0.25">
      <c r="A97" s="1141" t="s">
        <v>1103</v>
      </c>
      <c r="B97" s="898">
        <v>4872244561</v>
      </c>
      <c r="C97" s="898">
        <v>5172005441</v>
      </c>
      <c r="D97" s="1111">
        <f t="shared" si="39"/>
        <v>6.1524185875118674E-2</v>
      </c>
      <c r="E97" s="898">
        <v>5799474816</v>
      </c>
      <c r="F97" s="1111">
        <f t="shared" si="40"/>
        <v>0.12132032383915661</v>
      </c>
      <c r="G97" s="898">
        <v>6252280399</v>
      </c>
      <c r="H97" s="1111">
        <f t="shared" si="41"/>
        <v>7.8076997894838351E-2</v>
      </c>
      <c r="I97" s="898">
        <v>6820702500</v>
      </c>
      <c r="J97" s="1111">
        <f t="shared" si="42"/>
        <v>9.0914364795749464E-2</v>
      </c>
      <c r="K97" s="898">
        <v>7546055176</v>
      </c>
      <c r="L97" s="1111">
        <f t="shared" si="43"/>
        <v>0.1063457431254332</v>
      </c>
      <c r="M97" s="1088"/>
      <c r="N97" s="1111"/>
      <c r="O97" s="1088">
        <f>+[2]MX8!G230</f>
        <v>29000000000</v>
      </c>
      <c r="P97" s="1088">
        <f>+[2]MX8!H230</f>
        <v>29000000000</v>
      </c>
      <c r="Q97" s="1088">
        <f>+[2]MX8!I230</f>
        <v>19254725762</v>
      </c>
      <c r="R97" s="1098"/>
    </row>
    <row r="98" spans="1:19" ht="25.5" hidden="1" x14ac:dyDescent="0.25">
      <c r="A98" s="1141" t="s">
        <v>1104</v>
      </c>
      <c r="B98" s="898">
        <v>497850292</v>
      </c>
      <c r="C98" s="898">
        <v>331053944</v>
      </c>
      <c r="D98" s="1111">
        <f t="shared" si="39"/>
        <v>-0.33503314285492075</v>
      </c>
      <c r="E98" s="898">
        <v>1165770164</v>
      </c>
      <c r="F98" s="1111">
        <f t="shared" si="40"/>
        <v>2.5213903508124345</v>
      </c>
      <c r="G98" s="898">
        <v>0</v>
      </c>
      <c r="H98" s="1111">
        <f t="shared" si="41"/>
        <v>-1</v>
      </c>
      <c r="I98" s="898">
        <v>0</v>
      </c>
      <c r="J98" s="1111"/>
      <c r="K98" s="898">
        <v>0</v>
      </c>
      <c r="L98" s="1111"/>
      <c r="M98" s="1088"/>
      <c r="N98" s="1111"/>
      <c r="O98" s="1088">
        <f>+[2]MX8!G229</f>
        <v>150387000000</v>
      </c>
      <c r="P98" s="1088">
        <f>+[2]MX8!H229</f>
        <v>150199703020</v>
      </c>
      <c r="Q98" s="1088">
        <f>+[2]MX8!I229</f>
        <v>102199618972</v>
      </c>
      <c r="R98" s="1098"/>
    </row>
    <row r="99" spans="1:19" hidden="1" x14ac:dyDescent="0.25">
      <c r="A99" s="1141" t="s">
        <v>1105</v>
      </c>
      <c r="B99" s="898">
        <v>0</v>
      </c>
      <c r="C99" s="898">
        <v>2286422317</v>
      </c>
      <c r="D99" s="1111"/>
      <c r="E99" s="898">
        <v>1674921512</v>
      </c>
      <c r="F99" s="1111">
        <f t="shared" si="40"/>
        <v>-0.26744875627453912</v>
      </c>
      <c r="G99" s="898">
        <v>473723491</v>
      </c>
      <c r="H99" s="1111">
        <f t="shared" si="41"/>
        <v>-0.71716675222928294</v>
      </c>
      <c r="I99" s="898">
        <v>208780149</v>
      </c>
      <c r="J99" s="1111">
        <f t="shared" si="42"/>
        <v>-0.55927845469668713</v>
      </c>
      <c r="K99" s="898">
        <v>2132055875</v>
      </c>
      <c r="L99" s="1111">
        <f t="shared" si="43"/>
        <v>9.2119664403534838</v>
      </c>
      <c r="M99" s="1088"/>
      <c r="N99" s="1111"/>
      <c r="O99" s="1088"/>
      <c r="P99" s="1088"/>
      <c r="Q99" s="1088"/>
      <c r="R99" s="1098"/>
    </row>
    <row r="100" spans="1:19" hidden="1" x14ac:dyDescent="0.25">
      <c r="A100" s="1141" t="s">
        <v>1106</v>
      </c>
      <c r="B100" s="898">
        <v>0</v>
      </c>
      <c r="C100" s="898">
        <v>0</v>
      </c>
      <c r="D100" s="1111"/>
      <c r="E100" s="898">
        <v>0</v>
      </c>
      <c r="F100" s="1111"/>
      <c r="G100" s="898">
        <v>1398927989</v>
      </c>
      <c r="H100" s="1111"/>
      <c r="I100" s="898">
        <v>1066978976</v>
      </c>
      <c r="J100" s="1111">
        <f t="shared" si="42"/>
        <v>-0.23728813463607096</v>
      </c>
      <c r="K100" s="898"/>
      <c r="L100" s="1111">
        <f t="shared" si="43"/>
        <v>-1</v>
      </c>
      <c r="M100" s="1088">
        <v>1522780551</v>
      </c>
      <c r="N100" s="1111" t="e">
        <f t="shared" si="38"/>
        <v>#DIV/0!</v>
      </c>
      <c r="O100" s="1088"/>
      <c r="P100" s="1088"/>
      <c r="Q100" s="1088"/>
      <c r="R100" s="1098"/>
    </row>
    <row r="101" spans="1:19" s="54" customFormat="1" hidden="1" x14ac:dyDescent="0.25">
      <c r="A101" s="1141" t="s">
        <v>1107</v>
      </c>
      <c r="B101" s="898">
        <v>1047079382</v>
      </c>
      <c r="C101" s="898">
        <v>900118982</v>
      </c>
      <c r="D101" s="1111">
        <f t="shared" si="39"/>
        <v>-0.14035268244829216</v>
      </c>
      <c r="E101" s="898">
        <v>6689359708</v>
      </c>
      <c r="F101" s="1111">
        <f t="shared" si="40"/>
        <v>6.4316394185318932</v>
      </c>
      <c r="G101" s="898">
        <v>6824682132</v>
      </c>
      <c r="H101" s="1111">
        <f t="shared" si="41"/>
        <v>2.0229503256965532E-2</v>
      </c>
      <c r="I101" s="898">
        <v>11854075866</v>
      </c>
      <c r="J101" s="1111">
        <f t="shared" si="42"/>
        <v>0.73694182919052909</v>
      </c>
      <c r="K101" s="898">
        <v>394351422</v>
      </c>
      <c r="L101" s="1111">
        <f t="shared" si="43"/>
        <v>-0.96673284139077564</v>
      </c>
      <c r="M101" s="1088">
        <v>10566387719</v>
      </c>
      <c r="N101" s="1111">
        <f t="shared" si="38"/>
        <v>25.794344154792981</v>
      </c>
      <c r="O101" s="1088"/>
      <c r="P101" s="1088"/>
      <c r="Q101" s="1088"/>
      <c r="R101" s="1098"/>
    </row>
    <row r="102" spans="1:19" hidden="1" x14ac:dyDescent="0.25">
      <c r="A102" s="1141" t="s">
        <v>1108</v>
      </c>
      <c r="B102" s="898">
        <v>358399623</v>
      </c>
      <c r="C102" s="898">
        <v>1007986508</v>
      </c>
      <c r="D102" s="1111">
        <f t="shared" si="39"/>
        <v>1.812465313335444</v>
      </c>
      <c r="E102" s="898">
        <v>865977334</v>
      </c>
      <c r="F102" s="1111">
        <f t="shared" si="40"/>
        <v>-0.14088400278468807</v>
      </c>
      <c r="G102" s="898">
        <v>0</v>
      </c>
      <c r="H102" s="1111">
        <f t="shared" si="41"/>
        <v>-1</v>
      </c>
      <c r="I102" s="898">
        <v>0</v>
      </c>
      <c r="J102" s="1111"/>
      <c r="K102" s="898">
        <v>0</v>
      </c>
      <c r="L102" s="1111"/>
      <c r="M102" s="1088"/>
      <c r="N102" s="1111"/>
      <c r="O102" s="1088"/>
      <c r="P102" s="1088"/>
      <c r="Q102" s="1088"/>
      <c r="R102" s="1098"/>
    </row>
    <row r="103" spans="1:19" hidden="1" x14ac:dyDescent="0.25">
      <c r="A103" s="1141" t="s">
        <v>1109</v>
      </c>
      <c r="B103" s="898">
        <v>0</v>
      </c>
      <c r="C103" s="898">
        <v>0</v>
      </c>
      <c r="D103" s="1111"/>
      <c r="E103" s="898">
        <f>736918016.46+133472408</f>
        <v>870390424.46000004</v>
      </c>
      <c r="F103" s="1111"/>
      <c r="G103" s="898">
        <v>541130170</v>
      </c>
      <c r="H103" s="1111">
        <f t="shared" si="41"/>
        <v>-0.37829029962533972</v>
      </c>
      <c r="I103" s="898">
        <v>909383464.76999998</v>
      </c>
      <c r="J103" s="1111">
        <f t="shared" si="42"/>
        <v>0.68052626740438438</v>
      </c>
      <c r="K103" s="898">
        <v>1577225437.5699999</v>
      </c>
      <c r="L103" s="1111">
        <f t="shared" si="43"/>
        <v>0.73438983517135936</v>
      </c>
      <c r="M103" s="1088">
        <v>562401771.39999998</v>
      </c>
      <c r="N103" s="1111">
        <f t="shared" si="38"/>
        <v>-0.64342334456228323</v>
      </c>
      <c r="O103" s="1088"/>
      <c r="P103" s="1088"/>
      <c r="Q103" s="1088"/>
      <c r="R103" s="1098"/>
    </row>
    <row r="104" spans="1:19" ht="25.5" hidden="1" x14ac:dyDescent="0.25">
      <c r="A104" s="1141" t="s">
        <v>1110</v>
      </c>
      <c r="B104" s="898"/>
      <c r="C104" s="898"/>
      <c r="D104" s="1111"/>
      <c r="E104" s="898"/>
      <c r="F104" s="1111"/>
      <c r="G104" s="898"/>
      <c r="H104" s="1111"/>
      <c r="I104" s="898"/>
      <c r="J104" s="1111"/>
      <c r="K104" s="898">
        <v>11808385933</v>
      </c>
      <c r="L104" s="1111"/>
      <c r="M104" s="1088"/>
      <c r="N104" s="1111"/>
      <c r="O104" s="1088">
        <f>+[2]MX8!G237</f>
        <v>11000000000</v>
      </c>
      <c r="P104" s="1088">
        <f>+[2]MX8!H237</f>
        <v>8967474767</v>
      </c>
      <c r="Q104" s="1088">
        <f>+[2]MX8!I237</f>
        <v>9333161322</v>
      </c>
      <c r="R104" s="1098"/>
    </row>
    <row r="105" spans="1:19" hidden="1" x14ac:dyDescent="0.25">
      <c r="A105" s="1141" t="s">
        <v>1111</v>
      </c>
      <c r="B105" s="898">
        <v>198879475.44999999</v>
      </c>
      <c r="C105" s="898">
        <v>235082680.68000001</v>
      </c>
      <c r="D105" s="1111">
        <f t="shared" si="39"/>
        <v>0.18203590465071301</v>
      </c>
      <c r="E105" s="898">
        <v>157562150.88999999</v>
      </c>
      <c r="F105" s="1111">
        <f t="shared" si="40"/>
        <v>-0.32975857500758537</v>
      </c>
      <c r="G105" s="898">
        <v>73380582.859999999</v>
      </c>
      <c r="H105" s="1111">
        <f t="shared" si="41"/>
        <v>-0.53427531646715254</v>
      </c>
      <c r="I105" s="898">
        <v>38632920.229999997</v>
      </c>
      <c r="J105" s="1111">
        <f t="shared" si="42"/>
        <v>-0.47352666435334451</v>
      </c>
      <c r="K105" s="898">
        <v>20045809.960000001</v>
      </c>
      <c r="L105" s="1111">
        <f t="shared" si="43"/>
        <v>-0.48112102733477463</v>
      </c>
      <c r="M105" s="1088">
        <v>5298684.09</v>
      </c>
      <c r="N105" s="1111">
        <f t="shared" si="38"/>
        <v>-0.73567123999613138</v>
      </c>
      <c r="O105" s="1088">
        <f>+[2]MX8!G239</f>
        <v>15000000</v>
      </c>
      <c r="P105" s="1088">
        <f>+[2]MX8!H239</f>
        <v>15000000</v>
      </c>
      <c r="Q105" s="1088">
        <f>+[2]MX8!I239</f>
        <v>105008284.72</v>
      </c>
      <c r="R105" s="1098"/>
    </row>
    <row r="106" spans="1:19" hidden="1" x14ac:dyDescent="0.25">
      <c r="A106" s="1141" t="s">
        <v>606</v>
      </c>
      <c r="B106" s="898">
        <v>24474611</v>
      </c>
      <c r="C106" s="898">
        <v>0</v>
      </c>
      <c r="D106" s="1111">
        <f t="shared" si="39"/>
        <v>-1</v>
      </c>
      <c r="E106" s="898">
        <v>0</v>
      </c>
      <c r="F106" s="1111"/>
      <c r="G106" s="898">
        <v>93678610</v>
      </c>
      <c r="H106" s="1111"/>
      <c r="I106" s="898">
        <v>21516737</v>
      </c>
      <c r="J106" s="1111">
        <f t="shared" si="42"/>
        <v>-0.77031323372539362</v>
      </c>
      <c r="K106" s="898">
        <v>20634024</v>
      </c>
      <c r="L106" s="1111">
        <f t="shared" si="43"/>
        <v>-4.1024482476130095E-2</v>
      </c>
      <c r="M106" s="1088">
        <v>253619883</v>
      </c>
      <c r="N106" s="1111">
        <f t="shared" si="38"/>
        <v>11.291343801868216</v>
      </c>
      <c r="O106" s="1088">
        <f>+[2]MX8!G263</f>
        <v>80000000</v>
      </c>
      <c r="P106" s="1088">
        <f>+[2]MX8!H263</f>
        <v>80000000</v>
      </c>
      <c r="Q106" s="1088">
        <f>+[2]MX8!I263</f>
        <v>6835011</v>
      </c>
      <c r="R106" s="1098"/>
    </row>
    <row r="107" spans="1:19" s="54" customFormat="1" hidden="1" x14ac:dyDescent="0.25">
      <c r="A107" s="1141">
        <v>0</v>
      </c>
      <c r="B107" s="898">
        <v>0</v>
      </c>
      <c r="C107" s="898">
        <v>0</v>
      </c>
      <c r="D107" s="1111"/>
      <c r="E107" s="898">
        <v>0</v>
      </c>
      <c r="F107" s="1111"/>
      <c r="G107" s="898">
        <v>0</v>
      </c>
      <c r="H107" s="1111"/>
      <c r="I107" s="898">
        <v>0</v>
      </c>
      <c r="J107" s="1111"/>
      <c r="K107" s="898">
        <v>0</v>
      </c>
      <c r="L107" s="1111"/>
      <c r="M107" s="1088"/>
      <c r="N107" s="1111"/>
      <c r="O107" s="1088"/>
      <c r="P107" s="1088"/>
      <c r="Q107" s="1088"/>
      <c r="R107" s="1098"/>
    </row>
    <row r="108" spans="1:19" hidden="1" x14ac:dyDescent="0.2">
      <c r="A108" s="1141" t="s">
        <v>1112</v>
      </c>
      <c r="B108" s="898">
        <v>5881374.3399999999</v>
      </c>
      <c r="C108" s="898">
        <v>8053072.2999999998</v>
      </c>
      <c r="D108" s="1111">
        <f t="shared" si="39"/>
        <v>0.36925008245606755</v>
      </c>
      <c r="E108" s="898">
        <v>4959871</v>
      </c>
      <c r="F108" s="1111">
        <f t="shared" si="40"/>
        <v>-0.3841020153264984</v>
      </c>
      <c r="G108" s="898">
        <v>90796581.239999995</v>
      </c>
      <c r="H108" s="1111">
        <f t="shared" si="41"/>
        <v>17.306238456605019</v>
      </c>
      <c r="I108" s="898">
        <v>58528086.950000003</v>
      </c>
      <c r="J108" s="1111">
        <f t="shared" si="42"/>
        <v>-0.35539327416640948</v>
      </c>
      <c r="K108" s="898">
        <v>177233425.88</v>
      </c>
      <c r="L108" s="1111">
        <f t="shared" si="43"/>
        <v>2.0281773267492724</v>
      </c>
      <c r="M108" s="1088">
        <v>4410980.9400000004</v>
      </c>
      <c r="N108" s="1111">
        <f t="shared" si="38"/>
        <v>-0.97511202574740863</v>
      </c>
      <c r="O108" s="1088"/>
      <c r="P108" s="1088"/>
      <c r="Q108" s="1088"/>
      <c r="R108" s="1098"/>
      <c r="S108" s="653"/>
    </row>
    <row r="109" spans="1:19" hidden="1" x14ac:dyDescent="0.2">
      <c r="A109" s="1141" t="s">
        <v>1113</v>
      </c>
      <c r="B109" s="898"/>
      <c r="C109" s="898"/>
      <c r="D109" s="1111"/>
      <c r="E109" s="898"/>
      <c r="F109" s="1111"/>
      <c r="G109" s="898"/>
      <c r="H109" s="1111"/>
      <c r="I109" s="898"/>
      <c r="J109" s="1111"/>
      <c r="K109" s="898"/>
      <c r="L109" s="1111"/>
      <c r="M109" s="1088"/>
      <c r="N109" s="1111"/>
      <c r="O109" s="1088"/>
      <c r="P109" s="1088"/>
      <c r="Q109" s="1088"/>
      <c r="R109" s="1098"/>
      <c r="S109" s="653"/>
    </row>
    <row r="110" spans="1:19" hidden="1" x14ac:dyDescent="0.25">
      <c r="A110" s="1141" t="s">
        <v>1114</v>
      </c>
      <c r="B110" s="898">
        <v>2128283261.3399999</v>
      </c>
      <c r="C110" s="898">
        <v>6133536837.29</v>
      </c>
      <c r="D110" s="1111">
        <f t="shared" si="39"/>
        <v>1.8819175288858074</v>
      </c>
      <c r="E110" s="898">
        <v>3666040891.6500001</v>
      </c>
      <c r="F110" s="1111">
        <f t="shared" si="40"/>
        <v>-0.40229577340081996</v>
      </c>
      <c r="G110" s="898">
        <v>4490728943</v>
      </c>
      <c r="H110" s="1111">
        <f t="shared" si="41"/>
        <v>0.22495331495847742</v>
      </c>
      <c r="I110" s="898">
        <v>2272305201.3899999</v>
      </c>
      <c r="J110" s="1111">
        <f t="shared" si="42"/>
        <v>-0.49400081139789248</v>
      </c>
      <c r="K110" s="898">
        <v>1248334786.3299999</v>
      </c>
      <c r="L110" s="1111">
        <f t="shared" si="43"/>
        <v>-0.45063066987375788</v>
      </c>
      <c r="M110" s="1088">
        <v>3427374935.3200002</v>
      </c>
      <c r="N110" s="1111">
        <f t="shared" si="38"/>
        <v>1.7455575001608314</v>
      </c>
      <c r="O110" s="1088"/>
      <c r="P110" s="1088"/>
      <c r="Q110" s="1088"/>
      <c r="R110" s="1098"/>
    </row>
    <row r="111" spans="1:19" hidden="1" x14ac:dyDescent="0.25">
      <c r="A111" s="1141" t="s">
        <v>1115</v>
      </c>
      <c r="B111" s="898"/>
      <c r="C111" s="898"/>
      <c r="D111" s="1111"/>
      <c r="E111" s="898"/>
      <c r="F111" s="1111"/>
      <c r="G111" s="898"/>
      <c r="H111" s="1111"/>
      <c r="I111" s="898"/>
      <c r="J111" s="1111"/>
      <c r="K111" s="898">
        <v>1792012887.96</v>
      </c>
      <c r="L111" s="1111"/>
      <c r="M111" s="1088"/>
      <c r="N111" s="1111"/>
      <c r="O111" s="1088"/>
      <c r="P111" s="1088"/>
      <c r="Q111" s="1088"/>
      <c r="R111" s="1098"/>
    </row>
    <row r="112" spans="1:19" s="54" customFormat="1" x14ac:dyDescent="0.25">
      <c r="A112" s="750" t="s">
        <v>1116</v>
      </c>
      <c r="B112" s="887">
        <f t="shared" ref="B112:I112" si="57">+B113+B122</f>
        <v>37602321159.610001</v>
      </c>
      <c r="C112" s="887">
        <f t="shared" si="57"/>
        <v>37962033916.790001</v>
      </c>
      <c r="D112" s="1109">
        <f t="shared" si="39"/>
        <v>9.5662380961306359E-3</v>
      </c>
      <c r="E112" s="887">
        <f t="shared" si="57"/>
        <v>39877666683.590004</v>
      </c>
      <c r="F112" s="1109">
        <f t="shared" si="40"/>
        <v>5.0461805365827603E-2</v>
      </c>
      <c r="G112" s="887">
        <f t="shared" si="57"/>
        <v>48951107958.570007</v>
      </c>
      <c r="H112" s="1109">
        <f t="shared" si="41"/>
        <v>0.22753190017293065</v>
      </c>
      <c r="I112" s="887">
        <f t="shared" si="57"/>
        <v>49171571939.529999</v>
      </c>
      <c r="J112" s="1109">
        <f t="shared" si="42"/>
        <v>4.5037587534603333E-3</v>
      </c>
      <c r="K112" s="887">
        <f>+K113+K122</f>
        <v>50905091650.440002</v>
      </c>
      <c r="L112" s="1109">
        <f t="shared" si="43"/>
        <v>3.5254510737257778E-2</v>
      </c>
      <c r="M112" s="1086">
        <f>+M113+M122</f>
        <v>76106464640.550003</v>
      </c>
      <c r="N112" s="890" t="e">
        <f t="shared" ref="N112" si="58">+N113+N122</f>
        <v>#DIV/0!</v>
      </c>
      <c r="O112" s="1086">
        <f>+[2]MX8!G266</f>
        <v>47036328956</v>
      </c>
      <c r="P112" s="1086">
        <f>+[2]MX8!H266</f>
        <v>72969911835.220001</v>
      </c>
      <c r="Q112" s="1086">
        <f>+[2]MX8!I266</f>
        <v>59902516565.5</v>
      </c>
      <c r="R112" s="1089"/>
    </row>
    <row r="113" spans="1:21" ht="22.5" hidden="1" customHeight="1" x14ac:dyDescent="0.25">
      <c r="A113" s="1139" t="s">
        <v>1117</v>
      </c>
      <c r="B113" s="890">
        <f>+B114+B115+B116+B117</f>
        <v>10862223177.360001</v>
      </c>
      <c r="C113" s="890">
        <f t="shared" ref="C113:I113" si="59">+C114+C115+C116+C117</f>
        <v>10606672958.790001</v>
      </c>
      <c r="D113" s="1112">
        <f t="shared" si="39"/>
        <v>-2.3526511506653618E-2</v>
      </c>
      <c r="E113" s="890">
        <f t="shared" si="59"/>
        <v>11972030911.469999</v>
      </c>
      <c r="F113" s="1112">
        <f t="shared" si="40"/>
        <v>0.12872631766670001</v>
      </c>
      <c r="G113" s="890">
        <f t="shared" si="59"/>
        <v>12552476761.440001</v>
      </c>
      <c r="H113" s="1112">
        <f t="shared" si="41"/>
        <v>4.8483490751255548E-2</v>
      </c>
      <c r="I113" s="890">
        <f t="shared" si="59"/>
        <v>13736315057.25</v>
      </c>
      <c r="J113" s="1112">
        <f t="shared" si="42"/>
        <v>9.431113224177691E-2</v>
      </c>
      <c r="K113" s="890">
        <f>+K114+K115+K116+K117+K118+K119+K120+K121</f>
        <v>9922867082.1499996</v>
      </c>
      <c r="L113" s="1112">
        <f t="shared" si="43"/>
        <v>-0.27761797535993976</v>
      </c>
      <c r="M113" s="1089">
        <f>+M114+M115+M116+M117+M118+M119+M120+M121</f>
        <v>12746774694.959999</v>
      </c>
      <c r="N113" s="890">
        <f t="shared" ref="N113:Q113" si="60">+N114+N115+N116+N117+N118+N119+N120+N121</f>
        <v>-0.59377942486506852</v>
      </c>
      <c r="O113" s="1089">
        <f t="shared" si="60"/>
        <v>5999240891</v>
      </c>
      <c r="P113" s="1089">
        <f t="shared" si="60"/>
        <v>6352112887</v>
      </c>
      <c r="Q113" s="1089">
        <f t="shared" si="60"/>
        <v>4769780501</v>
      </c>
      <c r="R113" s="1089"/>
    </row>
    <row r="114" spans="1:21" hidden="1" x14ac:dyDescent="0.25">
      <c r="A114" s="1141" t="s">
        <v>1118</v>
      </c>
      <c r="B114" s="898">
        <v>3268453697</v>
      </c>
      <c r="C114" s="898">
        <v>2679025225</v>
      </c>
      <c r="D114" s="1111">
        <f t="shared" si="39"/>
        <v>-0.18033863307931083</v>
      </c>
      <c r="E114" s="898">
        <v>4023301690</v>
      </c>
      <c r="F114" s="1111">
        <f t="shared" si="40"/>
        <v>0.50177820367480863</v>
      </c>
      <c r="G114" s="898">
        <v>4015575201</v>
      </c>
      <c r="H114" s="1111">
        <f t="shared" si="41"/>
        <v>-1.9204349052929213E-3</v>
      </c>
      <c r="I114" s="898">
        <v>5489644949</v>
      </c>
      <c r="J114" s="1111">
        <f t="shared" si="42"/>
        <v>0.3670880693836619</v>
      </c>
      <c r="K114" s="898">
        <v>653194793</v>
      </c>
      <c r="L114" s="1111">
        <f t="shared" si="43"/>
        <v>-0.88101328973579851</v>
      </c>
      <c r="M114" s="1088">
        <v>0</v>
      </c>
      <c r="N114" s="1111">
        <f t="shared" si="38"/>
        <v>-1</v>
      </c>
      <c r="O114" s="1088"/>
      <c r="P114" s="1088"/>
      <c r="Q114" s="1088"/>
      <c r="R114" s="1098"/>
    </row>
    <row r="115" spans="1:21" s="54" customFormat="1" hidden="1" x14ac:dyDescent="0.25">
      <c r="A115" s="1141" t="s">
        <v>1119</v>
      </c>
      <c r="B115" s="898">
        <v>3071600187</v>
      </c>
      <c r="C115" s="898">
        <v>3336122674</v>
      </c>
      <c r="D115" s="1111">
        <f t="shared" si="39"/>
        <v>8.6118788545314018E-2</v>
      </c>
      <c r="E115" s="898">
        <v>3766060273</v>
      </c>
      <c r="F115" s="1111">
        <f t="shared" si="40"/>
        <v>0.12887343812345672</v>
      </c>
      <c r="G115" s="898">
        <v>3649631270</v>
      </c>
      <c r="H115" s="1111">
        <f t="shared" si="41"/>
        <v>-3.0915331821615804E-2</v>
      </c>
      <c r="I115" s="898">
        <v>4170349428</v>
      </c>
      <c r="J115" s="1111">
        <f t="shared" si="42"/>
        <v>0.14267692253743761</v>
      </c>
      <c r="K115" s="898">
        <v>4088510241</v>
      </c>
      <c r="L115" s="1111">
        <f t="shared" si="43"/>
        <v>-1.9624059905034894E-2</v>
      </c>
      <c r="M115" s="1088">
        <v>4274847597</v>
      </c>
      <c r="N115" s="1111">
        <f t="shared" si="38"/>
        <v>4.5575856489581436E-2</v>
      </c>
      <c r="O115" s="1088">
        <f>+[2]MX8!G316</f>
        <v>4274847597</v>
      </c>
      <c r="P115" s="1088">
        <f>+[2]MX8!H316</f>
        <v>4595895597</v>
      </c>
      <c r="Q115" s="1088">
        <f>+[2]MX8!I316</f>
        <v>3454773309</v>
      </c>
      <c r="R115" s="1098"/>
    </row>
    <row r="116" spans="1:21" hidden="1" x14ac:dyDescent="0.25">
      <c r="A116" s="1141" t="s">
        <v>1120</v>
      </c>
      <c r="B116" s="898">
        <v>4240932615</v>
      </c>
      <c r="C116" s="898">
        <v>4368160593</v>
      </c>
      <c r="D116" s="1111">
        <f t="shared" si="39"/>
        <v>2.9999999893891263E-2</v>
      </c>
      <c r="E116" s="898">
        <v>3775114443</v>
      </c>
      <c r="F116" s="1111">
        <f t="shared" si="40"/>
        <v>-0.13576564720407933</v>
      </c>
      <c r="G116" s="898">
        <v>3775114443</v>
      </c>
      <c r="H116" s="1111">
        <f t="shared" si="41"/>
        <v>0</v>
      </c>
      <c r="I116" s="898">
        <v>3775114443</v>
      </c>
      <c r="J116" s="1111">
        <f t="shared" si="42"/>
        <v>0</v>
      </c>
      <c r="K116" s="898">
        <v>1496346983</v>
      </c>
      <c r="L116" s="1111">
        <f t="shared" si="43"/>
        <v>-0.60362870964757132</v>
      </c>
      <c r="M116" s="1088">
        <v>1724393294</v>
      </c>
      <c r="N116" s="1111">
        <f t="shared" si="38"/>
        <v>0.15240202545989295</v>
      </c>
      <c r="O116" s="1088">
        <f>+[2]MX8!G317</f>
        <v>1724393294</v>
      </c>
      <c r="P116" s="1088">
        <f>+[2]MX8!H317</f>
        <v>1756217290</v>
      </c>
      <c r="Q116" s="1088">
        <f>+[2]MX8!I317</f>
        <v>1315007192</v>
      </c>
      <c r="R116" s="1098"/>
    </row>
    <row r="117" spans="1:21" hidden="1" x14ac:dyDescent="0.25">
      <c r="A117" s="1139" t="s">
        <v>1121</v>
      </c>
      <c r="B117" s="1125">
        <f>+B118+B121</f>
        <v>281236678.36000001</v>
      </c>
      <c r="C117" s="1125">
        <f>+C118+C121</f>
        <v>223364466.78999999</v>
      </c>
      <c r="D117" s="1126">
        <f t="shared" si="39"/>
        <v>-0.20577761018753066</v>
      </c>
      <c r="E117" s="1125">
        <f>+E118+E121</f>
        <v>407554505.46999997</v>
      </c>
      <c r="F117" s="1126">
        <f t="shared" si="40"/>
        <v>0.82461656201194011</v>
      </c>
      <c r="G117" s="1125">
        <f>+G118+G121</f>
        <v>1112155847.4400001</v>
      </c>
      <c r="H117" s="1126">
        <f t="shared" si="41"/>
        <v>1.7288518039015168</v>
      </c>
      <c r="I117" s="1125">
        <f>+I118+I121</f>
        <v>301206237.25000006</v>
      </c>
      <c r="J117" s="1126">
        <f t="shared" si="42"/>
        <v>-0.72916903872480887</v>
      </c>
      <c r="K117" s="1125">
        <v>0</v>
      </c>
      <c r="L117" s="1126">
        <f t="shared" si="43"/>
        <v>-1</v>
      </c>
      <c r="M117" s="1096"/>
      <c r="N117" s="1126"/>
      <c r="O117" s="1096"/>
      <c r="P117" s="1096"/>
      <c r="Q117" s="1096"/>
      <c r="R117" s="1127"/>
    </row>
    <row r="118" spans="1:21" hidden="1" x14ac:dyDescent="0.25">
      <c r="A118" s="1141" t="s">
        <v>1122</v>
      </c>
      <c r="B118" s="898">
        <v>272945318.36000001</v>
      </c>
      <c r="C118" s="898">
        <v>216964466.78999999</v>
      </c>
      <c r="D118" s="1111">
        <f t="shared" si="39"/>
        <v>-0.20509914552249006</v>
      </c>
      <c r="E118" s="898">
        <v>377820579.46999997</v>
      </c>
      <c r="F118" s="1111">
        <f t="shared" si="40"/>
        <v>0.74139381005504779</v>
      </c>
      <c r="G118" s="898">
        <v>1108946309.4400001</v>
      </c>
      <c r="H118" s="1111">
        <f t="shared" si="41"/>
        <v>1.9351135689739565</v>
      </c>
      <c r="I118" s="898">
        <v>301206237.25000006</v>
      </c>
      <c r="J118" s="1111">
        <f t="shared" si="42"/>
        <v>-0.72838519350670428</v>
      </c>
      <c r="K118" s="898">
        <v>54947427.200000003</v>
      </c>
      <c r="L118" s="1111">
        <f t="shared" si="43"/>
        <v>-0.81757540049081445</v>
      </c>
      <c r="M118" s="1088">
        <v>73668570.230000004</v>
      </c>
      <c r="N118" s="1111">
        <f t="shared" si="38"/>
        <v>0.34071009297410743</v>
      </c>
      <c r="O118" s="1088"/>
      <c r="P118" s="1088"/>
      <c r="Q118" s="1088"/>
      <c r="R118" s="1098"/>
    </row>
    <row r="119" spans="1:21" hidden="1" x14ac:dyDescent="0.25">
      <c r="A119" s="1141" t="s">
        <v>1123</v>
      </c>
      <c r="B119" s="898"/>
      <c r="C119" s="898"/>
      <c r="D119" s="1111"/>
      <c r="E119" s="898"/>
      <c r="F119" s="1111"/>
      <c r="G119" s="898"/>
      <c r="H119" s="1111"/>
      <c r="I119" s="898"/>
      <c r="J119" s="1111"/>
      <c r="K119" s="898">
        <v>3573627166.1199999</v>
      </c>
      <c r="L119" s="1111"/>
      <c r="M119" s="1088">
        <v>6673865233.7300005</v>
      </c>
      <c r="N119" s="1111">
        <f t="shared" si="38"/>
        <v>0.8675326002113497</v>
      </c>
      <c r="O119" s="1088"/>
      <c r="P119" s="1088"/>
      <c r="Q119" s="1088"/>
      <c r="R119" s="1098"/>
    </row>
    <row r="120" spans="1:21" hidden="1" x14ac:dyDescent="0.25">
      <c r="A120" s="1141" t="s">
        <v>1124</v>
      </c>
      <c r="B120" s="898"/>
      <c r="C120" s="898"/>
      <c r="D120" s="1111"/>
      <c r="E120" s="898"/>
      <c r="F120" s="1111"/>
      <c r="G120" s="898"/>
      <c r="H120" s="1111"/>
      <c r="I120" s="898"/>
      <c r="J120" s="1111"/>
      <c r="K120" s="898">
        <v>51987321.829999998</v>
      </c>
      <c r="L120" s="1111"/>
      <c r="M120" s="1088"/>
      <c r="N120" s="1111"/>
      <c r="O120" s="1088"/>
      <c r="P120" s="1088"/>
      <c r="Q120" s="1088"/>
      <c r="R120" s="1098"/>
    </row>
    <row r="121" spans="1:21" s="54" customFormat="1" hidden="1" x14ac:dyDescent="0.25">
      <c r="A121" s="1141" t="s">
        <v>606</v>
      </c>
      <c r="B121" s="898">
        <v>8291360</v>
      </c>
      <c r="C121" s="898">
        <v>6400000</v>
      </c>
      <c r="D121" s="1111">
        <f t="shared" si="39"/>
        <v>-0.22811215530383436</v>
      </c>
      <c r="E121" s="898">
        <v>29733926</v>
      </c>
      <c r="F121" s="1111">
        <f t="shared" si="40"/>
        <v>3.6459259374999999</v>
      </c>
      <c r="G121" s="898">
        <v>3209538</v>
      </c>
      <c r="H121" s="1111">
        <f t="shared" si="41"/>
        <v>-0.89205804843934833</v>
      </c>
      <c r="I121" s="898">
        <v>0</v>
      </c>
      <c r="J121" s="1111">
        <f t="shared" si="42"/>
        <v>-1</v>
      </c>
      <c r="K121" s="898">
        <v>4253150</v>
      </c>
      <c r="L121" s="1111"/>
      <c r="M121" s="1088">
        <v>0</v>
      </c>
      <c r="N121" s="1111">
        <f t="shared" si="38"/>
        <v>-1</v>
      </c>
      <c r="O121" s="1088"/>
      <c r="P121" s="1088"/>
      <c r="Q121" s="1088"/>
      <c r="R121" s="1098"/>
    </row>
    <row r="122" spans="1:21" s="54" customFormat="1" hidden="1" x14ac:dyDescent="0.25">
      <c r="A122" s="1139" t="s">
        <v>1125</v>
      </c>
      <c r="B122" s="890">
        <f>SUM(B123:B144)</f>
        <v>26740097982.25</v>
      </c>
      <c r="C122" s="890">
        <f>SUM(C123:C144)</f>
        <v>27355360958</v>
      </c>
      <c r="D122" s="1112">
        <f t="shared" si="39"/>
        <v>2.300900229155517E-2</v>
      </c>
      <c r="E122" s="890">
        <f>SUM(E123:E144)</f>
        <v>27905635772.120003</v>
      </c>
      <c r="F122" s="1112">
        <f t="shared" si="40"/>
        <v>2.0115794303166613E-2</v>
      </c>
      <c r="G122" s="890">
        <f>SUM(G123:G144)</f>
        <v>36398631197.130005</v>
      </c>
      <c r="H122" s="1112">
        <f t="shared" si="41"/>
        <v>0.30434696039053138</v>
      </c>
      <c r="I122" s="890">
        <f>SUM(I123:I144)</f>
        <v>35435256882.279999</v>
      </c>
      <c r="J122" s="1112">
        <f t="shared" si="42"/>
        <v>-2.6467322620801387E-2</v>
      </c>
      <c r="K122" s="890">
        <f>SUM(K123:K150)</f>
        <v>40982224568.290001</v>
      </c>
      <c r="L122" s="1112">
        <f t="shared" si="43"/>
        <v>0.15653809719618139</v>
      </c>
      <c r="M122" s="1089">
        <f>SUM(M144+M143+M142+M141+M140+M139+M137+M138+M136+M135+M134+M133+M132+M131+M130+M129+M128+M127+M126+M125+M124+M123)</f>
        <v>63359689945.590004</v>
      </c>
      <c r="N122" s="890" t="e">
        <f t="shared" ref="N122" si="61">SUM(N144+N143+N142+N141+N140+N139+N137+N138+N136+N135+N134+N133+N132+N131+N130+N129+N128+N127+N126+N125+N124+N123)</f>
        <v>#DIV/0!</v>
      </c>
      <c r="O122" s="1089">
        <f>SUM(O144+O143+O142+O141+O140+O139+O137+O138+O136+O135+O134+O133+O132+O131+O130+O129+O128+O127+O126+O125+O124+O123)</f>
        <v>41030088065</v>
      </c>
      <c r="P122" s="1089">
        <f t="shared" ref="P122:Q122" si="62">SUM(P144+P143+P142+P141+P140+P139+P137+P138+P136+P135+P134+P133+P132+P131+P130+P129+P128+P127+P126+P125+P124+P123)</f>
        <v>56373384138.700005</v>
      </c>
      <c r="Q122" s="1089">
        <f t="shared" si="62"/>
        <v>48712266730.119995</v>
      </c>
      <c r="R122" s="1089"/>
    </row>
    <row r="123" spans="1:21" s="54" customFormat="1" hidden="1" x14ac:dyDescent="0.25">
      <c r="A123" s="1141" t="s">
        <v>1126</v>
      </c>
      <c r="B123" s="898">
        <v>5789206170.0200005</v>
      </c>
      <c r="C123" s="898">
        <v>5672144131.0300007</v>
      </c>
      <c r="D123" s="1111">
        <f t="shared" si="39"/>
        <v>-2.0220741074349291E-2</v>
      </c>
      <c r="E123" s="898">
        <v>6027990334.6000004</v>
      </c>
      <c r="F123" s="1111">
        <f t="shared" si="40"/>
        <v>6.2735747778923559E-2</v>
      </c>
      <c r="G123" s="898">
        <v>7130051158.6499996</v>
      </c>
      <c r="H123" s="1111">
        <f t="shared" si="41"/>
        <v>0.18282392022500293</v>
      </c>
      <c r="I123" s="898">
        <v>7726424298.9000006</v>
      </c>
      <c r="J123" s="1111">
        <f t="shared" si="42"/>
        <v>8.3642196525686358E-2</v>
      </c>
      <c r="K123" s="898">
        <v>5002236005</v>
      </c>
      <c r="L123" s="1111">
        <f t="shared" si="43"/>
        <v>-0.35258072667428308</v>
      </c>
      <c r="M123" s="1088">
        <v>10032307360.9</v>
      </c>
      <c r="N123" s="1111">
        <f t="shared" si="38"/>
        <v>1.0055645816935019</v>
      </c>
      <c r="O123" s="1088">
        <f>+[2]MX8!G352</f>
        <v>7858326764.2399998</v>
      </c>
      <c r="P123" s="1088">
        <f>+[2]MX8!H352</f>
        <v>8165239751.5500002</v>
      </c>
      <c r="Q123" s="1088">
        <f>+[2]MX8!I352</f>
        <v>7788828132.0600004</v>
      </c>
      <c r="R123" s="1098"/>
    </row>
    <row r="124" spans="1:21" s="54" customFormat="1" hidden="1" x14ac:dyDescent="0.25">
      <c r="A124" s="1141" t="s">
        <v>1127</v>
      </c>
      <c r="B124" s="898">
        <v>2957581000</v>
      </c>
      <c r="C124" s="898">
        <v>3187608000</v>
      </c>
      <c r="D124" s="1111">
        <f t="shared" si="39"/>
        <v>7.7775384680926749E-2</v>
      </c>
      <c r="E124" s="898">
        <v>3328047000</v>
      </c>
      <c r="F124" s="1111">
        <f t="shared" si="40"/>
        <v>4.4057801335672393E-2</v>
      </c>
      <c r="G124" s="898">
        <v>3182829400</v>
      </c>
      <c r="H124" s="1111">
        <f t="shared" si="41"/>
        <v>-4.3634479921707839E-2</v>
      </c>
      <c r="I124" s="898">
        <v>3319978393</v>
      </c>
      <c r="J124" s="1111">
        <f t="shared" si="42"/>
        <v>4.3090274646828387E-2</v>
      </c>
      <c r="K124" s="898">
        <v>2619617298</v>
      </c>
      <c r="L124" s="1111">
        <f t="shared" si="43"/>
        <v>-0.21095350996159329</v>
      </c>
      <c r="M124" s="1088">
        <v>3455972404</v>
      </c>
      <c r="N124" s="1111">
        <f t="shared" si="38"/>
        <v>0.31926614114150653</v>
      </c>
      <c r="O124" s="1088">
        <f>+[2]MX8!G295</f>
        <v>3359643356.5700002</v>
      </c>
      <c r="P124" s="1088">
        <f>+[2]MX8!H295</f>
        <v>3359643356.5700002</v>
      </c>
      <c r="Q124" s="1088">
        <f>+[2]MX8!I295</f>
        <v>2802705117</v>
      </c>
      <c r="R124" s="1098"/>
    </row>
    <row r="125" spans="1:21" s="54" customFormat="1" hidden="1" x14ac:dyDescent="0.25">
      <c r="A125" s="1141" t="s">
        <v>1128</v>
      </c>
      <c r="B125" s="898">
        <v>4627445394.1199999</v>
      </c>
      <c r="C125" s="898">
        <v>5032134083</v>
      </c>
      <c r="D125" s="1111">
        <f t="shared" si="39"/>
        <v>8.745401715474152E-2</v>
      </c>
      <c r="E125" s="898">
        <v>5297644865</v>
      </c>
      <c r="F125" s="1111">
        <f t="shared" si="40"/>
        <v>5.2763057903598393E-2</v>
      </c>
      <c r="G125" s="898">
        <v>5036484170</v>
      </c>
      <c r="H125" s="1111">
        <f t="shared" si="41"/>
        <v>-4.9297508922391688E-2</v>
      </c>
      <c r="I125" s="898">
        <v>6526968883</v>
      </c>
      <c r="J125" s="1111">
        <f t="shared" si="42"/>
        <v>0.29593753552887669</v>
      </c>
      <c r="K125" s="898">
        <v>1038735962</v>
      </c>
      <c r="L125" s="1111">
        <f t="shared" si="43"/>
        <v>-0.84085477031988476</v>
      </c>
      <c r="M125" s="1088">
        <v>5194747951</v>
      </c>
      <c r="N125" s="1111">
        <f t="shared" si="38"/>
        <v>4.001028308481728</v>
      </c>
      <c r="O125" s="1088">
        <f>+[2]MX8!G329</f>
        <v>9069307195.9699993</v>
      </c>
      <c r="P125" s="1088">
        <f>+[2]MX8!H329</f>
        <v>9746548090.0300007</v>
      </c>
      <c r="Q125" s="1088">
        <f>+[2]MX8!I329</f>
        <v>8503901757</v>
      </c>
      <c r="R125" s="1098"/>
    </row>
    <row r="126" spans="1:21" s="54" customFormat="1" hidden="1" x14ac:dyDescent="0.25">
      <c r="A126" s="1141" t="s">
        <v>1129</v>
      </c>
      <c r="B126" s="898">
        <v>0</v>
      </c>
      <c r="C126" s="898">
        <v>41033484</v>
      </c>
      <c r="D126" s="1111"/>
      <c r="E126" s="898">
        <v>47527970</v>
      </c>
      <c r="F126" s="1111">
        <f t="shared" si="40"/>
        <v>0.15827283883571769</v>
      </c>
      <c r="G126" s="898">
        <v>59649303</v>
      </c>
      <c r="H126" s="1111">
        <f t="shared" si="41"/>
        <v>0.25503578208789479</v>
      </c>
      <c r="I126" s="898">
        <v>71070097</v>
      </c>
      <c r="J126" s="1111">
        <f t="shared" si="42"/>
        <v>0.19146567395766553</v>
      </c>
      <c r="K126" s="898">
        <v>90556978</v>
      </c>
      <c r="L126" s="1111">
        <f t="shared" si="43"/>
        <v>0.27419240753252383</v>
      </c>
      <c r="M126" s="1088">
        <v>417861126</v>
      </c>
      <c r="N126" s="1111">
        <f t="shared" si="38"/>
        <v>3.614344860315458</v>
      </c>
      <c r="O126" s="1088"/>
      <c r="P126" s="1088"/>
      <c r="Q126" s="1088"/>
      <c r="R126" s="1098"/>
    </row>
    <row r="127" spans="1:21" s="654" customFormat="1" ht="15" hidden="1" x14ac:dyDescent="0.25">
      <c r="A127" s="1141" t="s">
        <v>1130</v>
      </c>
      <c r="B127" s="898">
        <v>0</v>
      </c>
      <c r="C127" s="898">
        <v>118492987</v>
      </c>
      <c r="D127" s="1111"/>
      <c r="E127" s="898">
        <v>70127429</v>
      </c>
      <c r="F127" s="1111">
        <f t="shared" si="40"/>
        <v>-0.40817232500012851</v>
      </c>
      <c r="G127" s="898">
        <v>45202420</v>
      </c>
      <c r="H127" s="1111">
        <f t="shared" si="41"/>
        <v>-0.35542453723777612</v>
      </c>
      <c r="I127" s="898">
        <v>30401876</v>
      </c>
      <c r="J127" s="1111">
        <f t="shared" si="42"/>
        <v>-0.32742813327251064</v>
      </c>
      <c r="K127" s="898">
        <v>10457404</v>
      </c>
      <c r="L127" s="1111">
        <f t="shared" si="43"/>
        <v>-0.65602767408169149</v>
      </c>
      <c r="M127" s="1088">
        <v>24649009</v>
      </c>
      <c r="N127" s="1111">
        <f t="shared" si="38"/>
        <v>1.3570868066300201</v>
      </c>
      <c r="O127" s="1088"/>
      <c r="P127" s="1088"/>
      <c r="Q127" s="1088"/>
      <c r="R127" s="1098"/>
      <c r="T127" s="655"/>
      <c r="U127" s="165"/>
    </row>
    <row r="128" spans="1:21" s="54" customFormat="1" hidden="1" x14ac:dyDescent="0.25">
      <c r="A128" s="1141" t="s">
        <v>1131</v>
      </c>
      <c r="B128" s="898">
        <v>0</v>
      </c>
      <c r="C128" s="898">
        <v>413847</v>
      </c>
      <c r="D128" s="1111"/>
      <c r="E128" s="898">
        <v>0</v>
      </c>
      <c r="F128" s="1111">
        <f t="shared" si="40"/>
        <v>-1</v>
      </c>
      <c r="G128" s="898">
        <v>0</v>
      </c>
      <c r="H128" s="1111"/>
      <c r="I128" s="898">
        <v>0</v>
      </c>
      <c r="J128" s="1111"/>
      <c r="K128" s="898">
        <v>1381314919</v>
      </c>
      <c r="L128" s="1111"/>
      <c r="M128" s="1088">
        <v>243153284</v>
      </c>
      <c r="N128" s="1111">
        <f t="shared" si="38"/>
        <v>-0.82396969680452714</v>
      </c>
      <c r="O128" s="1088"/>
      <c r="P128" s="1088"/>
      <c r="Q128" s="1088"/>
      <c r="R128" s="1098"/>
    </row>
    <row r="129" spans="1:20" s="54" customFormat="1" hidden="1" x14ac:dyDescent="0.25">
      <c r="A129" s="1141" t="s">
        <v>1132</v>
      </c>
      <c r="B129" s="898">
        <v>1043283322</v>
      </c>
      <c r="C129" s="898">
        <v>1041273320.97</v>
      </c>
      <c r="D129" s="1111">
        <f t="shared" si="39"/>
        <v>-1.9266109096297539E-3</v>
      </c>
      <c r="E129" s="898">
        <v>2029088019.1899998</v>
      </c>
      <c r="F129" s="1111">
        <f t="shared" si="40"/>
        <v>0.94866033569341734</v>
      </c>
      <c r="G129" s="898">
        <v>1703248316.7400002</v>
      </c>
      <c r="H129" s="1111">
        <f t="shared" si="41"/>
        <v>-0.16058431145834318</v>
      </c>
      <c r="I129" s="898">
        <v>2208629340.0999999</v>
      </c>
      <c r="J129" s="1111">
        <f t="shared" si="42"/>
        <v>0.29671599754009664</v>
      </c>
      <c r="K129" s="898">
        <v>3511597224</v>
      </c>
      <c r="L129" s="1111">
        <f t="shared" si="43"/>
        <v>0.5899441161281529</v>
      </c>
      <c r="M129" s="1088">
        <v>3741964532.7800002</v>
      </c>
      <c r="N129" s="1111">
        <f t="shared" si="38"/>
        <v>6.5601859804864743E-2</v>
      </c>
      <c r="O129" s="1088">
        <f>+[2]MX8!G283+[2]MX8!G287</f>
        <v>4642596291.1599998</v>
      </c>
      <c r="P129" s="1088">
        <f>+[2]MX8!H283+[2]MX8!H287</f>
        <v>4947286945.1599998</v>
      </c>
      <c r="Q129" s="1088">
        <f>+[2]MX8!I283+[2]MX8!I287</f>
        <v>2759991952.5999999</v>
      </c>
      <c r="R129" s="1098"/>
      <c r="S129" s="654"/>
      <c r="T129" s="654"/>
    </row>
    <row r="130" spans="1:20" s="54" customFormat="1" hidden="1" x14ac:dyDescent="0.25">
      <c r="A130" s="1141" t="s">
        <v>1133</v>
      </c>
      <c r="B130" s="898">
        <v>912762320.5</v>
      </c>
      <c r="C130" s="898">
        <v>597808425</v>
      </c>
      <c r="D130" s="1111">
        <f t="shared" si="39"/>
        <v>-0.34505575923365472</v>
      </c>
      <c r="E130" s="898">
        <v>642062850</v>
      </c>
      <c r="F130" s="1111">
        <f t="shared" si="40"/>
        <v>7.4027770685901592E-2</v>
      </c>
      <c r="G130" s="898">
        <v>563195220.63</v>
      </c>
      <c r="H130" s="1111">
        <f t="shared" si="41"/>
        <v>-0.1228347495420425</v>
      </c>
      <c r="I130" s="898">
        <v>708543122.5</v>
      </c>
      <c r="J130" s="1111">
        <f t="shared" si="42"/>
        <v>0.25807729992348177</v>
      </c>
      <c r="K130" s="898">
        <v>529115555</v>
      </c>
      <c r="L130" s="1111">
        <f t="shared" si="43"/>
        <v>-0.25323450585041846</v>
      </c>
      <c r="M130" s="1088">
        <v>722318852.79999995</v>
      </c>
      <c r="N130" s="1111">
        <f t="shared" si="38"/>
        <v>0.36514386313968777</v>
      </c>
      <c r="O130" s="1088">
        <f>+[2]MX8!G278</f>
        <v>625919989.35000002</v>
      </c>
      <c r="P130" s="1088">
        <f>+[2]MX8!H278</f>
        <v>625919989.35000002</v>
      </c>
      <c r="Q130" s="1088">
        <f>+[2]MX8!I278</f>
        <v>616428905</v>
      </c>
      <c r="R130" s="1098"/>
      <c r="S130" s="654"/>
      <c r="T130" s="654"/>
    </row>
    <row r="131" spans="1:20" s="54" customFormat="1" hidden="1" x14ac:dyDescent="0.25">
      <c r="A131" s="1141" t="s">
        <v>1134</v>
      </c>
      <c r="B131" s="898"/>
      <c r="C131" s="898"/>
      <c r="D131" s="1111"/>
      <c r="E131" s="898"/>
      <c r="F131" s="1111"/>
      <c r="G131" s="898"/>
      <c r="H131" s="1111"/>
      <c r="I131" s="898"/>
      <c r="J131" s="1111"/>
      <c r="K131" s="898">
        <v>4557301442</v>
      </c>
      <c r="L131" s="1111"/>
      <c r="M131" s="1088">
        <v>175275046</v>
      </c>
      <c r="N131" s="1111">
        <f t="shared" si="38"/>
        <v>-0.96153972954593947</v>
      </c>
      <c r="O131" s="1088"/>
      <c r="P131" s="1088"/>
      <c r="Q131" s="1088"/>
      <c r="R131" s="1098"/>
      <c r="S131" s="654"/>
      <c r="T131" s="654"/>
    </row>
    <row r="132" spans="1:20" s="54" customFormat="1" ht="25.5" hidden="1" x14ac:dyDescent="0.25">
      <c r="A132" s="1141" t="s">
        <v>1135</v>
      </c>
      <c r="B132" s="898"/>
      <c r="C132" s="898"/>
      <c r="D132" s="1111"/>
      <c r="E132" s="898"/>
      <c r="F132" s="1111"/>
      <c r="G132" s="898"/>
      <c r="H132" s="1111"/>
      <c r="I132" s="898"/>
      <c r="J132" s="1111"/>
      <c r="K132" s="898">
        <v>62326453</v>
      </c>
      <c r="L132" s="1111"/>
      <c r="M132" s="1088"/>
      <c r="N132" s="1111"/>
      <c r="O132" s="1088"/>
      <c r="P132" s="1088"/>
      <c r="Q132" s="1088"/>
      <c r="R132" s="1098"/>
      <c r="S132" s="654"/>
      <c r="T132" s="654"/>
    </row>
    <row r="133" spans="1:20" s="54" customFormat="1" hidden="1" x14ac:dyDescent="0.25">
      <c r="A133" s="1139" t="s">
        <v>1087</v>
      </c>
      <c r="B133" s="898">
        <v>0</v>
      </c>
      <c r="C133" s="898">
        <v>0</v>
      </c>
      <c r="D133" s="1111"/>
      <c r="E133" s="898">
        <v>0</v>
      </c>
      <c r="F133" s="1111"/>
      <c r="G133" s="898">
        <v>0</v>
      </c>
      <c r="H133" s="1111"/>
      <c r="I133" s="898">
        <v>0</v>
      </c>
      <c r="J133" s="1111"/>
      <c r="K133" s="898">
        <v>7530176928</v>
      </c>
      <c r="L133" s="1111"/>
      <c r="M133" s="1088"/>
      <c r="N133" s="1111"/>
      <c r="O133" s="1088"/>
      <c r="P133" s="1088"/>
      <c r="Q133" s="1088"/>
      <c r="R133" s="1098"/>
      <c r="S133" s="654"/>
      <c r="T133" s="654"/>
    </row>
    <row r="134" spans="1:20" s="54" customFormat="1" hidden="1" x14ac:dyDescent="0.25">
      <c r="A134" s="1141" t="s">
        <v>1136</v>
      </c>
      <c r="B134" s="898">
        <v>47138056</v>
      </c>
      <c r="C134" s="898">
        <v>1816194200</v>
      </c>
      <c r="D134" s="1111">
        <f t="shared" si="39"/>
        <v>37.529255427928554</v>
      </c>
      <c r="E134" s="898">
        <v>1955694040</v>
      </c>
      <c r="F134" s="1111">
        <f t="shared" si="40"/>
        <v>7.6808878698103975E-2</v>
      </c>
      <c r="G134" s="898">
        <v>1783764309.4000001</v>
      </c>
      <c r="H134" s="1111">
        <f t="shared" si="41"/>
        <v>-8.791238664305584E-2</v>
      </c>
      <c r="I134" s="898">
        <v>2105691489</v>
      </c>
      <c r="J134" s="1111">
        <f t="shared" si="42"/>
        <v>0.1804762982999058</v>
      </c>
      <c r="K134" s="898">
        <v>0</v>
      </c>
      <c r="L134" s="1111">
        <f t="shared" si="43"/>
        <v>-1</v>
      </c>
      <c r="M134" s="1088"/>
      <c r="N134" s="1111"/>
      <c r="O134" s="1088"/>
      <c r="P134" s="1088"/>
      <c r="Q134" s="1088"/>
      <c r="R134" s="1098"/>
      <c r="S134" s="654"/>
      <c r="T134" s="654"/>
    </row>
    <row r="135" spans="1:20" s="54" customFormat="1" hidden="1" x14ac:dyDescent="0.25">
      <c r="A135" s="1143" t="s">
        <v>1137</v>
      </c>
      <c r="B135" s="898">
        <v>0</v>
      </c>
      <c r="C135" s="898">
        <v>464640827</v>
      </c>
      <c r="D135" s="1111"/>
      <c r="E135" s="898">
        <v>0</v>
      </c>
      <c r="F135" s="1111">
        <f t="shared" ref="F135:F199" si="63">+(E135-C135)/C135</f>
        <v>-1</v>
      </c>
      <c r="G135" s="898">
        <v>0</v>
      </c>
      <c r="H135" s="1111"/>
      <c r="I135" s="898">
        <v>0</v>
      </c>
      <c r="J135" s="1111"/>
      <c r="K135" s="898">
        <v>0</v>
      </c>
      <c r="L135" s="1111"/>
      <c r="M135" s="1088">
        <v>2239045157</v>
      </c>
      <c r="N135" s="1111" t="e">
        <f t="shared" ref="N135:N197" si="64">+(M135-K135)/K135</f>
        <v>#DIV/0!</v>
      </c>
      <c r="O135" s="1088"/>
      <c r="P135" s="1088"/>
      <c r="Q135" s="1088"/>
      <c r="R135" s="1098"/>
      <c r="S135" s="654"/>
      <c r="T135" s="654"/>
    </row>
    <row r="136" spans="1:20" s="54" customFormat="1" hidden="1" x14ac:dyDescent="0.25">
      <c r="A136" s="1141" t="s">
        <v>1138</v>
      </c>
      <c r="B136" s="898">
        <v>684784985</v>
      </c>
      <c r="C136" s="898">
        <v>1064354210</v>
      </c>
      <c r="D136" s="1111">
        <f>+(C136-B136)/B136</f>
        <v>0.55428964319362228</v>
      </c>
      <c r="E136" s="898">
        <v>1239020388</v>
      </c>
      <c r="F136" s="1111">
        <f t="shared" si="63"/>
        <v>0.16410531039286255</v>
      </c>
      <c r="G136" s="898">
        <v>1078823905.21</v>
      </c>
      <c r="H136" s="1111">
        <f t="shared" ref="H136:H199" si="65">+(G136-E136)/E136</f>
        <v>-0.12929285453372213</v>
      </c>
      <c r="I136" s="898">
        <v>795058320.86000001</v>
      </c>
      <c r="J136" s="1111">
        <f t="shared" ref="J136:J199" si="66">+(I136-G136)/G136</f>
        <v>-0.26303234752177951</v>
      </c>
      <c r="K136" s="898">
        <v>728514356</v>
      </c>
      <c r="L136" s="1111">
        <f t="shared" ref="L136:L199" si="67">+(K136-I136)/I136</f>
        <v>-8.3696960479604343E-2</v>
      </c>
      <c r="M136" s="1088">
        <v>739661509</v>
      </c>
      <c r="N136" s="1111">
        <f t="shared" si="64"/>
        <v>1.5301212540552873E-2</v>
      </c>
      <c r="O136" s="1088">
        <f>+[2]MX8!G270</f>
        <v>1092098811.71</v>
      </c>
      <c r="P136" s="1088">
        <f>+[2]MX8!H270</f>
        <v>1092098811.71</v>
      </c>
      <c r="Q136" s="1088">
        <f>+[2]MX8!I270</f>
        <v>666380392</v>
      </c>
      <c r="R136" s="1098"/>
      <c r="S136" s="654"/>
      <c r="T136" s="654"/>
    </row>
    <row r="137" spans="1:20" s="54" customFormat="1" hidden="1" x14ac:dyDescent="0.25">
      <c r="A137" s="1141" t="s">
        <v>1139</v>
      </c>
      <c r="B137" s="898">
        <v>602528086</v>
      </c>
      <c r="C137" s="898">
        <v>818609100</v>
      </c>
      <c r="D137" s="1111">
        <f>+(C137-B137)/B137</f>
        <v>0.35862396960529402</v>
      </c>
      <c r="E137" s="898">
        <v>812733409</v>
      </c>
      <c r="F137" s="1111">
        <f t="shared" si="63"/>
        <v>-7.1776517021371984E-3</v>
      </c>
      <c r="G137" s="898">
        <v>761346773.5</v>
      </c>
      <c r="H137" s="1111">
        <f t="shared" si="65"/>
        <v>-6.3226926481620746E-2</v>
      </c>
      <c r="I137" s="898">
        <v>909043192</v>
      </c>
      <c r="J137" s="1111">
        <f t="shared" si="66"/>
        <v>0.19399362240812071</v>
      </c>
      <c r="K137" s="898">
        <v>1006078654.36</v>
      </c>
      <c r="L137" s="1111">
        <f t="shared" si="67"/>
        <v>0.10674461149256373</v>
      </c>
      <c r="M137" s="1088">
        <v>871443943.11000001</v>
      </c>
      <c r="N137" s="1111">
        <f t="shared" si="64"/>
        <v>-0.13382125807613482</v>
      </c>
      <c r="O137" s="1088">
        <f>+[2]MX8!G309</f>
        <v>960000000</v>
      </c>
      <c r="P137" s="1088">
        <f>+[2]MX8!H309</f>
        <v>960000000</v>
      </c>
      <c r="Q137" s="1088">
        <f>+[2]MX8!I309</f>
        <v>286496115.45999998</v>
      </c>
      <c r="R137" s="1098"/>
      <c r="S137" s="654"/>
      <c r="T137" s="654"/>
    </row>
    <row r="138" spans="1:20" s="54" customFormat="1" hidden="1" x14ac:dyDescent="0.25">
      <c r="A138" s="1141" t="s">
        <v>1140</v>
      </c>
      <c r="B138" s="898">
        <v>0</v>
      </c>
      <c r="C138" s="898">
        <v>16600000</v>
      </c>
      <c r="D138" s="1111"/>
      <c r="E138" s="898">
        <v>39163732.329999998</v>
      </c>
      <c r="F138" s="1111">
        <f t="shared" si="63"/>
        <v>1.3592609837349396</v>
      </c>
      <c r="G138" s="898">
        <v>0</v>
      </c>
      <c r="H138" s="1111">
        <f t="shared" si="65"/>
        <v>-1</v>
      </c>
      <c r="I138" s="898">
        <v>0</v>
      </c>
      <c r="J138" s="1111"/>
      <c r="K138" s="898">
        <v>2310250113</v>
      </c>
      <c r="L138" s="1111"/>
      <c r="M138" s="1088"/>
      <c r="N138" s="1111"/>
      <c r="O138" s="1088"/>
      <c r="P138" s="1088"/>
      <c r="Q138" s="1088"/>
      <c r="R138" s="1098"/>
    </row>
    <row r="139" spans="1:20" s="54" customFormat="1" hidden="1" x14ac:dyDescent="0.25">
      <c r="A139" s="1141" t="s">
        <v>1141</v>
      </c>
      <c r="B139" s="898">
        <v>2843942000</v>
      </c>
      <c r="C139" s="898">
        <v>3086366000</v>
      </c>
      <c r="D139" s="1111">
        <f>+(C139-B139)/B139</f>
        <v>8.5242244743387874E-2</v>
      </c>
      <c r="E139" s="898">
        <v>3937884000</v>
      </c>
      <c r="F139" s="1111">
        <f t="shared" si="63"/>
        <v>0.27589663701583028</v>
      </c>
      <c r="G139" s="898">
        <v>3706252307</v>
      </c>
      <c r="H139" s="1111">
        <f t="shared" si="65"/>
        <v>-5.8821360151797258E-2</v>
      </c>
      <c r="I139" s="898">
        <v>7650487373</v>
      </c>
      <c r="J139" s="1111">
        <f t="shared" si="66"/>
        <v>1.064211159761175</v>
      </c>
      <c r="K139" s="898">
        <v>10190311043.93</v>
      </c>
      <c r="L139" s="1111">
        <f t="shared" si="67"/>
        <v>0.33198194403842984</v>
      </c>
      <c r="M139" s="1088">
        <v>5218324702</v>
      </c>
      <c r="N139" s="1111">
        <f t="shared" si="64"/>
        <v>-0.48791310888313194</v>
      </c>
      <c r="O139" s="1088">
        <f>+[2]MX8!G304</f>
        <v>3749209145</v>
      </c>
      <c r="P139" s="1088">
        <f>+[2]MX8!H304</f>
        <v>10766854092.65</v>
      </c>
      <c r="Q139" s="1088">
        <f>+[2]MX8!I304</f>
        <v>11885694983</v>
      </c>
      <c r="R139" s="1098"/>
    </row>
    <row r="140" spans="1:20" s="54" customFormat="1" hidden="1" x14ac:dyDescent="0.2">
      <c r="A140" s="1141" t="s">
        <v>1142</v>
      </c>
      <c r="B140" s="898">
        <v>0</v>
      </c>
      <c r="C140" s="898">
        <v>0</v>
      </c>
      <c r="D140" s="1111"/>
      <c r="E140" s="898">
        <v>0</v>
      </c>
      <c r="F140" s="1111"/>
      <c r="G140" s="898">
        <v>9241365080</v>
      </c>
      <c r="H140" s="1111"/>
      <c r="I140" s="898">
        <v>0</v>
      </c>
      <c r="J140" s="1111">
        <f t="shared" si="66"/>
        <v>-1</v>
      </c>
      <c r="K140" s="898">
        <v>413634233</v>
      </c>
      <c r="L140" s="1111"/>
      <c r="M140" s="1088">
        <v>16515214542</v>
      </c>
      <c r="N140" s="1111">
        <f t="shared" si="64"/>
        <v>38.92709796338351</v>
      </c>
      <c r="O140" s="1088">
        <f>+[2]MX8!G306</f>
        <v>7157581679</v>
      </c>
      <c r="P140" s="1088">
        <f>+[2]MX8!H306</f>
        <v>7157581679</v>
      </c>
      <c r="Q140" s="1088">
        <f>+[2]MX8!I306</f>
        <v>3035288648</v>
      </c>
      <c r="R140" s="1098"/>
      <c r="S140" s="653"/>
    </row>
    <row r="141" spans="1:20" s="54" customFormat="1" hidden="1" x14ac:dyDescent="0.25">
      <c r="A141" s="1141" t="s">
        <v>1143</v>
      </c>
      <c r="B141" s="898">
        <v>417748176.28000003</v>
      </c>
      <c r="C141" s="898">
        <v>719672899</v>
      </c>
      <c r="D141" s="1111">
        <f t="shared" ref="D141:D154" si="68">+(C141-B141)/B141</f>
        <v>0.72274336517421878</v>
      </c>
      <c r="E141" s="898">
        <v>736429255</v>
      </c>
      <c r="F141" s="1111">
        <f t="shared" si="63"/>
        <v>2.3283294429015312E-2</v>
      </c>
      <c r="G141" s="898">
        <v>656436513</v>
      </c>
      <c r="H141" s="1111">
        <f t="shared" si="65"/>
        <v>-0.10862243923212964</v>
      </c>
      <c r="I141" s="898">
        <v>785124839</v>
      </c>
      <c r="J141" s="1111">
        <f t="shared" si="66"/>
        <v>0.19604077995582186</v>
      </c>
      <c r="K141" s="898">
        <v>0</v>
      </c>
      <c r="L141" s="1111">
        <f t="shared" si="67"/>
        <v>-1</v>
      </c>
      <c r="M141" s="1088">
        <v>1734657224</v>
      </c>
      <c r="N141" s="1111" t="e">
        <f t="shared" si="64"/>
        <v>#DIV/0!</v>
      </c>
      <c r="O141" s="1088">
        <f>+[2]MX8!G394</f>
        <v>393715436</v>
      </c>
      <c r="P141" s="1088">
        <f>+[2]MX8!H394</f>
        <v>571954102.67999995</v>
      </c>
      <c r="Q141" s="1088">
        <f>+[2]MX8!I394</f>
        <v>1248577703</v>
      </c>
      <c r="R141" s="1098"/>
    </row>
    <row r="142" spans="1:20" s="54" customFormat="1" hidden="1" x14ac:dyDescent="0.25">
      <c r="A142" s="1141" t="s">
        <v>1144</v>
      </c>
      <c r="B142" s="898">
        <v>166048524</v>
      </c>
      <c r="C142" s="898">
        <v>165741571.37</v>
      </c>
      <c r="D142" s="1111">
        <f t="shared" si="68"/>
        <v>-1.8485718668598055E-3</v>
      </c>
      <c r="E142" s="898">
        <v>3632811</v>
      </c>
      <c r="F142" s="1111">
        <f t="shared" si="63"/>
        <v>-0.97808147364616116</v>
      </c>
      <c r="G142" s="898">
        <v>0</v>
      </c>
      <c r="H142" s="1111">
        <f t="shared" si="65"/>
        <v>-1</v>
      </c>
      <c r="I142" s="898">
        <v>0</v>
      </c>
      <c r="J142" s="1111"/>
      <c r="K142" s="898">
        <v>0</v>
      </c>
      <c r="L142" s="1111"/>
      <c r="M142" s="1088"/>
      <c r="N142" s="1111"/>
      <c r="O142" s="1088"/>
      <c r="P142" s="1088"/>
      <c r="Q142" s="1088"/>
      <c r="R142" s="1098"/>
    </row>
    <row r="143" spans="1:20" s="54" customFormat="1" hidden="1" x14ac:dyDescent="0.25">
      <c r="A143" s="1141" t="s">
        <v>1145</v>
      </c>
      <c r="B143" s="898">
        <v>644863450</v>
      </c>
      <c r="C143" s="898">
        <v>632049200.63</v>
      </c>
      <c r="D143" s="1111">
        <f t="shared" si="68"/>
        <v>-1.9871260140421985E-2</v>
      </c>
      <c r="E143" s="898">
        <v>58652919</v>
      </c>
      <c r="F143" s="1111">
        <f t="shared" si="63"/>
        <v>-0.90720197266045544</v>
      </c>
      <c r="G143" s="898">
        <v>0</v>
      </c>
      <c r="H143" s="1111">
        <f t="shared" si="65"/>
        <v>-1</v>
      </c>
      <c r="I143" s="898">
        <v>0</v>
      </c>
      <c r="J143" s="1111"/>
      <c r="K143" s="898">
        <v>0</v>
      </c>
      <c r="L143" s="1111"/>
      <c r="M143" s="1088"/>
      <c r="N143" s="1111"/>
      <c r="O143" s="1088"/>
      <c r="P143" s="1088"/>
      <c r="Q143" s="1088"/>
      <c r="R143" s="1098"/>
    </row>
    <row r="144" spans="1:20" s="54" customFormat="1" hidden="1" x14ac:dyDescent="0.25">
      <c r="A144" s="1141" t="s">
        <v>1146</v>
      </c>
      <c r="B144" s="898">
        <v>6002766498.3300018</v>
      </c>
      <c r="C144" s="898">
        <v>2880224672</v>
      </c>
      <c r="D144" s="1111">
        <f t="shared" si="68"/>
        <v>-0.52018378979070867</v>
      </c>
      <c r="E144" s="898">
        <v>1679936750</v>
      </c>
      <c r="F144" s="1111">
        <f t="shared" si="63"/>
        <v>-0.41673412969083823</v>
      </c>
      <c r="G144" s="898">
        <v>1449982320</v>
      </c>
      <c r="H144" s="1111">
        <f t="shared" si="65"/>
        <v>-0.13688279037886397</v>
      </c>
      <c r="I144" s="898">
        <v>2597835657.9200001</v>
      </c>
      <c r="J144" s="1111">
        <f t="shared" si="66"/>
        <v>0.79163264412768841</v>
      </c>
      <c r="K144" s="898">
        <v>0</v>
      </c>
      <c r="L144" s="1111">
        <f t="shared" si="67"/>
        <v>-1</v>
      </c>
      <c r="M144" s="1088">
        <v>12033093302</v>
      </c>
      <c r="N144" s="1111" t="e">
        <f t="shared" si="64"/>
        <v>#DIV/0!</v>
      </c>
      <c r="O144" s="1088">
        <f>+[2]MX8!G318</f>
        <v>2121689396</v>
      </c>
      <c r="P144" s="1088">
        <f>+[2]MX8!H318</f>
        <v>8980257320</v>
      </c>
      <c r="Q144" s="1088">
        <f>+[2]MX8!I318</f>
        <v>9117973025</v>
      </c>
      <c r="R144" s="1098"/>
    </row>
    <row r="145" spans="1:18" s="54" customFormat="1" hidden="1" x14ac:dyDescent="0.25">
      <c r="A145" s="1141" t="s">
        <v>1147</v>
      </c>
      <c r="B145" s="898"/>
      <c r="C145" s="898"/>
      <c r="D145" s="1111"/>
      <c r="E145" s="898"/>
      <c r="F145" s="1111"/>
      <c r="G145" s="898"/>
      <c r="H145" s="1111"/>
      <c r="I145" s="898"/>
      <c r="J145" s="1111"/>
      <c r="K145" s="898"/>
      <c r="L145" s="1111"/>
      <c r="M145" s="1088"/>
      <c r="N145" s="1111"/>
      <c r="O145" s="1088">
        <f>+[2]MX8!G380</f>
        <v>7000000</v>
      </c>
      <c r="P145" s="1088">
        <f>+[2]MX8!H380</f>
        <v>7000000</v>
      </c>
      <c r="Q145" s="1088">
        <f>+[2]MX8!I380</f>
        <v>109899940.81</v>
      </c>
      <c r="R145" s="1098"/>
    </row>
    <row r="146" spans="1:18" s="54" customFormat="1" hidden="1" x14ac:dyDescent="0.25">
      <c r="A146" s="1139" t="s">
        <v>1065</v>
      </c>
      <c r="B146" s="890">
        <f>+B147+B148</f>
        <v>5894008780</v>
      </c>
      <c r="C146" s="890">
        <f>+C147+C148</f>
        <v>2141958658</v>
      </c>
      <c r="D146" s="1112">
        <f t="shared" si="68"/>
        <v>-0.63658712805650075</v>
      </c>
      <c r="E146" s="890">
        <f>+E147+E148</f>
        <v>2318525351</v>
      </c>
      <c r="F146" s="1112">
        <f t="shared" si="63"/>
        <v>8.2432353369912711E-2</v>
      </c>
      <c r="G146" s="890">
        <f>+G147+G148</f>
        <v>2514716632</v>
      </c>
      <c r="H146" s="1112">
        <f t="shared" si="65"/>
        <v>8.4618993238689849E-2</v>
      </c>
      <c r="I146" s="890">
        <f>+I147+I148</f>
        <v>2591680073</v>
      </c>
      <c r="J146" s="1112">
        <f t="shared" si="66"/>
        <v>3.0605214130543835E-2</v>
      </c>
      <c r="K146" s="890">
        <f>+K147+K148</f>
        <v>0</v>
      </c>
      <c r="L146" s="1112">
        <f t="shared" si="67"/>
        <v>-1</v>
      </c>
      <c r="M146" s="1089">
        <f>+M147+M148</f>
        <v>2876730086</v>
      </c>
      <c r="N146" s="1112" t="e">
        <f t="shared" si="64"/>
        <v>#DIV/0!</v>
      </c>
      <c r="O146" s="1089">
        <f>+[2]MX8!G94</f>
        <v>2991799289</v>
      </c>
      <c r="P146" s="1089">
        <f>+[2]MX8!H94</f>
        <v>2866612086</v>
      </c>
      <c r="Q146" s="1089">
        <f>+[2]MX8!I94</f>
        <v>2147235980</v>
      </c>
      <c r="R146" s="1089"/>
    </row>
    <row r="147" spans="1:18" s="54" customFormat="1" hidden="1" x14ac:dyDescent="0.25">
      <c r="A147" s="1141" t="s">
        <v>1066</v>
      </c>
      <c r="B147" s="898">
        <v>1895949147</v>
      </c>
      <c r="C147" s="898">
        <v>2141958658</v>
      </c>
      <c r="D147" s="1111">
        <f t="shared" si="68"/>
        <v>0.12975533198728773</v>
      </c>
      <c r="E147" s="898">
        <v>2318525351</v>
      </c>
      <c r="F147" s="1111">
        <f t="shared" si="63"/>
        <v>8.2432353369912711E-2</v>
      </c>
      <c r="G147" s="898">
        <v>2514716632</v>
      </c>
      <c r="H147" s="1111">
        <f t="shared" si="65"/>
        <v>8.4618993238689849E-2</v>
      </c>
      <c r="I147" s="898">
        <v>2591680073</v>
      </c>
      <c r="J147" s="1111">
        <f t="shared" si="66"/>
        <v>3.0605214130543835E-2</v>
      </c>
      <c r="K147" s="898">
        <v>0</v>
      </c>
      <c r="L147" s="1111">
        <f t="shared" si="67"/>
        <v>-1</v>
      </c>
      <c r="M147" s="1088">
        <v>2876730086</v>
      </c>
      <c r="N147" s="1111" t="e">
        <f t="shared" si="64"/>
        <v>#DIV/0!</v>
      </c>
      <c r="O147" s="1088">
        <f>+[2]MX8!G95</f>
        <v>2991799289</v>
      </c>
      <c r="P147" s="1088">
        <f>+[2]MX8!H95</f>
        <v>2866612086</v>
      </c>
      <c r="Q147" s="1088">
        <f>+[2]MX8!I95</f>
        <v>2147235980</v>
      </c>
      <c r="R147" s="1098"/>
    </row>
    <row r="148" spans="1:18" s="54" customFormat="1" hidden="1" x14ac:dyDescent="0.25">
      <c r="A148" s="1141" t="s">
        <v>1148</v>
      </c>
      <c r="B148" s="898">
        <v>3998059633</v>
      </c>
      <c r="C148" s="898">
        <v>0</v>
      </c>
      <c r="D148" s="1111">
        <f t="shared" si="68"/>
        <v>-1</v>
      </c>
      <c r="E148" s="898">
        <v>0</v>
      </c>
      <c r="F148" s="1111"/>
      <c r="G148" s="898">
        <v>0</v>
      </c>
      <c r="H148" s="1111"/>
      <c r="I148" s="898">
        <v>0</v>
      </c>
      <c r="J148" s="1111"/>
      <c r="K148" s="898">
        <v>0</v>
      </c>
      <c r="L148" s="1111"/>
      <c r="M148" s="1088"/>
      <c r="N148" s="1111"/>
      <c r="O148" s="1088"/>
      <c r="P148" s="1088"/>
      <c r="Q148" s="1088"/>
      <c r="R148" s="1098"/>
    </row>
    <row r="149" spans="1:18" s="54" customFormat="1" hidden="1" x14ac:dyDescent="0.25">
      <c r="A149" s="1139" t="s">
        <v>961</v>
      </c>
      <c r="B149" s="890">
        <f>+B150</f>
        <v>3812635261.73</v>
      </c>
      <c r="C149" s="890">
        <f>+C150</f>
        <v>3551445354.8699999</v>
      </c>
      <c r="D149" s="1112">
        <f t="shared" si="68"/>
        <v>-6.8506397525548796E-2</v>
      </c>
      <c r="E149" s="890">
        <f>+E150</f>
        <v>1452461762.0999999</v>
      </c>
      <c r="F149" s="1112">
        <f t="shared" si="63"/>
        <v>-0.59102235372753831</v>
      </c>
      <c r="G149" s="890">
        <f>+G150</f>
        <v>2125937388.2</v>
      </c>
      <c r="H149" s="1112">
        <f t="shared" si="65"/>
        <v>0.46367873060305204</v>
      </c>
      <c r="I149" s="890">
        <f>+I150</f>
        <v>1471834403.8</v>
      </c>
      <c r="J149" s="1112">
        <f t="shared" si="66"/>
        <v>-0.30767744526748242</v>
      </c>
      <c r="K149" s="890">
        <f>+K150</f>
        <v>0</v>
      </c>
      <c r="L149" s="1112">
        <f t="shared" si="67"/>
        <v>-1</v>
      </c>
      <c r="M149" s="1089">
        <f>+M150</f>
        <v>1641312206.6300001</v>
      </c>
      <c r="N149" s="1112" t="e">
        <f t="shared" si="64"/>
        <v>#DIV/0!</v>
      </c>
      <c r="O149" s="1089">
        <f>+O150</f>
        <v>1611202918</v>
      </c>
      <c r="P149" s="1089">
        <f t="shared" ref="P149:Q149" si="69">+P150</f>
        <v>1611202918</v>
      </c>
      <c r="Q149" s="1089">
        <f t="shared" si="69"/>
        <v>2042069849.4000001</v>
      </c>
      <c r="R149" s="1089"/>
    </row>
    <row r="150" spans="1:18" hidden="1" x14ac:dyDescent="0.25">
      <c r="A150" s="1141" t="s">
        <v>1149</v>
      </c>
      <c r="B150" s="898">
        <v>3812635261.73</v>
      </c>
      <c r="C150" s="898">
        <v>3551445354.8699999</v>
      </c>
      <c r="D150" s="1111">
        <f t="shared" si="68"/>
        <v>-6.8506397525548796E-2</v>
      </c>
      <c r="E150" s="898">
        <v>1452461762.0999999</v>
      </c>
      <c r="F150" s="1111">
        <f t="shared" si="63"/>
        <v>-0.59102235372753831</v>
      </c>
      <c r="G150" s="898">
        <v>2125937388.2</v>
      </c>
      <c r="H150" s="1111">
        <f t="shared" si="65"/>
        <v>0.46367873060305204</v>
      </c>
      <c r="I150" s="898">
        <v>1471834403.8</v>
      </c>
      <c r="J150" s="1111">
        <f t="shared" si="66"/>
        <v>-0.30767744526748242</v>
      </c>
      <c r="K150" s="898">
        <v>0</v>
      </c>
      <c r="L150" s="1111">
        <f t="shared" si="67"/>
        <v>-1</v>
      </c>
      <c r="M150" s="1088">
        <v>1641312206.6300001</v>
      </c>
      <c r="N150" s="1111" t="e">
        <f t="shared" si="64"/>
        <v>#DIV/0!</v>
      </c>
      <c r="O150" s="1088">
        <f>+[2]MX8!G35</f>
        <v>1611202918</v>
      </c>
      <c r="P150" s="1088">
        <f>+[2]MX8!H35</f>
        <v>1611202918</v>
      </c>
      <c r="Q150" s="1088">
        <f>+[2]MX8!I35</f>
        <v>2042069849.4000001</v>
      </c>
      <c r="R150" s="1098"/>
    </row>
    <row r="151" spans="1:18" s="54" customFormat="1" hidden="1" x14ac:dyDescent="0.25">
      <c r="A151" s="1137" t="s">
        <v>954</v>
      </c>
      <c r="B151" s="885">
        <f t="shared" ref="B151:I151" si="70">+B152+B166</f>
        <v>24876294016.599998</v>
      </c>
      <c r="C151" s="885">
        <f t="shared" si="70"/>
        <v>960638468.73000002</v>
      </c>
      <c r="D151" s="1107">
        <f t="shared" si="68"/>
        <v>-0.96138337695763831</v>
      </c>
      <c r="E151" s="885">
        <f t="shared" si="70"/>
        <v>1627416909.9299998</v>
      </c>
      <c r="F151" s="1107">
        <f t="shared" si="63"/>
        <v>0.69409925055521238</v>
      </c>
      <c r="G151" s="885">
        <f t="shared" si="70"/>
        <v>4354629422.6199999</v>
      </c>
      <c r="H151" s="1107">
        <f t="shared" si="65"/>
        <v>1.6757921685889978</v>
      </c>
      <c r="I151" s="885">
        <f t="shared" si="70"/>
        <v>10733819210.299999</v>
      </c>
      <c r="J151" s="1107">
        <f t="shared" si="66"/>
        <v>1.4649213902205955</v>
      </c>
      <c r="K151" s="885">
        <f>+K152+K157+K166+K194+K200</f>
        <v>51604255422.519997</v>
      </c>
      <c r="L151" s="1107">
        <f t="shared" si="67"/>
        <v>3.8076322519948342</v>
      </c>
      <c r="M151" s="1084">
        <f>+M152+M157+M166+M194+M200+M196+M193+M192</f>
        <v>47257741864.820007</v>
      </c>
      <c r="N151" s="1107">
        <f t="shared" si="64"/>
        <v>-8.4227812650566392E-2</v>
      </c>
      <c r="O151" s="1084">
        <f>+[2]MX8!G157</f>
        <v>7883689268</v>
      </c>
      <c r="P151" s="1084">
        <f>+[2]MX8!H157</f>
        <v>56970852577.230003</v>
      </c>
      <c r="Q151" s="1084">
        <f>+[2]MX8!I157</f>
        <v>48747161940.099998</v>
      </c>
      <c r="R151" s="1084">
        <f>+R169+R194+R197</f>
        <v>0</v>
      </c>
    </row>
    <row r="152" spans="1:18" hidden="1" x14ac:dyDescent="0.25">
      <c r="A152" s="750" t="s">
        <v>165</v>
      </c>
      <c r="B152" s="888">
        <f>+B153</f>
        <v>24000000000</v>
      </c>
      <c r="C152" s="888">
        <f>+C153</f>
        <v>0</v>
      </c>
      <c r="D152" s="1110">
        <f t="shared" si="68"/>
        <v>-1</v>
      </c>
      <c r="E152" s="888">
        <f>+E153</f>
        <v>0</v>
      </c>
      <c r="F152" s="1110"/>
      <c r="G152" s="888">
        <f>+G153</f>
        <v>3600000000</v>
      </c>
      <c r="H152" s="1110"/>
      <c r="I152" s="888">
        <f>+I153</f>
        <v>9953658033.5</v>
      </c>
      <c r="J152" s="1110">
        <f t="shared" si="66"/>
        <v>1.7649050093055556</v>
      </c>
      <c r="K152" s="888">
        <f>+K153</f>
        <v>0</v>
      </c>
      <c r="L152" s="1110">
        <f t="shared" si="67"/>
        <v>-1</v>
      </c>
      <c r="M152" s="1087">
        <f>+M153</f>
        <v>0</v>
      </c>
      <c r="N152" s="1110"/>
      <c r="O152" s="1087"/>
      <c r="P152" s="1128"/>
      <c r="Q152" s="1128"/>
      <c r="R152" s="1087"/>
    </row>
    <row r="153" spans="1:18" s="54" customFormat="1" ht="16.5" hidden="1" customHeight="1" x14ac:dyDescent="0.25">
      <c r="A153" s="750" t="s">
        <v>1150</v>
      </c>
      <c r="B153" s="890">
        <f t="shared" ref="B153:I153" si="71">SUM(B154:B155)</f>
        <v>24000000000</v>
      </c>
      <c r="C153" s="890">
        <f t="shared" si="71"/>
        <v>0</v>
      </c>
      <c r="D153" s="1112">
        <f t="shared" si="68"/>
        <v>-1</v>
      </c>
      <c r="E153" s="890">
        <f t="shared" si="71"/>
        <v>0</v>
      </c>
      <c r="F153" s="1112"/>
      <c r="G153" s="890">
        <f t="shared" si="71"/>
        <v>3600000000</v>
      </c>
      <c r="H153" s="1112"/>
      <c r="I153" s="890">
        <f t="shared" si="71"/>
        <v>9953658033.5</v>
      </c>
      <c r="J153" s="1112">
        <f t="shared" si="66"/>
        <v>1.7649050093055556</v>
      </c>
      <c r="K153" s="890">
        <f>SUM(K154:K156)</f>
        <v>0</v>
      </c>
      <c r="L153" s="1112">
        <f t="shared" si="67"/>
        <v>-1</v>
      </c>
      <c r="M153" s="1089">
        <f>SUM(M154:M156)</f>
        <v>0</v>
      </c>
      <c r="N153" s="1112"/>
      <c r="O153" s="1089"/>
      <c r="P153" s="1097"/>
      <c r="Q153" s="1097"/>
      <c r="R153" s="1089"/>
    </row>
    <row r="154" spans="1:18" s="54" customFormat="1" hidden="1" x14ac:dyDescent="0.25">
      <c r="A154" s="752" t="s">
        <v>1151</v>
      </c>
      <c r="B154" s="898">
        <v>24000000000</v>
      </c>
      <c r="C154" s="898">
        <v>0</v>
      </c>
      <c r="D154" s="1111">
        <f t="shared" si="68"/>
        <v>-1</v>
      </c>
      <c r="E154" s="898">
        <v>0</v>
      </c>
      <c r="F154" s="1111"/>
      <c r="G154" s="898">
        <v>0</v>
      </c>
      <c r="H154" s="1111"/>
      <c r="I154" s="898">
        <v>0</v>
      </c>
      <c r="J154" s="1111"/>
      <c r="K154" s="898">
        <v>0</v>
      </c>
      <c r="L154" s="1111"/>
      <c r="M154" s="1088"/>
      <c r="N154" s="1111"/>
      <c r="O154" s="1088"/>
      <c r="P154" s="1088"/>
      <c r="Q154" s="1088"/>
      <c r="R154" s="1098"/>
    </row>
    <row r="155" spans="1:18" s="54" customFormat="1" hidden="1" x14ac:dyDescent="0.25">
      <c r="A155" s="752" t="s">
        <v>1152</v>
      </c>
      <c r="B155" s="898">
        <v>0</v>
      </c>
      <c r="C155" s="898">
        <v>0</v>
      </c>
      <c r="D155" s="1111"/>
      <c r="E155" s="898">
        <v>0</v>
      </c>
      <c r="F155" s="1111"/>
      <c r="G155" s="898">
        <v>3600000000</v>
      </c>
      <c r="H155" s="1111"/>
      <c r="I155" s="898">
        <v>9953658033.5</v>
      </c>
      <c r="J155" s="1111">
        <f t="shared" si="66"/>
        <v>1.7649050093055556</v>
      </c>
      <c r="K155" s="898">
        <v>0</v>
      </c>
      <c r="L155" s="1111">
        <f t="shared" si="67"/>
        <v>-1</v>
      </c>
      <c r="M155" s="1088"/>
      <c r="N155" s="1111"/>
      <c r="O155" s="1088"/>
      <c r="P155" s="1088"/>
      <c r="Q155" s="1088"/>
      <c r="R155" s="1098"/>
    </row>
    <row r="156" spans="1:18" s="54" customFormat="1" hidden="1" x14ac:dyDescent="0.25">
      <c r="A156" s="778" t="s">
        <v>1153</v>
      </c>
      <c r="B156" s="890">
        <v>0</v>
      </c>
      <c r="C156" s="890">
        <v>0</v>
      </c>
      <c r="D156" s="1112"/>
      <c r="E156" s="890">
        <v>0</v>
      </c>
      <c r="F156" s="1112"/>
      <c r="G156" s="890">
        <v>0</v>
      </c>
      <c r="H156" s="1112"/>
      <c r="I156" s="890">
        <v>0</v>
      </c>
      <c r="J156" s="1112"/>
      <c r="K156" s="890">
        <v>0</v>
      </c>
      <c r="L156" s="1112"/>
      <c r="M156" s="1097"/>
      <c r="N156" s="1112"/>
      <c r="O156" s="1097"/>
      <c r="P156" s="1097"/>
      <c r="Q156" s="1097"/>
      <c r="R156" s="1089"/>
    </row>
    <row r="157" spans="1:18" s="54" customFormat="1" hidden="1" x14ac:dyDescent="0.25">
      <c r="A157" s="750" t="s">
        <v>1154</v>
      </c>
      <c r="B157" s="890">
        <f t="shared" ref="B157:I157" si="72">+B158</f>
        <v>6153080985.46</v>
      </c>
      <c r="C157" s="890">
        <f t="shared" si="72"/>
        <v>3905012763.3299999</v>
      </c>
      <c r="D157" s="1112">
        <f>+(C157-B157)/B157</f>
        <v>-0.36535651447498968</v>
      </c>
      <c r="E157" s="890">
        <f t="shared" si="72"/>
        <v>3443110206.2899995</v>
      </c>
      <c r="F157" s="1112">
        <f t="shared" si="63"/>
        <v>-0.11828451916405851</v>
      </c>
      <c r="G157" s="890">
        <f t="shared" si="72"/>
        <v>3595668921.52</v>
      </c>
      <c r="H157" s="1112">
        <f t="shared" si="65"/>
        <v>4.4308403184800955E-2</v>
      </c>
      <c r="I157" s="890">
        <f t="shared" si="72"/>
        <v>4688609197.9800005</v>
      </c>
      <c r="J157" s="1112">
        <f t="shared" si="66"/>
        <v>0.30396020888318631</v>
      </c>
      <c r="K157" s="890">
        <f>+K158+K162+K164</f>
        <v>4565106047.46</v>
      </c>
      <c r="L157" s="1112">
        <f t="shared" si="67"/>
        <v>-2.6341105710667778E-2</v>
      </c>
      <c r="M157" s="1089">
        <f>+M158+M162+M164</f>
        <v>0</v>
      </c>
      <c r="N157" s="1112"/>
      <c r="O157" s="1089"/>
      <c r="P157" s="1097"/>
      <c r="Q157" s="1097"/>
      <c r="R157" s="1089"/>
    </row>
    <row r="158" spans="1:18" hidden="1" x14ac:dyDescent="0.25">
      <c r="A158" s="750" t="s">
        <v>1155</v>
      </c>
      <c r="B158" s="888">
        <f t="shared" ref="B158:I158" si="73">+B159+B160+B161+B162+B163</f>
        <v>6153080985.46</v>
      </c>
      <c r="C158" s="888">
        <f t="shared" si="73"/>
        <v>3905012763.3299999</v>
      </c>
      <c r="D158" s="1110">
        <f>+(C158-B158)/B158</f>
        <v>-0.36535651447498968</v>
      </c>
      <c r="E158" s="888">
        <f t="shared" si="73"/>
        <v>3443110206.2899995</v>
      </c>
      <c r="F158" s="1110">
        <f t="shared" si="63"/>
        <v>-0.11828451916405851</v>
      </c>
      <c r="G158" s="888">
        <f t="shared" si="73"/>
        <v>3595668921.52</v>
      </c>
      <c r="H158" s="1110">
        <f t="shared" si="65"/>
        <v>4.4308403184800955E-2</v>
      </c>
      <c r="I158" s="888">
        <f t="shared" si="73"/>
        <v>4688609197.9800005</v>
      </c>
      <c r="J158" s="1110">
        <f t="shared" si="66"/>
        <v>0.30396020888318631</v>
      </c>
      <c r="K158" s="888">
        <f>+K159+K160+K161</f>
        <v>3279067135.9799995</v>
      </c>
      <c r="L158" s="1110">
        <f t="shared" si="67"/>
        <v>-0.30063116853656213</v>
      </c>
      <c r="M158" s="1087">
        <f>+M159+M160+M161</f>
        <v>0</v>
      </c>
      <c r="N158" s="1110"/>
      <c r="O158" s="1087"/>
      <c r="P158" s="1128"/>
      <c r="Q158" s="1128"/>
      <c r="R158" s="1087"/>
    </row>
    <row r="159" spans="1:18" ht="25.5" hidden="1" x14ac:dyDescent="0.25">
      <c r="A159" s="752" t="s">
        <v>1156</v>
      </c>
      <c r="B159" s="898">
        <v>5132581247.0500002</v>
      </c>
      <c r="C159" s="898">
        <v>652748755.49000001</v>
      </c>
      <c r="D159" s="1111">
        <f>+(C159-B159)/B159</f>
        <v>-0.87282251871508643</v>
      </c>
      <c r="E159" s="898">
        <v>861037129.29999995</v>
      </c>
      <c r="F159" s="1111">
        <f t="shared" si="63"/>
        <v>0.31909424883337195</v>
      </c>
      <c r="G159" s="898">
        <v>904915252.80999994</v>
      </c>
      <c r="H159" s="1111">
        <f t="shared" si="65"/>
        <v>5.0959618368224983E-2</v>
      </c>
      <c r="I159" s="898">
        <v>1359031530.9100001</v>
      </c>
      <c r="J159" s="1111">
        <f t="shared" si="66"/>
        <v>0.50183293594604539</v>
      </c>
      <c r="K159" s="898">
        <v>2258764112.2399998</v>
      </c>
      <c r="L159" s="1111">
        <f t="shared" si="67"/>
        <v>0.66203951922112036</v>
      </c>
      <c r="M159" s="1088"/>
      <c r="N159" s="1111"/>
      <c r="O159" s="1088"/>
      <c r="P159" s="1088"/>
      <c r="Q159" s="1088"/>
      <c r="R159" s="1098"/>
    </row>
    <row r="160" spans="1:18" hidden="1" x14ac:dyDescent="0.25">
      <c r="A160" s="752" t="s">
        <v>1157</v>
      </c>
      <c r="B160" s="898">
        <v>0</v>
      </c>
      <c r="C160" s="898">
        <v>459946134.55000001</v>
      </c>
      <c r="D160" s="1111"/>
      <c r="E160" s="898">
        <v>554208481.19000006</v>
      </c>
      <c r="F160" s="1111">
        <f t="shared" si="63"/>
        <v>0.20494214334951202</v>
      </c>
      <c r="G160" s="898">
        <v>481640007.06999999</v>
      </c>
      <c r="H160" s="1111">
        <f t="shared" si="65"/>
        <v>-0.13094074988563972</v>
      </c>
      <c r="I160" s="898">
        <v>724565975.5</v>
      </c>
      <c r="J160" s="1111">
        <f t="shared" si="66"/>
        <v>0.5043724874679979</v>
      </c>
      <c r="K160" s="898">
        <v>243148522.19</v>
      </c>
      <c r="L160" s="1111">
        <f t="shared" si="67"/>
        <v>-0.66442183263958687</v>
      </c>
      <c r="M160" s="1088"/>
      <c r="N160" s="1111"/>
      <c r="O160" s="1088"/>
      <c r="P160" s="1088"/>
      <c r="Q160" s="1088"/>
      <c r="R160" s="1098"/>
    </row>
    <row r="161" spans="1:19" hidden="1" x14ac:dyDescent="0.25">
      <c r="A161" s="752" t="s">
        <v>1158</v>
      </c>
      <c r="B161" s="898">
        <v>0</v>
      </c>
      <c r="C161" s="898">
        <v>1361112632.4400001</v>
      </c>
      <c r="D161" s="1111"/>
      <c r="E161" s="898">
        <v>1487037414.6199999</v>
      </c>
      <c r="F161" s="1111">
        <f t="shared" si="63"/>
        <v>9.251606309336842E-2</v>
      </c>
      <c r="G161" s="898">
        <v>1423742945.45</v>
      </c>
      <c r="H161" s="1111">
        <f t="shared" si="65"/>
        <v>-4.256414031530889E-2</v>
      </c>
      <c r="I161" s="898">
        <v>1813347131.9300001</v>
      </c>
      <c r="J161" s="1111">
        <f t="shared" si="66"/>
        <v>0.27364784333091707</v>
      </c>
      <c r="K161" s="898">
        <v>777154501.54999995</v>
      </c>
      <c r="L161" s="1111">
        <f t="shared" si="67"/>
        <v>-0.57142541112751477</v>
      </c>
      <c r="M161" s="1088"/>
      <c r="N161" s="1111"/>
      <c r="O161" s="1088"/>
      <c r="P161" s="1088"/>
      <c r="Q161" s="1088"/>
      <c r="R161" s="1098"/>
    </row>
    <row r="162" spans="1:19" s="54" customFormat="1" hidden="1" x14ac:dyDescent="0.25">
      <c r="A162" s="752" t="s">
        <v>1159</v>
      </c>
      <c r="B162" s="898">
        <v>16838327</v>
      </c>
      <c r="C162" s="898">
        <v>1431205240.8499999</v>
      </c>
      <c r="D162" s="1111">
        <f t="shared" ref="D162:D169" si="74">+(C162-B162)/B162</f>
        <v>83.99687889717309</v>
      </c>
      <c r="E162" s="898">
        <v>0</v>
      </c>
      <c r="F162" s="1111">
        <f t="shared" si="63"/>
        <v>-1</v>
      </c>
      <c r="G162" s="898">
        <v>0</v>
      </c>
      <c r="H162" s="1111"/>
      <c r="I162" s="898">
        <v>0</v>
      </c>
      <c r="J162" s="1111"/>
      <c r="K162" s="898">
        <f>+K163</f>
        <v>463984312.81999999</v>
      </c>
      <c r="L162" s="1111"/>
      <c r="M162" s="1098">
        <f>+M163</f>
        <v>0</v>
      </c>
      <c r="N162" s="1111"/>
      <c r="O162" s="1098"/>
      <c r="P162" s="1088"/>
      <c r="Q162" s="1088"/>
      <c r="R162" s="1098"/>
    </row>
    <row r="163" spans="1:19" hidden="1" x14ac:dyDescent="0.25">
      <c r="A163" s="752" t="s">
        <v>1160</v>
      </c>
      <c r="B163" s="898">
        <v>1003661411.41</v>
      </c>
      <c r="C163" s="898">
        <v>0</v>
      </c>
      <c r="D163" s="1111">
        <f t="shared" si="74"/>
        <v>-1</v>
      </c>
      <c r="E163" s="898">
        <v>540827181.17999995</v>
      </c>
      <c r="F163" s="1111"/>
      <c r="G163" s="898">
        <v>785370716.19000006</v>
      </c>
      <c r="H163" s="1111">
        <f t="shared" si="65"/>
        <v>0.45216576296414046</v>
      </c>
      <c r="I163" s="898">
        <v>791664559.63999999</v>
      </c>
      <c r="J163" s="1111">
        <f t="shared" si="66"/>
        <v>8.0138504279007212E-3</v>
      </c>
      <c r="K163" s="898">
        <v>463984312.81999999</v>
      </c>
      <c r="L163" s="1111">
        <f t="shared" si="67"/>
        <v>-0.41391299235247903</v>
      </c>
      <c r="M163" s="1088"/>
      <c r="N163" s="1111"/>
      <c r="O163" s="1088"/>
      <c r="P163" s="1088"/>
      <c r="Q163" s="1088"/>
      <c r="R163" s="1098"/>
    </row>
    <row r="164" spans="1:19" s="54" customFormat="1" hidden="1" x14ac:dyDescent="0.25">
      <c r="A164" s="779" t="s">
        <v>1161</v>
      </c>
      <c r="B164" s="888">
        <f>+B165</f>
        <v>8947353002.9300003</v>
      </c>
      <c r="C164" s="888">
        <f t="shared" ref="C164:I164" si="75">+C165</f>
        <v>288578661.56999999</v>
      </c>
      <c r="D164" s="1110">
        <f t="shared" si="74"/>
        <v>-0.96774703518733429</v>
      </c>
      <c r="E164" s="888">
        <f t="shared" si="75"/>
        <v>314586355.63999999</v>
      </c>
      <c r="F164" s="1110">
        <f t="shared" si="63"/>
        <v>9.0123413590271137E-2</v>
      </c>
      <c r="G164" s="888">
        <f t="shared" si="75"/>
        <v>518340794.77999997</v>
      </c>
      <c r="H164" s="1110">
        <f t="shared" si="65"/>
        <v>0.64769000780557817</v>
      </c>
      <c r="I164" s="888">
        <f t="shared" si="75"/>
        <v>389188180.72000003</v>
      </c>
      <c r="J164" s="1110">
        <f t="shared" si="66"/>
        <v>-0.24916544358584847</v>
      </c>
      <c r="K164" s="888">
        <f>+K165</f>
        <v>822054598.65999997</v>
      </c>
      <c r="L164" s="1110">
        <f t="shared" si="67"/>
        <v>1.1122290947767093</v>
      </c>
      <c r="M164" s="1087">
        <f>+M165</f>
        <v>0</v>
      </c>
      <c r="N164" s="1110"/>
      <c r="O164" s="1087"/>
      <c r="P164" s="1128"/>
      <c r="Q164" s="1128"/>
      <c r="R164" s="1087"/>
    </row>
    <row r="165" spans="1:19" s="54" customFormat="1" hidden="1" x14ac:dyDescent="0.25">
      <c r="A165" s="752" t="s">
        <v>606</v>
      </c>
      <c r="B165" s="898">
        <v>8947353002.9300003</v>
      </c>
      <c r="C165" s="898">
        <v>288578661.56999999</v>
      </c>
      <c r="D165" s="1111">
        <f t="shared" si="74"/>
        <v>-0.96774703518733429</v>
      </c>
      <c r="E165" s="898">
        <v>314586355.63999999</v>
      </c>
      <c r="F165" s="1111">
        <f t="shared" si="63"/>
        <v>9.0123413590271137E-2</v>
      </c>
      <c r="G165" s="898">
        <v>518340794.77999997</v>
      </c>
      <c r="H165" s="1111">
        <f t="shared" si="65"/>
        <v>0.64769000780557817</v>
      </c>
      <c r="I165" s="898">
        <v>389188180.72000003</v>
      </c>
      <c r="J165" s="1111">
        <f t="shared" si="66"/>
        <v>-0.24916544358584847</v>
      </c>
      <c r="K165" s="898">
        <v>822054598.65999997</v>
      </c>
      <c r="L165" s="1111">
        <f t="shared" si="67"/>
        <v>1.1122290947767093</v>
      </c>
      <c r="M165" s="1088"/>
      <c r="N165" s="1111"/>
      <c r="O165" s="1088"/>
      <c r="P165" s="1088"/>
      <c r="Q165" s="1088"/>
      <c r="R165" s="1098"/>
    </row>
    <row r="166" spans="1:19" s="54" customFormat="1" hidden="1" x14ac:dyDescent="0.25">
      <c r="A166" s="750" t="s">
        <v>1162</v>
      </c>
      <c r="B166" s="890">
        <f t="shared" ref="B166:K166" si="76">+B167+B198</f>
        <v>876294016.60000002</v>
      </c>
      <c r="C166" s="890">
        <f t="shared" si="76"/>
        <v>960638468.73000002</v>
      </c>
      <c r="D166" s="1112">
        <f t="shared" si="74"/>
        <v>9.6251315805229928E-2</v>
      </c>
      <c r="E166" s="890">
        <f t="shared" si="76"/>
        <v>1627416909.9299998</v>
      </c>
      <c r="F166" s="1112">
        <f t="shared" si="63"/>
        <v>0.69409925055521238</v>
      </c>
      <c r="G166" s="890">
        <f t="shared" si="76"/>
        <v>754629422.62</v>
      </c>
      <c r="H166" s="1112">
        <f t="shared" si="65"/>
        <v>-0.53630233407587058</v>
      </c>
      <c r="I166" s="890">
        <f t="shared" si="76"/>
        <v>780161176.79999995</v>
      </c>
      <c r="J166" s="1112">
        <f t="shared" si="66"/>
        <v>3.3833499482906697E-2</v>
      </c>
      <c r="K166" s="890">
        <f t="shared" si="76"/>
        <v>8955844257.0100002</v>
      </c>
      <c r="L166" s="1112">
        <f t="shared" si="67"/>
        <v>10.479479527223253</v>
      </c>
      <c r="M166" s="1089">
        <f>+M167+M198</f>
        <v>8918473402.6200008</v>
      </c>
      <c r="N166" s="1112">
        <f t="shared" si="64"/>
        <v>-4.1727896686845727E-3</v>
      </c>
      <c r="O166" s="1089"/>
      <c r="P166" s="1097"/>
      <c r="Q166" s="1097"/>
      <c r="R166" s="1089"/>
    </row>
    <row r="167" spans="1:19" s="54" customFormat="1" hidden="1" x14ac:dyDescent="0.25">
      <c r="A167" s="750" t="s">
        <v>1163</v>
      </c>
      <c r="B167" s="890">
        <f t="shared" ref="B167:I167" si="77">+B168+B169</f>
        <v>708585739.50999999</v>
      </c>
      <c r="C167" s="890">
        <f t="shared" si="77"/>
        <v>761666920.5</v>
      </c>
      <c r="D167" s="1112">
        <f t="shared" si="74"/>
        <v>7.4911444064209673E-2</v>
      </c>
      <c r="E167" s="890">
        <f t="shared" si="77"/>
        <v>1431994847.9699998</v>
      </c>
      <c r="F167" s="1112">
        <f t="shared" si="63"/>
        <v>0.88008013664287765</v>
      </c>
      <c r="G167" s="890">
        <f t="shared" si="77"/>
        <v>599536601.62</v>
      </c>
      <c r="H167" s="1112">
        <f t="shared" si="65"/>
        <v>-0.58132768251931566</v>
      </c>
      <c r="I167" s="890">
        <f t="shared" si="77"/>
        <v>558757624.79999995</v>
      </c>
      <c r="J167" s="1112">
        <f t="shared" si="66"/>
        <v>-6.8017493360391534E-2</v>
      </c>
      <c r="K167" s="890">
        <f>+K168+K169</f>
        <v>8955844257.0100002</v>
      </c>
      <c r="L167" s="1112">
        <f t="shared" si="67"/>
        <v>15.028137889331941</v>
      </c>
      <c r="M167" s="1089">
        <f>+M168+M169</f>
        <v>8918473402.6200008</v>
      </c>
      <c r="N167" s="1112">
        <f t="shared" si="64"/>
        <v>-4.1727896686845727E-3</v>
      </c>
      <c r="O167" s="1089"/>
      <c r="P167" s="1097"/>
      <c r="Q167" s="1097"/>
      <c r="R167" s="1089"/>
    </row>
    <row r="168" spans="1:19" s="54" customFormat="1" hidden="1" x14ac:dyDescent="0.25">
      <c r="A168" s="752" t="s">
        <v>1164</v>
      </c>
      <c r="B168" s="1119">
        <v>391674231.25</v>
      </c>
      <c r="C168" s="1119">
        <v>463287974.17000002</v>
      </c>
      <c r="D168" s="1120">
        <f t="shared" si="74"/>
        <v>0.18284006760273694</v>
      </c>
      <c r="E168" s="1119">
        <v>817422371.61000001</v>
      </c>
      <c r="F168" s="1120">
        <f t="shared" si="63"/>
        <v>0.76439367560629379</v>
      </c>
      <c r="G168" s="1119">
        <v>388313126.95999998</v>
      </c>
      <c r="H168" s="1120">
        <f t="shared" si="65"/>
        <v>-0.5249541235393691</v>
      </c>
      <c r="I168" s="1119">
        <v>385612146.57999998</v>
      </c>
      <c r="J168" s="1120">
        <f t="shared" si="66"/>
        <v>-6.9556762119922424E-3</v>
      </c>
      <c r="K168" s="1119">
        <v>254989335.63999999</v>
      </c>
      <c r="L168" s="1120">
        <f t="shared" si="67"/>
        <v>-0.33874143254691458</v>
      </c>
      <c r="M168" s="1094">
        <v>305194983</v>
      </c>
      <c r="N168" s="1120">
        <f t="shared" si="64"/>
        <v>0.19689312587912125</v>
      </c>
      <c r="O168" s="1094"/>
      <c r="P168" s="1094"/>
      <c r="Q168" s="1094"/>
      <c r="R168" s="1121"/>
    </row>
    <row r="169" spans="1:19" s="54" customFormat="1" hidden="1" x14ac:dyDescent="0.25">
      <c r="A169" s="750" t="s">
        <v>1165</v>
      </c>
      <c r="B169" s="890">
        <v>316911508.25999999</v>
      </c>
      <c r="C169" s="890">
        <f>SUM(C171:C195)</f>
        <v>298378946.33000004</v>
      </c>
      <c r="D169" s="1112">
        <f t="shared" si="74"/>
        <v>-5.8478665012049659E-2</v>
      </c>
      <c r="E169" s="890">
        <f>SUM(E171:E195)</f>
        <v>614572476.3599999</v>
      </c>
      <c r="F169" s="1112">
        <f t="shared" si="63"/>
        <v>1.0597045599869412</v>
      </c>
      <c r="G169" s="890">
        <f>SUM(G171:G195)</f>
        <v>211223474.66</v>
      </c>
      <c r="H169" s="1112">
        <f t="shared" si="65"/>
        <v>-0.65630827480098375</v>
      </c>
      <c r="I169" s="890">
        <f>SUM(I171:I195)</f>
        <v>173145478.22</v>
      </c>
      <c r="J169" s="1112">
        <f t="shared" si="66"/>
        <v>-0.18027350653753324</v>
      </c>
      <c r="K169" s="890">
        <f>SUM(K171:K189)+K197</f>
        <v>8700854921.3700008</v>
      </c>
      <c r="L169" s="1112">
        <f t="shared" si="67"/>
        <v>49.251701695118058</v>
      </c>
      <c r="M169" s="1089">
        <f>SUM(M171:M189)+M197</f>
        <v>8613278419.6200008</v>
      </c>
      <c r="N169" s="890" t="e">
        <f t="shared" ref="N169:Q169" si="78">SUM(N171:N189)+N197</f>
        <v>#DIV/0!</v>
      </c>
      <c r="O169" s="1089">
        <f>SUM(O171:O189)+O197</f>
        <v>7723689268</v>
      </c>
      <c r="P169" s="1089">
        <f t="shared" si="78"/>
        <v>7723689268</v>
      </c>
      <c r="Q169" s="1089">
        <f t="shared" si="78"/>
        <v>431394464.26999992</v>
      </c>
      <c r="R169" s="1089"/>
    </row>
    <row r="170" spans="1:19" s="54" customFormat="1" x14ac:dyDescent="0.25">
      <c r="A170" s="750" t="s">
        <v>1166</v>
      </c>
      <c r="B170" s="887"/>
      <c r="C170" s="887"/>
      <c r="D170" s="1109"/>
      <c r="E170" s="887"/>
      <c r="F170" s="1109"/>
      <c r="G170" s="887"/>
      <c r="H170" s="1109"/>
      <c r="I170" s="887"/>
      <c r="J170" s="1109"/>
      <c r="K170" s="887"/>
      <c r="L170" s="1109"/>
      <c r="M170" s="1086"/>
      <c r="N170" s="890"/>
      <c r="O170" s="1088">
        <f>+O171+O172+O173+O174+O175+O176+O177+O178+O179+O180+O181+O182+O183+O184+O185+O186+O187+O188+O189</f>
        <v>460422611</v>
      </c>
      <c r="P170" s="1089">
        <f t="shared" ref="P170:Q170" si="79">+P171+P172+P173+P174+P175+P176+P177+P178+P179+P180+P181+P182+P183+P184+P185+P186+P187+P188+P189</f>
        <v>460422611</v>
      </c>
      <c r="Q170" s="1089">
        <f t="shared" si="79"/>
        <v>431394464.26999992</v>
      </c>
      <c r="R170" s="1089"/>
    </row>
    <row r="171" spans="1:19" s="54" customFormat="1" hidden="1" x14ac:dyDescent="0.25">
      <c r="A171" s="752" t="s">
        <v>1050</v>
      </c>
      <c r="B171" s="887">
        <v>0</v>
      </c>
      <c r="C171" s="887">
        <v>93819087.760000005</v>
      </c>
      <c r="D171" s="1109"/>
      <c r="E171" s="887">
        <v>69195431.610500008</v>
      </c>
      <c r="F171" s="1109">
        <f t="shared" si="63"/>
        <v>-0.26245891680902012</v>
      </c>
      <c r="G171" s="887">
        <v>12808894.51</v>
      </c>
      <c r="H171" s="1109">
        <f t="shared" si="65"/>
        <v>-0.8148881477884109</v>
      </c>
      <c r="I171" s="887">
        <v>15150697.939999999</v>
      </c>
      <c r="J171" s="1109">
        <f t="shared" si="66"/>
        <v>0.1828263499376731</v>
      </c>
      <c r="K171" s="887">
        <v>8564550.9399999995</v>
      </c>
      <c r="L171" s="1109">
        <f t="shared" si="67"/>
        <v>-0.43470914845524272</v>
      </c>
      <c r="M171" s="1088">
        <v>18961910.350000001</v>
      </c>
      <c r="N171" s="1109">
        <f t="shared" si="64"/>
        <v>1.2139993658558359</v>
      </c>
      <c r="O171" s="1088">
        <f>+[2]MX8!G164</f>
        <v>1664967</v>
      </c>
      <c r="P171" s="1088">
        <f>+[2]MX8!H164</f>
        <v>1664967</v>
      </c>
      <c r="Q171" s="1088">
        <f>+[2]MX8!I164</f>
        <v>38805350.18</v>
      </c>
      <c r="R171" s="1086"/>
    </row>
    <row r="172" spans="1:19" s="54" customFormat="1" hidden="1" x14ac:dyDescent="0.25">
      <c r="A172" s="752" t="s">
        <v>1167</v>
      </c>
      <c r="B172" s="887">
        <v>0</v>
      </c>
      <c r="C172" s="887">
        <v>0</v>
      </c>
      <c r="D172" s="1109"/>
      <c r="E172" s="887">
        <v>21290902.034000002</v>
      </c>
      <c r="F172" s="1109"/>
      <c r="G172" s="887">
        <v>3941198.31</v>
      </c>
      <c r="H172" s="1109">
        <f t="shared" si="65"/>
        <v>-0.81488814782454044</v>
      </c>
      <c r="I172" s="887">
        <v>4661753.17</v>
      </c>
      <c r="J172" s="1109">
        <f t="shared" si="66"/>
        <v>0.1828263394338053</v>
      </c>
      <c r="K172" s="887">
        <v>2635246.46</v>
      </c>
      <c r="L172" s="1109">
        <f t="shared" si="67"/>
        <v>-0.43470913969475566</v>
      </c>
      <c r="M172" s="1088">
        <v>6320426.5999999996</v>
      </c>
      <c r="N172" s="1109">
        <f t="shared" si="64"/>
        <v>1.3984195390969236</v>
      </c>
      <c r="O172" s="1088">
        <f>+[2]MX8!G165</f>
        <v>481528</v>
      </c>
      <c r="P172" s="1088">
        <f>+[2]MX8!H165</f>
        <v>481528</v>
      </c>
      <c r="Q172" s="1088">
        <f>+[2]MX8!I165</f>
        <v>15522140.039999999</v>
      </c>
      <c r="R172" s="1086"/>
    </row>
    <row r="173" spans="1:19" s="54" customFormat="1" ht="25.5" hidden="1" x14ac:dyDescent="0.25">
      <c r="A173" s="752" t="s">
        <v>1168</v>
      </c>
      <c r="B173" s="887">
        <v>0</v>
      </c>
      <c r="C173" s="887">
        <v>0</v>
      </c>
      <c r="D173" s="1109"/>
      <c r="E173" s="887">
        <v>15968176.5255</v>
      </c>
      <c r="F173" s="1109"/>
      <c r="G173" s="887">
        <v>2955898.71</v>
      </c>
      <c r="H173" s="1109">
        <f t="shared" si="65"/>
        <v>-0.81488814923359287</v>
      </c>
      <c r="I173" s="887">
        <v>3496314.8799999999</v>
      </c>
      <c r="J173" s="1109">
        <f t="shared" si="66"/>
        <v>0.18282634928312544</v>
      </c>
      <c r="K173" s="887">
        <v>1976434.84</v>
      </c>
      <c r="L173" s="1109">
        <f t="shared" si="67"/>
        <v>-0.4347091415290375</v>
      </c>
      <c r="M173" s="1088">
        <v>6319796.04</v>
      </c>
      <c r="N173" s="1109">
        <f t="shared" si="64"/>
        <v>2.1975736877821888</v>
      </c>
      <c r="O173" s="1088">
        <f>+[2]MX8!G177</f>
        <v>0</v>
      </c>
      <c r="P173" s="1088">
        <f>+[2]MX8!H177</f>
        <v>0</v>
      </c>
      <c r="Q173" s="1088">
        <f>+[2]MX8!I177</f>
        <v>23283210.050000001</v>
      </c>
      <c r="R173" s="1086"/>
    </row>
    <row r="174" spans="1:19" s="54" customFormat="1" hidden="1" x14ac:dyDescent="0.25">
      <c r="A174" s="752" t="s">
        <v>1054</v>
      </c>
      <c r="B174" s="887">
        <v>0</v>
      </c>
      <c r="C174" s="887">
        <v>5351954.2820000006</v>
      </c>
      <c r="D174" s="1109"/>
      <c r="E174" s="887">
        <v>10789578.84</v>
      </c>
      <c r="F174" s="1109">
        <f t="shared" si="63"/>
        <v>1.0160072884568783</v>
      </c>
      <c r="G174" s="887">
        <v>3779495.92</v>
      </c>
      <c r="H174" s="1109">
        <f t="shared" si="65"/>
        <v>-0.64970867018568446</v>
      </c>
      <c r="I174" s="887">
        <v>3976503.65</v>
      </c>
      <c r="J174" s="1109">
        <f t="shared" si="66"/>
        <v>5.2125398246229616E-2</v>
      </c>
      <c r="K174" s="887">
        <v>866603.49</v>
      </c>
      <c r="L174" s="1109">
        <f t="shared" si="67"/>
        <v>-0.78206898162912541</v>
      </c>
      <c r="M174" s="1088">
        <v>1723833.62</v>
      </c>
      <c r="N174" s="1109">
        <f t="shared" si="64"/>
        <v>0.98918379615572527</v>
      </c>
      <c r="O174" s="1088">
        <f>+[2]MX8!G166</f>
        <v>316121</v>
      </c>
      <c r="P174" s="1088">
        <f>+[2]MX8!H166</f>
        <v>316121</v>
      </c>
      <c r="Q174" s="1088">
        <f>+[2]MX8!I166</f>
        <v>2218944.34</v>
      </c>
      <c r="R174" s="1086"/>
      <c r="S174" s="654"/>
    </row>
    <row r="175" spans="1:19" s="54" customFormat="1" hidden="1" x14ac:dyDescent="0.25">
      <c r="A175" s="752" t="s">
        <v>1055</v>
      </c>
      <c r="B175" s="887">
        <v>0</v>
      </c>
      <c r="C175" s="887">
        <v>2675977.1410000003</v>
      </c>
      <c r="D175" s="1109"/>
      <c r="E175" s="887">
        <v>5394789.4199999999</v>
      </c>
      <c r="F175" s="1109">
        <f t="shared" si="63"/>
        <v>1.0160072884568783</v>
      </c>
      <c r="G175" s="887">
        <v>1889748</v>
      </c>
      <c r="H175" s="1109">
        <f t="shared" si="65"/>
        <v>-0.6497086627711226</v>
      </c>
      <c r="I175" s="887">
        <v>1988251.74</v>
      </c>
      <c r="J175" s="1109">
        <f t="shared" si="66"/>
        <v>5.2125330996513813E-2</v>
      </c>
      <c r="K175" s="887">
        <v>433301.69</v>
      </c>
      <c r="L175" s="1109">
        <f t="shared" si="67"/>
        <v>-0.78206899997482215</v>
      </c>
      <c r="M175" s="1088">
        <v>861916.82</v>
      </c>
      <c r="N175" s="1109">
        <f t="shared" si="64"/>
        <v>0.98918407172609912</v>
      </c>
      <c r="O175" s="1088">
        <f>+[2]MX8!G167</f>
        <v>158060</v>
      </c>
      <c r="P175" s="1088">
        <f>+[2]MX8!H167</f>
        <v>158060</v>
      </c>
      <c r="Q175" s="1088">
        <f>+[2]MX8!I167</f>
        <v>1109472.1599999999</v>
      </c>
      <c r="R175" s="1086"/>
    </row>
    <row r="176" spans="1:19" s="54" customFormat="1" hidden="1" x14ac:dyDescent="0.25">
      <c r="A176" s="752" t="s">
        <v>1056</v>
      </c>
      <c r="B176" s="887">
        <v>0</v>
      </c>
      <c r="C176" s="887">
        <v>2675977.1410000003</v>
      </c>
      <c r="D176" s="1109"/>
      <c r="E176" s="887">
        <v>5394789.4199999999</v>
      </c>
      <c r="F176" s="1109">
        <f t="shared" si="63"/>
        <v>1.0160072884568783</v>
      </c>
      <c r="G176" s="887">
        <v>1889748</v>
      </c>
      <c r="H176" s="1109">
        <f t="shared" si="65"/>
        <v>-0.6497086627711226</v>
      </c>
      <c r="I176" s="887">
        <v>1988251.74</v>
      </c>
      <c r="J176" s="1109">
        <f t="shared" si="66"/>
        <v>5.2125330996513813E-2</v>
      </c>
      <c r="K176" s="887">
        <v>433301.69</v>
      </c>
      <c r="L176" s="1109">
        <f t="shared" si="67"/>
        <v>-0.78206899997482215</v>
      </c>
      <c r="M176" s="1088">
        <v>861916.82</v>
      </c>
      <c r="N176" s="1109">
        <f t="shared" si="64"/>
        <v>0.98918407172609912</v>
      </c>
      <c r="O176" s="1088">
        <f>+[2]MX8!G168</f>
        <v>158060</v>
      </c>
      <c r="P176" s="1088">
        <f>+[2]MX8!H168</f>
        <v>158060</v>
      </c>
      <c r="Q176" s="1088">
        <f>+[2]MX8!I168</f>
        <v>1109472.1599999999</v>
      </c>
      <c r="R176" s="1086"/>
    </row>
    <row r="177" spans="1:18" s="54" customFormat="1" hidden="1" x14ac:dyDescent="0.25">
      <c r="A177" s="752" t="s">
        <v>1057</v>
      </c>
      <c r="B177" s="887">
        <v>0</v>
      </c>
      <c r="C177" s="887">
        <v>13379885.705</v>
      </c>
      <c r="D177" s="1109"/>
      <c r="E177" s="887">
        <v>26973947.010000002</v>
      </c>
      <c r="F177" s="1109">
        <f t="shared" si="63"/>
        <v>1.0160072817303638</v>
      </c>
      <c r="G177" s="887">
        <v>9448739.9900000002</v>
      </c>
      <c r="H177" s="1109">
        <f t="shared" si="65"/>
        <v>-0.64970866197308519</v>
      </c>
      <c r="I177" s="887">
        <v>9941258.9499999993</v>
      </c>
      <c r="J177" s="1109">
        <f t="shared" si="66"/>
        <v>5.2125358568576613E-2</v>
      </c>
      <c r="K177" s="887">
        <v>2166508.64</v>
      </c>
      <c r="L177" s="1109">
        <f t="shared" si="67"/>
        <v>-0.78206898634302235</v>
      </c>
      <c r="M177" s="1088">
        <v>4309584.01</v>
      </c>
      <c r="N177" s="1109">
        <f t="shared" si="64"/>
        <v>0.98918385573574241</v>
      </c>
      <c r="O177" s="1088">
        <f>+[2]MX8!G169</f>
        <v>790301</v>
      </c>
      <c r="P177" s="1088">
        <f>+[2]MX8!H169</f>
        <v>790301</v>
      </c>
      <c r="Q177" s="1088">
        <f>+[2]MX8!I169</f>
        <v>4759073.42</v>
      </c>
      <c r="R177" s="1086"/>
    </row>
    <row r="178" spans="1:18" s="54" customFormat="1" hidden="1" x14ac:dyDescent="0.25">
      <c r="A178" s="752" t="s">
        <v>1058</v>
      </c>
      <c r="B178" s="887">
        <v>0</v>
      </c>
      <c r="C178" s="887">
        <v>2675977.1410000003</v>
      </c>
      <c r="D178" s="1109"/>
      <c r="E178" s="887">
        <v>5394789.4199999999</v>
      </c>
      <c r="F178" s="1109">
        <f t="shared" si="63"/>
        <v>1.0160072884568783</v>
      </c>
      <c r="G178" s="887">
        <v>1889748</v>
      </c>
      <c r="H178" s="1109">
        <f t="shared" si="65"/>
        <v>-0.6497086627711226</v>
      </c>
      <c r="I178" s="887">
        <v>1988251.74</v>
      </c>
      <c r="J178" s="1109">
        <f t="shared" si="66"/>
        <v>5.2125330996513813E-2</v>
      </c>
      <c r="K178" s="887">
        <v>433301.69</v>
      </c>
      <c r="L178" s="1109">
        <f t="shared" si="67"/>
        <v>-0.78206899997482215</v>
      </c>
      <c r="M178" s="1088">
        <v>861916.82</v>
      </c>
      <c r="N178" s="1109">
        <f t="shared" si="64"/>
        <v>0.98918407172609912</v>
      </c>
      <c r="O178" s="1088">
        <f>+[2]MX8!G170</f>
        <v>158060</v>
      </c>
      <c r="P178" s="1088">
        <f>+[2]MX8!H170</f>
        <v>158060</v>
      </c>
      <c r="Q178" s="1088">
        <f>+[2]MX8!I170</f>
        <v>1897759.54</v>
      </c>
      <c r="R178" s="1086"/>
    </row>
    <row r="179" spans="1:18" s="54" customFormat="1" hidden="1" x14ac:dyDescent="0.25">
      <c r="A179" s="752" t="s">
        <v>1060</v>
      </c>
      <c r="B179" s="887">
        <v>0</v>
      </c>
      <c r="C179" s="887">
        <v>38259325.719999999</v>
      </c>
      <c r="D179" s="1109"/>
      <c r="E179" s="887">
        <v>9739380.3760000002</v>
      </c>
      <c r="F179" s="1109">
        <f t="shared" si="63"/>
        <v>-0.7454377411855756</v>
      </c>
      <c r="G179" s="887">
        <v>3334722.42</v>
      </c>
      <c r="H179" s="1109">
        <f t="shared" si="65"/>
        <v>-0.6576042529135121</v>
      </c>
      <c r="I179" s="887">
        <v>2385270.66</v>
      </c>
      <c r="J179" s="1109">
        <f t="shared" si="66"/>
        <v>-0.28471687907385101</v>
      </c>
      <c r="K179" s="887">
        <v>3407490.18</v>
      </c>
      <c r="L179" s="1109">
        <f t="shared" si="67"/>
        <v>0.42855493807985712</v>
      </c>
      <c r="M179" s="1088">
        <v>14259553.98</v>
      </c>
      <c r="N179" s="1109">
        <f t="shared" si="64"/>
        <v>3.1847674466372196</v>
      </c>
      <c r="O179" s="1088">
        <f>+[2]MX8!G171</f>
        <v>1400016</v>
      </c>
      <c r="P179" s="1088">
        <f>+[2]MX8!H171</f>
        <v>1400016</v>
      </c>
      <c r="Q179" s="1088">
        <f>+[2]MX8!I171</f>
        <v>32273965.030000001</v>
      </c>
      <c r="R179" s="1086"/>
    </row>
    <row r="180" spans="1:18" s="54" customFormat="1" hidden="1" x14ac:dyDescent="0.25">
      <c r="A180" s="752" t="s">
        <v>1169</v>
      </c>
      <c r="B180" s="887">
        <v>0</v>
      </c>
      <c r="C180" s="887">
        <v>0</v>
      </c>
      <c r="D180" s="1109"/>
      <c r="E180" s="887">
        <v>2434845.094</v>
      </c>
      <c r="F180" s="1109"/>
      <c r="G180" s="887">
        <v>833680.59</v>
      </c>
      <c r="H180" s="1109">
        <f t="shared" si="65"/>
        <v>-0.65760425907406828</v>
      </c>
      <c r="I180" s="887">
        <v>596317.63</v>
      </c>
      <c r="J180" s="1109">
        <f t="shared" si="66"/>
        <v>-0.28471690818662332</v>
      </c>
      <c r="K180" s="887">
        <v>851872.54</v>
      </c>
      <c r="L180" s="1109">
        <f t="shared" si="67"/>
        <v>0.42855501354202796</v>
      </c>
      <c r="M180" s="1088">
        <v>3564888.44</v>
      </c>
      <c r="N180" s="1109">
        <f t="shared" si="64"/>
        <v>3.1847674066357388</v>
      </c>
      <c r="O180" s="1088">
        <f>+[2]MX8!G172</f>
        <v>325004</v>
      </c>
      <c r="P180" s="1088">
        <f>+[2]MX8!H172</f>
        <v>325004</v>
      </c>
      <c r="Q180" s="1088">
        <f>+[2]MX8!I172</f>
        <v>8068491.2400000002</v>
      </c>
      <c r="R180" s="1086"/>
    </row>
    <row r="181" spans="1:18" s="54" customFormat="1" hidden="1" x14ac:dyDescent="0.25">
      <c r="A181" s="752" t="s">
        <v>1166</v>
      </c>
      <c r="B181" s="887"/>
      <c r="C181" s="887"/>
      <c r="D181" s="1109"/>
      <c r="E181" s="887"/>
      <c r="F181" s="1109"/>
      <c r="G181" s="887"/>
      <c r="H181" s="1109"/>
      <c r="I181" s="887"/>
      <c r="J181" s="1109"/>
      <c r="K181" s="887"/>
      <c r="L181" s="1109"/>
      <c r="M181" s="1088">
        <v>559439006.14999998</v>
      </c>
      <c r="N181" s="1109" t="e">
        <f t="shared" si="64"/>
        <v>#DIV/0!</v>
      </c>
      <c r="O181" s="1088">
        <f>+[2]MX8!G176</f>
        <v>412620217</v>
      </c>
      <c r="P181" s="1088">
        <f>+[2]MX8!H176</f>
        <v>412620217</v>
      </c>
      <c r="Q181" s="1088">
        <f>+[2]MX8!I176</f>
        <v>209177515.41999999</v>
      </c>
      <c r="R181" s="1086"/>
    </row>
    <row r="182" spans="1:18" s="54" customFormat="1" hidden="1" x14ac:dyDescent="0.25">
      <c r="A182" s="752" t="s">
        <v>1170</v>
      </c>
      <c r="B182" s="887">
        <v>0</v>
      </c>
      <c r="C182" s="887">
        <v>100062981.03</v>
      </c>
      <c r="D182" s="1109"/>
      <c r="E182" s="887">
        <v>222303814.28</v>
      </c>
      <c r="F182" s="1109">
        <f t="shared" si="63"/>
        <v>1.221638931717923</v>
      </c>
      <c r="G182" s="887">
        <v>139166344.66999999</v>
      </c>
      <c r="H182" s="1109">
        <f t="shared" si="65"/>
        <v>-0.37398130067748298</v>
      </c>
      <c r="I182" s="887">
        <v>71809525.689999998</v>
      </c>
      <c r="J182" s="1109">
        <f t="shared" si="66"/>
        <v>-0.48400221432646467</v>
      </c>
      <c r="K182" s="887">
        <v>9183334.4499999993</v>
      </c>
      <c r="L182" s="1109">
        <f t="shared" si="67"/>
        <v>-0.8721153724139018</v>
      </c>
      <c r="M182" s="1088">
        <v>29657891.350000001</v>
      </c>
      <c r="N182" s="1109">
        <f t="shared" si="64"/>
        <v>2.2295340555738994</v>
      </c>
      <c r="O182" s="1088">
        <f>+[2]MX8!G174</f>
        <v>2314305</v>
      </c>
      <c r="P182" s="1088">
        <f>+[2]MX8!H174</f>
        <v>2314305</v>
      </c>
      <c r="Q182" s="1088">
        <f>+[2]MX8!I174</f>
        <v>73545579.719999999</v>
      </c>
      <c r="R182" s="1086"/>
    </row>
    <row r="183" spans="1:18" s="54" customFormat="1" hidden="1" x14ac:dyDescent="0.25">
      <c r="A183" s="752" t="s">
        <v>1171</v>
      </c>
      <c r="B183" s="887">
        <v>0</v>
      </c>
      <c r="C183" s="887">
        <v>648763.80000000005</v>
      </c>
      <c r="D183" s="1109"/>
      <c r="E183" s="887">
        <v>911017.83</v>
      </c>
      <c r="F183" s="1109">
        <f t="shared" si="63"/>
        <v>0.40423653415927319</v>
      </c>
      <c r="G183" s="887">
        <v>616829.43000000005</v>
      </c>
      <c r="H183" s="1109">
        <f t="shared" si="65"/>
        <v>-0.3229227687014643</v>
      </c>
      <c r="I183" s="887">
        <v>513341.79</v>
      </c>
      <c r="J183" s="1109">
        <f t="shared" si="66"/>
        <v>-0.16777351236305321</v>
      </c>
      <c r="K183" s="887">
        <v>1104368.04</v>
      </c>
      <c r="L183" s="1109">
        <f t="shared" si="67"/>
        <v>1.1513308706076706</v>
      </c>
      <c r="M183" s="1088"/>
      <c r="N183" s="1109"/>
      <c r="O183" s="1088">
        <f>+[2]MX8!G178</f>
        <v>0</v>
      </c>
      <c r="P183" s="1088">
        <f>+[2]MX8!H178</f>
        <v>0</v>
      </c>
      <c r="Q183" s="1088">
        <f>+[2]MX8!I178</f>
        <v>1592523.35</v>
      </c>
      <c r="R183" s="1086"/>
    </row>
    <row r="184" spans="1:18" s="654" customFormat="1" hidden="1" x14ac:dyDescent="0.25">
      <c r="A184" s="752" t="s">
        <v>1172</v>
      </c>
      <c r="B184" s="887">
        <v>0</v>
      </c>
      <c r="C184" s="887">
        <v>5201062.96</v>
      </c>
      <c r="D184" s="1109"/>
      <c r="E184" s="887">
        <v>12693804.279999999</v>
      </c>
      <c r="F184" s="1109">
        <f t="shared" si="63"/>
        <v>1.4406173079666007</v>
      </c>
      <c r="G184" s="887">
        <v>0</v>
      </c>
      <c r="H184" s="1109">
        <f t="shared" si="65"/>
        <v>-1</v>
      </c>
      <c r="I184" s="887">
        <v>2375500.21</v>
      </c>
      <c r="J184" s="1109"/>
      <c r="K184" s="887">
        <v>0</v>
      </c>
      <c r="L184" s="1109">
        <f t="shared" si="67"/>
        <v>-1</v>
      </c>
      <c r="M184" s="1088"/>
      <c r="N184" s="1109"/>
      <c r="O184" s="1088"/>
      <c r="P184" s="1088"/>
      <c r="Q184" s="1088"/>
      <c r="R184" s="1086"/>
    </row>
    <row r="185" spans="1:18" s="54" customFormat="1" hidden="1" x14ac:dyDescent="0.25">
      <c r="A185" s="752" t="s">
        <v>1173</v>
      </c>
      <c r="B185" s="887">
        <v>0</v>
      </c>
      <c r="C185" s="887">
        <v>4233144.68</v>
      </c>
      <c r="D185" s="1109"/>
      <c r="E185" s="887">
        <v>4139524.78</v>
      </c>
      <c r="F185" s="1109">
        <f t="shared" si="63"/>
        <v>-2.2115922576971765E-2</v>
      </c>
      <c r="G185" s="887">
        <v>5187876.97</v>
      </c>
      <c r="H185" s="1109">
        <f t="shared" si="65"/>
        <v>0.25325423707211148</v>
      </c>
      <c r="I185" s="887">
        <v>1672883.23</v>
      </c>
      <c r="J185" s="1109">
        <f t="shared" si="66"/>
        <v>-0.67753991860759177</v>
      </c>
      <c r="K185" s="887">
        <v>4976678.5599999996</v>
      </c>
      <c r="L185" s="1109">
        <f t="shared" si="67"/>
        <v>1.974910902777117</v>
      </c>
      <c r="M185" s="1088">
        <v>638010.12</v>
      </c>
      <c r="N185" s="1109">
        <f t="shared" si="64"/>
        <v>-0.87180001434531063</v>
      </c>
      <c r="O185" s="1088">
        <f>+[2]MX8!G175</f>
        <v>311522</v>
      </c>
      <c r="P185" s="1088">
        <f>+[2]MX8!H175</f>
        <v>311522</v>
      </c>
      <c r="Q185" s="1088">
        <f>+[2]MX8!I175</f>
        <v>12379705.84</v>
      </c>
      <c r="R185" s="1086"/>
    </row>
    <row r="186" spans="1:18" s="54" customFormat="1" hidden="1" x14ac:dyDescent="0.25">
      <c r="A186" s="752" t="s">
        <v>1174</v>
      </c>
      <c r="B186" s="887">
        <v>0</v>
      </c>
      <c r="C186" s="887">
        <v>29207171</v>
      </c>
      <c r="D186" s="1109"/>
      <c r="E186" s="887">
        <v>196980313</v>
      </c>
      <c r="F186" s="1109">
        <f t="shared" si="63"/>
        <v>5.7442448637014518</v>
      </c>
      <c r="G186" s="887">
        <v>23477839.699999999</v>
      </c>
      <c r="H186" s="1109">
        <f t="shared" si="65"/>
        <v>-0.88081123771998482</v>
      </c>
      <c r="I186" s="887">
        <v>48746536.670000002</v>
      </c>
      <c r="J186" s="1109">
        <f t="shared" si="66"/>
        <v>1.0762786224321994</v>
      </c>
      <c r="K186" s="887">
        <v>92368682.219999999</v>
      </c>
      <c r="L186" s="1109">
        <f t="shared" si="67"/>
        <v>0.8948768164866634</v>
      </c>
      <c r="M186" s="1088">
        <v>26459132.280000001</v>
      </c>
      <c r="N186" s="1109">
        <f t="shared" si="64"/>
        <v>-0.71354866558580199</v>
      </c>
      <c r="O186" s="1088">
        <f>+[2]MX8!G173</f>
        <v>39724450</v>
      </c>
      <c r="P186" s="1088">
        <f>+[2]MX8!H173</f>
        <v>39724450</v>
      </c>
      <c r="Q186" s="1088">
        <f>+[2]MX8!I173</f>
        <v>4958264.82</v>
      </c>
      <c r="R186" s="1086"/>
    </row>
    <row r="187" spans="1:18" s="54" customFormat="1" hidden="1" x14ac:dyDescent="0.25">
      <c r="A187" s="752" t="s">
        <v>1175</v>
      </c>
      <c r="B187" s="898">
        <v>0</v>
      </c>
      <c r="C187" s="898">
        <v>187637.97</v>
      </c>
      <c r="D187" s="1111"/>
      <c r="E187" s="898">
        <v>292809.44</v>
      </c>
      <c r="F187" s="1111">
        <f t="shared" si="63"/>
        <v>0.56050206682581361</v>
      </c>
      <c r="G187" s="898">
        <v>2709.44</v>
      </c>
      <c r="H187" s="1111">
        <f t="shared" si="65"/>
        <v>-0.99074674641637239</v>
      </c>
      <c r="I187" s="898">
        <v>882.69</v>
      </c>
      <c r="J187" s="1111">
        <f t="shared" si="66"/>
        <v>-0.67421681233022324</v>
      </c>
      <c r="K187" s="898">
        <v>62.1</v>
      </c>
      <c r="L187" s="1111">
        <f t="shared" si="67"/>
        <v>-0.9296468748937905</v>
      </c>
      <c r="M187" s="1088">
        <v>84.09</v>
      </c>
      <c r="N187" s="1111">
        <f t="shared" si="64"/>
        <v>0.35410628019323676</v>
      </c>
      <c r="O187" s="1088">
        <f>+[2]MX8!G179</f>
        <v>0</v>
      </c>
      <c r="P187" s="1088">
        <f>+[2]MX8!H179</f>
        <v>0</v>
      </c>
      <c r="Q187" s="1088">
        <f>+[2]MX8!I179</f>
        <v>119.26</v>
      </c>
      <c r="R187" s="1098"/>
    </row>
    <row r="188" spans="1:18" s="54" customFormat="1" hidden="1" x14ac:dyDescent="0.25">
      <c r="A188" s="752" t="s">
        <v>1176</v>
      </c>
      <c r="B188" s="898"/>
      <c r="C188" s="898"/>
      <c r="D188" s="1111"/>
      <c r="E188" s="898"/>
      <c r="F188" s="1111"/>
      <c r="G188" s="898"/>
      <c r="H188" s="1111"/>
      <c r="I188" s="898"/>
      <c r="J188" s="1111"/>
      <c r="K188" s="898">
        <v>1438981.93</v>
      </c>
      <c r="L188" s="1111"/>
      <c r="M188" s="1088"/>
      <c r="N188" s="1111"/>
      <c r="O188" s="1088">
        <f>+[2]MX8!G181</f>
        <v>0</v>
      </c>
      <c r="P188" s="1088">
        <f>+[2]MX8!H181</f>
        <v>0</v>
      </c>
      <c r="Q188" s="1088">
        <f>+[2]MX8!I181</f>
        <v>571514.89</v>
      </c>
      <c r="R188" s="1098"/>
    </row>
    <row r="189" spans="1:18" s="54" customFormat="1" hidden="1" x14ac:dyDescent="0.25">
      <c r="A189" s="752" t="s">
        <v>1177</v>
      </c>
      <c r="B189" s="898"/>
      <c r="C189" s="898"/>
      <c r="D189" s="1111"/>
      <c r="E189" s="898"/>
      <c r="F189" s="1111"/>
      <c r="G189" s="898"/>
      <c r="H189" s="1111"/>
      <c r="I189" s="898"/>
      <c r="J189" s="1111"/>
      <c r="K189" s="898">
        <v>2180426.91</v>
      </c>
      <c r="L189" s="1111"/>
      <c r="M189" s="1088">
        <v>2330959.13</v>
      </c>
      <c r="N189" s="1111">
        <f t="shared" si="64"/>
        <v>6.9037957342032497E-2</v>
      </c>
      <c r="O189" s="1088">
        <f>+[2]MX8!G180</f>
        <v>0</v>
      </c>
      <c r="P189" s="1088">
        <f>+[2]MX8!H180</f>
        <v>0</v>
      </c>
      <c r="Q189" s="1088">
        <f>+[2]MX8!I180</f>
        <v>121362.81</v>
      </c>
      <c r="R189" s="1098"/>
    </row>
    <row r="190" spans="1:18" s="54" customFormat="1" hidden="1" x14ac:dyDescent="0.25">
      <c r="A190" s="752" t="s">
        <v>1178</v>
      </c>
      <c r="B190" s="898"/>
      <c r="C190" s="898"/>
      <c r="D190" s="1111"/>
      <c r="E190" s="898"/>
      <c r="F190" s="1111"/>
      <c r="G190" s="898"/>
      <c r="H190" s="1111"/>
      <c r="I190" s="898"/>
      <c r="J190" s="1111"/>
      <c r="K190" s="898">
        <v>11170164505.58</v>
      </c>
      <c r="L190" s="1111"/>
      <c r="M190" s="1088"/>
      <c r="N190" s="1111"/>
      <c r="O190" s="1088"/>
      <c r="P190" s="1088"/>
      <c r="Q190" s="1088"/>
      <c r="R190" s="1098"/>
    </row>
    <row r="191" spans="1:18" s="54" customFormat="1" hidden="1" x14ac:dyDescent="0.25">
      <c r="A191" s="752" t="s">
        <v>1179</v>
      </c>
      <c r="B191" s="898"/>
      <c r="C191" s="898"/>
      <c r="D191" s="1111"/>
      <c r="E191" s="898"/>
      <c r="F191" s="1111"/>
      <c r="G191" s="898"/>
      <c r="H191" s="1111"/>
      <c r="I191" s="898"/>
      <c r="J191" s="1111"/>
      <c r="K191" s="898">
        <v>26536575024.48</v>
      </c>
      <c r="L191" s="1111"/>
      <c r="M191" s="1088"/>
      <c r="N191" s="1111"/>
      <c r="O191" s="1088"/>
      <c r="P191" s="1088"/>
      <c r="Q191" s="1088"/>
      <c r="R191" s="1098"/>
    </row>
    <row r="192" spans="1:18" s="54" customFormat="1" hidden="1" x14ac:dyDescent="0.25">
      <c r="A192" s="752" t="s">
        <v>1180</v>
      </c>
      <c r="B192" s="898"/>
      <c r="C192" s="898"/>
      <c r="D192" s="1111"/>
      <c r="E192" s="898"/>
      <c r="F192" s="1111"/>
      <c r="G192" s="898"/>
      <c r="H192" s="1111"/>
      <c r="I192" s="898"/>
      <c r="J192" s="1111"/>
      <c r="K192" s="898"/>
      <c r="L192" s="1111"/>
      <c r="M192" s="1088">
        <v>140356392.34</v>
      </c>
      <c r="N192" s="1111" t="e">
        <f t="shared" si="64"/>
        <v>#DIV/0!</v>
      </c>
      <c r="O192" s="1088"/>
      <c r="P192" s="1088"/>
      <c r="Q192" s="1088"/>
      <c r="R192" s="1098"/>
    </row>
    <row r="193" spans="1:18" s="54" customFormat="1" hidden="1" x14ac:dyDescent="0.25">
      <c r="A193" s="752" t="s">
        <v>1181</v>
      </c>
      <c r="B193" s="898"/>
      <c r="C193" s="898"/>
      <c r="D193" s="1111"/>
      <c r="E193" s="898"/>
      <c r="F193" s="1111"/>
      <c r="G193" s="898"/>
      <c r="H193" s="1111"/>
      <c r="I193" s="898"/>
      <c r="J193" s="1111"/>
      <c r="K193" s="898"/>
      <c r="L193" s="1111"/>
      <c r="M193" s="1088">
        <v>38099344723.860008</v>
      </c>
      <c r="N193" s="1111" t="e">
        <f t="shared" si="64"/>
        <v>#DIV/0!</v>
      </c>
      <c r="O193" s="1088"/>
      <c r="P193" s="1088"/>
      <c r="Q193" s="1088"/>
      <c r="R193" s="1098"/>
    </row>
    <row r="194" spans="1:18" s="656" customFormat="1" ht="15" hidden="1" x14ac:dyDescent="0.25">
      <c r="A194" s="780" t="s">
        <v>1182</v>
      </c>
      <c r="B194" s="1129"/>
      <c r="C194" s="1129"/>
      <c r="D194" s="1130"/>
      <c r="E194" s="1129"/>
      <c r="F194" s="1130"/>
      <c r="G194" s="1129"/>
      <c r="H194" s="1130"/>
      <c r="I194" s="1129"/>
      <c r="J194" s="1130"/>
      <c r="K194" s="1129">
        <v>376565587.99000001</v>
      </c>
      <c r="L194" s="1130"/>
      <c r="M194" s="1099"/>
      <c r="N194" s="1130"/>
      <c r="O194" s="1099">
        <f>+O195+O196</f>
        <v>150000000</v>
      </c>
      <c r="P194" s="1099">
        <f t="shared" ref="P194:Q194" si="80">+P195+P196</f>
        <v>150000000</v>
      </c>
      <c r="Q194" s="1099">
        <f t="shared" si="80"/>
        <v>0</v>
      </c>
      <c r="R194" s="1099">
        <f>+R195+R196</f>
        <v>0</v>
      </c>
    </row>
    <row r="195" spans="1:18" s="654" customFormat="1" hidden="1" x14ac:dyDescent="0.25">
      <c r="A195" s="752" t="s">
        <v>1183</v>
      </c>
      <c r="B195" s="898">
        <v>0</v>
      </c>
      <c r="C195" s="898">
        <v>0</v>
      </c>
      <c r="D195" s="1111"/>
      <c r="E195" s="898">
        <v>4674563</v>
      </c>
      <c r="F195" s="1111"/>
      <c r="G195" s="898">
        <v>0</v>
      </c>
      <c r="H195" s="1111">
        <f t="shared" si="65"/>
        <v>-1</v>
      </c>
      <c r="I195" s="898">
        <v>1853935.84</v>
      </c>
      <c r="J195" s="1111"/>
      <c r="K195" s="898">
        <v>0</v>
      </c>
      <c r="L195" s="1111">
        <f t="shared" si="67"/>
        <v>-1</v>
      </c>
      <c r="M195" s="1088"/>
      <c r="N195" s="1111"/>
      <c r="O195" s="1088"/>
      <c r="P195" s="1088"/>
      <c r="Q195" s="1088"/>
      <c r="R195" s="1098"/>
    </row>
    <row r="196" spans="1:18" s="654" customFormat="1" x14ac:dyDescent="0.25">
      <c r="A196" s="752" t="s">
        <v>1184</v>
      </c>
      <c r="B196" s="898"/>
      <c r="C196" s="898"/>
      <c r="D196" s="1111"/>
      <c r="E196" s="898"/>
      <c r="F196" s="1111"/>
      <c r="G196" s="898"/>
      <c r="H196" s="1111"/>
      <c r="I196" s="898"/>
      <c r="J196" s="1111"/>
      <c r="K196" s="898">
        <v>0</v>
      </c>
      <c r="L196" s="1111"/>
      <c r="M196" s="1088">
        <v>99567346</v>
      </c>
      <c r="N196" s="1111" t="e">
        <f t="shared" si="64"/>
        <v>#DIV/0!</v>
      </c>
      <c r="O196" s="1088">
        <f>+[2]MX8!$G$159</f>
        <v>150000000</v>
      </c>
      <c r="P196" s="1088">
        <f>+[2]MX8!$H$160</f>
        <v>150000000</v>
      </c>
      <c r="Q196" s="1088"/>
      <c r="R196" s="1098"/>
    </row>
    <row r="197" spans="1:18" s="654" customFormat="1" x14ac:dyDescent="0.25">
      <c r="A197" s="752" t="s">
        <v>1185</v>
      </c>
      <c r="B197" s="898"/>
      <c r="C197" s="898"/>
      <c r="D197" s="1111"/>
      <c r="E197" s="898"/>
      <c r="F197" s="1111"/>
      <c r="G197" s="898"/>
      <c r="H197" s="1111"/>
      <c r="I197" s="898"/>
      <c r="J197" s="1111"/>
      <c r="K197" s="898">
        <v>8567833775</v>
      </c>
      <c r="L197" s="1111"/>
      <c r="M197" s="1088">
        <v>7936707593</v>
      </c>
      <c r="N197" s="1111">
        <f t="shared" si="64"/>
        <v>-7.3662281339019087E-2</v>
      </c>
      <c r="O197" s="1088">
        <f>+[2]MX8!G213</f>
        <v>7263266657</v>
      </c>
      <c r="P197" s="1088">
        <f>+[2]MX8!H213</f>
        <v>7263266657</v>
      </c>
      <c r="Q197" s="1088">
        <f>+[2]MX8!I213</f>
        <v>0</v>
      </c>
      <c r="R197" s="1098"/>
    </row>
    <row r="198" spans="1:18" s="54" customFormat="1" hidden="1" x14ac:dyDescent="0.25">
      <c r="A198" s="750" t="s">
        <v>1187</v>
      </c>
      <c r="B198" s="890">
        <f>+B199</f>
        <v>167708277.09</v>
      </c>
      <c r="C198" s="890">
        <f>+C199</f>
        <v>198971548.22999999</v>
      </c>
      <c r="D198" s="1112">
        <f>+(C198-B198)/B198</f>
        <v>0.18641459850680281</v>
      </c>
      <c r="E198" s="890">
        <f>+E199</f>
        <v>195422061.95999998</v>
      </c>
      <c r="F198" s="1112">
        <f t="shared" si="63"/>
        <v>-1.7839164953860655E-2</v>
      </c>
      <c r="G198" s="890">
        <f>+G199</f>
        <v>155092821</v>
      </c>
      <c r="H198" s="1112">
        <f t="shared" si="65"/>
        <v>-0.20636994899918096</v>
      </c>
      <c r="I198" s="890">
        <f>+I199</f>
        <v>221403552</v>
      </c>
      <c r="J198" s="1112">
        <f t="shared" si="66"/>
        <v>0.42755512842209503</v>
      </c>
      <c r="K198" s="890">
        <f>+K199</f>
        <v>0</v>
      </c>
      <c r="L198" s="1112">
        <f t="shared" si="67"/>
        <v>-1</v>
      </c>
      <c r="M198" s="1097"/>
      <c r="N198" s="1112"/>
      <c r="O198" s="1097"/>
      <c r="P198" s="1097"/>
      <c r="Q198" s="1097"/>
      <c r="R198" s="1089"/>
    </row>
    <row r="199" spans="1:18" hidden="1" x14ac:dyDescent="0.25">
      <c r="A199" s="783" t="s">
        <v>1184</v>
      </c>
      <c r="B199" s="898">
        <v>167708277.09</v>
      </c>
      <c r="C199" s="898">
        <v>198971548.22999999</v>
      </c>
      <c r="D199" s="1111">
        <f>+(C199-B199)/B199</f>
        <v>0.18641459850680281</v>
      </c>
      <c r="E199" s="898">
        <v>195422061.95999998</v>
      </c>
      <c r="F199" s="1111">
        <f t="shared" si="63"/>
        <v>-1.7839164953860655E-2</v>
      </c>
      <c r="G199" s="898">
        <v>155092821</v>
      </c>
      <c r="H199" s="1111">
        <f t="shared" si="65"/>
        <v>-0.20636994899918096</v>
      </c>
      <c r="I199" s="898">
        <v>221403552</v>
      </c>
      <c r="J199" s="1111">
        <f t="shared" si="66"/>
        <v>0.42755512842209503</v>
      </c>
      <c r="K199" s="898">
        <v>0</v>
      </c>
      <c r="L199" s="1111">
        <f t="shared" si="67"/>
        <v>-1</v>
      </c>
      <c r="M199" s="1088"/>
      <c r="N199" s="1111"/>
      <c r="O199" s="1088"/>
      <c r="P199" s="1088"/>
      <c r="Q199" s="1088"/>
      <c r="R199" s="1098"/>
    </row>
    <row r="200" spans="1:18" s="656" customFormat="1" ht="15" x14ac:dyDescent="0.25">
      <c r="A200" s="784" t="s">
        <v>606</v>
      </c>
      <c r="B200" s="1129"/>
      <c r="C200" s="1129"/>
      <c r="D200" s="1130"/>
      <c r="E200" s="1129"/>
      <c r="F200" s="1130"/>
      <c r="G200" s="1129"/>
      <c r="H200" s="1130"/>
      <c r="I200" s="1129"/>
      <c r="J200" s="1130"/>
      <c r="K200" s="1129">
        <v>37706739530.059998</v>
      </c>
      <c r="L200" s="1130"/>
      <c r="M200" s="1099"/>
      <c r="N200" s="1130"/>
      <c r="O200" s="1088">
        <f>+[2]MX8!G216</f>
        <v>10000000</v>
      </c>
      <c r="P200" s="1088">
        <f>+[2]MX8!H216</f>
        <v>1489555993.5899999</v>
      </c>
      <c r="Q200" s="1088">
        <f>+[2]MX8!I216</f>
        <v>708160160.19000006</v>
      </c>
      <c r="R200" s="1131"/>
    </row>
  </sheetData>
  <autoFilter ref="A2:V200" xr:uid="{E6665149-69D1-4ED1-85AD-B61FF007BE2F}">
    <filterColumn colId="14">
      <colorFilter dxfId="5"/>
    </filterColumn>
  </autoFilter>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V33"/>
  <sheetViews>
    <sheetView workbookViewId="0">
      <pane xSplit="2" ySplit="2" topLeftCell="E3" activePane="bottomRight" state="frozen"/>
      <selection pane="topRight"/>
      <selection pane="bottomLeft"/>
      <selection pane="bottomRight" activeCell="E15" sqref="E15"/>
    </sheetView>
  </sheetViews>
  <sheetFormatPr baseColWidth="10" defaultColWidth="9.140625" defaultRowHeight="12.75" x14ac:dyDescent="0.2"/>
  <cols>
    <col min="1" max="1" width="14.7109375" style="588" bestFit="1" customWidth="1"/>
    <col min="2" max="2" width="37.140625" style="583" customWidth="1"/>
    <col min="3" max="3" width="37.140625" style="918" customWidth="1"/>
    <col min="4" max="5" width="19.28515625" style="583" customWidth="1"/>
    <col min="6" max="6" width="20.42578125" style="583" bestFit="1" customWidth="1"/>
    <col min="7" max="7" width="3.140625" style="583" customWidth="1"/>
    <col min="8" max="8" width="20" style="584" bestFit="1" customWidth="1"/>
    <col min="9" max="9" width="20.5703125" style="584" bestFit="1" customWidth="1"/>
    <col min="10" max="10" width="18.28515625" style="584" customWidth="1"/>
    <col min="11" max="12" width="15.7109375" style="584" customWidth="1"/>
    <col min="13" max="13" width="21" style="584" customWidth="1"/>
    <col min="14" max="15" width="13.7109375" style="584" bestFit="1" customWidth="1"/>
    <col min="16" max="16" width="17.5703125" style="584" bestFit="1" customWidth="1"/>
    <col min="17" max="17" width="13.7109375" style="584" bestFit="1" customWidth="1"/>
    <col min="18" max="22" width="9.140625" style="584"/>
    <col min="23" max="16384" width="9.140625" style="583"/>
  </cols>
  <sheetData>
    <row r="1" spans="1:22" x14ac:dyDescent="0.2">
      <c r="I1" s="584">
        <f>H7+I7</f>
        <v>7042524667</v>
      </c>
    </row>
    <row r="2" spans="1:22" s="585" customFormat="1" ht="15.75" customHeight="1" x14ac:dyDescent="0.2">
      <c r="A2" s="1731" t="s">
        <v>1997</v>
      </c>
      <c r="B2" s="1732"/>
      <c r="C2" s="1732"/>
      <c r="D2" s="1732"/>
      <c r="E2" s="1732"/>
      <c r="F2" s="1732"/>
      <c r="G2" s="1732"/>
      <c r="H2" s="1732"/>
      <c r="I2" s="1732"/>
      <c r="J2" s="1732"/>
      <c r="K2" s="1732"/>
      <c r="L2" s="1732"/>
      <c r="M2" s="1732"/>
      <c r="N2" s="586"/>
      <c r="O2" s="586"/>
      <c r="P2" s="586"/>
      <c r="Q2" s="586"/>
      <c r="R2" s="586"/>
      <c r="S2" s="586"/>
      <c r="T2" s="586"/>
      <c r="U2" s="586"/>
      <c r="V2" s="586"/>
    </row>
    <row r="3" spans="1:22" s="616" customFormat="1" ht="38.25" x14ac:dyDescent="0.25">
      <c r="A3" s="615" t="s">
        <v>1998</v>
      </c>
      <c r="B3" s="615" t="s">
        <v>1</v>
      </c>
      <c r="C3" s="967"/>
      <c r="D3" s="615" t="s">
        <v>1999</v>
      </c>
      <c r="E3" s="615" t="s">
        <v>2000</v>
      </c>
      <c r="F3" s="615" t="s">
        <v>2001</v>
      </c>
      <c r="H3" s="603" t="s">
        <v>2002</v>
      </c>
      <c r="I3" s="603" t="s">
        <v>2003</v>
      </c>
      <c r="J3" s="603" t="s">
        <v>2004</v>
      </c>
      <c r="K3" s="603" t="s">
        <v>2005</v>
      </c>
      <c r="L3" s="603" t="s">
        <v>2006</v>
      </c>
      <c r="M3" s="603" t="s">
        <v>2007</v>
      </c>
      <c r="N3" s="169"/>
      <c r="O3" s="169"/>
      <c r="P3" s="169"/>
      <c r="Q3" s="169"/>
      <c r="R3" s="169"/>
      <c r="S3" s="169"/>
      <c r="T3" s="169"/>
      <c r="U3" s="169"/>
      <c r="V3" s="169"/>
    </row>
    <row r="4" spans="1:22" s="1039" customFormat="1" x14ac:dyDescent="0.2">
      <c r="A4" s="1035">
        <v>171</v>
      </c>
      <c r="B4" s="1013" t="s">
        <v>1882</v>
      </c>
      <c r="C4" s="1036">
        <f>+'F Y U 2023 Prespupuesto'!C89</f>
        <v>1809933808.7</v>
      </c>
      <c r="D4" s="1037">
        <f>+C4</f>
        <v>1809933808.7</v>
      </c>
      <c r="E4" s="1038">
        <f>+H4+I4+M4</f>
        <v>1809933808.7</v>
      </c>
      <c r="F4" s="1038">
        <f>+J4+K4</f>
        <v>0</v>
      </c>
      <c r="H4" s="1040"/>
      <c r="I4" s="1041">
        <f>+D4</f>
        <v>1809933808.7</v>
      </c>
      <c r="J4" s="1042"/>
      <c r="K4" s="1042"/>
      <c r="L4" s="1042"/>
      <c r="M4" s="1043"/>
      <c r="N4" s="1044">
        <f>+H4+I4+M4</f>
        <v>1809933808.7</v>
      </c>
      <c r="O4" s="1044">
        <f>+E4-N4</f>
        <v>0</v>
      </c>
      <c r="P4" s="1045">
        <f>+J4+K4</f>
        <v>0</v>
      </c>
      <c r="Q4" s="1044">
        <f>+F4-P4</f>
        <v>0</v>
      </c>
      <c r="R4" s="1044"/>
      <c r="S4" s="1044"/>
      <c r="T4" s="1044"/>
      <c r="U4" s="1044"/>
      <c r="V4" s="1044"/>
    </row>
    <row r="5" spans="1:22" s="1039" customFormat="1" x14ac:dyDescent="0.2">
      <c r="A5" s="1035">
        <v>61</v>
      </c>
      <c r="B5" s="1013" t="s">
        <v>1883</v>
      </c>
      <c r="C5" s="1036">
        <f>+'F Y U 2023 Prespupuesto'!C88</f>
        <v>4758262654.4000006</v>
      </c>
      <c r="D5" s="1037">
        <f t="shared" ref="D5:D24" si="0">+C5</f>
        <v>4758262654.4000006</v>
      </c>
      <c r="E5" s="1038">
        <f t="shared" ref="E5:E23" si="1">+H5+I5+M5</f>
        <v>4758262654.4000006</v>
      </c>
      <c r="F5" s="1038">
        <f t="shared" ref="F5:F24" si="2">+J5+K5</f>
        <v>0</v>
      </c>
      <c r="H5" s="1040"/>
      <c r="I5" s="1041"/>
      <c r="J5" s="1042"/>
      <c r="K5" s="1042"/>
      <c r="L5" s="1042"/>
      <c r="M5" s="1043">
        <f>D5</f>
        <v>4758262654.4000006</v>
      </c>
      <c r="N5" s="1044">
        <f t="shared" ref="N5:N25" si="3">+H5+I5+M5</f>
        <v>4758262654.4000006</v>
      </c>
      <c r="O5" s="1044">
        <f t="shared" ref="O5:O25" si="4">+E5-N5</f>
        <v>0</v>
      </c>
      <c r="P5" s="1045">
        <f t="shared" ref="P5:P24" si="5">+J5+K5</f>
        <v>0</v>
      </c>
      <c r="Q5" s="1044">
        <f t="shared" ref="Q5:Q24" si="6">+F5-P5</f>
        <v>0</v>
      </c>
      <c r="R5" s="1044"/>
      <c r="S5" s="1044"/>
      <c r="T5" s="1044"/>
      <c r="U5" s="1044"/>
      <c r="V5" s="1044"/>
    </row>
    <row r="6" spans="1:22" s="1039" customFormat="1" x14ac:dyDescent="0.2">
      <c r="A6" s="1035">
        <v>63</v>
      </c>
      <c r="B6" s="1013" t="s">
        <v>1884</v>
      </c>
      <c r="C6" s="1036">
        <f>+'F Y U 2023 Prespupuesto'!C103</f>
        <v>399000000</v>
      </c>
      <c r="D6" s="1037">
        <f t="shared" si="0"/>
        <v>399000000</v>
      </c>
      <c r="E6" s="1038">
        <f t="shared" si="1"/>
        <v>399000000</v>
      </c>
      <c r="F6" s="1038">
        <f t="shared" si="2"/>
        <v>0</v>
      </c>
      <c r="H6" s="1040"/>
      <c r="I6" s="1041"/>
      <c r="J6" s="1042"/>
      <c r="K6" s="1042"/>
      <c r="L6" s="1042"/>
      <c r="M6" s="1043">
        <f>+D6</f>
        <v>399000000</v>
      </c>
      <c r="N6" s="1044">
        <f t="shared" si="3"/>
        <v>399000000</v>
      </c>
      <c r="O6" s="1044">
        <f t="shared" si="4"/>
        <v>0</v>
      </c>
      <c r="P6" s="1045">
        <f t="shared" si="5"/>
        <v>0</v>
      </c>
      <c r="Q6" s="1044">
        <f t="shared" si="6"/>
        <v>0</v>
      </c>
      <c r="R6" s="1044"/>
      <c r="S6" s="1044"/>
      <c r="T6" s="1044"/>
      <c r="U6" s="1044"/>
      <c r="V6" s="1044"/>
    </row>
    <row r="7" spans="1:22" s="585" customFormat="1" x14ac:dyDescent="0.2">
      <c r="A7" s="607" t="s">
        <v>2008</v>
      </c>
      <c r="B7" s="608" t="s">
        <v>1885</v>
      </c>
      <c r="C7" s="1036">
        <f>+'F Y U 2023 Prespupuesto'!C94</f>
        <v>9390032889.6647472</v>
      </c>
      <c r="D7" s="910">
        <f t="shared" si="0"/>
        <v>9390032889.6647472</v>
      </c>
      <c r="E7" s="606">
        <f>+H7+I7+M7+L7</f>
        <v>7201659667</v>
      </c>
      <c r="F7" s="606">
        <f t="shared" si="2"/>
        <v>2188373222</v>
      </c>
      <c r="H7" s="1074">
        <f>ROUND(D7*0.5,0)</f>
        <v>4695016445</v>
      </c>
      <c r="I7" s="610">
        <f>ROUND(D7*0.25,0)</f>
        <v>2347508222</v>
      </c>
      <c r="J7" s="611"/>
      <c r="K7" s="1048">
        <v>2188373222</v>
      </c>
      <c r="L7" s="1048">
        <v>159135000</v>
      </c>
      <c r="M7" s="612"/>
      <c r="N7" s="586">
        <f t="shared" si="3"/>
        <v>7042524667</v>
      </c>
      <c r="O7" s="586">
        <f t="shared" si="4"/>
        <v>159135000</v>
      </c>
      <c r="P7" s="917">
        <f t="shared" si="5"/>
        <v>2188373222</v>
      </c>
      <c r="Q7" s="586">
        <f t="shared" si="6"/>
        <v>0</v>
      </c>
      <c r="R7" s="586"/>
      <c r="S7" s="586"/>
      <c r="T7" s="586"/>
      <c r="U7" s="586"/>
      <c r="V7" s="586"/>
    </row>
    <row r="8" spans="1:22" s="1039" customFormat="1" ht="25.5" x14ac:dyDescent="0.2">
      <c r="A8" s="1035" t="s">
        <v>2008</v>
      </c>
      <c r="B8" s="1013" t="s">
        <v>1886</v>
      </c>
      <c r="C8" s="1036">
        <f>+'F Y U 2023 Prespupuesto'!C99</f>
        <v>2062546781.6440899</v>
      </c>
      <c r="D8" s="1037">
        <f t="shared" si="0"/>
        <v>2062546781.6440899</v>
      </c>
      <c r="E8" s="1038">
        <f t="shared" si="1"/>
        <v>1546910086</v>
      </c>
      <c r="F8" s="1038">
        <f t="shared" si="2"/>
        <v>515636695</v>
      </c>
      <c r="H8" s="1073">
        <f>ROUND(D8*0.5,0)</f>
        <v>1031273391</v>
      </c>
      <c r="I8" s="1041">
        <f>ROUND(D8*0.25,0)</f>
        <v>515636695</v>
      </c>
      <c r="J8" s="1042"/>
      <c r="K8" s="1042">
        <f>ROUND(D8*0.25,0)</f>
        <v>515636695</v>
      </c>
      <c r="L8" s="1042"/>
      <c r="M8" s="1043"/>
      <c r="N8" s="1044">
        <f t="shared" si="3"/>
        <v>1546910086</v>
      </c>
      <c r="O8" s="1044">
        <f t="shared" si="4"/>
        <v>0</v>
      </c>
      <c r="P8" s="1045">
        <f t="shared" si="5"/>
        <v>515636695</v>
      </c>
      <c r="Q8" s="1044">
        <f t="shared" si="6"/>
        <v>0</v>
      </c>
      <c r="R8" s="1044"/>
      <c r="S8" s="1044"/>
      <c r="T8" s="1044"/>
      <c r="U8" s="1044"/>
      <c r="V8" s="1044"/>
    </row>
    <row r="9" spans="1:22" s="1039" customFormat="1" ht="25.5" x14ac:dyDescent="0.2">
      <c r="A9" s="1035" t="s">
        <v>2008</v>
      </c>
      <c r="B9" s="1013" t="s">
        <v>1887</v>
      </c>
      <c r="C9" s="1036">
        <f>+'F Y U 2023 Prespupuesto'!C95</f>
        <v>3851377846.7839999</v>
      </c>
      <c r="D9" s="1037">
        <f t="shared" si="0"/>
        <v>3851377846.7839999</v>
      </c>
      <c r="E9" s="1038">
        <f t="shared" si="1"/>
        <v>2888533385</v>
      </c>
      <c r="F9" s="1038">
        <f t="shared" si="2"/>
        <v>962844462</v>
      </c>
      <c r="H9" s="1073">
        <f>ROUND(D9*0.5,0)</f>
        <v>1925688923</v>
      </c>
      <c r="I9" s="1041">
        <f>ROUND(D9*0.25,0)</f>
        <v>962844462</v>
      </c>
      <c r="J9" s="1042"/>
      <c r="K9" s="1042">
        <f>ROUND(D9*0.25,0)</f>
        <v>962844462</v>
      </c>
      <c r="L9" s="1042"/>
      <c r="M9" s="1043"/>
      <c r="N9" s="1044">
        <f t="shared" si="3"/>
        <v>2888533385</v>
      </c>
      <c r="O9" s="1044">
        <f t="shared" si="4"/>
        <v>0</v>
      </c>
      <c r="P9" s="1045">
        <f t="shared" si="5"/>
        <v>962844462</v>
      </c>
      <c r="Q9" s="1044">
        <f t="shared" si="6"/>
        <v>0</v>
      </c>
      <c r="R9" s="1044"/>
      <c r="S9" s="1044"/>
      <c r="T9" s="1044"/>
      <c r="U9" s="1044"/>
      <c r="V9" s="1044"/>
    </row>
    <row r="10" spans="1:22" s="1019" customFormat="1" ht="25.5" x14ac:dyDescent="0.2">
      <c r="A10" s="1014">
        <v>61</v>
      </c>
      <c r="B10" s="1015" t="s">
        <v>1888</v>
      </c>
      <c r="C10" s="1016">
        <f>+'F Y U 2023 Prespupuesto'!C90</f>
        <v>3000000</v>
      </c>
      <c r="D10" s="1017">
        <f t="shared" si="0"/>
        <v>3000000</v>
      </c>
      <c r="E10" s="1018">
        <f t="shared" si="1"/>
        <v>3000000</v>
      </c>
      <c r="F10" s="1018">
        <f t="shared" si="2"/>
        <v>0</v>
      </c>
      <c r="H10" s="1020"/>
      <c r="I10" s="1021"/>
      <c r="J10" s="1022"/>
      <c r="K10" s="1022"/>
      <c r="L10" s="1022"/>
      <c r="M10" s="1023">
        <f>D10</f>
        <v>3000000</v>
      </c>
      <c r="N10" s="1024">
        <f t="shared" si="3"/>
        <v>3000000</v>
      </c>
      <c r="O10" s="1024">
        <f t="shared" si="4"/>
        <v>0</v>
      </c>
      <c r="P10" s="1025">
        <f t="shared" si="5"/>
        <v>0</v>
      </c>
      <c r="Q10" s="1024">
        <f t="shared" si="6"/>
        <v>0</v>
      </c>
      <c r="R10" s="1024"/>
      <c r="S10" s="1024"/>
      <c r="T10" s="1024"/>
      <c r="U10" s="1024"/>
      <c r="V10" s="1024"/>
    </row>
    <row r="11" spans="1:22" s="1019" customFormat="1" ht="31.5" customHeight="1" x14ac:dyDescent="0.2">
      <c r="A11" s="1014">
        <v>171</v>
      </c>
      <c r="B11" s="1015" t="s">
        <v>1889</v>
      </c>
      <c r="C11" s="1016">
        <f>+'F Y U 2023 Prespupuesto'!C91</f>
        <v>1000000</v>
      </c>
      <c r="D11" s="1017">
        <f t="shared" si="0"/>
        <v>1000000</v>
      </c>
      <c r="E11" s="1018">
        <f t="shared" si="1"/>
        <v>1000000</v>
      </c>
      <c r="F11" s="1018">
        <f t="shared" si="2"/>
        <v>0</v>
      </c>
      <c r="H11" s="1020"/>
      <c r="I11" s="1021">
        <f>D11</f>
        <v>1000000</v>
      </c>
      <c r="J11" s="1022"/>
      <c r="K11" s="1022"/>
      <c r="L11" s="1022"/>
      <c r="M11" s="1023"/>
      <c r="N11" s="1024">
        <f t="shared" si="3"/>
        <v>1000000</v>
      </c>
      <c r="O11" s="1024">
        <f t="shared" si="4"/>
        <v>0</v>
      </c>
      <c r="P11" s="1025">
        <f t="shared" si="5"/>
        <v>0</v>
      </c>
      <c r="Q11" s="1024">
        <f t="shared" si="6"/>
        <v>0</v>
      </c>
      <c r="R11" s="1024"/>
      <c r="S11" s="1024"/>
      <c r="T11" s="1024"/>
      <c r="U11" s="1024"/>
      <c r="V11" s="1024"/>
    </row>
    <row r="12" spans="1:22" s="1019" customFormat="1" ht="25.5" x14ac:dyDescent="0.2">
      <c r="A12" s="1014">
        <v>63</v>
      </c>
      <c r="B12" s="1015" t="s">
        <v>1890</v>
      </c>
      <c r="C12" s="1016">
        <f>+'F Y U 2023 Prespupuesto'!C92</f>
        <v>1000000</v>
      </c>
      <c r="D12" s="1017">
        <f t="shared" si="0"/>
        <v>1000000</v>
      </c>
      <c r="E12" s="1018">
        <f t="shared" si="1"/>
        <v>1000000</v>
      </c>
      <c r="F12" s="1018">
        <f t="shared" si="2"/>
        <v>0</v>
      </c>
      <c r="H12" s="1020"/>
      <c r="I12" s="1021"/>
      <c r="J12" s="1022"/>
      <c r="K12" s="1022">
        <v>0</v>
      </c>
      <c r="L12" s="1022"/>
      <c r="M12" s="1023">
        <v>1000000</v>
      </c>
      <c r="N12" s="1024">
        <f t="shared" si="3"/>
        <v>1000000</v>
      </c>
      <c r="O12" s="1024">
        <f t="shared" si="4"/>
        <v>0</v>
      </c>
      <c r="P12" s="1025">
        <f t="shared" si="5"/>
        <v>0</v>
      </c>
      <c r="Q12" s="1024">
        <f t="shared" si="6"/>
        <v>0</v>
      </c>
      <c r="R12" s="1024"/>
      <c r="S12" s="1024"/>
      <c r="T12" s="1024"/>
      <c r="U12" s="1024"/>
      <c r="V12" s="1024"/>
    </row>
    <row r="13" spans="1:22" s="1030" customFormat="1" ht="25.5" x14ac:dyDescent="0.2">
      <c r="A13" s="1051" t="s">
        <v>2009</v>
      </c>
      <c r="B13" s="1026" t="s">
        <v>1891</v>
      </c>
      <c r="C13" s="1027">
        <f>+'F Y U 2023 Prespupuesto'!C93</f>
        <v>2000000</v>
      </c>
      <c r="D13" s="1028">
        <f t="shared" si="0"/>
        <v>2000000</v>
      </c>
      <c r="E13" s="1029">
        <f t="shared" si="1"/>
        <v>2000000</v>
      </c>
      <c r="F13" s="1029">
        <f t="shared" si="2"/>
        <v>0</v>
      </c>
      <c r="H13" s="1031"/>
      <c r="I13" s="1049">
        <v>2000000</v>
      </c>
      <c r="J13" s="1032"/>
      <c r="K13" s="1032">
        <v>0</v>
      </c>
      <c r="L13" s="1032"/>
      <c r="M13" s="1050">
        <v>0</v>
      </c>
      <c r="N13" s="1033">
        <f t="shared" si="3"/>
        <v>2000000</v>
      </c>
      <c r="O13" s="1033">
        <f t="shared" si="4"/>
        <v>0</v>
      </c>
      <c r="P13" s="1034">
        <f t="shared" si="5"/>
        <v>0</v>
      </c>
      <c r="Q13" s="1033">
        <f t="shared" si="6"/>
        <v>0</v>
      </c>
      <c r="R13" s="1033"/>
      <c r="S13" s="1033"/>
      <c r="T13" s="1033"/>
      <c r="U13" s="1033"/>
      <c r="V13" s="1033"/>
    </row>
    <row r="14" spans="1:22" s="1039" customFormat="1" ht="25.5" x14ac:dyDescent="0.2">
      <c r="A14" s="1035" t="s">
        <v>2010</v>
      </c>
      <c r="B14" s="1013" t="s">
        <v>1892</v>
      </c>
      <c r="C14" s="1036">
        <f>+'F Y U 2023 Prespupuesto'!C96</f>
        <v>6362968705</v>
      </c>
      <c r="D14" s="1052">
        <f t="shared" si="0"/>
        <v>6362968705</v>
      </c>
      <c r="E14" s="1038">
        <f t="shared" si="1"/>
        <v>4326818719</v>
      </c>
      <c r="F14" s="1038">
        <f t="shared" si="2"/>
        <v>2036149985</v>
      </c>
      <c r="H14" s="1073">
        <f>ROUND(D14*0.68,0)</f>
        <v>4326818719</v>
      </c>
      <c r="I14" s="1041"/>
      <c r="J14" s="1042">
        <f t="shared" ref="J14:J19" si="7">ROUND(D14*0.07,0)</f>
        <v>445407809</v>
      </c>
      <c r="K14" s="1042">
        <f t="shared" ref="K14:K20" si="8">ROUND(D14*0.25,0)</f>
        <v>1590742176</v>
      </c>
      <c r="L14" s="1042"/>
      <c r="M14" s="1043"/>
      <c r="N14" s="1044">
        <f t="shared" si="3"/>
        <v>4326818719</v>
      </c>
      <c r="O14" s="1044">
        <f t="shared" si="4"/>
        <v>0</v>
      </c>
      <c r="P14" s="1045">
        <f t="shared" si="5"/>
        <v>2036149985</v>
      </c>
      <c r="Q14" s="1044">
        <f t="shared" si="6"/>
        <v>0</v>
      </c>
      <c r="R14" s="1044"/>
      <c r="S14" s="1044"/>
      <c r="T14" s="1044"/>
      <c r="U14" s="1044"/>
      <c r="V14" s="1044"/>
    </row>
    <row r="15" spans="1:22" s="1039" customFormat="1" x14ac:dyDescent="0.2">
      <c r="A15" s="1035" t="s">
        <v>2010</v>
      </c>
      <c r="B15" s="1013" t="s">
        <v>1893</v>
      </c>
      <c r="C15" s="1047">
        <f>+'F Y U 2023 Prespupuesto'!C101</f>
        <v>2170409040</v>
      </c>
      <c r="D15" s="1037">
        <f t="shared" si="0"/>
        <v>2170409040</v>
      </c>
      <c r="E15" s="1038">
        <f t="shared" si="1"/>
        <v>1475878147</v>
      </c>
      <c r="F15" s="1038">
        <f t="shared" si="2"/>
        <v>694530893</v>
      </c>
      <c r="H15" s="1073">
        <f>ROUND(D15*0.68,0)</f>
        <v>1475878147</v>
      </c>
      <c r="I15" s="1041"/>
      <c r="J15" s="1042">
        <f t="shared" si="7"/>
        <v>151928633</v>
      </c>
      <c r="K15" s="1042">
        <f t="shared" si="8"/>
        <v>542602260</v>
      </c>
      <c r="L15" s="1042"/>
      <c r="M15" s="1043"/>
      <c r="N15" s="1044">
        <f t="shared" si="3"/>
        <v>1475878147</v>
      </c>
      <c r="O15" s="1044">
        <f t="shared" si="4"/>
        <v>0</v>
      </c>
      <c r="P15" s="1045">
        <f t="shared" si="5"/>
        <v>694530893</v>
      </c>
      <c r="Q15" s="1044">
        <f t="shared" si="6"/>
        <v>0</v>
      </c>
      <c r="R15" s="1044"/>
      <c r="S15" s="1044"/>
      <c r="T15" s="1044"/>
      <c r="U15" s="1044"/>
      <c r="V15" s="1044"/>
    </row>
    <row r="16" spans="1:22" s="1039" customFormat="1" x14ac:dyDescent="0.2">
      <c r="A16" s="1035" t="s">
        <v>2010</v>
      </c>
      <c r="B16" s="1013" t="s">
        <v>1894</v>
      </c>
      <c r="C16" s="1036">
        <f>+'F Y U 2023 Prespupuesto'!C102</f>
        <v>1237100665</v>
      </c>
      <c r="D16" s="1037">
        <f t="shared" si="0"/>
        <v>1237100665</v>
      </c>
      <c r="E16" s="1038">
        <f t="shared" si="1"/>
        <v>841228452</v>
      </c>
      <c r="F16" s="1038">
        <f t="shared" si="2"/>
        <v>395872213</v>
      </c>
      <c r="H16" s="1073">
        <f>ROUND(D16*0.68,0)</f>
        <v>841228452</v>
      </c>
      <c r="I16" s="1041"/>
      <c r="J16" s="1042">
        <f t="shared" si="7"/>
        <v>86597047</v>
      </c>
      <c r="K16" s="1042">
        <f t="shared" si="8"/>
        <v>309275166</v>
      </c>
      <c r="L16" s="1042"/>
      <c r="M16" s="1043"/>
      <c r="N16" s="1044">
        <f t="shared" si="3"/>
        <v>841228452</v>
      </c>
      <c r="O16" s="1044">
        <f t="shared" si="4"/>
        <v>0</v>
      </c>
      <c r="P16" s="1045">
        <f t="shared" si="5"/>
        <v>395872213</v>
      </c>
      <c r="Q16" s="1044">
        <f t="shared" si="6"/>
        <v>0</v>
      </c>
      <c r="R16" s="1044"/>
      <c r="S16" s="1044"/>
      <c r="T16" s="1044"/>
      <c r="U16" s="1044"/>
      <c r="V16" s="1044"/>
    </row>
    <row r="17" spans="1:22" s="1039" customFormat="1" x14ac:dyDescent="0.2">
      <c r="A17" s="1035" t="s">
        <v>2011</v>
      </c>
      <c r="B17" s="1013" t="s">
        <v>1895</v>
      </c>
      <c r="C17" s="1036">
        <f>+'F Y U 2023 Prespupuesto'!C100</f>
        <v>632179189.28999996</v>
      </c>
      <c r="D17" s="1037">
        <f t="shared" si="0"/>
        <v>632179189.28999996</v>
      </c>
      <c r="E17" s="1038">
        <f t="shared" si="1"/>
        <v>429881850</v>
      </c>
      <c r="F17" s="1038">
        <f t="shared" si="2"/>
        <v>202297340</v>
      </c>
      <c r="H17" s="1073">
        <f>ROUND(D17*0.68,0)+1</f>
        <v>429881850</v>
      </c>
      <c r="I17" s="1041"/>
      <c r="J17" s="1042">
        <f t="shared" si="7"/>
        <v>44252543</v>
      </c>
      <c r="K17" s="1042">
        <f t="shared" si="8"/>
        <v>158044797</v>
      </c>
      <c r="L17" s="1042"/>
      <c r="M17" s="1043"/>
      <c r="N17" s="1044">
        <f t="shared" si="3"/>
        <v>429881850</v>
      </c>
      <c r="O17" s="1044">
        <f t="shared" si="4"/>
        <v>0</v>
      </c>
      <c r="P17" s="1045">
        <f t="shared" si="5"/>
        <v>202297340</v>
      </c>
      <c r="Q17" s="1044">
        <f t="shared" si="6"/>
        <v>0</v>
      </c>
      <c r="R17" s="1044"/>
      <c r="S17" s="1044"/>
      <c r="T17" s="1044"/>
      <c r="U17" s="1044"/>
      <c r="V17" s="1044"/>
    </row>
    <row r="18" spans="1:22" s="1039" customFormat="1" ht="25.5" x14ac:dyDescent="0.2">
      <c r="A18" s="1035" t="s">
        <v>2010</v>
      </c>
      <c r="B18" s="1013" t="s">
        <v>1896</v>
      </c>
      <c r="C18" s="1036">
        <f>+'F Y U 2023 Prespupuesto'!C97</f>
        <v>928531052.75999999</v>
      </c>
      <c r="D18" s="1037">
        <f t="shared" si="0"/>
        <v>928531052.75999999</v>
      </c>
      <c r="E18" s="1038">
        <f t="shared" si="1"/>
        <v>631401116</v>
      </c>
      <c r="F18" s="1038">
        <f t="shared" si="2"/>
        <v>297129937</v>
      </c>
      <c r="H18" s="1073">
        <f>ROUND(D18*0.68,0)</f>
        <v>631401116</v>
      </c>
      <c r="I18" s="1041"/>
      <c r="J18" s="1042">
        <f t="shared" si="7"/>
        <v>64997174</v>
      </c>
      <c r="K18" s="1042">
        <f t="shared" si="8"/>
        <v>232132763</v>
      </c>
      <c r="L18" s="1042"/>
      <c r="M18" s="1043"/>
      <c r="N18" s="1044">
        <f t="shared" si="3"/>
        <v>631401116</v>
      </c>
      <c r="O18" s="1044">
        <f t="shared" si="4"/>
        <v>0</v>
      </c>
      <c r="P18" s="1045">
        <f t="shared" si="5"/>
        <v>297129937</v>
      </c>
      <c r="Q18" s="1044">
        <f t="shared" si="6"/>
        <v>0</v>
      </c>
      <c r="R18" s="1044"/>
      <c r="S18" s="1044"/>
      <c r="T18" s="1044"/>
      <c r="U18" s="1044"/>
      <c r="V18" s="1044"/>
    </row>
    <row r="19" spans="1:22" s="1039" customFormat="1" x14ac:dyDescent="0.2">
      <c r="A19" s="1035" t="s">
        <v>2010</v>
      </c>
      <c r="B19" s="1013" t="s">
        <v>809</v>
      </c>
      <c r="C19" s="1036">
        <f>+'F Y U 2023 Prespupuesto'!C98</f>
        <v>31137815</v>
      </c>
      <c r="D19" s="1037">
        <f t="shared" si="0"/>
        <v>31137815</v>
      </c>
      <c r="E19" s="1038">
        <f t="shared" si="1"/>
        <v>21173714</v>
      </c>
      <c r="F19" s="1038">
        <f t="shared" si="2"/>
        <v>9964101</v>
      </c>
      <c r="H19" s="1040">
        <f>ROUND(D19*0.68,0)</f>
        <v>21173714</v>
      </c>
      <c r="I19" s="1041"/>
      <c r="J19" s="1042">
        <f t="shared" si="7"/>
        <v>2179647</v>
      </c>
      <c r="K19" s="1042">
        <f t="shared" si="8"/>
        <v>7784454</v>
      </c>
      <c r="L19" s="1042"/>
      <c r="M19" s="1043"/>
      <c r="N19" s="1044">
        <f t="shared" si="3"/>
        <v>21173714</v>
      </c>
      <c r="O19" s="1044">
        <f t="shared" si="4"/>
        <v>0</v>
      </c>
      <c r="P19" s="1045">
        <f t="shared" si="5"/>
        <v>9964101</v>
      </c>
      <c r="Q19" s="1044">
        <f t="shared" si="6"/>
        <v>0</v>
      </c>
      <c r="R19" s="1044"/>
      <c r="S19" s="1044"/>
      <c r="T19" s="1044"/>
      <c r="U19" s="1044"/>
      <c r="V19" s="1044"/>
    </row>
    <row r="20" spans="1:22" s="1039" customFormat="1" ht="25.5" x14ac:dyDescent="0.2">
      <c r="A20" s="1035">
        <v>154</v>
      </c>
      <c r="B20" s="1013" t="s">
        <v>1897</v>
      </c>
      <c r="C20" s="1036">
        <f>+'F Y U 2023 Prespupuesto'!C107</f>
        <v>1219071964</v>
      </c>
      <c r="D20" s="1037">
        <f t="shared" si="0"/>
        <v>1219071964</v>
      </c>
      <c r="E20" s="1038">
        <f>+H20+I20+M20</f>
        <v>914303973</v>
      </c>
      <c r="F20" s="1038">
        <f>+J20+K20</f>
        <v>304767991</v>
      </c>
      <c r="H20" s="1075">
        <f>ROUND(D20*0.75,0)</f>
        <v>914303973</v>
      </c>
      <c r="I20" s="1041"/>
      <c r="J20" s="1048"/>
      <c r="K20" s="1042">
        <f t="shared" si="8"/>
        <v>304767991</v>
      </c>
      <c r="L20" s="1042"/>
      <c r="M20" s="1043"/>
      <c r="N20" s="1044">
        <f t="shared" si="3"/>
        <v>914303973</v>
      </c>
      <c r="O20" s="1044">
        <f t="shared" si="4"/>
        <v>0</v>
      </c>
      <c r="P20" s="1045">
        <f t="shared" si="5"/>
        <v>304767991</v>
      </c>
      <c r="Q20" s="1044">
        <f t="shared" si="6"/>
        <v>0</v>
      </c>
      <c r="R20" s="1044"/>
      <c r="S20" s="1044"/>
      <c r="T20" s="1044"/>
      <c r="U20" s="1044"/>
      <c r="V20" s="1044"/>
    </row>
    <row r="21" spans="1:22" s="1039" customFormat="1" ht="25.5" x14ac:dyDescent="0.2">
      <c r="A21" s="1035">
        <v>154</v>
      </c>
      <c r="B21" s="1013" t="s">
        <v>1898</v>
      </c>
      <c r="C21" s="1036">
        <f>+'F Y U 2023 Prespupuesto'!C104</f>
        <v>13809428000</v>
      </c>
      <c r="D21" s="1037">
        <f t="shared" si="0"/>
        <v>13809428000</v>
      </c>
      <c r="E21" s="1038">
        <f t="shared" si="1"/>
        <v>13809428000</v>
      </c>
      <c r="F21" s="1038">
        <f t="shared" si="2"/>
        <v>0</v>
      </c>
      <c r="H21" s="1073">
        <f>D21</f>
        <v>13809428000</v>
      </c>
      <c r="I21" s="1041"/>
      <c r="J21" s="1042"/>
      <c r="K21" s="1042"/>
      <c r="L21" s="1042"/>
      <c r="M21" s="1043"/>
      <c r="N21" s="1044">
        <f t="shared" si="3"/>
        <v>13809428000</v>
      </c>
      <c r="O21" s="1044">
        <f t="shared" si="4"/>
        <v>0</v>
      </c>
      <c r="P21" s="1045">
        <f t="shared" si="5"/>
        <v>0</v>
      </c>
      <c r="Q21" s="1044">
        <f t="shared" si="6"/>
        <v>0</v>
      </c>
      <c r="R21" s="1044"/>
      <c r="T21" s="1044"/>
      <c r="U21" s="1044"/>
      <c r="V21" s="1044"/>
    </row>
    <row r="22" spans="1:22" s="1039" customFormat="1" ht="38.25" x14ac:dyDescent="0.2">
      <c r="A22" s="1035">
        <v>154</v>
      </c>
      <c r="B22" s="1013" t="s">
        <v>1899</v>
      </c>
      <c r="C22" s="1036">
        <f>+'F Y U 2023 Prespupuesto'!C105</f>
        <v>4335092422.8432827</v>
      </c>
      <c r="D22" s="1037">
        <f t="shared" si="0"/>
        <v>4335092422.8432827</v>
      </c>
      <c r="E22" s="1038">
        <f t="shared" si="1"/>
        <v>4335092422.8432827</v>
      </c>
      <c r="F22" s="1038">
        <f t="shared" si="2"/>
        <v>0</v>
      </c>
      <c r="H22" s="1073">
        <f>D22</f>
        <v>4335092422.8432827</v>
      </c>
      <c r="I22" s="1041"/>
      <c r="J22" s="1042"/>
      <c r="K22" s="1042"/>
      <c r="L22" s="1042"/>
      <c r="M22" s="1043"/>
      <c r="N22" s="1044">
        <f t="shared" si="3"/>
        <v>4335092422.8432827</v>
      </c>
      <c r="O22" s="1044">
        <f t="shared" si="4"/>
        <v>0</v>
      </c>
      <c r="P22" s="1045">
        <f t="shared" si="5"/>
        <v>0</v>
      </c>
      <c r="Q22" s="1044">
        <f t="shared" si="6"/>
        <v>0</v>
      </c>
      <c r="R22" s="1044"/>
      <c r="S22" s="1044"/>
      <c r="T22" s="1044"/>
      <c r="U22" s="1044"/>
      <c r="V22" s="1044"/>
    </row>
    <row r="23" spans="1:22" s="1039" customFormat="1" ht="25.5" x14ac:dyDescent="0.2">
      <c r="A23" s="1035">
        <v>154</v>
      </c>
      <c r="B23" s="1013" t="s">
        <v>1900</v>
      </c>
      <c r="C23" s="1036">
        <f>+'F Y U 2023 Prespupuesto'!C106</f>
        <v>636817959</v>
      </c>
      <c r="D23" s="1037">
        <f t="shared" si="0"/>
        <v>636817959</v>
      </c>
      <c r="E23" s="1038">
        <f t="shared" si="1"/>
        <v>636817959</v>
      </c>
      <c r="F23" s="1038">
        <f t="shared" si="2"/>
        <v>0</v>
      </c>
      <c r="H23" s="1073">
        <f>D23</f>
        <v>636817959</v>
      </c>
      <c r="I23" s="1041"/>
      <c r="J23" s="1042"/>
      <c r="K23" s="1042"/>
      <c r="L23" s="1042"/>
      <c r="M23" s="1043"/>
      <c r="N23" s="1044">
        <f t="shared" si="3"/>
        <v>636817959</v>
      </c>
      <c r="O23" s="1044">
        <f t="shared" si="4"/>
        <v>0</v>
      </c>
      <c r="P23" s="1045">
        <f t="shared" si="5"/>
        <v>0</v>
      </c>
      <c r="Q23" s="1044">
        <f t="shared" si="6"/>
        <v>0</v>
      </c>
      <c r="R23" s="1044"/>
      <c r="S23" s="1044"/>
      <c r="T23" s="1044"/>
      <c r="U23" s="1044"/>
      <c r="V23" s="1044"/>
    </row>
    <row r="24" spans="1:22" s="585" customFormat="1" ht="25.5" x14ac:dyDescent="0.2">
      <c r="A24" s="607" t="s">
        <v>2012</v>
      </c>
      <c r="B24" s="608" t="s">
        <v>1146</v>
      </c>
      <c r="C24" s="1036">
        <f>+'F Y U 2023 Prespupuesto'!C108</f>
        <v>2231975607</v>
      </c>
      <c r="D24" s="910">
        <f t="shared" si="0"/>
        <v>2231975607</v>
      </c>
      <c r="E24" s="606">
        <v>2231975607</v>
      </c>
      <c r="F24" s="606">
        <f t="shared" si="2"/>
        <v>0</v>
      </c>
      <c r="G24" s="587"/>
      <c r="H24" s="613"/>
      <c r="I24" s="1049">
        <v>1902238000</v>
      </c>
      <c r="J24" s="611"/>
      <c r="K24" s="611"/>
      <c r="L24" s="611"/>
      <c r="M24" s="1050">
        <v>329737607</v>
      </c>
      <c r="N24" s="586">
        <f t="shared" si="3"/>
        <v>2231975607</v>
      </c>
      <c r="O24" s="586">
        <f t="shared" si="4"/>
        <v>0</v>
      </c>
      <c r="P24" s="917">
        <f t="shared" si="5"/>
        <v>0</v>
      </c>
      <c r="Q24" s="586">
        <f t="shared" si="6"/>
        <v>0</v>
      </c>
      <c r="R24" s="586"/>
      <c r="S24" s="586"/>
      <c r="T24" s="586"/>
      <c r="U24" s="586"/>
      <c r="V24" s="586"/>
    </row>
    <row r="25" spans="1:22" x14ac:dyDescent="0.2">
      <c r="A25" s="1733" t="s">
        <v>1773</v>
      </c>
      <c r="B25" s="1733"/>
      <c r="C25" s="968">
        <f>SUM(C4:C24)</f>
        <v>55872866401.086121</v>
      </c>
      <c r="D25" s="609">
        <f>SUM(D4:D24)</f>
        <v>55872866401.086121</v>
      </c>
      <c r="E25" s="1070">
        <f>SUM(E4:E24)</f>
        <v>48265299560.943283</v>
      </c>
      <c r="F25" s="609">
        <f>SUM(F4:F24)</f>
        <v>7607566839</v>
      </c>
      <c r="H25" s="614">
        <f>SUM(H4:H24)</f>
        <v>35074003111.843285</v>
      </c>
      <c r="I25" s="614">
        <f t="shared" ref="I25:M25" si="9">SUM(I4:I24)</f>
        <v>7541161187.6999998</v>
      </c>
      <c r="J25" s="614">
        <f t="shared" si="9"/>
        <v>795362853</v>
      </c>
      <c r="K25" s="614">
        <f t="shared" si="9"/>
        <v>6812203986</v>
      </c>
      <c r="L25" s="614">
        <f t="shared" si="9"/>
        <v>159135000</v>
      </c>
      <c r="M25" s="614">
        <f t="shared" si="9"/>
        <v>5491000261.4000006</v>
      </c>
      <c r="N25" s="586">
        <f t="shared" si="3"/>
        <v>48106164560.943283</v>
      </c>
      <c r="O25" s="586">
        <f t="shared" si="4"/>
        <v>159135000</v>
      </c>
      <c r="P25" s="918">
        <f>SUM(P4:P24)</f>
        <v>7607566839</v>
      </c>
      <c r="Q25" s="586">
        <f>SUM(Q4:Q24)</f>
        <v>0</v>
      </c>
    </row>
    <row r="26" spans="1:22" s="584" customFormat="1" x14ac:dyDescent="0.2">
      <c r="A26" s="589"/>
      <c r="C26" s="918">
        <f>+'F Y U 2023 Prespupuesto'!C109</f>
        <v>55872866401.086121</v>
      </c>
      <c r="D26" s="584">
        <v>57316702201.010002</v>
      </c>
      <c r="H26" s="584">
        <f>H25+I25+M25</f>
        <v>48106164560.943283</v>
      </c>
      <c r="J26" s="584">
        <f>J25+K25</f>
        <v>7607566839</v>
      </c>
      <c r="P26" s="584">
        <f>P25+Q25</f>
        <v>7607566839</v>
      </c>
      <c r="Q26" s="584">
        <f>Q25-J26</f>
        <v>-7607566839</v>
      </c>
    </row>
    <row r="27" spans="1:22" x14ac:dyDescent="0.2">
      <c r="D27" s="911">
        <f>D25-D26</f>
        <v>-1443835799.9238815</v>
      </c>
      <c r="H27" s="584">
        <v>47354720333</v>
      </c>
      <c r="J27" s="584">
        <f>H25+I25+M25</f>
        <v>48106164560.943283</v>
      </c>
      <c r="P27" s="584">
        <v>57315381567.409988</v>
      </c>
    </row>
    <row r="28" spans="1:22" x14ac:dyDescent="0.2">
      <c r="H28" s="584">
        <f>H26-H27</f>
        <v>751444227.94328308</v>
      </c>
      <c r="P28" s="584">
        <f>P26-P27</f>
        <v>-49707814728.409988</v>
      </c>
    </row>
    <row r="29" spans="1:22" x14ac:dyDescent="0.2">
      <c r="J29" s="584">
        <v>7729262589</v>
      </c>
    </row>
    <row r="30" spans="1:22" x14ac:dyDescent="0.2">
      <c r="H30" s="584">
        <v>43129318421.943283</v>
      </c>
      <c r="J30" s="584">
        <f>J25+K25</f>
        <v>7607566839</v>
      </c>
    </row>
    <row r="31" spans="1:22" x14ac:dyDescent="0.2">
      <c r="H31" s="584">
        <f>H26-H30</f>
        <v>4976846139</v>
      </c>
    </row>
    <row r="33" spans="8:8" x14ac:dyDescent="0.2">
      <c r="H33" s="584">
        <f>H25+I25+M25</f>
        <v>48106164560.943283</v>
      </c>
    </row>
  </sheetData>
  <autoFilter ref="D1:D26" xr:uid="{00000000-0009-0000-0000-00000D000000}"/>
  <mergeCells count="2">
    <mergeCell ref="A25:B25"/>
    <mergeCell ref="A2:M2"/>
  </mergeCells>
  <phoneticPr fontId="87" type="noConversion"/>
  <pageMargins left="0.7" right="0.7" top="0.75" bottom="0.75" header="0.3" footer="0.3"/>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B1:F80"/>
  <sheetViews>
    <sheetView workbookViewId="0">
      <selection activeCell="C48" sqref="C48"/>
    </sheetView>
  </sheetViews>
  <sheetFormatPr baseColWidth="10" defaultColWidth="11.42578125" defaultRowHeight="12.75" x14ac:dyDescent="0.25"/>
  <cols>
    <col min="1" max="1" width="11.42578125" style="626"/>
    <col min="2" max="2" width="29.85546875" style="626" customWidth="1"/>
    <col min="3" max="3" width="18" style="627" customWidth="1"/>
    <col min="4" max="4" width="14.7109375" style="626" bestFit="1" customWidth="1"/>
    <col min="5" max="6" width="15.5703125" style="626" bestFit="1" customWidth="1"/>
    <col min="7" max="16384" width="11.42578125" style="626"/>
  </cols>
  <sheetData>
    <row r="1" spans="2:3" ht="25.5" x14ac:dyDescent="0.25">
      <c r="B1" s="619" t="s">
        <v>2013</v>
      </c>
      <c r="C1" s="621" t="s">
        <v>2014</v>
      </c>
    </row>
    <row r="2" spans="2:3" x14ac:dyDescent="0.25">
      <c r="B2" s="622" t="s">
        <v>996</v>
      </c>
      <c r="C2" s="623">
        <f>+'F y U 2022 Incremento Salarial'!C109</f>
        <v>364299779522.3606</v>
      </c>
    </row>
    <row r="3" spans="2:3" ht="25.5" x14ac:dyDescent="0.25">
      <c r="B3" s="622" t="s">
        <v>997</v>
      </c>
      <c r="C3" s="623">
        <f>+C15</f>
        <v>3753476300</v>
      </c>
    </row>
    <row r="4" spans="2:3" ht="25.5" x14ac:dyDescent="0.25">
      <c r="B4" s="622" t="s">
        <v>998</v>
      </c>
      <c r="C4" s="623">
        <f>+'Inversion '!C93</f>
        <v>10177264983</v>
      </c>
    </row>
    <row r="5" spans="2:3" x14ac:dyDescent="0.25">
      <c r="B5" s="620" t="s">
        <v>2015</v>
      </c>
      <c r="C5" s="628">
        <f>SUM(C2:C4)</f>
        <v>378230520805.3606</v>
      </c>
    </row>
    <row r="7" spans="2:3" x14ac:dyDescent="0.25">
      <c r="B7" s="619" t="s">
        <v>946</v>
      </c>
      <c r="C7" s="619" t="s">
        <v>971</v>
      </c>
    </row>
    <row r="8" spans="2:3" x14ac:dyDescent="0.25">
      <c r="B8" s="622" t="s">
        <v>985</v>
      </c>
      <c r="C8" s="624">
        <f>+'F y U 2022 Incremento Salarial'!C108+'F y U 2022 Incremento Salarial'!C50</f>
        <v>359428783261.3606</v>
      </c>
    </row>
    <row r="9" spans="2:3" x14ac:dyDescent="0.25">
      <c r="B9" s="622" t="s">
        <v>986</v>
      </c>
      <c r="C9" s="625">
        <f>+'F y U 2022 Incremento Salarial'!C70</f>
        <v>4870996261</v>
      </c>
    </row>
    <row r="10" spans="2:3" x14ac:dyDescent="0.25">
      <c r="B10" s="620" t="s">
        <v>995</v>
      </c>
      <c r="C10" s="628">
        <f>+C8+C9</f>
        <v>364299779522.3606</v>
      </c>
    </row>
    <row r="12" spans="2:3" x14ac:dyDescent="0.25">
      <c r="B12" s="619" t="s">
        <v>2016</v>
      </c>
      <c r="C12" s="619" t="s">
        <v>971</v>
      </c>
    </row>
    <row r="13" spans="2:3" x14ac:dyDescent="0.25">
      <c r="B13" s="622" t="s">
        <v>985</v>
      </c>
      <c r="C13" s="623">
        <v>3752376300</v>
      </c>
    </row>
    <row r="14" spans="2:3" x14ac:dyDescent="0.25">
      <c r="B14" s="622" t="s">
        <v>986</v>
      </c>
      <c r="C14" s="623">
        <v>1100000</v>
      </c>
    </row>
    <row r="15" spans="2:3" x14ac:dyDescent="0.25">
      <c r="B15" s="620" t="s">
        <v>995</v>
      </c>
      <c r="C15" s="629">
        <f>+C13+C14</f>
        <v>3753476300</v>
      </c>
    </row>
    <row r="16" spans="2:3" ht="15" x14ac:dyDescent="0.25">
      <c r="B16" s="181"/>
      <c r="C16" s="181"/>
    </row>
    <row r="17" spans="2:6" x14ac:dyDescent="0.25">
      <c r="B17" s="619" t="s">
        <v>2016</v>
      </c>
      <c r="C17" s="619" t="s">
        <v>971</v>
      </c>
    </row>
    <row r="18" spans="2:6" x14ac:dyDescent="0.25">
      <c r="B18" s="622" t="s">
        <v>985</v>
      </c>
      <c r="C18" s="644">
        <f>+'Inversion '!C85+'Inversion '!C86+'Inversion '!C87+'Inversion '!C88+'Inversion '!C90+'Inversion '!C92+'Inversion '!C91</f>
        <v>10162264983</v>
      </c>
    </row>
    <row r="19" spans="2:6" x14ac:dyDescent="0.25">
      <c r="B19" s="622" t="s">
        <v>986</v>
      </c>
      <c r="C19" s="644">
        <f>+'Inversion '!C89</f>
        <v>15000000</v>
      </c>
    </row>
    <row r="20" spans="2:6" x14ac:dyDescent="0.25">
      <c r="B20" s="620" t="s">
        <v>995</v>
      </c>
      <c r="C20" s="645">
        <f>+C18+C19</f>
        <v>10177264983</v>
      </c>
    </row>
    <row r="21" spans="2:6" ht="15" x14ac:dyDescent="0.25">
      <c r="B21" s="181"/>
      <c r="C21" s="181"/>
    </row>
    <row r="22" spans="2:6" x14ac:dyDescent="0.25">
      <c r="B22" s="619" t="s">
        <v>2016</v>
      </c>
      <c r="C22" s="619" t="s">
        <v>971</v>
      </c>
    </row>
    <row r="23" spans="2:6" ht="25.5" x14ac:dyDescent="0.25">
      <c r="B23" s="622" t="s">
        <v>2017</v>
      </c>
      <c r="C23" s="630">
        <f>+C15+C20</f>
        <v>13930741283</v>
      </c>
    </row>
    <row r="24" spans="2:6" ht="25.5" x14ac:dyDescent="0.25">
      <c r="B24" s="622" t="s">
        <v>2018</v>
      </c>
      <c r="C24" s="625">
        <f>+C10</f>
        <v>364299779522.3606</v>
      </c>
    </row>
    <row r="25" spans="2:6" ht="25.5" x14ac:dyDescent="0.25">
      <c r="B25" s="620" t="s">
        <v>2019</v>
      </c>
      <c r="C25" s="628">
        <f>+C24+C23</f>
        <v>378230520805.3606</v>
      </c>
    </row>
    <row r="30" spans="2:6" x14ac:dyDescent="0.25">
      <c r="B30" s="619" t="s">
        <v>1772</v>
      </c>
      <c r="C30" s="619" t="s">
        <v>2020</v>
      </c>
      <c r="D30" s="619" t="s">
        <v>2021</v>
      </c>
      <c r="E30" s="619" t="s">
        <v>2022</v>
      </c>
      <c r="F30" s="619" t="s">
        <v>1773</v>
      </c>
    </row>
    <row r="31" spans="2:6" x14ac:dyDescent="0.25">
      <c r="B31" s="622" t="s">
        <v>996</v>
      </c>
      <c r="C31" s="624">
        <f>+'F y U 2022 Incremento Salarial'!C140</f>
        <v>85879457198.860992</v>
      </c>
      <c r="D31" s="624">
        <f>+'F y U 2022 Incremento Salarial'!C144</f>
        <v>12057299351</v>
      </c>
      <c r="E31" s="624">
        <f>+'F y U 2022 Incremento Salarial'!C149</f>
        <v>267087826821.3606</v>
      </c>
      <c r="F31" s="630">
        <f>+C31+D31+E31</f>
        <v>365024583371.22156</v>
      </c>
    </row>
    <row r="32" spans="2:6" ht="25.5" x14ac:dyDescent="0.25">
      <c r="B32" s="622" t="s">
        <v>997</v>
      </c>
      <c r="C32" s="624">
        <f>+'Inversion '!C76</f>
        <v>3639960000</v>
      </c>
      <c r="D32" s="624"/>
      <c r="E32" s="624">
        <f>+'Inversion '!C79</f>
        <v>113516300</v>
      </c>
      <c r="F32" s="624">
        <f>+C32+E32</f>
        <v>3753476300</v>
      </c>
    </row>
    <row r="33" spans="2:6" ht="25.5" x14ac:dyDescent="0.25">
      <c r="B33" s="622" t="s">
        <v>998</v>
      </c>
      <c r="C33" s="624">
        <f>+F33-E33</f>
        <v>1708758090.1999998</v>
      </c>
      <c r="D33" s="624"/>
      <c r="E33" s="624">
        <f>+'Inversion '!C94</f>
        <v>8468506892.8000002</v>
      </c>
      <c r="F33" s="624">
        <f>+'Inversion '!C93</f>
        <v>10177264983</v>
      </c>
    </row>
    <row r="34" spans="2:6" x14ac:dyDescent="0.25">
      <c r="B34" s="620" t="s">
        <v>981</v>
      </c>
      <c r="C34" s="646">
        <f>SUM(C31:C33)</f>
        <v>91228175289.060989</v>
      </c>
      <c r="D34" s="646">
        <f>SUM(D31:D33)</f>
        <v>12057299351</v>
      </c>
      <c r="E34" s="646">
        <f>SUM(E31:E33)</f>
        <v>275669850014.16058</v>
      </c>
      <c r="F34" s="646">
        <f>SUM(F31:F33)</f>
        <v>378955324654.22156</v>
      </c>
    </row>
    <row r="38" spans="2:6" x14ac:dyDescent="0.25">
      <c r="B38" s="619" t="s">
        <v>1772</v>
      </c>
      <c r="C38" s="619" t="s">
        <v>2020</v>
      </c>
    </row>
    <row r="39" spans="2:6" x14ac:dyDescent="0.25">
      <c r="B39" s="622" t="str">
        <f>+'F y U 2022 Incremento Salarial'!B131</f>
        <v xml:space="preserve">   Asamblea Departamental</v>
      </c>
      <c r="C39" s="624">
        <f>+'F y U 2022 Incremento Salarial'!C131</f>
        <v>3769319014</v>
      </c>
    </row>
    <row r="40" spans="2:6" x14ac:dyDescent="0.25">
      <c r="B40" s="622" t="str">
        <f>+'F y U 2022 Incremento Salarial'!B132</f>
        <v xml:space="preserve">   Contraloría Departamental RO</v>
      </c>
      <c r="C40" s="624">
        <f>+'F y U 2022 Incremento Salarial'!C132</f>
        <v>2783196563.8610001</v>
      </c>
    </row>
    <row r="41" spans="2:6" ht="25.5" x14ac:dyDescent="0.25">
      <c r="B41" s="622" t="str">
        <f>+'F y U 2022 Incremento Salarial'!B133</f>
        <v xml:space="preserve">   Contraloría Departamental Cuota de Fiscalizacion</v>
      </c>
      <c r="C41" s="624">
        <f>+'F y U 2022 Incremento Salarial'!C133</f>
        <v>580088442</v>
      </c>
      <c r="E41" s="649"/>
    </row>
    <row r="42" spans="2:6" ht="25.5" x14ac:dyDescent="0.25">
      <c r="B42" s="622" t="str">
        <f>+'F y U 2022 Incremento Salarial'!B134</f>
        <v xml:space="preserve">  Funcionamiento Gobernación Administracion Central RO</v>
      </c>
      <c r="C42" s="624">
        <f>+'F y U 2022 Incremento Salarial'!C134</f>
        <v>40179225582</v>
      </c>
      <c r="E42" s="649"/>
    </row>
    <row r="43" spans="2:6" x14ac:dyDescent="0.25">
      <c r="B43" s="622" t="str">
        <f>+'F y U 2022 Incremento Salarial'!B135</f>
        <v xml:space="preserve"> Funcionamiento Salud RO</v>
      </c>
      <c r="C43" s="624">
        <f>+'F y U 2022 Incremento Salarial'!C135</f>
        <v>1000000000</v>
      </c>
      <c r="E43" s="649">
        <f>+C43+C44</f>
        <v>8448431839</v>
      </c>
    </row>
    <row r="44" spans="2:6" x14ac:dyDescent="0.25">
      <c r="B44" s="622" t="str">
        <f>+'F y U 2022 Incremento Salarial'!B136</f>
        <v xml:space="preserve"> Funcionamiento Salud Destinado</v>
      </c>
      <c r="C44" s="624">
        <f>+'F y U 2022 Incremento Salarial'!C136</f>
        <v>7448431839</v>
      </c>
      <c r="E44" s="649">
        <f>+C42+C45+C46+C47</f>
        <v>70298421340</v>
      </c>
    </row>
    <row r="45" spans="2:6" x14ac:dyDescent="0.25">
      <c r="B45" s="622" t="str">
        <f>+'F y U 2022 Incremento Salarial'!B137</f>
        <v xml:space="preserve">   Gobernación Destinado</v>
      </c>
      <c r="C45" s="624">
        <f>+'F y U 2022 Incremento Salarial'!C137</f>
        <v>11675776289</v>
      </c>
      <c r="E45" s="649">
        <f>+E43+E44</f>
        <v>78746853179</v>
      </c>
    </row>
    <row r="46" spans="2:6" x14ac:dyDescent="0.25">
      <c r="B46" s="622" t="str">
        <f>+'F y U 2022 Incremento Salarial'!B138</f>
        <v xml:space="preserve">Transfrencias de Capital Ro </v>
      </c>
      <c r="C46" s="624">
        <f>+'F y U 2022 Incremento Salarial'!C138</f>
        <v>10838399395</v>
      </c>
    </row>
    <row r="47" spans="2:6" x14ac:dyDescent="0.25">
      <c r="B47" s="622" t="str">
        <f>+'F y U 2022 Incremento Salarial'!B139</f>
        <v>Transferencias de Capital</v>
      </c>
      <c r="C47" s="624">
        <f>+'F y U 2022 Incremento Salarial'!C139</f>
        <v>7605020074</v>
      </c>
    </row>
    <row r="48" spans="2:6" x14ac:dyDescent="0.25">
      <c r="B48" s="620" t="s">
        <v>1853</v>
      </c>
      <c r="C48" s="647">
        <f>+C40+C41</f>
        <v>3363285005.8610001</v>
      </c>
    </row>
    <row r="51" spans="2:3" x14ac:dyDescent="0.25">
      <c r="B51" s="619" t="s">
        <v>1772</v>
      </c>
      <c r="C51" s="619" t="s">
        <v>2020</v>
      </c>
    </row>
    <row r="52" spans="2:3" x14ac:dyDescent="0.25">
      <c r="B52" s="622" t="s">
        <v>2023</v>
      </c>
      <c r="C52" s="624">
        <f>+C39</f>
        <v>3769319014</v>
      </c>
    </row>
    <row r="53" spans="2:3" x14ac:dyDescent="0.25">
      <c r="B53" s="622" t="s">
        <v>2024</v>
      </c>
      <c r="C53" s="624">
        <f>+C40+C41</f>
        <v>3363285005.8610001</v>
      </c>
    </row>
    <row r="54" spans="2:3" x14ac:dyDescent="0.25">
      <c r="B54" s="622" t="s">
        <v>2025</v>
      </c>
      <c r="C54" s="624">
        <f>+C42+C43+C44+C45+C46+C47</f>
        <v>78746853179</v>
      </c>
    </row>
    <row r="55" spans="2:3" x14ac:dyDescent="0.25">
      <c r="B55" s="620" t="s">
        <v>1853</v>
      </c>
      <c r="C55" s="647">
        <f>+C52+C54+C53</f>
        <v>85879457198.860992</v>
      </c>
    </row>
    <row r="59" spans="2:3" x14ac:dyDescent="0.25">
      <c r="B59" s="619" t="s">
        <v>1772</v>
      </c>
      <c r="C59" s="619" t="s">
        <v>971</v>
      </c>
    </row>
    <row r="60" spans="2:3" x14ac:dyDescent="0.25">
      <c r="B60" s="622" t="str">
        <f>+'F y U 2022 Incremento Salarial'!B142</f>
        <v xml:space="preserve">   Con Recursos Ordinarios</v>
      </c>
      <c r="C60" s="624">
        <f>+'F y U 2022 Incremento Salarial'!C142</f>
        <v>11081299351</v>
      </c>
    </row>
    <row r="61" spans="2:3" x14ac:dyDescent="0.25">
      <c r="B61" s="622" t="str">
        <f>+'F y U 2022 Incremento Salarial'!B143</f>
        <v xml:space="preserve">   I.C.D.E.</v>
      </c>
      <c r="C61" s="624">
        <f>+'F y U 2022 Incremento Salarial'!C143</f>
        <v>976000000.00000012</v>
      </c>
    </row>
    <row r="62" spans="2:3" x14ac:dyDescent="0.25">
      <c r="B62" s="620" t="s">
        <v>2026</v>
      </c>
      <c r="C62" s="647">
        <f>+C60+C61</f>
        <v>12057299351</v>
      </c>
    </row>
    <row r="65" spans="2:3" x14ac:dyDescent="0.25">
      <c r="B65" s="619" t="s">
        <v>1772</v>
      </c>
      <c r="C65" s="619" t="s">
        <v>971</v>
      </c>
    </row>
    <row r="66" spans="2:3" x14ac:dyDescent="0.25">
      <c r="B66" s="622" t="str">
        <f>+'F y U 2022 Incremento Salarial'!B146</f>
        <v xml:space="preserve">   Con Recursos Ordinarios</v>
      </c>
      <c r="C66" s="624">
        <f>+'F y U 2022 Incremento Salarial'!C146</f>
        <v>18002584295</v>
      </c>
    </row>
    <row r="67" spans="2:3" x14ac:dyDescent="0.25">
      <c r="B67" s="622" t="str">
        <f>+'F y U 2022 Incremento Salarial'!B147</f>
        <v xml:space="preserve">   I.C.D.E.</v>
      </c>
      <c r="C67" s="624">
        <f>+'F y U 2022 Incremento Salarial'!C147+'F y U 2022 Incremento Salarial'!C148</f>
        <v>249085242526.3606</v>
      </c>
    </row>
    <row r="68" spans="2:3" x14ac:dyDescent="0.25">
      <c r="B68" s="620" t="s">
        <v>2027</v>
      </c>
      <c r="C68" s="647">
        <f>+C66+C67</f>
        <v>267087826821.3606</v>
      </c>
    </row>
    <row r="71" spans="2:3" x14ac:dyDescent="0.25">
      <c r="B71" s="619" t="s">
        <v>1772</v>
      </c>
      <c r="C71" s="619" t="s">
        <v>971</v>
      </c>
    </row>
    <row r="72" spans="2:3" x14ac:dyDescent="0.25">
      <c r="B72" s="622" t="s">
        <v>2028</v>
      </c>
      <c r="C72" s="624">
        <f>+'Inversion '!C76</f>
        <v>3639960000</v>
      </c>
    </row>
    <row r="73" spans="2:3" x14ac:dyDescent="0.25">
      <c r="B73" s="622" t="s">
        <v>2029</v>
      </c>
      <c r="C73" s="624">
        <f>+'Inversion '!C77</f>
        <v>113516300</v>
      </c>
    </row>
    <row r="74" spans="2:3" x14ac:dyDescent="0.25">
      <c r="B74" s="620" t="s">
        <v>1853</v>
      </c>
      <c r="C74" s="647">
        <f>+C72+C73</f>
        <v>3753476300</v>
      </c>
    </row>
    <row r="77" spans="2:3" x14ac:dyDescent="0.25">
      <c r="B77" s="619" t="s">
        <v>1772</v>
      </c>
      <c r="C77" s="619" t="s">
        <v>971</v>
      </c>
    </row>
    <row r="78" spans="2:3" x14ac:dyDescent="0.25">
      <c r="B78" s="622" t="s">
        <v>2028</v>
      </c>
      <c r="C78" s="624">
        <f>+C80-C79</f>
        <v>1708758090.1999998</v>
      </c>
    </row>
    <row r="79" spans="2:3" x14ac:dyDescent="0.25">
      <c r="B79" s="622" t="s">
        <v>2029</v>
      </c>
      <c r="C79" s="624">
        <f>+'Inversion '!C94</f>
        <v>8468506892.8000002</v>
      </c>
    </row>
    <row r="80" spans="2:3" x14ac:dyDescent="0.25">
      <c r="B80" s="620" t="s">
        <v>1853</v>
      </c>
      <c r="C80" s="647">
        <f>+'Inversion '!C93</f>
        <v>10177264983</v>
      </c>
    </row>
  </sheetData>
  <pageMargins left="0.7" right="0.7" top="0.75" bottom="0.75" header="0.3" footer="0.3"/>
  <pageSetup paperSize="9"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33"/>
  </sheetPr>
  <dimension ref="A1:S127"/>
  <sheetViews>
    <sheetView topLeftCell="C1" workbookViewId="0">
      <pane xSplit="2" ySplit="4" topLeftCell="I66" activePane="bottomRight" state="frozen"/>
      <selection pane="topRight" activeCell="E1" sqref="E1"/>
      <selection pane="bottomLeft" activeCell="C5" sqref="C5"/>
      <selection pane="bottomRight" activeCell="L88" sqref="L88"/>
    </sheetView>
  </sheetViews>
  <sheetFormatPr baseColWidth="10" defaultColWidth="11.42578125" defaultRowHeight="16.5" x14ac:dyDescent="0.3"/>
  <cols>
    <col min="1" max="1" width="11.42578125" style="695" hidden="1" customWidth="1"/>
    <col min="2" max="2" width="47.28515625" style="695" hidden="1" customWidth="1"/>
    <col min="3" max="3" width="13" style="711" bestFit="1" customWidth="1"/>
    <col min="4" max="4" width="69" style="711" customWidth="1"/>
    <col min="5" max="19" width="13.140625" style="712" customWidth="1"/>
    <col min="20" max="16384" width="11.42578125" style="695"/>
  </cols>
  <sheetData>
    <row r="1" spans="1:19" ht="41.25" customHeight="1" x14ac:dyDescent="0.3">
      <c r="A1" s="693"/>
      <c r="B1" s="693"/>
      <c r="C1" s="1789" t="s">
        <v>2030</v>
      </c>
      <c r="D1" s="1789"/>
      <c r="E1" s="694"/>
      <c r="F1" s="694"/>
      <c r="G1" s="694"/>
      <c r="H1" s="694"/>
      <c r="I1" s="694"/>
      <c r="J1" s="694"/>
      <c r="K1" s="694"/>
      <c r="L1" s="694"/>
      <c r="M1" s="694"/>
      <c r="N1" s="694"/>
      <c r="O1" s="694"/>
      <c r="P1" s="694"/>
      <c r="Q1" s="694"/>
      <c r="R1" s="694"/>
      <c r="S1" s="694"/>
    </row>
    <row r="2" spans="1:19" ht="28.5" customHeight="1" x14ac:dyDescent="0.3">
      <c r="A2" s="693"/>
      <c r="B2" s="693"/>
      <c r="C2" s="1790" t="s">
        <v>2031</v>
      </c>
      <c r="D2" s="1790"/>
      <c r="E2" s="696"/>
      <c r="F2" s="696"/>
      <c r="G2" s="696"/>
      <c r="H2" s="696"/>
      <c r="I2" s="696"/>
      <c r="J2" s="696"/>
      <c r="K2" s="696"/>
      <c r="L2" s="696"/>
      <c r="M2" s="696"/>
      <c r="N2" s="696"/>
      <c r="O2" s="696"/>
      <c r="P2" s="696"/>
      <c r="Q2" s="696"/>
      <c r="R2" s="696"/>
      <c r="S2" s="696"/>
    </row>
    <row r="3" spans="1:19" x14ac:dyDescent="0.3">
      <c r="A3" s="693"/>
      <c r="B3" s="693"/>
      <c r="C3" s="1791" t="s">
        <v>2032</v>
      </c>
      <c r="D3" s="1791"/>
      <c r="E3" s="697"/>
      <c r="F3" s="697"/>
      <c r="G3" s="697"/>
      <c r="H3" s="697"/>
      <c r="I3" s="697"/>
      <c r="J3" s="697"/>
      <c r="K3" s="697"/>
      <c r="L3" s="697"/>
      <c r="M3" s="697"/>
      <c r="N3" s="697"/>
      <c r="O3" s="697"/>
      <c r="P3" s="697"/>
      <c r="Q3" s="697"/>
      <c r="R3" s="697"/>
      <c r="S3" s="697"/>
    </row>
    <row r="4" spans="1:19" s="725" customFormat="1" x14ac:dyDescent="0.3">
      <c r="A4" s="661" t="s">
        <v>2033</v>
      </c>
      <c r="B4" s="662" t="s">
        <v>2034</v>
      </c>
      <c r="C4" s="664" t="s">
        <v>2035</v>
      </c>
      <c r="D4" s="664" t="s">
        <v>2036</v>
      </c>
      <c r="E4" s="664">
        <v>2017</v>
      </c>
      <c r="F4" s="664">
        <v>2018</v>
      </c>
      <c r="G4" s="664">
        <v>2019</v>
      </c>
      <c r="H4" s="664">
        <v>2020</v>
      </c>
      <c r="I4" s="664">
        <v>2021</v>
      </c>
      <c r="J4" s="664">
        <v>2022</v>
      </c>
      <c r="K4" s="664">
        <v>2023</v>
      </c>
      <c r="L4" s="664">
        <v>2024</v>
      </c>
      <c r="M4" s="664">
        <v>2025</v>
      </c>
      <c r="N4" s="664">
        <v>2026</v>
      </c>
      <c r="O4" s="664">
        <v>2027</v>
      </c>
      <c r="P4" s="664">
        <v>2028</v>
      </c>
      <c r="Q4" s="664">
        <v>2029</v>
      </c>
      <c r="R4" s="664">
        <v>2030</v>
      </c>
      <c r="S4" s="664">
        <v>2031</v>
      </c>
    </row>
    <row r="5" spans="1:19" s="725" customFormat="1" x14ac:dyDescent="0.3">
      <c r="A5" s="726" t="s">
        <v>2037</v>
      </c>
      <c r="B5" s="727" t="s">
        <v>2038</v>
      </c>
      <c r="C5" s="663" t="s">
        <v>2039</v>
      </c>
      <c r="D5" s="663" t="s">
        <v>2040</v>
      </c>
      <c r="E5" s="666">
        <v>305001.65400000004</v>
      </c>
      <c r="F5" s="666">
        <v>313252.73797199997</v>
      </c>
      <c r="G5" s="666">
        <v>352513.6920784699</v>
      </c>
      <c r="H5" s="666">
        <v>338753</v>
      </c>
      <c r="I5" s="666">
        <v>375734.0893606398</v>
      </c>
      <c r="J5" s="666">
        <v>364299.7795215635</v>
      </c>
      <c r="K5" s="666">
        <v>375228.77290721046</v>
      </c>
      <c r="L5" s="666">
        <v>386485.63609442674</v>
      </c>
      <c r="M5" s="666">
        <v>398080.20517725957</v>
      </c>
      <c r="N5" s="666">
        <v>410022.61133257742</v>
      </c>
      <c r="O5" s="666">
        <v>422323.2896725547</v>
      </c>
      <c r="P5" s="666">
        <v>434992.98836273135</v>
      </c>
      <c r="Q5" s="666">
        <v>448042.77801361325</v>
      </c>
      <c r="R5" s="666">
        <v>461484.06135402172</v>
      </c>
      <c r="S5" s="666">
        <v>475328.58319464239</v>
      </c>
    </row>
    <row r="6" spans="1:19" s="725" customFormat="1" x14ac:dyDescent="0.3">
      <c r="A6" s="726" t="s">
        <v>2037</v>
      </c>
      <c r="B6" s="727" t="s">
        <v>2038</v>
      </c>
      <c r="C6" s="663" t="s">
        <v>2041</v>
      </c>
      <c r="D6" s="663" t="s">
        <v>2042</v>
      </c>
      <c r="E6" s="666">
        <v>286727.81700000004</v>
      </c>
      <c r="F6" s="666">
        <v>303699.02398599999</v>
      </c>
      <c r="G6" s="666">
        <v>329992.30693887989</v>
      </c>
      <c r="H6" s="666">
        <v>328942</v>
      </c>
      <c r="I6" s="666">
        <v>362890.32392879983</v>
      </c>
      <c r="J6" s="666">
        <v>354282.40085805347</v>
      </c>
      <c r="K6" s="666">
        <v>364910.87288379518</v>
      </c>
      <c r="L6" s="666">
        <v>375858.199070309</v>
      </c>
      <c r="M6" s="666">
        <v>387133.94504241826</v>
      </c>
      <c r="N6" s="666">
        <v>398747.96339369088</v>
      </c>
      <c r="O6" s="666">
        <v>410710.40229550155</v>
      </c>
      <c r="P6" s="666">
        <v>423031.71436436661</v>
      </c>
      <c r="Q6" s="666">
        <v>435722.66579529759</v>
      </c>
      <c r="R6" s="666">
        <v>448794.34576915659</v>
      </c>
      <c r="S6" s="666">
        <v>462258.17614223127</v>
      </c>
    </row>
    <row r="7" spans="1:19" s="725" customFormat="1" x14ac:dyDescent="0.3">
      <c r="A7" s="726" t="s">
        <v>2037</v>
      </c>
      <c r="B7" s="727" t="s">
        <v>2038</v>
      </c>
      <c r="C7" s="663" t="s">
        <v>2043</v>
      </c>
      <c r="D7" s="663" t="s">
        <v>2044</v>
      </c>
      <c r="E7" s="666">
        <v>116340.342</v>
      </c>
      <c r="F7" s="666">
        <v>118908.05119499999</v>
      </c>
      <c r="G7" s="666">
        <v>113710.10173530999</v>
      </c>
      <c r="H7" s="666">
        <v>108740</v>
      </c>
      <c r="I7" s="666">
        <v>127702.34585680001</v>
      </c>
      <c r="J7" s="666">
        <v>116030.80891985985</v>
      </c>
      <c r="K7" s="666">
        <v>119511.73318745564</v>
      </c>
      <c r="L7" s="666">
        <v>123097.08518307931</v>
      </c>
      <c r="M7" s="666">
        <v>126789.99773857169</v>
      </c>
      <c r="N7" s="666">
        <v>130593.69767072886</v>
      </c>
      <c r="O7" s="666">
        <v>134511.50860085071</v>
      </c>
      <c r="P7" s="666">
        <v>138546.85385887625</v>
      </c>
      <c r="Q7" s="666">
        <v>142703.25947464255</v>
      </c>
      <c r="R7" s="666">
        <v>146984.35725888182</v>
      </c>
      <c r="S7" s="666">
        <v>151393.88797664829</v>
      </c>
    </row>
    <row r="8" spans="1:19" x14ac:dyDescent="0.3">
      <c r="A8" s="698" t="s">
        <v>2045</v>
      </c>
      <c r="B8" s="699" t="s">
        <v>946</v>
      </c>
      <c r="C8" s="700" t="s">
        <v>2046</v>
      </c>
      <c r="D8" s="700" t="s">
        <v>2047</v>
      </c>
      <c r="E8" s="701">
        <v>12628.027</v>
      </c>
      <c r="F8" s="701">
        <v>13740.633217000001</v>
      </c>
      <c r="G8" s="701">
        <v>16265.214035910001</v>
      </c>
      <c r="H8" s="701">
        <v>17643</v>
      </c>
      <c r="I8" s="701">
        <v>18334.260463999999</v>
      </c>
      <c r="J8" s="701">
        <v>18334.260463560429</v>
      </c>
      <c r="K8" s="701">
        <v>18884.288277467243</v>
      </c>
      <c r="L8" s="701">
        <v>19450.81692579126</v>
      </c>
      <c r="M8" s="701">
        <v>20034.341433564998</v>
      </c>
      <c r="N8" s="701">
        <v>20635.371676571947</v>
      </c>
      <c r="O8" s="701">
        <v>21254.432826869106</v>
      </c>
      <c r="P8" s="701">
        <v>21892.06581167518</v>
      </c>
      <c r="Q8" s="701">
        <v>22548.827786025435</v>
      </c>
      <c r="R8" s="701">
        <v>23225.2926196062</v>
      </c>
      <c r="S8" s="701">
        <v>23922.051398194388</v>
      </c>
    </row>
    <row r="9" spans="1:19" x14ac:dyDescent="0.3">
      <c r="A9" s="698" t="s">
        <v>2045</v>
      </c>
      <c r="B9" s="699" t="s">
        <v>946</v>
      </c>
      <c r="C9" s="700" t="s">
        <v>2048</v>
      </c>
      <c r="D9" s="700" t="s">
        <v>2049</v>
      </c>
      <c r="E9" s="701">
        <v>0</v>
      </c>
      <c r="F9" s="701">
        <v>0</v>
      </c>
      <c r="G9" s="701">
        <v>0</v>
      </c>
      <c r="H9" s="701">
        <v>0</v>
      </c>
      <c r="I9" s="701">
        <v>0</v>
      </c>
      <c r="J9" s="701">
        <v>0</v>
      </c>
      <c r="K9" s="701">
        <v>0</v>
      </c>
      <c r="L9" s="701">
        <v>0</v>
      </c>
      <c r="M9" s="701">
        <v>0</v>
      </c>
      <c r="N9" s="701">
        <v>0</v>
      </c>
      <c r="O9" s="701">
        <v>0</v>
      </c>
      <c r="P9" s="701">
        <v>0</v>
      </c>
      <c r="Q9" s="701">
        <v>0</v>
      </c>
      <c r="R9" s="701">
        <v>0</v>
      </c>
      <c r="S9" s="701">
        <v>0</v>
      </c>
    </row>
    <row r="10" spans="1:19" x14ac:dyDescent="0.3">
      <c r="A10" s="698" t="s">
        <v>2045</v>
      </c>
      <c r="B10" s="699" t="s">
        <v>946</v>
      </c>
      <c r="C10" s="700" t="s">
        <v>2050</v>
      </c>
      <c r="D10" s="700" t="s">
        <v>2051</v>
      </c>
      <c r="E10" s="701">
        <v>0</v>
      </c>
      <c r="F10" s="701">
        <v>0</v>
      </c>
      <c r="G10" s="701">
        <v>0</v>
      </c>
      <c r="H10" s="701">
        <v>0</v>
      </c>
      <c r="I10" s="701">
        <v>0</v>
      </c>
      <c r="J10" s="701">
        <v>0</v>
      </c>
      <c r="K10" s="701">
        <v>0</v>
      </c>
      <c r="L10" s="701">
        <v>0</v>
      </c>
      <c r="M10" s="701">
        <v>0</v>
      </c>
      <c r="N10" s="701">
        <v>0</v>
      </c>
      <c r="O10" s="701">
        <v>0</v>
      </c>
      <c r="P10" s="701">
        <v>0</v>
      </c>
      <c r="Q10" s="701">
        <v>0</v>
      </c>
      <c r="R10" s="701">
        <v>0</v>
      </c>
      <c r="S10" s="701">
        <v>0</v>
      </c>
    </row>
    <row r="11" spans="1:19" x14ac:dyDescent="0.3">
      <c r="A11" s="698" t="s">
        <v>2045</v>
      </c>
      <c r="B11" s="699" t="s">
        <v>946</v>
      </c>
      <c r="C11" s="700" t="s">
        <v>2052</v>
      </c>
      <c r="D11" s="700" t="s">
        <v>2053</v>
      </c>
      <c r="E11" s="701">
        <v>13064.938</v>
      </c>
      <c r="F11" s="701">
        <v>13570.933605</v>
      </c>
      <c r="G11" s="701">
        <v>15060.515283299999</v>
      </c>
      <c r="H11" s="701">
        <v>15048</v>
      </c>
      <c r="I11" s="701">
        <v>16621.8075938</v>
      </c>
      <c r="J11" s="701">
        <v>17634.07567563</v>
      </c>
      <c r="K11" s="701">
        <v>18163.097945898899</v>
      </c>
      <c r="L11" s="701">
        <v>18707.990884275867</v>
      </c>
      <c r="M11" s="701">
        <v>19269.230610804145</v>
      </c>
      <c r="N11" s="701">
        <v>19847.307529128269</v>
      </c>
      <c r="O11" s="701">
        <v>20442.726755002117</v>
      </c>
      <c r="P11" s="701">
        <v>21056.008557652181</v>
      </c>
      <c r="Q11" s="701">
        <v>21687.688814381749</v>
      </c>
      <c r="R11" s="701">
        <v>22338.319478813202</v>
      </c>
      <c r="S11" s="701">
        <v>23008.469063177599</v>
      </c>
    </row>
    <row r="12" spans="1:19" x14ac:dyDescent="0.3">
      <c r="A12" s="698" t="s">
        <v>2045</v>
      </c>
      <c r="B12" s="699" t="s">
        <v>946</v>
      </c>
      <c r="C12" s="700" t="s">
        <v>2054</v>
      </c>
      <c r="D12" s="700" t="s">
        <v>2055</v>
      </c>
      <c r="E12" s="701">
        <v>12378.339</v>
      </c>
      <c r="F12" s="701">
        <v>12323.33171</v>
      </c>
      <c r="G12" s="701">
        <v>16448.031271100001</v>
      </c>
      <c r="H12" s="701">
        <v>13948</v>
      </c>
      <c r="I12" s="701">
        <v>17175.371115999998</v>
      </c>
      <c r="J12" s="701">
        <v>18966.158947788888</v>
      </c>
      <c r="K12" s="701">
        <v>19535.143716222556</v>
      </c>
      <c r="L12" s="701">
        <v>20121.198027709233</v>
      </c>
      <c r="M12" s="701">
        <v>20724.833968540512</v>
      </c>
      <c r="N12" s="701">
        <v>21346.578987596728</v>
      </c>
      <c r="O12" s="701">
        <v>21986.97635722463</v>
      </c>
      <c r="P12" s="701">
        <v>22646.585647941371</v>
      </c>
      <c r="Q12" s="701">
        <v>23325.983217379613</v>
      </c>
      <c r="R12" s="701">
        <v>24025.762713901004</v>
      </c>
      <c r="S12" s="701">
        <v>24746.535595318033</v>
      </c>
    </row>
    <row r="13" spans="1:19" x14ac:dyDescent="0.3">
      <c r="A13" s="698" t="s">
        <v>2045</v>
      </c>
      <c r="B13" s="699" t="s">
        <v>946</v>
      </c>
      <c r="C13" s="700" t="s">
        <v>2056</v>
      </c>
      <c r="D13" s="700" t="s">
        <v>2057</v>
      </c>
      <c r="E13" s="701">
        <v>19989.563999999998</v>
      </c>
      <c r="F13" s="701">
        <v>18447.6194</v>
      </c>
      <c r="G13" s="701">
        <v>16634.310844</v>
      </c>
      <c r="H13" s="701">
        <v>13148</v>
      </c>
      <c r="I13" s="701">
        <v>17698.214959000001</v>
      </c>
      <c r="J13" s="701">
        <v>17647.340374399602</v>
      </c>
      <c r="K13" s="701">
        <v>18176.760585631589</v>
      </c>
      <c r="L13" s="701">
        <v>18722.063403200536</v>
      </c>
      <c r="M13" s="701">
        <v>19283.725305296553</v>
      </c>
      <c r="N13" s="701">
        <v>19862.23706445545</v>
      </c>
      <c r="O13" s="701">
        <v>20458.104176389115</v>
      </c>
      <c r="P13" s="701">
        <v>21071.847301680791</v>
      </c>
      <c r="Q13" s="701">
        <v>21704.002720731216</v>
      </c>
      <c r="R13" s="701">
        <v>22355.122802353151</v>
      </c>
      <c r="S13" s="701">
        <v>23025.776486423747</v>
      </c>
    </row>
    <row r="14" spans="1:19" x14ac:dyDescent="0.3">
      <c r="A14" s="698" t="s">
        <v>2045</v>
      </c>
      <c r="B14" s="699" t="s">
        <v>946</v>
      </c>
      <c r="C14" s="700" t="s">
        <v>2058</v>
      </c>
      <c r="D14" s="700" t="s">
        <v>2059</v>
      </c>
      <c r="E14" s="701">
        <v>21721.458999999999</v>
      </c>
      <c r="F14" s="701">
        <v>22183.786067000001</v>
      </c>
      <c r="G14" s="701">
        <v>15212.004711</v>
      </c>
      <c r="H14" s="701">
        <v>19854</v>
      </c>
      <c r="I14" s="701">
        <v>26408.337651000002</v>
      </c>
      <c r="J14" s="701">
        <v>21766.569037958321</v>
      </c>
      <c r="K14" s="701">
        <v>22419.566109097072</v>
      </c>
      <c r="L14" s="701">
        <v>23092.153092369983</v>
      </c>
      <c r="M14" s="701">
        <v>23784.917685141085</v>
      </c>
      <c r="N14" s="701">
        <v>24498.46521569532</v>
      </c>
      <c r="O14" s="701">
        <v>25233.419172166181</v>
      </c>
      <c r="P14" s="701">
        <v>25990.421747331166</v>
      </c>
      <c r="Q14" s="701">
        <v>26770.134399751099</v>
      </c>
      <c r="R14" s="701">
        <v>27573.238431743634</v>
      </c>
      <c r="S14" s="701">
        <v>28400.435584695944</v>
      </c>
    </row>
    <row r="15" spans="1:19" x14ac:dyDescent="0.3">
      <c r="A15" s="698" t="s">
        <v>2045</v>
      </c>
      <c r="B15" s="699" t="s">
        <v>946</v>
      </c>
      <c r="C15" s="700" t="s">
        <v>2060</v>
      </c>
      <c r="D15" s="700" t="s">
        <v>2061</v>
      </c>
      <c r="E15" s="701">
        <v>6713.558</v>
      </c>
      <c r="F15" s="701">
        <v>6992.5485500000004</v>
      </c>
      <c r="G15" s="701">
        <v>7173.9152999999997</v>
      </c>
      <c r="H15" s="701">
        <v>6045</v>
      </c>
      <c r="I15" s="701">
        <v>7715.9968010000002</v>
      </c>
      <c r="J15" s="701">
        <v>7947.476705</v>
      </c>
      <c r="K15" s="701">
        <v>8185.9010061500003</v>
      </c>
      <c r="L15" s="701">
        <v>8431.4780363344998</v>
      </c>
      <c r="M15" s="701">
        <v>8684.4223774245347</v>
      </c>
      <c r="N15" s="701">
        <v>8944.9550487472716</v>
      </c>
      <c r="O15" s="701">
        <v>9213.3037002096899</v>
      </c>
      <c r="P15" s="701">
        <v>9489.7028112159805</v>
      </c>
      <c r="Q15" s="701">
        <v>9774.3938955524609</v>
      </c>
      <c r="R15" s="701">
        <v>10067.625712419034</v>
      </c>
      <c r="S15" s="701">
        <v>10369.654483791606</v>
      </c>
    </row>
    <row r="16" spans="1:19" x14ac:dyDescent="0.3">
      <c r="A16" s="698" t="s">
        <v>2045</v>
      </c>
      <c r="B16" s="699" t="s">
        <v>946</v>
      </c>
      <c r="C16" s="700" t="s">
        <v>2062</v>
      </c>
      <c r="D16" s="700" t="s">
        <v>2063</v>
      </c>
      <c r="E16" s="701">
        <v>25973.508000000002</v>
      </c>
      <c r="F16" s="701">
        <v>27166.513202999999</v>
      </c>
      <c r="G16" s="701">
        <v>26268.670989999999</v>
      </c>
      <c r="H16" s="701">
        <v>20928</v>
      </c>
      <c r="I16" s="701">
        <v>23074.907839999996</v>
      </c>
      <c r="J16" s="701">
        <v>13041.2748005226</v>
      </c>
      <c r="K16" s="701">
        <v>13432.513044538278</v>
      </c>
      <c r="L16" s="701">
        <v>13835.488435874428</v>
      </c>
      <c r="M16" s="701">
        <v>14250.553088950661</v>
      </c>
      <c r="N16" s="701">
        <v>14678.069681619181</v>
      </c>
      <c r="O16" s="701">
        <v>15118.411772067757</v>
      </c>
      <c r="P16" s="701">
        <v>15571.96412522979</v>
      </c>
      <c r="Q16" s="701">
        <v>16039.123048986683</v>
      </c>
      <c r="R16" s="701">
        <v>16520.296740456284</v>
      </c>
      <c r="S16" s="701">
        <v>17015.905642669972</v>
      </c>
    </row>
    <row r="17" spans="1:19" x14ac:dyDescent="0.3">
      <c r="A17" s="698" t="s">
        <v>2045</v>
      </c>
      <c r="B17" s="699" t="s">
        <v>946</v>
      </c>
      <c r="C17" s="700" t="s">
        <v>2064</v>
      </c>
      <c r="D17" s="700" t="s">
        <v>2065</v>
      </c>
      <c r="E17" s="701">
        <v>0</v>
      </c>
      <c r="F17" s="701">
        <v>0</v>
      </c>
      <c r="G17" s="701">
        <v>0</v>
      </c>
      <c r="H17" s="701">
        <v>0</v>
      </c>
      <c r="I17" s="701">
        <v>0</v>
      </c>
      <c r="J17" s="701">
        <v>0</v>
      </c>
      <c r="K17" s="701">
        <v>0</v>
      </c>
      <c r="L17" s="701">
        <v>0</v>
      </c>
      <c r="M17" s="701">
        <v>0</v>
      </c>
      <c r="N17" s="701">
        <v>0</v>
      </c>
      <c r="O17" s="701">
        <v>0</v>
      </c>
      <c r="P17" s="701">
        <v>0</v>
      </c>
      <c r="Q17" s="701">
        <v>0</v>
      </c>
      <c r="R17" s="701">
        <v>0</v>
      </c>
      <c r="S17" s="701">
        <v>0</v>
      </c>
    </row>
    <row r="18" spans="1:19" x14ac:dyDescent="0.3">
      <c r="A18" s="698" t="s">
        <v>2045</v>
      </c>
      <c r="B18" s="699" t="s">
        <v>946</v>
      </c>
      <c r="C18" s="700" t="s">
        <v>2066</v>
      </c>
      <c r="D18" s="700" t="s">
        <v>2067</v>
      </c>
      <c r="E18" s="701">
        <v>0</v>
      </c>
      <c r="F18" s="701">
        <v>0</v>
      </c>
      <c r="G18" s="701">
        <v>0</v>
      </c>
      <c r="H18" s="701">
        <v>0</v>
      </c>
      <c r="I18" s="701">
        <v>0</v>
      </c>
      <c r="J18" s="701">
        <v>0</v>
      </c>
      <c r="K18" s="701">
        <v>0</v>
      </c>
      <c r="L18" s="701">
        <v>0</v>
      </c>
      <c r="M18" s="701">
        <v>0</v>
      </c>
      <c r="N18" s="701">
        <v>0</v>
      </c>
      <c r="O18" s="701">
        <v>0</v>
      </c>
      <c r="P18" s="701">
        <v>0</v>
      </c>
      <c r="Q18" s="701">
        <v>0</v>
      </c>
      <c r="R18" s="701">
        <v>0</v>
      </c>
      <c r="S18" s="701">
        <v>0</v>
      </c>
    </row>
    <row r="19" spans="1:19" x14ac:dyDescent="0.3">
      <c r="A19" s="698" t="s">
        <v>2045</v>
      </c>
      <c r="B19" s="699" t="s">
        <v>946</v>
      </c>
      <c r="C19" s="700" t="s">
        <v>2068</v>
      </c>
      <c r="D19" s="700" t="s">
        <v>2069</v>
      </c>
      <c r="E19" s="701">
        <v>3870.9490000000001</v>
      </c>
      <c r="F19" s="701">
        <v>4482.6854430000003</v>
      </c>
      <c r="G19" s="701">
        <v>647.4393</v>
      </c>
      <c r="H19" s="701">
        <v>2126</v>
      </c>
      <c r="I19" s="701">
        <v>673.449432</v>
      </c>
      <c r="J19" s="701">
        <v>693.65291500000001</v>
      </c>
      <c r="K19" s="701">
        <v>714.46250244999999</v>
      </c>
      <c r="L19" s="701">
        <v>735.89637752349995</v>
      </c>
      <c r="M19" s="701">
        <v>757.97326884920494</v>
      </c>
      <c r="N19" s="701">
        <v>780.71246691468116</v>
      </c>
      <c r="O19" s="701">
        <v>804.13384092212164</v>
      </c>
      <c r="P19" s="701">
        <v>828.25785614978531</v>
      </c>
      <c r="Q19" s="701">
        <v>853.10559183427893</v>
      </c>
      <c r="R19" s="701">
        <v>878.69875958930731</v>
      </c>
      <c r="S19" s="701">
        <v>905.05972237698654</v>
      </c>
    </row>
    <row r="20" spans="1:19" s="725" customFormat="1" x14ac:dyDescent="0.3">
      <c r="A20" s="726" t="s">
        <v>2037</v>
      </c>
      <c r="B20" s="727" t="s">
        <v>2038</v>
      </c>
      <c r="C20" s="663" t="s">
        <v>2070</v>
      </c>
      <c r="D20" s="663" t="s">
        <v>2071</v>
      </c>
      <c r="E20" s="666">
        <v>22534.029000000002</v>
      </c>
      <c r="F20" s="666">
        <v>23932.643243000002</v>
      </c>
      <c r="G20" s="666">
        <v>24893.061124690008</v>
      </c>
      <c r="H20" s="666">
        <v>29093</v>
      </c>
      <c r="I20" s="666">
        <v>40725.270534999887</v>
      </c>
      <c r="J20" s="666">
        <v>26102.001629238672</v>
      </c>
      <c r="K20" s="666">
        <v>26885.061678115831</v>
      </c>
      <c r="L20" s="666">
        <v>27691.613528459311</v>
      </c>
      <c r="M20" s="666">
        <v>28522.361934313092</v>
      </c>
      <c r="N20" s="666">
        <v>29378.032792342485</v>
      </c>
      <c r="O20" s="666">
        <v>30259.37377611276</v>
      </c>
      <c r="P20" s="666">
        <v>31167.154989396142</v>
      </c>
      <c r="Q20" s="666">
        <v>32102.169639078031</v>
      </c>
      <c r="R20" s="666">
        <v>33065.234728250376</v>
      </c>
      <c r="S20" s="666">
        <v>34057.191770097888</v>
      </c>
    </row>
    <row r="21" spans="1:19" x14ac:dyDescent="0.3">
      <c r="A21" s="698" t="s">
        <v>2045</v>
      </c>
      <c r="B21" s="699" t="s">
        <v>946</v>
      </c>
      <c r="C21" s="700" t="s">
        <v>2072</v>
      </c>
      <c r="D21" s="700" t="s">
        <v>2073</v>
      </c>
      <c r="E21" s="701">
        <v>21417.488000000001</v>
      </c>
      <c r="F21" s="701">
        <v>23028.200915000001</v>
      </c>
      <c r="G21" s="701">
        <v>23234.797743890009</v>
      </c>
      <c r="H21" s="701">
        <v>2945</v>
      </c>
      <c r="I21" s="701">
        <v>11224.374016</v>
      </c>
      <c r="J21" s="701">
        <v>4349.861269</v>
      </c>
      <c r="K21" s="701">
        <v>4480.35710707</v>
      </c>
      <c r="L21" s="701">
        <v>4614.7678202820998</v>
      </c>
      <c r="M21" s="701">
        <v>4753.2108548905626</v>
      </c>
      <c r="N21" s="701">
        <v>4895.8071805372792</v>
      </c>
      <c r="O21" s="701">
        <v>5042.6813959533974</v>
      </c>
      <c r="P21" s="701">
        <v>5193.9618378319992</v>
      </c>
      <c r="Q21" s="701">
        <v>5349.7806929669596</v>
      </c>
      <c r="R21" s="701">
        <v>5510.2741137559688</v>
      </c>
      <c r="S21" s="701">
        <v>5675.5823371686483</v>
      </c>
    </row>
    <row r="22" spans="1:19" x14ac:dyDescent="0.3">
      <c r="A22" s="698" t="s">
        <v>2045</v>
      </c>
      <c r="B22" s="699" t="s">
        <v>946</v>
      </c>
      <c r="C22" s="700" t="s">
        <v>2074</v>
      </c>
      <c r="D22" s="700" t="s">
        <v>2075</v>
      </c>
      <c r="E22" s="701">
        <v>1116.5409999999999</v>
      </c>
      <c r="F22" s="701">
        <v>904.44232799999997</v>
      </c>
      <c r="G22" s="701">
        <v>1658.2633808</v>
      </c>
      <c r="H22" s="701">
        <v>26148</v>
      </c>
      <c r="I22" s="701">
        <v>29500.896518999885</v>
      </c>
      <c r="J22" s="701">
        <v>21752.140360238671</v>
      </c>
      <c r="K22" s="701">
        <v>22404.704571045833</v>
      </c>
      <c r="L22" s="701">
        <v>23076.84570817721</v>
      </c>
      <c r="M22" s="701">
        <v>23769.151079422529</v>
      </c>
      <c r="N22" s="701">
        <v>24482.225611805206</v>
      </c>
      <c r="O22" s="701">
        <v>25216.692380159362</v>
      </c>
      <c r="P22" s="701">
        <v>25973.193151564145</v>
      </c>
      <c r="Q22" s="701">
        <v>26752.38894611107</v>
      </c>
      <c r="R22" s="701">
        <v>27554.960614494405</v>
      </c>
      <c r="S22" s="701">
        <v>28381.609432929239</v>
      </c>
    </row>
    <row r="23" spans="1:19" s="730" customFormat="1" x14ac:dyDescent="0.3">
      <c r="A23" s="728" t="s">
        <v>2037</v>
      </c>
      <c r="B23" s="729" t="s">
        <v>2038</v>
      </c>
      <c r="C23" s="663" t="s">
        <v>2076</v>
      </c>
      <c r="D23" s="663" t="s">
        <v>2077</v>
      </c>
      <c r="E23" s="666">
        <v>147853.44600000003</v>
      </c>
      <c r="F23" s="666">
        <v>160858.32954799998</v>
      </c>
      <c r="G23" s="666">
        <v>191389.14407887988</v>
      </c>
      <c r="H23" s="666">
        <v>191109</v>
      </c>
      <c r="I23" s="666">
        <v>194462.70753699998</v>
      </c>
      <c r="J23" s="666">
        <v>212149.59030895497</v>
      </c>
      <c r="K23" s="666">
        <v>218514.07801822366</v>
      </c>
      <c r="L23" s="666">
        <v>225069.50035877037</v>
      </c>
      <c r="M23" s="666">
        <v>231821.58536953348</v>
      </c>
      <c r="N23" s="666">
        <v>238776.2329306195</v>
      </c>
      <c r="O23" s="666">
        <v>245939.51991853811</v>
      </c>
      <c r="P23" s="666">
        <v>253317.70551609423</v>
      </c>
      <c r="Q23" s="666">
        <v>260917.23668157705</v>
      </c>
      <c r="R23" s="666">
        <v>268744.75378202437</v>
      </c>
      <c r="S23" s="666">
        <v>276807.0963954851</v>
      </c>
    </row>
    <row r="24" spans="1:19" x14ac:dyDescent="0.3">
      <c r="A24" s="698" t="s">
        <v>2037</v>
      </c>
      <c r="B24" s="699" t="s">
        <v>2038</v>
      </c>
      <c r="C24" s="703" t="s">
        <v>2078</v>
      </c>
      <c r="D24" s="703" t="s">
        <v>2079</v>
      </c>
      <c r="E24" s="704">
        <v>2043.203</v>
      </c>
      <c r="F24" s="704">
        <v>3109.9217550000003</v>
      </c>
      <c r="G24" s="704">
        <v>0</v>
      </c>
      <c r="H24" s="704">
        <v>0</v>
      </c>
      <c r="I24" s="704">
        <v>0</v>
      </c>
      <c r="J24" s="704">
        <v>0</v>
      </c>
      <c r="K24" s="704">
        <v>0</v>
      </c>
      <c r="L24" s="704">
        <v>0</v>
      </c>
      <c r="M24" s="704">
        <v>0</v>
      </c>
      <c r="N24" s="704">
        <v>0</v>
      </c>
      <c r="O24" s="704">
        <v>0</v>
      </c>
      <c r="P24" s="704">
        <v>0</v>
      </c>
      <c r="Q24" s="704">
        <v>0</v>
      </c>
      <c r="R24" s="704">
        <v>0</v>
      </c>
      <c r="S24" s="704">
        <v>0</v>
      </c>
    </row>
    <row r="25" spans="1:19" s="702" customFormat="1" x14ac:dyDescent="0.3">
      <c r="A25" s="698" t="s">
        <v>2037</v>
      </c>
      <c r="B25" s="699" t="s">
        <v>2038</v>
      </c>
      <c r="C25" s="703" t="s">
        <v>2080</v>
      </c>
      <c r="D25" s="703" t="s">
        <v>2081</v>
      </c>
      <c r="E25" s="704">
        <v>0</v>
      </c>
      <c r="F25" s="704">
        <v>1301.0208660000001</v>
      </c>
      <c r="G25" s="704">
        <v>0</v>
      </c>
      <c r="H25" s="704">
        <v>0</v>
      </c>
      <c r="I25" s="704">
        <v>0</v>
      </c>
      <c r="J25" s="704">
        <v>0</v>
      </c>
      <c r="K25" s="704">
        <v>0</v>
      </c>
      <c r="L25" s="704">
        <v>0</v>
      </c>
      <c r="M25" s="704">
        <v>0</v>
      </c>
      <c r="N25" s="704">
        <v>0</v>
      </c>
      <c r="O25" s="704">
        <v>0</v>
      </c>
      <c r="P25" s="704">
        <v>0</v>
      </c>
      <c r="Q25" s="704">
        <v>0</v>
      </c>
      <c r="R25" s="704">
        <v>0</v>
      </c>
      <c r="S25" s="704">
        <v>0</v>
      </c>
    </row>
    <row r="26" spans="1:19" ht="12.75" customHeight="1" x14ac:dyDescent="0.3">
      <c r="A26" s="698" t="s">
        <v>2045</v>
      </c>
      <c r="B26" s="699" t="s">
        <v>946</v>
      </c>
      <c r="C26" s="700" t="s">
        <v>2082</v>
      </c>
      <c r="D26" s="700" t="s">
        <v>2083</v>
      </c>
      <c r="E26" s="701">
        <v>0</v>
      </c>
      <c r="F26" s="701">
        <v>0</v>
      </c>
      <c r="G26" s="701">
        <v>0</v>
      </c>
      <c r="H26" s="701">
        <v>0</v>
      </c>
      <c r="I26" s="701">
        <v>0</v>
      </c>
      <c r="J26" s="701">
        <v>0</v>
      </c>
      <c r="K26" s="701">
        <v>0</v>
      </c>
      <c r="L26" s="701">
        <v>0</v>
      </c>
      <c r="M26" s="701">
        <v>0</v>
      </c>
      <c r="N26" s="701">
        <v>0</v>
      </c>
      <c r="O26" s="701">
        <v>0</v>
      </c>
      <c r="P26" s="701">
        <v>0</v>
      </c>
      <c r="Q26" s="701">
        <v>0</v>
      </c>
      <c r="R26" s="701"/>
      <c r="S26" s="701"/>
    </row>
    <row r="27" spans="1:19" x14ac:dyDescent="0.3">
      <c r="A27" s="698" t="s">
        <v>2045</v>
      </c>
      <c r="B27" s="699" t="s">
        <v>946</v>
      </c>
      <c r="C27" s="700" t="s">
        <v>2084</v>
      </c>
      <c r="D27" s="700" t="s">
        <v>2085</v>
      </c>
      <c r="E27" s="701">
        <v>0</v>
      </c>
      <c r="F27" s="701">
        <v>1301.0208660000001</v>
      </c>
      <c r="G27" s="701">
        <v>0</v>
      </c>
      <c r="H27" s="701">
        <v>0</v>
      </c>
      <c r="I27" s="701">
        <v>0</v>
      </c>
      <c r="J27" s="701">
        <v>0</v>
      </c>
      <c r="K27" s="701">
        <v>0</v>
      </c>
      <c r="L27" s="701">
        <v>0</v>
      </c>
      <c r="M27" s="701">
        <v>0</v>
      </c>
      <c r="N27" s="701">
        <v>0</v>
      </c>
      <c r="O27" s="701">
        <v>0</v>
      </c>
      <c r="P27" s="701">
        <v>0</v>
      </c>
      <c r="Q27" s="701">
        <v>0</v>
      </c>
      <c r="R27" s="701"/>
      <c r="S27" s="701"/>
    </row>
    <row r="28" spans="1:19" s="702" customFormat="1" x14ac:dyDescent="0.3">
      <c r="A28" s="698" t="s">
        <v>2037</v>
      </c>
      <c r="B28" s="699" t="s">
        <v>2038</v>
      </c>
      <c r="C28" s="703" t="s">
        <v>2086</v>
      </c>
      <c r="D28" s="703" t="s">
        <v>2087</v>
      </c>
      <c r="E28" s="704">
        <v>0</v>
      </c>
      <c r="F28" s="704">
        <v>0</v>
      </c>
      <c r="G28" s="704">
        <v>0</v>
      </c>
      <c r="H28" s="704">
        <v>0</v>
      </c>
      <c r="I28" s="704">
        <v>0</v>
      </c>
      <c r="J28" s="704">
        <v>0</v>
      </c>
      <c r="K28" s="704">
        <v>0</v>
      </c>
      <c r="L28" s="704">
        <v>0</v>
      </c>
      <c r="M28" s="704">
        <v>0</v>
      </c>
      <c r="N28" s="704">
        <v>0</v>
      </c>
      <c r="O28" s="704">
        <v>0</v>
      </c>
      <c r="P28" s="704">
        <v>0</v>
      </c>
      <c r="Q28" s="704">
        <v>0</v>
      </c>
      <c r="R28" s="704">
        <v>0</v>
      </c>
      <c r="S28" s="704">
        <v>0</v>
      </c>
    </row>
    <row r="29" spans="1:19" x14ac:dyDescent="0.3">
      <c r="A29" s="698" t="s">
        <v>2045</v>
      </c>
      <c r="B29" s="699" t="s">
        <v>946</v>
      </c>
      <c r="C29" s="700" t="s">
        <v>2088</v>
      </c>
      <c r="D29" s="700" t="s">
        <v>2089</v>
      </c>
      <c r="E29" s="701">
        <v>0</v>
      </c>
      <c r="F29" s="701">
        <v>0</v>
      </c>
      <c r="G29" s="701">
        <v>0</v>
      </c>
      <c r="H29" s="701">
        <v>0</v>
      </c>
      <c r="I29" s="701">
        <v>0</v>
      </c>
      <c r="J29" s="701">
        <v>0</v>
      </c>
      <c r="K29" s="701">
        <v>0</v>
      </c>
      <c r="L29" s="701">
        <v>0</v>
      </c>
      <c r="M29" s="701">
        <v>0</v>
      </c>
      <c r="N29" s="701">
        <v>0</v>
      </c>
      <c r="O29" s="701">
        <v>0</v>
      </c>
      <c r="P29" s="701">
        <v>0</v>
      </c>
      <c r="Q29" s="701">
        <v>0</v>
      </c>
      <c r="R29" s="701">
        <v>0</v>
      </c>
      <c r="S29" s="701">
        <v>0</v>
      </c>
    </row>
    <row r="30" spans="1:19" x14ac:dyDescent="0.3">
      <c r="A30" s="698" t="s">
        <v>2045</v>
      </c>
      <c r="B30" s="699" t="s">
        <v>946</v>
      </c>
      <c r="C30" s="700" t="s">
        <v>2090</v>
      </c>
      <c r="D30" s="700" t="s">
        <v>2091</v>
      </c>
      <c r="E30" s="701">
        <v>0</v>
      </c>
      <c r="F30" s="701">
        <v>0</v>
      </c>
      <c r="G30" s="701">
        <v>0</v>
      </c>
      <c r="H30" s="701">
        <v>0</v>
      </c>
      <c r="I30" s="701">
        <v>0</v>
      </c>
      <c r="J30" s="701">
        <v>0</v>
      </c>
      <c r="K30" s="701">
        <v>0</v>
      </c>
      <c r="L30" s="701">
        <v>0</v>
      </c>
      <c r="M30" s="701">
        <v>0</v>
      </c>
      <c r="N30" s="701">
        <v>0</v>
      </c>
      <c r="O30" s="701">
        <v>0</v>
      </c>
      <c r="P30" s="701">
        <v>0</v>
      </c>
      <c r="Q30" s="701">
        <v>0</v>
      </c>
      <c r="R30" s="701">
        <v>0</v>
      </c>
      <c r="S30" s="701">
        <v>0</v>
      </c>
    </row>
    <row r="31" spans="1:19" x14ac:dyDescent="0.3">
      <c r="A31" s="698" t="s">
        <v>2045</v>
      </c>
      <c r="B31" s="699" t="s">
        <v>946</v>
      </c>
      <c r="C31" s="700" t="s">
        <v>2092</v>
      </c>
      <c r="D31" s="700" t="s">
        <v>2093</v>
      </c>
      <c r="E31" s="701">
        <v>2043.203</v>
      </c>
      <c r="F31" s="701">
        <v>1808.900889</v>
      </c>
      <c r="G31" s="701">
        <v>0</v>
      </c>
      <c r="H31" s="701">
        <v>0</v>
      </c>
      <c r="I31" s="701">
        <v>0</v>
      </c>
      <c r="J31" s="701">
        <v>0</v>
      </c>
      <c r="K31" s="701">
        <v>0</v>
      </c>
      <c r="L31" s="701">
        <v>0</v>
      </c>
      <c r="M31" s="701">
        <v>0</v>
      </c>
      <c r="N31" s="701">
        <v>0</v>
      </c>
      <c r="O31" s="701">
        <v>0</v>
      </c>
      <c r="P31" s="701">
        <v>0</v>
      </c>
      <c r="Q31" s="701">
        <v>0</v>
      </c>
      <c r="R31" s="701">
        <v>0</v>
      </c>
      <c r="S31" s="701">
        <v>0</v>
      </c>
    </row>
    <row r="32" spans="1:19" x14ac:dyDescent="0.3">
      <c r="A32" s="698" t="s">
        <v>2037</v>
      </c>
      <c r="B32" s="699" t="s">
        <v>2038</v>
      </c>
      <c r="C32" s="703" t="s">
        <v>2094</v>
      </c>
      <c r="D32" s="703" t="s">
        <v>2095</v>
      </c>
      <c r="E32" s="704">
        <v>145810.24300000002</v>
      </c>
      <c r="F32" s="704">
        <v>157748.40779299999</v>
      </c>
      <c r="G32" s="704">
        <v>191389.14407887988</v>
      </c>
      <c r="H32" s="704">
        <v>191109</v>
      </c>
      <c r="I32" s="704">
        <v>194462.70753699998</v>
      </c>
      <c r="J32" s="704">
        <v>212149.59030895497</v>
      </c>
      <c r="K32" s="704">
        <v>218514.07801822366</v>
      </c>
      <c r="L32" s="704">
        <v>225069.50035877037</v>
      </c>
      <c r="M32" s="704">
        <v>231821.58536953348</v>
      </c>
      <c r="N32" s="704">
        <v>238776.2329306195</v>
      </c>
      <c r="O32" s="704">
        <v>245939.51991853811</v>
      </c>
      <c r="P32" s="704">
        <v>253317.70551609423</v>
      </c>
      <c r="Q32" s="704">
        <v>260917.23668157705</v>
      </c>
      <c r="R32" s="704">
        <v>268744.75378202437</v>
      </c>
      <c r="S32" s="704">
        <v>276807.0963954851</v>
      </c>
    </row>
    <row r="33" spans="1:19" s="702" customFormat="1" x14ac:dyDescent="0.3">
      <c r="A33" s="698" t="s">
        <v>2037</v>
      </c>
      <c r="B33" s="699" t="s">
        <v>2038</v>
      </c>
      <c r="C33" s="703" t="s">
        <v>2096</v>
      </c>
      <c r="D33" s="703" t="s">
        <v>2081</v>
      </c>
      <c r="E33" s="704">
        <v>144704.58199999999</v>
      </c>
      <c r="F33" s="704">
        <v>157748.40779299999</v>
      </c>
      <c r="G33" s="704">
        <v>190457.11362610987</v>
      </c>
      <c r="H33" s="704">
        <v>189532</v>
      </c>
      <c r="I33" s="704">
        <v>194462.70753699998</v>
      </c>
      <c r="J33" s="704">
        <v>212149.59030895497</v>
      </c>
      <c r="K33" s="704">
        <v>218514.07801822366</v>
      </c>
      <c r="L33" s="704">
        <v>225069.50035877037</v>
      </c>
      <c r="M33" s="704">
        <v>231821.58536953348</v>
      </c>
      <c r="N33" s="704">
        <v>238776.2329306195</v>
      </c>
      <c r="O33" s="704">
        <v>245939.51991853811</v>
      </c>
      <c r="P33" s="704">
        <v>253317.70551609423</v>
      </c>
      <c r="Q33" s="704">
        <v>260917.23668157705</v>
      </c>
      <c r="R33" s="704">
        <v>268744.75378202437</v>
      </c>
      <c r="S33" s="704">
        <v>276807.0963954851</v>
      </c>
    </row>
    <row r="34" spans="1:19" s="702" customFormat="1" x14ac:dyDescent="0.3">
      <c r="A34" s="698" t="s">
        <v>2037</v>
      </c>
      <c r="B34" s="699" t="s">
        <v>2038</v>
      </c>
      <c r="C34" s="703" t="s">
        <v>2097</v>
      </c>
      <c r="D34" s="703" t="s">
        <v>2098</v>
      </c>
      <c r="E34" s="704">
        <v>140349.372</v>
      </c>
      <c r="F34" s="704">
        <v>145732.228011</v>
      </c>
      <c r="G34" s="704">
        <v>172556.01585900001</v>
      </c>
      <c r="H34" s="704">
        <v>164068</v>
      </c>
      <c r="I34" s="704">
        <v>187275.34232499998</v>
      </c>
      <c r="J34" s="704">
        <v>199378.04017999998</v>
      </c>
      <c r="K34" s="704">
        <v>205359.38138540002</v>
      </c>
      <c r="L34" s="704">
        <v>211520.16282696201</v>
      </c>
      <c r="M34" s="704">
        <v>217865.76771177087</v>
      </c>
      <c r="N34" s="704">
        <v>224401.74074312401</v>
      </c>
      <c r="O34" s="704">
        <v>231133.79296541776</v>
      </c>
      <c r="P34" s="704">
        <v>238067.80675438026</v>
      </c>
      <c r="Q34" s="704">
        <v>245209.84095701168</v>
      </c>
      <c r="R34" s="704">
        <v>252566.13618572205</v>
      </c>
      <c r="S34" s="704">
        <v>260143.12027129371</v>
      </c>
    </row>
    <row r="35" spans="1:19" x14ac:dyDescent="0.3">
      <c r="A35" s="698" t="s">
        <v>2045</v>
      </c>
      <c r="B35" s="699" t="s">
        <v>946</v>
      </c>
      <c r="C35" s="700" t="s">
        <v>2099</v>
      </c>
      <c r="D35" s="700" t="s">
        <v>2100</v>
      </c>
      <c r="E35" s="701">
        <v>126466.371</v>
      </c>
      <c r="F35" s="701">
        <v>131777.19046499999</v>
      </c>
      <c r="G35" s="701">
        <v>144675.15110000002</v>
      </c>
      <c r="H35" s="701">
        <v>155063</v>
      </c>
      <c r="I35" s="701">
        <v>168370.52356199999</v>
      </c>
      <c r="J35" s="701">
        <v>179387</v>
      </c>
      <c r="K35" s="701">
        <v>184768.61000000002</v>
      </c>
      <c r="L35" s="701">
        <v>190311.66830000002</v>
      </c>
      <c r="M35" s="701">
        <v>196021.01834900002</v>
      </c>
      <c r="N35" s="701">
        <v>201901.64889947002</v>
      </c>
      <c r="O35" s="701">
        <v>207958.69836645413</v>
      </c>
      <c r="P35" s="701">
        <v>214197.45931744776</v>
      </c>
      <c r="Q35" s="701">
        <v>220623.3830969712</v>
      </c>
      <c r="R35" s="701">
        <v>227242.08458988034</v>
      </c>
      <c r="S35" s="701">
        <v>234059.34712757677</v>
      </c>
    </row>
    <row r="36" spans="1:19" x14ac:dyDescent="0.3">
      <c r="A36" s="698" t="s">
        <v>2045</v>
      </c>
      <c r="B36" s="699" t="s">
        <v>946</v>
      </c>
      <c r="C36" s="700" t="s">
        <v>2101</v>
      </c>
      <c r="D36" s="700" t="s">
        <v>2102</v>
      </c>
      <c r="E36" s="701">
        <v>11564.476000000001</v>
      </c>
      <c r="F36" s="701">
        <v>11440.320914</v>
      </c>
      <c r="G36" s="701">
        <v>13435.108820000001</v>
      </c>
      <c r="H36" s="701">
        <v>6238</v>
      </c>
      <c r="I36" s="701">
        <v>5999.2408910000004</v>
      </c>
      <c r="J36" s="701">
        <v>5999.2408910000004</v>
      </c>
      <c r="K36" s="701">
        <v>6179.2181177300008</v>
      </c>
      <c r="L36" s="701">
        <v>6364.5946612619009</v>
      </c>
      <c r="M36" s="701">
        <v>6555.5325010997585</v>
      </c>
      <c r="N36" s="701">
        <v>6752.1984761327512</v>
      </c>
      <c r="O36" s="701">
        <v>6954.7644304167343</v>
      </c>
      <c r="P36" s="701">
        <v>7163.4073633292364</v>
      </c>
      <c r="Q36" s="701">
        <v>7378.3095842291141</v>
      </c>
      <c r="R36" s="701">
        <v>7599.658871755988</v>
      </c>
      <c r="S36" s="701">
        <v>7827.6486379086682</v>
      </c>
    </row>
    <row r="37" spans="1:19" x14ac:dyDescent="0.3">
      <c r="A37" s="698" t="s">
        <v>2045</v>
      </c>
      <c r="B37" s="699" t="s">
        <v>946</v>
      </c>
      <c r="C37" s="700" t="s">
        <v>2103</v>
      </c>
      <c r="D37" s="700" t="s">
        <v>2104</v>
      </c>
      <c r="E37" s="701">
        <v>2318.5250000000001</v>
      </c>
      <c r="F37" s="701">
        <v>2514.7166320000001</v>
      </c>
      <c r="G37" s="701">
        <v>2591.680073</v>
      </c>
      <c r="H37" s="701">
        <v>2767</v>
      </c>
      <c r="I37" s="701">
        <v>2876.730086</v>
      </c>
      <c r="J37" s="701">
        <v>2991.799289</v>
      </c>
      <c r="K37" s="701">
        <v>3081.55326767</v>
      </c>
      <c r="L37" s="701">
        <v>3173.9998657001001</v>
      </c>
      <c r="M37" s="701">
        <v>3269.2198616711034</v>
      </c>
      <c r="N37" s="701">
        <v>3367.2964575212368</v>
      </c>
      <c r="O37" s="701">
        <v>3468.3153512468739</v>
      </c>
      <c r="P37" s="701">
        <v>3572.3648117842804</v>
      </c>
      <c r="Q37" s="701">
        <v>3679.5357561378087</v>
      </c>
      <c r="R37" s="701">
        <v>3789.9218288219431</v>
      </c>
      <c r="S37" s="701">
        <v>3903.6194836866016</v>
      </c>
    </row>
    <row r="38" spans="1:19" x14ac:dyDescent="0.3">
      <c r="A38" s="698" t="s">
        <v>2045</v>
      </c>
      <c r="B38" s="699" t="s">
        <v>946</v>
      </c>
      <c r="C38" s="700" t="s">
        <v>2105</v>
      </c>
      <c r="D38" s="700" t="s">
        <v>2106</v>
      </c>
      <c r="E38" s="701">
        <v>0</v>
      </c>
      <c r="F38" s="701">
        <v>0</v>
      </c>
      <c r="G38" s="701">
        <v>0</v>
      </c>
      <c r="H38" s="701"/>
      <c r="I38" s="701">
        <v>0</v>
      </c>
      <c r="J38" s="701">
        <v>0</v>
      </c>
      <c r="K38" s="701">
        <v>0</v>
      </c>
      <c r="L38" s="701">
        <v>0</v>
      </c>
      <c r="M38" s="701">
        <v>0</v>
      </c>
      <c r="N38" s="701">
        <v>0</v>
      </c>
      <c r="O38" s="701">
        <v>0</v>
      </c>
      <c r="P38" s="701">
        <v>0</v>
      </c>
      <c r="Q38" s="701">
        <v>0</v>
      </c>
      <c r="R38" s="701">
        <v>0</v>
      </c>
      <c r="S38" s="701">
        <v>0</v>
      </c>
    </row>
    <row r="39" spans="1:19" x14ac:dyDescent="0.3">
      <c r="A39" s="698" t="s">
        <v>2045</v>
      </c>
      <c r="B39" s="699" t="s">
        <v>946</v>
      </c>
      <c r="C39" s="700" t="s">
        <v>2107</v>
      </c>
      <c r="D39" s="700" t="s">
        <v>2108</v>
      </c>
      <c r="E39" s="701">
        <v>0</v>
      </c>
      <c r="F39" s="701">
        <v>0</v>
      </c>
      <c r="G39" s="701">
        <v>11854.075865999999</v>
      </c>
      <c r="H39" s="701"/>
      <c r="I39" s="701">
        <v>10028.847786</v>
      </c>
      <c r="J39" s="701">
        <v>11000</v>
      </c>
      <c r="K39" s="701">
        <v>11330</v>
      </c>
      <c r="L39" s="701">
        <v>11669.9</v>
      </c>
      <c r="M39" s="701">
        <v>12019.996999999999</v>
      </c>
      <c r="N39" s="701">
        <v>12380.59691</v>
      </c>
      <c r="O39" s="701">
        <v>12752.0148173</v>
      </c>
      <c r="P39" s="701">
        <v>13134.575261819</v>
      </c>
      <c r="Q39" s="701">
        <v>13528.61251967357</v>
      </c>
      <c r="R39" s="701">
        <v>13934.470895263777</v>
      </c>
      <c r="S39" s="701">
        <v>14352.505022121692</v>
      </c>
    </row>
    <row r="40" spans="1:19" x14ac:dyDescent="0.3">
      <c r="A40" s="698" t="s">
        <v>2045</v>
      </c>
      <c r="B40" s="699" t="s">
        <v>946</v>
      </c>
      <c r="C40" s="700" t="s">
        <v>2109</v>
      </c>
      <c r="D40" s="700" t="s">
        <v>2110</v>
      </c>
      <c r="E40" s="701">
        <v>0</v>
      </c>
      <c r="F40" s="701">
        <v>0</v>
      </c>
      <c r="G40" s="701">
        <v>0</v>
      </c>
      <c r="H40" s="701"/>
      <c r="I40" s="701">
        <v>0</v>
      </c>
      <c r="J40" s="701">
        <v>0</v>
      </c>
      <c r="K40" s="701">
        <v>0</v>
      </c>
      <c r="L40" s="701">
        <v>0</v>
      </c>
      <c r="M40" s="701">
        <v>0</v>
      </c>
      <c r="N40" s="701">
        <v>0</v>
      </c>
      <c r="O40" s="701">
        <v>0</v>
      </c>
      <c r="P40" s="701">
        <v>0</v>
      </c>
      <c r="Q40" s="701">
        <v>0</v>
      </c>
      <c r="R40" s="701">
        <v>0</v>
      </c>
      <c r="S40" s="701">
        <v>0</v>
      </c>
    </row>
    <row r="41" spans="1:19" x14ac:dyDescent="0.3">
      <c r="A41" s="698" t="s">
        <v>2045</v>
      </c>
      <c r="B41" s="699" t="s">
        <v>946</v>
      </c>
      <c r="C41" s="700" t="s">
        <v>2111</v>
      </c>
      <c r="D41" s="700" t="s">
        <v>2085</v>
      </c>
      <c r="E41" s="701">
        <v>4355.21</v>
      </c>
      <c r="F41" s="701">
        <v>12016.179781999999</v>
      </c>
      <c r="G41" s="701">
        <v>17901.097767109877</v>
      </c>
      <c r="H41" s="701">
        <v>25464</v>
      </c>
      <c r="I41" s="701">
        <v>7187.3652119999997</v>
      </c>
      <c r="J41" s="701">
        <v>12771.550128954999</v>
      </c>
      <c r="K41" s="701">
        <v>13154.69663282365</v>
      </c>
      <c r="L41" s="701">
        <v>13549.33753180836</v>
      </c>
      <c r="M41" s="701">
        <v>13955.817657762611</v>
      </c>
      <c r="N41" s="701">
        <v>14374.492187495489</v>
      </c>
      <c r="O41" s="701">
        <v>14805.726953120355</v>
      </c>
      <c r="P41" s="701">
        <v>15249.898761713966</v>
      </c>
      <c r="Q41" s="701">
        <v>15707.395724565386</v>
      </c>
      <c r="R41" s="701">
        <v>16178.617596302347</v>
      </c>
      <c r="S41" s="701">
        <v>16663.976124191417</v>
      </c>
    </row>
    <row r="42" spans="1:19" x14ac:dyDescent="0.3">
      <c r="A42" s="698" t="s">
        <v>2045</v>
      </c>
      <c r="B42" s="699" t="s">
        <v>946</v>
      </c>
      <c r="C42" s="700" t="s">
        <v>2112</v>
      </c>
      <c r="D42" s="700" t="s">
        <v>2087</v>
      </c>
      <c r="E42" s="701">
        <v>0</v>
      </c>
      <c r="F42" s="701">
        <v>0</v>
      </c>
      <c r="G42" s="701">
        <v>0</v>
      </c>
      <c r="H42" s="701"/>
      <c r="I42" s="701">
        <v>0</v>
      </c>
      <c r="J42" s="701">
        <v>0</v>
      </c>
      <c r="K42" s="701">
        <v>0</v>
      </c>
      <c r="L42" s="701">
        <v>0</v>
      </c>
      <c r="M42" s="701">
        <v>0</v>
      </c>
      <c r="N42" s="701">
        <v>0</v>
      </c>
      <c r="O42" s="701">
        <v>0</v>
      </c>
      <c r="P42" s="701">
        <v>0</v>
      </c>
      <c r="Q42" s="701">
        <v>0</v>
      </c>
      <c r="R42" s="701">
        <v>0</v>
      </c>
      <c r="S42" s="701">
        <v>0</v>
      </c>
    </row>
    <row r="43" spans="1:19" x14ac:dyDescent="0.3">
      <c r="A43" s="698" t="s">
        <v>2045</v>
      </c>
      <c r="B43" s="699" t="s">
        <v>946</v>
      </c>
      <c r="C43" s="700" t="s">
        <v>2113</v>
      </c>
      <c r="D43" s="700" t="s">
        <v>2114</v>
      </c>
      <c r="E43" s="701">
        <v>792.98</v>
      </c>
      <c r="F43" s="701">
        <v>0</v>
      </c>
      <c r="G43" s="701">
        <v>932.0304527699999</v>
      </c>
      <c r="H43" s="701">
        <v>1577</v>
      </c>
      <c r="I43" s="701">
        <v>0</v>
      </c>
      <c r="J43" s="701">
        <v>0</v>
      </c>
      <c r="K43" s="701">
        <v>0</v>
      </c>
      <c r="L43" s="701">
        <v>0</v>
      </c>
      <c r="M43" s="701">
        <v>0</v>
      </c>
      <c r="N43" s="701">
        <v>0</v>
      </c>
      <c r="O43" s="701">
        <v>0</v>
      </c>
      <c r="P43" s="701">
        <v>0</v>
      </c>
      <c r="Q43" s="701">
        <v>0</v>
      </c>
      <c r="R43" s="701">
        <v>0</v>
      </c>
      <c r="S43" s="701">
        <v>0</v>
      </c>
    </row>
    <row r="44" spans="1:19" x14ac:dyDescent="0.3">
      <c r="A44" s="698" t="s">
        <v>2045</v>
      </c>
      <c r="B44" s="699" t="s">
        <v>946</v>
      </c>
      <c r="C44" s="700" t="s">
        <v>2115</v>
      </c>
      <c r="D44" s="700" t="s">
        <v>2116</v>
      </c>
      <c r="E44" s="701">
        <v>312.68099999999998</v>
      </c>
      <c r="F44" s="701">
        <v>0</v>
      </c>
      <c r="G44" s="701">
        <v>0</v>
      </c>
      <c r="H44" s="701"/>
      <c r="I44" s="701">
        <v>0</v>
      </c>
      <c r="J44" s="701">
        <v>0</v>
      </c>
      <c r="K44" s="701">
        <v>0</v>
      </c>
      <c r="L44" s="701">
        <v>0</v>
      </c>
      <c r="M44" s="701">
        <v>0</v>
      </c>
      <c r="N44" s="701">
        <v>0</v>
      </c>
      <c r="O44" s="701">
        <v>0</v>
      </c>
      <c r="P44" s="701">
        <v>0</v>
      </c>
      <c r="Q44" s="701">
        <v>0</v>
      </c>
      <c r="R44" s="701">
        <v>0</v>
      </c>
      <c r="S44" s="701">
        <v>0</v>
      </c>
    </row>
    <row r="45" spans="1:19" x14ac:dyDescent="0.3">
      <c r="A45" s="698" t="s">
        <v>2045</v>
      </c>
      <c r="B45" s="699" t="s">
        <v>946</v>
      </c>
      <c r="C45" s="700" t="s">
        <v>2117</v>
      </c>
      <c r="D45" s="700" t="s">
        <v>2118</v>
      </c>
      <c r="E45" s="701">
        <v>0</v>
      </c>
      <c r="F45" s="701">
        <v>0</v>
      </c>
      <c r="G45" s="701">
        <v>0</v>
      </c>
      <c r="H45" s="701"/>
      <c r="I45" s="701">
        <v>0</v>
      </c>
      <c r="J45" s="701">
        <v>0</v>
      </c>
      <c r="K45" s="701">
        <v>0</v>
      </c>
      <c r="L45" s="701">
        <v>0</v>
      </c>
      <c r="M45" s="701">
        <v>0</v>
      </c>
      <c r="N45" s="701">
        <v>0</v>
      </c>
      <c r="O45" s="701">
        <v>0</v>
      </c>
      <c r="P45" s="701">
        <v>0</v>
      </c>
      <c r="Q45" s="701">
        <v>0</v>
      </c>
      <c r="R45" s="701">
        <v>0</v>
      </c>
      <c r="S45" s="701">
        <v>0</v>
      </c>
    </row>
    <row r="46" spans="1:19" x14ac:dyDescent="0.3">
      <c r="A46" s="698" t="s">
        <v>2045</v>
      </c>
      <c r="B46" s="699" t="s">
        <v>946</v>
      </c>
      <c r="C46" s="700" t="s">
        <v>2119</v>
      </c>
      <c r="D46" s="700" t="s">
        <v>2120</v>
      </c>
      <c r="E46" s="701">
        <v>0</v>
      </c>
      <c r="F46" s="701">
        <v>0</v>
      </c>
      <c r="G46" s="701">
        <v>0</v>
      </c>
      <c r="H46" s="701"/>
      <c r="I46" s="701">
        <v>0</v>
      </c>
      <c r="J46" s="701">
        <v>0</v>
      </c>
      <c r="K46" s="701">
        <v>0</v>
      </c>
      <c r="L46" s="701">
        <v>0</v>
      </c>
      <c r="M46" s="701">
        <v>0</v>
      </c>
      <c r="N46" s="701">
        <v>0</v>
      </c>
      <c r="O46" s="701">
        <v>0</v>
      </c>
      <c r="P46" s="701">
        <v>0</v>
      </c>
      <c r="Q46" s="701">
        <v>0</v>
      </c>
      <c r="R46" s="701">
        <v>0</v>
      </c>
      <c r="S46" s="701">
        <v>0</v>
      </c>
    </row>
    <row r="47" spans="1:19" s="725" customFormat="1" x14ac:dyDescent="0.3">
      <c r="A47" s="731" t="s">
        <v>2037</v>
      </c>
      <c r="B47" s="732" t="s">
        <v>2038</v>
      </c>
      <c r="C47" s="663" t="s">
        <v>2121</v>
      </c>
      <c r="D47" s="663" t="s">
        <v>2122</v>
      </c>
      <c r="E47" s="666">
        <v>299961.95500000002</v>
      </c>
      <c r="F47" s="666">
        <v>318283.75582800002</v>
      </c>
      <c r="G47" s="666">
        <v>353754.22195248998</v>
      </c>
      <c r="H47" s="666">
        <v>324046</v>
      </c>
      <c r="I47" s="666">
        <v>408717.89311307005</v>
      </c>
      <c r="J47" s="666">
        <v>357160</v>
      </c>
      <c r="K47" s="666">
        <v>369489.25999999995</v>
      </c>
      <c r="L47" s="666">
        <v>381500.82779999997</v>
      </c>
      <c r="M47" s="666">
        <v>393201.20517725957</v>
      </c>
      <c r="N47" s="666">
        <v>405144.61133257742</v>
      </c>
      <c r="O47" s="666">
        <v>417445.2896725547</v>
      </c>
      <c r="P47" s="666">
        <v>430327.98836273135</v>
      </c>
      <c r="Q47" s="666">
        <v>444106.77801361325</v>
      </c>
      <c r="R47" s="666">
        <v>459262.06135402172</v>
      </c>
      <c r="S47" s="666">
        <v>473106.58319464239</v>
      </c>
    </row>
    <row r="48" spans="1:19" s="725" customFormat="1" x14ac:dyDescent="0.3">
      <c r="A48" s="731" t="s">
        <v>2037</v>
      </c>
      <c r="B48" s="732" t="s">
        <v>2038</v>
      </c>
      <c r="C48" s="663" t="s">
        <v>2123</v>
      </c>
      <c r="D48" s="663" t="s">
        <v>2124</v>
      </c>
      <c r="E48" s="666">
        <v>257981.66099999999</v>
      </c>
      <c r="F48" s="666">
        <v>282096.11716600001</v>
      </c>
      <c r="G48" s="666">
        <v>334169.99137678999</v>
      </c>
      <c r="H48" s="666">
        <v>319980</v>
      </c>
      <c r="I48" s="666">
        <v>392731.73847893003</v>
      </c>
      <c r="J48" s="666">
        <v>350006</v>
      </c>
      <c r="K48" s="666">
        <v>363212.49999999994</v>
      </c>
      <c r="L48" s="666">
        <v>372723.45499999996</v>
      </c>
      <c r="M48" s="666">
        <v>382705.17864999996</v>
      </c>
      <c r="N48" s="666">
        <v>393037.26400950004</v>
      </c>
      <c r="O48" s="666">
        <v>403709.59192978498</v>
      </c>
      <c r="P48" s="666">
        <v>414730.33968767861</v>
      </c>
      <c r="Q48" s="666">
        <v>426153.9898783089</v>
      </c>
      <c r="R48" s="666">
        <v>438094.33957465825</v>
      </c>
      <c r="S48" s="666">
        <v>450758.50976189796</v>
      </c>
    </row>
    <row r="49" spans="1:19" s="725" customFormat="1" x14ac:dyDescent="0.3">
      <c r="A49" s="731" t="s">
        <v>2037</v>
      </c>
      <c r="B49" s="732" t="s">
        <v>2038</v>
      </c>
      <c r="C49" s="663" t="s">
        <v>2125</v>
      </c>
      <c r="D49" s="663" t="s">
        <v>2126</v>
      </c>
      <c r="E49" s="666">
        <v>75782.722999999998</v>
      </c>
      <c r="F49" s="666">
        <v>78829.30113800001</v>
      </c>
      <c r="G49" s="666">
        <v>79934.438266700003</v>
      </c>
      <c r="H49" s="666">
        <v>76698</v>
      </c>
      <c r="I49" s="666">
        <v>108192.02991642999</v>
      </c>
      <c r="J49" s="666">
        <v>84624</v>
      </c>
      <c r="K49" s="666">
        <v>87150.36</v>
      </c>
      <c r="L49" s="666">
        <v>89764.87079999999</v>
      </c>
      <c r="M49" s="666">
        <v>92457.816923999999</v>
      </c>
      <c r="N49" s="666">
        <v>95231.551431720014</v>
      </c>
      <c r="O49" s="666">
        <v>98088.497974671627</v>
      </c>
      <c r="P49" s="666">
        <v>101031.15291391176</v>
      </c>
      <c r="Q49" s="666">
        <v>104062.08750132912</v>
      </c>
      <c r="R49" s="666">
        <v>107183.950126369</v>
      </c>
      <c r="S49" s="666">
        <v>110399.46863016007</v>
      </c>
    </row>
    <row r="50" spans="1:19" x14ac:dyDescent="0.3">
      <c r="A50" s="698" t="s">
        <v>2045</v>
      </c>
      <c r="B50" s="699" t="s">
        <v>2127</v>
      </c>
      <c r="C50" s="700" t="s">
        <v>2128</v>
      </c>
      <c r="D50" s="700" t="s">
        <v>2129</v>
      </c>
      <c r="E50" s="701">
        <v>29026.309000000001</v>
      </c>
      <c r="F50" s="701">
        <v>31428.355007999999</v>
      </c>
      <c r="G50" s="701">
        <v>32896.194550669999</v>
      </c>
      <c r="H50" s="701">
        <v>27635</v>
      </c>
      <c r="I50" s="701">
        <v>23929.484388000001</v>
      </c>
      <c r="J50" s="701">
        <f>24747+12</f>
        <v>24759</v>
      </c>
      <c r="K50" s="701">
        <v>25489.41</v>
      </c>
      <c r="L50" s="701">
        <v>26254.0923</v>
      </c>
      <c r="M50" s="701">
        <v>27041.715069000002</v>
      </c>
      <c r="N50" s="701">
        <v>27852.966521070004</v>
      </c>
      <c r="O50" s="701">
        <v>28688.555516702105</v>
      </c>
      <c r="P50" s="701">
        <v>29549.21218220317</v>
      </c>
      <c r="Q50" s="701">
        <v>30435.688547669266</v>
      </c>
      <c r="R50" s="701">
        <v>31348.759204099344</v>
      </c>
      <c r="S50" s="701">
        <v>32289.221980222326</v>
      </c>
    </row>
    <row r="51" spans="1:19" x14ac:dyDescent="0.3">
      <c r="A51" s="698" t="s">
        <v>2045</v>
      </c>
      <c r="B51" s="699" t="s">
        <v>2127</v>
      </c>
      <c r="C51" s="700" t="s">
        <v>2130</v>
      </c>
      <c r="D51" s="700" t="s">
        <v>2131</v>
      </c>
      <c r="E51" s="701">
        <v>7611.9369999999999</v>
      </c>
      <c r="F51" s="701">
        <v>6786.0466210000004</v>
      </c>
      <c r="G51" s="701">
        <v>7738.1080681399999</v>
      </c>
      <c r="H51" s="701">
        <v>5548</v>
      </c>
      <c r="I51" s="701">
        <v>15506.475274</v>
      </c>
      <c r="J51" s="701">
        <v>9763</v>
      </c>
      <c r="K51" s="701">
        <v>10055.89</v>
      </c>
      <c r="L51" s="701">
        <v>10357.566699999999</v>
      </c>
      <c r="M51" s="701">
        <v>10668.293701000001</v>
      </c>
      <c r="N51" s="701">
        <v>10988.342512030002</v>
      </c>
      <c r="O51" s="701">
        <v>11317.992787390902</v>
      </c>
      <c r="P51" s="701">
        <v>11657.532571012629</v>
      </c>
      <c r="Q51" s="701">
        <v>12007.258548143009</v>
      </c>
      <c r="R51" s="701">
        <v>12367.476304587299</v>
      </c>
      <c r="S51" s="701">
        <v>12738.500593724919</v>
      </c>
    </row>
    <row r="52" spans="1:19" x14ac:dyDescent="0.3">
      <c r="A52" s="698" t="s">
        <v>2037</v>
      </c>
      <c r="B52" s="699" t="s">
        <v>2038</v>
      </c>
      <c r="C52" s="703" t="s">
        <v>2132</v>
      </c>
      <c r="D52" s="703" t="s">
        <v>2133</v>
      </c>
      <c r="E52" s="704">
        <v>37479.087</v>
      </c>
      <c r="F52" s="704">
        <v>39929.734617000002</v>
      </c>
      <c r="G52" s="704">
        <v>39025.456691890002</v>
      </c>
      <c r="H52" s="704">
        <v>43515</v>
      </c>
      <c r="I52" s="704">
        <v>54559.608307169998</v>
      </c>
      <c r="J52" s="704">
        <v>34943</v>
      </c>
      <c r="K52" s="704">
        <v>35991.289999999994</v>
      </c>
      <c r="L52" s="704">
        <v>37071.028699999995</v>
      </c>
      <c r="M52" s="704">
        <v>38183.159561</v>
      </c>
      <c r="N52" s="704">
        <v>39328.654347830001</v>
      </c>
      <c r="O52" s="704">
        <v>40508.513978264906</v>
      </c>
      <c r="P52" s="704">
        <v>41723.76939761285</v>
      </c>
      <c r="Q52" s="704">
        <v>42975.482479541242</v>
      </c>
      <c r="R52" s="704">
        <v>44264.746953927475</v>
      </c>
      <c r="S52" s="704">
        <v>45592.689362545301</v>
      </c>
    </row>
    <row r="53" spans="1:19" x14ac:dyDescent="0.3">
      <c r="A53" s="698" t="s">
        <v>2045</v>
      </c>
      <c r="B53" s="699" t="s">
        <v>2127</v>
      </c>
      <c r="C53" s="700" t="s">
        <v>2134</v>
      </c>
      <c r="D53" s="700" t="s">
        <v>2135</v>
      </c>
      <c r="E53" s="701">
        <v>10546.245999999999</v>
      </c>
      <c r="F53" s="701">
        <v>12695.564394999999</v>
      </c>
      <c r="G53" s="701">
        <v>9584.601251</v>
      </c>
      <c r="H53" s="701">
        <v>8890</v>
      </c>
      <c r="I53" s="701">
        <v>9918.6411580000004</v>
      </c>
      <c r="J53" s="701">
        <v>10256</v>
      </c>
      <c r="K53" s="701">
        <v>10563.68</v>
      </c>
      <c r="L53" s="701">
        <v>10880.590400000001</v>
      </c>
      <c r="M53" s="701">
        <v>11207.008112000001</v>
      </c>
      <c r="N53" s="701">
        <v>11543.218355360003</v>
      </c>
      <c r="O53" s="701">
        <v>11889.514906020802</v>
      </c>
      <c r="P53" s="701">
        <v>12246.200353201426</v>
      </c>
      <c r="Q53" s="701">
        <v>12613.586363797469</v>
      </c>
      <c r="R53" s="701">
        <v>12991.993954711394</v>
      </c>
      <c r="S53" s="701">
        <v>13381.753773352735</v>
      </c>
    </row>
    <row r="54" spans="1:19" x14ac:dyDescent="0.3">
      <c r="A54" s="698" t="s">
        <v>2045</v>
      </c>
      <c r="B54" s="699" t="s">
        <v>2127</v>
      </c>
      <c r="C54" s="700" t="s">
        <v>2136</v>
      </c>
      <c r="D54" s="700" t="s">
        <v>2137</v>
      </c>
      <c r="E54" s="701">
        <v>3064.5650000000001</v>
      </c>
      <c r="F54" s="701">
        <v>3431.814046</v>
      </c>
      <c r="G54" s="701">
        <v>171.43938900000001</v>
      </c>
      <c r="H54" s="701">
        <v>4290</v>
      </c>
      <c r="I54" s="701">
        <v>9092.1767235499992</v>
      </c>
      <c r="J54" s="701">
        <v>11832</v>
      </c>
      <c r="K54" s="701">
        <v>12186.960000000001</v>
      </c>
      <c r="L54" s="701">
        <v>12552.568800000001</v>
      </c>
      <c r="M54" s="701">
        <v>12929.145864000002</v>
      </c>
      <c r="N54" s="701">
        <v>13317.020239920002</v>
      </c>
      <c r="O54" s="701">
        <v>13716.530847117603</v>
      </c>
      <c r="P54" s="701">
        <v>14128.026772531131</v>
      </c>
      <c r="Q54" s="701">
        <v>14551.867575707065</v>
      </c>
      <c r="R54" s="701">
        <v>14988.423602978277</v>
      </c>
      <c r="S54" s="701">
        <v>15438.076311067625</v>
      </c>
    </row>
    <row r="55" spans="1:19" x14ac:dyDescent="0.3">
      <c r="A55" s="698" t="s">
        <v>2045</v>
      </c>
      <c r="B55" s="699" t="s">
        <v>2127</v>
      </c>
      <c r="C55" s="700" t="s">
        <v>2138</v>
      </c>
      <c r="D55" s="700" t="s">
        <v>2139</v>
      </c>
      <c r="E55" s="701">
        <v>0</v>
      </c>
      <c r="F55" s="701">
        <v>0</v>
      </c>
      <c r="G55" s="701">
        <v>0</v>
      </c>
      <c r="H55" s="701"/>
      <c r="I55" s="701">
        <v>0</v>
      </c>
      <c r="J55" s="701">
        <v>0</v>
      </c>
      <c r="K55" s="701">
        <v>0</v>
      </c>
      <c r="L55" s="701">
        <v>0</v>
      </c>
      <c r="M55" s="701">
        <v>0</v>
      </c>
      <c r="N55" s="701">
        <v>0</v>
      </c>
      <c r="O55" s="701">
        <v>0</v>
      </c>
      <c r="P55" s="701">
        <v>0</v>
      </c>
      <c r="Q55" s="701">
        <v>0</v>
      </c>
      <c r="R55" s="701">
        <v>0</v>
      </c>
      <c r="S55" s="701">
        <v>0</v>
      </c>
    </row>
    <row r="56" spans="1:19" x14ac:dyDescent="0.3">
      <c r="A56" s="698" t="s">
        <v>2045</v>
      </c>
      <c r="B56" s="699" t="s">
        <v>2127</v>
      </c>
      <c r="C56" s="700" t="s">
        <v>2140</v>
      </c>
      <c r="D56" s="700" t="s">
        <v>2141</v>
      </c>
      <c r="E56" s="701">
        <v>5011.0069999999996</v>
      </c>
      <c r="F56" s="701">
        <v>5743.690525</v>
      </c>
      <c r="G56" s="701">
        <v>6179.5390229999994</v>
      </c>
      <c r="H56" s="701">
        <v>6253</v>
      </c>
      <c r="I56" s="701">
        <v>6819.1981530000003</v>
      </c>
      <c r="J56" s="701">
        <v>6408</v>
      </c>
      <c r="K56" s="701">
        <v>6600.24</v>
      </c>
      <c r="L56" s="701">
        <v>6798.2471999999998</v>
      </c>
      <c r="M56" s="701">
        <v>7002.1946159999998</v>
      </c>
      <c r="N56" s="701">
        <v>7212.2604544799997</v>
      </c>
      <c r="O56" s="701">
        <v>7428.6282681144003</v>
      </c>
      <c r="P56" s="701">
        <v>7651.4871161578321</v>
      </c>
      <c r="Q56" s="701">
        <v>7881.0317296425674</v>
      </c>
      <c r="R56" s="701">
        <v>8117.4626815318443</v>
      </c>
      <c r="S56" s="701">
        <v>8360.9865619777993</v>
      </c>
    </row>
    <row r="57" spans="1:19" x14ac:dyDescent="0.3">
      <c r="A57" s="698" t="s">
        <v>2045</v>
      </c>
      <c r="B57" s="699" t="s">
        <v>2127</v>
      </c>
      <c r="C57" s="700" t="s">
        <v>2142</v>
      </c>
      <c r="D57" s="700" t="s">
        <v>2143</v>
      </c>
      <c r="E57" s="701">
        <v>17264.606</v>
      </c>
      <c r="F57" s="701">
        <v>15933.290602999999</v>
      </c>
      <c r="G57" s="701">
        <v>20336.116129560003</v>
      </c>
      <c r="H57" s="701">
        <v>13514</v>
      </c>
      <c r="I57" s="701">
        <v>12513.20805763</v>
      </c>
      <c r="J57" s="701">
        <v>4947</v>
      </c>
      <c r="K57" s="701">
        <v>5095.41</v>
      </c>
      <c r="L57" s="701">
        <v>5248.2722999999996</v>
      </c>
      <c r="M57" s="701">
        <v>5405.7204689999999</v>
      </c>
      <c r="N57" s="701">
        <v>5567.8920830699999</v>
      </c>
      <c r="O57" s="701">
        <v>5734.9288455620999</v>
      </c>
      <c r="P57" s="701">
        <v>5906.9767109289633</v>
      </c>
      <c r="Q57" s="701">
        <v>6084.1860122568323</v>
      </c>
      <c r="R57" s="701">
        <v>6266.7115926245378</v>
      </c>
      <c r="S57" s="701">
        <v>6454.7129404032739</v>
      </c>
    </row>
    <row r="58" spans="1:19" x14ac:dyDescent="0.3">
      <c r="A58" s="698" t="s">
        <v>2045</v>
      </c>
      <c r="B58" s="699" t="s">
        <v>2127</v>
      </c>
      <c r="C58" s="700" t="s">
        <v>2144</v>
      </c>
      <c r="D58" s="700" t="s">
        <v>2145</v>
      </c>
      <c r="E58" s="701">
        <v>1592.663</v>
      </c>
      <c r="F58" s="701">
        <v>2125.3750479999999</v>
      </c>
      <c r="G58" s="701">
        <v>2753.7608993300005</v>
      </c>
      <c r="H58" s="701">
        <v>10568</v>
      </c>
      <c r="I58" s="701">
        <v>3550</v>
      </c>
      <c r="J58" s="701">
        <v>1500</v>
      </c>
      <c r="K58" s="701">
        <v>1545</v>
      </c>
      <c r="L58" s="701">
        <v>1591.3500000000001</v>
      </c>
      <c r="M58" s="701">
        <v>1639.0905000000002</v>
      </c>
      <c r="N58" s="701">
        <v>1688.2632150000004</v>
      </c>
      <c r="O58" s="701">
        <v>1738.9111114500004</v>
      </c>
      <c r="P58" s="701">
        <v>1791.0784447935005</v>
      </c>
      <c r="Q58" s="701">
        <v>1844.8107981373055</v>
      </c>
      <c r="R58" s="701">
        <v>1900.1551220814247</v>
      </c>
      <c r="S58" s="701">
        <v>1957.1597757438674</v>
      </c>
    </row>
    <row r="59" spans="1:19" x14ac:dyDescent="0.3">
      <c r="A59" s="698" t="s">
        <v>2045</v>
      </c>
      <c r="B59" s="699" t="s">
        <v>2127</v>
      </c>
      <c r="C59" s="700" t="s">
        <v>2146</v>
      </c>
      <c r="D59" s="700" t="s">
        <v>2147</v>
      </c>
      <c r="E59" s="701">
        <v>0</v>
      </c>
      <c r="F59" s="701">
        <v>0</v>
      </c>
      <c r="G59" s="701">
        <v>0</v>
      </c>
      <c r="H59" s="701"/>
      <c r="I59" s="701">
        <v>12666.384214989999</v>
      </c>
      <c r="J59" s="701">
        <v>0</v>
      </c>
      <c r="K59" s="701">
        <v>0</v>
      </c>
      <c r="L59" s="701">
        <v>0</v>
      </c>
      <c r="M59" s="701">
        <v>0</v>
      </c>
      <c r="N59" s="701">
        <v>0</v>
      </c>
      <c r="O59" s="701">
        <v>0</v>
      </c>
      <c r="P59" s="701">
        <v>0</v>
      </c>
      <c r="Q59" s="701">
        <v>0</v>
      </c>
      <c r="R59" s="701">
        <v>0</v>
      </c>
      <c r="S59" s="701">
        <v>0</v>
      </c>
    </row>
    <row r="60" spans="1:19" x14ac:dyDescent="0.3">
      <c r="A60" s="698" t="s">
        <v>2045</v>
      </c>
      <c r="B60" s="699" t="s">
        <v>2127</v>
      </c>
      <c r="C60" s="700" t="s">
        <v>2148</v>
      </c>
      <c r="D60" s="700" t="s">
        <v>2149</v>
      </c>
      <c r="E60" s="701">
        <v>0</v>
      </c>
      <c r="F60" s="701">
        <v>0</v>
      </c>
      <c r="G60" s="701">
        <v>0</v>
      </c>
      <c r="H60" s="701"/>
      <c r="I60" s="701">
        <v>0</v>
      </c>
      <c r="J60" s="701">
        <v>0</v>
      </c>
      <c r="K60" s="701">
        <v>0</v>
      </c>
      <c r="L60" s="701">
        <v>0</v>
      </c>
      <c r="M60" s="701">
        <v>0</v>
      </c>
      <c r="N60" s="701">
        <v>0</v>
      </c>
      <c r="O60" s="701">
        <v>0</v>
      </c>
      <c r="P60" s="701">
        <v>0</v>
      </c>
      <c r="Q60" s="701">
        <v>0</v>
      </c>
      <c r="R60" s="701">
        <v>0</v>
      </c>
      <c r="S60" s="701">
        <v>0</v>
      </c>
    </row>
    <row r="61" spans="1:19" x14ac:dyDescent="0.3">
      <c r="A61" s="698" t="s">
        <v>2045</v>
      </c>
      <c r="B61" s="699" t="s">
        <v>2127</v>
      </c>
      <c r="C61" s="700" t="s">
        <v>2150</v>
      </c>
      <c r="D61" s="700" t="s">
        <v>2151</v>
      </c>
      <c r="E61" s="701">
        <v>0</v>
      </c>
      <c r="F61" s="701">
        <v>0</v>
      </c>
      <c r="G61" s="701">
        <v>274.67895600000003</v>
      </c>
      <c r="H61" s="701"/>
      <c r="I61" s="701">
        <v>0</v>
      </c>
      <c r="J61" s="701">
        <v>0</v>
      </c>
      <c r="K61" s="701">
        <v>0</v>
      </c>
      <c r="L61" s="701">
        <v>0</v>
      </c>
      <c r="M61" s="701">
        <v>0</v>
      </c>
      <c r="N61" s="701">
        <v>0</v>
      </c>
      <c r="O61" s="701">
        <v>0</v>
      </c>
      <c r="P61" s="701">
        <v>0</v>
      </c>
      <c r="Q61" s="701">
        <v>0</v>
      </c>
      <c r="R61" s="701">
        <v>0</v>
      </c>
      <c r="S61" s="701">
        <v>0</v>
      </c>
    </row>
    <row r="62" spans="1:19" x14ac:dyDescent="0.3">
      <c r="A62" s="698" t="s">
        <v>2045</v>
      </c>
      <c r="B62" s="699" t="s">
        <v>2127</v>
      </c>
      <c r="C62" s="700" t="s">
        <v>2152</v>
      </c>
      <c r="D62" s="700" t="s">
        <v>2153</v>
      </c>
      <c r="E62" s="701">
        <v>1665.39</v>
      </c>
      <c r="F62" s="701">
        <v>685.16489200000001</v>
      </c>
      <c r="G62" s="701">
        <v>0</v>
      </c>
      <c r="H62" s="701"/>
      <c r="I62" s="701">
        <v>14196.461947259999</v>
      </c>
      <c r="J62" s="701">
        <v>15159</v>
      </c>
      <c r="K62" s="701">
        <v>15613.77</v>
      </c>
      <c r="L62" s="701">
        <v>16082.1831</v>
      </c>
      <c r="M62" s="701">
        <v>16564.648593000002</v>
      </c>
      <c r="N62" s="701">
        <v>17061.588050790004</v>
      </c>
      <c r="O62" s="701">
        <v>17573.435692313706</v>
      </c>
      <c r="P62" s="701">
        <v>18100.638763083116</v>
      </c>
      <c r="Q62" s="701">
        <v>18643.657925975611</v>
      </c>
      <c r="R62" s="701">
        <v>19202.96766375488</v>
      </c>
      <c r="S62" s="701">
        <v>19779.056693667528</v>
      </c>
    </row>
    <row r="63" spans="1:19" x14ac:dyDescent="0.3">
      <c r="A63" s="698" t="s">
        <v>2045</v>
      </c>
      <c r="B63" s="699" t="s">
        <v>2154</v>
      </c>
      <c r="C63" s="705" t="s">
        <v>2155</v>
      </c>
      <c r="D63" s="705" t="s">
        <v>2156</v>
      </c>
      <c r="E63" s="706">
        <v>0</v>
      </c>
      <c r="F63" s="706">
        <v>0</v>
      </c>
      <c r="G63" s="706">
        <v>2996.8530000000001</v>
      </c>
      <c r="H63" s="706">
        <v>5155</v>
      </c>
      <c r="I63" s="706">
        <v>0</v>
      </c>
      <c r="J63" s="706">
        <v>0</v>
      </c>
      <c r="K63" s="706">
        <v>0</v>
      </c>
      <c r="L63" s="706">
        <v>0</v>
      </c>
      <c r="M63" s="706">
        <v>0</v>
      </c>
      <c r="N63" s="706">
        <v>0</v>
      </c>
      <c r="O63" s="706">
        <v>0</v>
      </c>
      <c r="P63" s="706">
        <v>0</v>
      </c>
      <c r="Q63" s="706">
        <v>0</v>
      </c>
      <c r="R63" s="706">
        <v>0</v>
      </c>
      <c r="S63" s="706">
        <v>0</v>
      </c>
    </row>
    <row r="64" spans="1:19" x14ac:dyDescent="0.3">
      <c r="A64" s="698" t="s">
        <v>2045</v>
      </c>
      <c r="B64" s="699" t="s">
        <v>2157</v>
      </c>
      <c r="C64" s="705" t="s">
        <v>2158</v>
      </c>
      <c r="D64" s="705" t="s">
        <v>2159</v>
      </c>
      <c r="E64" s="706">
        <v>0</v>
      </c>
      <c r="F64" s="706">
        <v>0</v>
      </c>
      <c r="G64" s="706">
        <v>0</v>
      </c>
      <c r="H64" s="706">
        <v>0</v>
      </c>
      <c r="I64" s="706">
        <v>0</v>
      </c>
      <c r="J64" s="706">
        <v>0</v>
      </c>
      <c r="K64" s="706">
        <v>0</v>
      </c>
      <c r="L64" s="706">
        <v>0</v>
      </c>
      <c r="M64" s="706">
        <v>0</v>
      </c>
      <c r="N64" s="706">
        <v>0</v>
      </c>
      <c r="O64" s="706">
        <v>0</v>
      </c>
      <c r="P64" s="706">
        <v>0</v>
      </c>
      <c r="Q64" s="706">
        <v>0</v>
      </c>
      <c r="R64" s="706">
        <v>0</v>
      </c>
      <c r="S64" s="706">
        <v>0</v>
      </c>
    </row>
    <row r="65" spans="1:19" x14ac:dyDescent="0.3">
      <c r="A65" s="698" t="s">
        <v>2037</v>
      </c>
      <c r="B65" s="699" t="s">
        <v>2038</v>
      </c>
      <c r="C65" s="703" t="s">
        <v>2160</v>
      </c>
      <c r="D65" s="703" t="s">
        <v>2161</v>
      </c>
      <c r="E65" s="704">
        <v>179168.315</v>
      </c>
      <c r="F65" s="704">
        <v>201004.020793</v>
      </c>
      <c r="G65" s="704">
        <v>249183.55831686998</v>
      </c>
      <c r="H65" s="704">
        <v>237263</v>
      </c>
      <c r="I65" s="704">
        <v>281871.25176350004</v>
      </c>
      <c r="J65" s="704">
        <v>260338</v>
      </c>
      <c r="K65" s="704">
        <v>268148.13999999996</v>
      </c>
      <c r="L65" s="704">
        <v>276192.58419999998</v>
      </c>
      <c r="M65" s="704">
        <v>284478.36172599997</v>
      </c>
      <c r="N65" s="704">
        <v>293012.71257778001</v>
      </c>
      <c r="O65" s="704">
        <v>301803.09395511338</v>
      </c>
      <c r="P65" s="704">
        <v>310857.18677376682</v>
      </c>
      <c r="Q65" s="704">
        <v>320182.90237697976</v>
      </c>
      <c r="R65" s="704">
        <v>329788.38944828924</v>
      </c>
      <c r="S65" s="704">
        <v>339682.04113173787</v>
      </c>
    </row>
    <row r="66" spans="1:19" x14ac:dyDescent="0.3">
      <c r="A66" s="698" t="s">
        <v>2045</v>
      </c>
      <c r="B66" s="699" t="s">
        <v>2162</v>
      </c>
      <c r="C66" s="700" t="s">
        <v>2163</v>
      </c>
      <c r="D66" s="700" t="s">
        <v>2164</v>
      </c>
      <c r="E66" s="701">
        <v>140313.46900000001</v>
      </c>
      <c r="F66" s="701">
        <v>143070.6023</v>
      </c>
      <c r="G66" s="701">
        <v>173384.64885036997</v>
      </c>
      <c r="H66" s="701">
        <v>168314</v>
      </c>
      <c r="I66" s="701">
        <v>190698.73986530001</v>
      </c>
      <c r="J66" s="701">
        <v>190482</v>
      </c>
      <c r="K66" s="701">
        <v>196196.46</v>
      </c>
      <c r="L66" s="701">
        <v>202082.35379999998</v>
      </c>
      <c r="M66" s="701">
        <v>208144.82441399997</v>
      </c>
      <c r="N66" s="701">
        <v>214389.16914641997</v>
      </c>
      <c r="O66" s="701">
        <v>220820.84422081258</v>
      </c>
      <c r="P66" s="701">
        <v>227445.46954743695</v>
      </c>
      <c r="Q66" s="701">
        <v>234268.83363386008</v>
      </c>
      <c r="R66" s="701">
        <v>241296.89864287589</v>
      </c>
      <c r="S66" s="701">
        <v>248535.80560216217</v>
      </c>
    </row>
    <row r="67" spans="1:19" x14ac:dyDescent="0.3">
      <c r="A67" s="698" t="s">
        <v>2045</v>
      </c>
      <c r="B67" s="699" t="s">
        <v>2162</v>
      </c>
      <c r="C67" s="700" t="s">
        <v>2165</v>
      </c>
      <c r="D67" s="700" t="s">
        <v>2166</v>
      </c>
      <c r="E67" s="701">
        <v>35718.294000000002</v>
      </c>
      <c r="F67" s="701">
        <v>35630.144436000002</v>
      </c>
      <c r="G67" s="701">
        <v>46742.963487440014</v>
      </c>
      <c r="H67" s="701">
        <v>43042</v>
      </c>
      <c r="I67" s="701">
        <v>60898.780523460002</v>
      </c>
      <c r="J67" s="701">
        <v>47036</v>
      </c>
      <c r="K67" s="701">
        <v>48447.08</v>
      </c>
      <c r="L67" s="701">
        <v>49900.492400000003</v>
      </c>
      <c r="M67" s="701">
        <v>51397.507172000005</v>
      </c>
      <c r="N67" s="701">
        <v>52939.432387160006</v>
      </c>
      <c r="O67" s="701">
        <v>54527.615358774805</v>
      </c>
      <c r="P67" s="701">
        <v>56163.44381953805</v>
      </c>
      <c r="Q67" s="701">
        <v>57848.347134124189</v>
      </c>
      <c r="R67" s="701">
        <v>59583.797548147915</v>
      </c>
      <c r="S67" s="701">
        <v>61371.311474592352</v>
      </c>
    </row>
    <row r="68" spans="1:19" x14ac:dyDescent="0.3">
      <c r="A68" s="698" t="s">
        <v>2045</v>
      </c>
      <c r="B68" s="699" t="s">
        <v>2162</v>
      </c>
      <c r="C68" s="700" t="s">
        <v>2167</v>
      </c>
      <c r="D68" s="700" t="s">
        <v>2168</v>
      </c>
      <c r="E68" s="701">
        <v>0</v>
      </c>
      <c r="F68" s="701">
        <v>0</v>
      </c>
      <c r="G68" s="701">
        <v>0</v>
      </c>
      <c r="H68" s="701"/>
      <c r="I68" s="701">
        <v>0</v>
      </c>
      <c r="J68" s="701"/>
      <c r="K68" s="701">
        <v>0</v>
      </c>
      <c r="L68" s="701">
        <v>0</v>
      </c>
      <c r="M68" s="701">
        <v>0</v>
      </c>
      <c r="N68" s="701">
        <v>0</v>
      </c>
      <c r="O68" s="701">
        <v>0</v>
      </c>
      <c r="P68" s="701">
        <v>0</v>
      </c>
      <c r="Q68" s="701">
        <v>0</v>
      </c>
      <c r="R68" s="701">
        <v>0</v>
      </c>
      <c r="S68" s="701">
        <v>0</v>
      </c>
    </row>
    <row r="69" spans="1:19" x14ac:dyDescent="0.3">
      <c r="A69" s="698" t="s">
        <v>2045</v>
      </c>
      <c r="B69" s="699" t="s">
        <v>2162</v>
      </c>
      <c r="C69" s="700" t="s">
        <v>2169</v>
      </c>
      <c r="D69" s="700" t="s">
        <v>2170</v>
      </c>
      <c r="E69" s="701">
        <v>0</v>
      </c>
      <c r="F69" s="701">
        <v>0</v>
      </c>
      <c r="G69" s="701">
        <v>0</v>
      </c>
      <c r="H69" s="701"/>
      <c r="I69" s="701">
        <v>0</v>
      </c>
      <c r="J69" s="701"/>
      <c r="K69" s="701">
        <v>0</v>
      </c>
      <c r="L69" s="701">
        <v>0</v>
      </c>
      <c r="M69" s="701">
        <v>0</v>
      </c>
      <c r="N69" s="701">
        <v>0</v>
      </c>
      <c r="O69" s="701">
        <v>0</v>
      </c>
      <c r="P69" s="701">
        <v>0</v>
      </c>
      <c r="Q69" s="701">
        <v>0</v>
      </c>
      <c r="R69" s="701">
        <v>0</v>
      </c>
      <c r="S69" s="701">
        <v>0</v>
      </c>
    </row>
    <row r="70" spans="1:19" x14ac:dyDescent="0.3">
      <c r="A70" s="698" t="s">
        <v>2045</v>
      </c>
      <c r="B70" s="699" t="s">
        <v>2162</v>
      </c>
      <c r="C70" s="700" t="s">
        <v>2171</v>
      </c>
      <c r="D70" s="700" t="s">
        <v>2172</v>
      </c>
      <c r="E70" s="701">
        <v>3136.5520000000001</v>
      </c>
      <c r="F70" s="701">
        <v>22303.274056999999</v>
      </c>
      <c r="G70" s="701">
        <v>29055.945979060001</v>
      </c>
      <c r="H70" s="701">
        <v>25907</v>
      </c>
      <c r="I70" s="701">
        <v>30273.731374739997</v>
      </c>
      <c r="J70" s="701">
        <v>22820</v>
      </c>
      <c r="K70" s="701">
        <v>23504.600000000002</v>
      </c>
      <c r="L70" s="701">
        <v>24209.738000000001</v>
      </c>
      <c r="M70" s="701">
        <v>24936.030140000003</v>
      </c>
      <c r="N70" s="701">
        <v>25684.111044200003</v>
      </c>
      <c r="O70" s="701">
        <v>26454.634375526002</v>
      </c>
      <c r="P70" s="701">
        <v>27248.273406791785</v>
      </c>
      <c r="Q70" s="701">
        <v>28065.72160899554</v>
      </c>
      <c r="R70" s="701">
        <v>28907.693257265408</v>
      </c>
      <c r="S70" s="701">
        <v>29774.92405498337</v>
      </c>
    </row>
    <row r="71" spans="1:19" x14ac:dyDescent="0.3">
      <c r="A71" s="698" t="s">
        <v>2037</v>
      </c>
      <c r="B71" s="699" t="s">
        <v>2038</v>
      </c>
      <c r="C71" s="703" t="s">
        <v>2173</v>
      </c>
      <c r="D71" s="703" t="s">
        <v>2174</v>
      </c>
      <c r="E71" s="704">
        <v>3030.623</v>
      </c>
      <c r="F71" s="704">
        <v>2262.795235</v>
      </c>
      <c r="G71" s="704">
        <v>2055.1417932200002</v>
      </c>
      <c r="H71" s="704">
        <v>864</v>
      </c>
      <c r="I71" s="704">
        <v>2668.456799</v>
      </c>
      <c r="J71" s="704">
        <v>5056</v>
      </c>
      <c r="K71" s="704">
        <v>7914</v>
      </c>
      <c r="L71" s="704">
        <v>6766</v>
      </c>
      <c r="M71" s="704">
        <v>5769</v>
      </c>
      <c r="N71" s="704">
        <v>4793</v>
      </c>
      <c r="O71" s="704">
        <v>3818</v>
      </c>
      <c r="P71" s="704">
        <v>2842</v>
      </c>
      <c r="Q71" s="704">
        <v>1909</v>
      </c>
      <c r="R71" s="704">
        <v>1122</v>
      </c>
      <c r="S71" s="704">
        <v>677</v>
      </c>
    </row>
    <row r="72" spans="1:19" x14ac:dyDescent="0.3">
      <c r="A72" s="698" t="s">
        <v>2045</v>
      </c>
      <c r="B72" s="699" t="s">
        <v>2157</v>
      </c>
      <c r="C72" s="700" t="s">
        <v>2175</v>
      </c>
      <c r="D72" s="700" t="s">
        <v>2176</v>
      </c>
      <c r="E72" s="701">
        <v>3030.623</v>
      </c>
      <c r="F72" s="701">
        <v>2262.795235</v>
      </c>
      <c r="G72" s="701">
        <v>2055.1417932200002</v>
      </c>
      <c r="H72" s="701">
        <v>864</v>
      </c>
      <c r="I72" s="701">
        <v>2668.456799</v>
      </c>
      <c r="J72" s="701">
        <v>5056</v>
      </c>
      <c r="K72" s="701">
        <v>7914</v>
      </c>
      <c r="L72" s="701">
        <v>6766</v>
      </c>
      <c r="M72" s="701">
        <v>5769</v>
      </c>
      <c r="N72" s="701">
        <v>4793</v>
      </c>
      <c r="O72" s="701">
        <v>3818</v>
      </c>
      <c r="P72" s="701">
        <v>2842</v>
      </c>
      <c r="Q72" s="701">
        <v>1909</v>
      </c>
      <c r="R72" s="701">
        <v>1122</v>
      </c>
      <c r="S72" s="701">
        <v>677</v>
      </c>
    </row>
    <row r="73" spans="1:19" x14ac:dyDescent="0.3">
      <c r="A73" s="698" t="s">
        <v>2045</v>
      </c>
      <c r="B73" s="699" t="s">
        <v>2157</v>
      </c>
      <c r="C73" s="700" t="s">
        <v>2177</v>
      </c>
      <c r="D73" s="700" t="s">
        <v>2178</v>
      </c>
      <c r="E73" s="701">
        <v>0</v>
      </c>
      <c r="F73" s="701">
        <v>0</v>
      </c>
      <c r="G73" s="701">
        <v>0</v>
      </c>
      <c r="H73" s="701"/>
      <c r="I73" s="701">
        <v>0</v>
      </c>
      <c r="J73" s="701">
        <v>0</v>
      </c>
      <c r="K73" s="701">
        <v>0</v>
      </c>
      <c r="L73" s="701">
        <v>0</v>
      </c>
      <c r="M73" s="701">
        <v>0</v>
      </c>
      <c r="N73" s="701">
        <v>0</v>
      </c>
      <c r="O73" s="701">
        <v>0</v>
      </c>
      <c r="P73" s="701">
        <v>0</v>
      </c>
      <c r="Q73" s="701">
        <v>0</v>
      </c>
      <c r="R73" s="701">
        <v>0</v>
      </c>
      <c r="S73" s="701">
        <v>0</v>
      </c>
    </row>
    <row r="74" spans="1:19" s="725" customFormat="1" x14ac:dyDescent="0.3">
      <c r="A74" s="731" t="s">
        <v>2037</v>
      </c>
      <c r="B74" s="732" t="s">
        <v>2038</v>
      </c>
      <c r="C74" s="663" t="s">
        <v>2179</v>
      </c>
      <c r="D74" s="663" t="s">
        <v>2180</v>
      </c>
      <c r="E74" s="666">
        <v>28746.156000000046</v>
      </c>
      <c r="F74" s="666">
        <v>21602.906819999975</v>
      </c>
      <c r="G74" s="666">
        <v>-4177.6844379100949</v>
      </c>
      <c r="H74" s="666">
        <v>8962</v>
      </c>
      <c r="I74" s="666">
        <v>-29841.414550130197</v>
      </c>
      <c r="J74" s="666">
        <v>4276.4008580534719</v>
      </c>
      <c r="K74" s="666">
        <v>1698.3728837952367</v>
      </c>
      <c r="L74" s="666">
        <v>3134.7440703090397</v>
      </c>
      <c r="M74" s="666">
        <v>4428.7663924182998</v>
      </c>
      <c r="N74" s="666">
        <v>5710.6993841908406</v>
      </c>
      <c r="O74" s="666">
        <v>7000.8103657165775</v>
      </c>
      <c r="P74" s="666">
        <v>8301.3746766879922</v>
      </c>
      <c r="Q74" s="666">
        <v>9568.6759169886936</v>
      </c>
      <c r="R74" s="666">
        <v>10700.006194498332</v>
      </c>
      <c r="S74" s="666">
        <v>11499.666380333307</v>
      </c>
    </row>
    <row r="75" spans="1:19" s="725" customFormat="1" x14ac:dyDescent="0.3">
      <c r="A75" s="731" t="s">
        <v>2037</v>
      </c>
      <c r="B75" s="732" t="s">
        <v>2038</v>
      </c>
      <c r="C75" s="663" t="s">
        <v>2181</v>
      </c>
      <c r="D75" s="663" t="s">
        <v>2182</v>
      </c>
      <c r="E75" s="666">
        <v>18273.837</v>
      </c>
      <c r="F75" s="666">
        <v>9553.7139859999988</v>
      </c>
      <c r="G75" s="666">
        <v>22521.385139590002</v>
      </c>
      <c r="H75" s="666">
        <v>9811</v>
      </c>
      <c r="I75" s="666">
        <v>12843.76543184</v>
      </c>
      <c r="J75" s="666">
        <v>10017.37866351</v>
      </c>
      <c r="K75" s="666">
        <v>10317.900023415301</v>
      </c>
      <c r="L75" s="666">
        <v>10627.43702411776</v>
      </c>
      <c r="M75" s="666">
        <v>10946.260134841294</v>
      </c>
      <c r="N75" s="666">
        <v>11274.647938886534</v>
      </c>
      <c r="O75" s="666">
        <v>11612.887377053128</v>
      </c>
      <c r="P75" s="666">
        <v>11961.273998364723</v>
      </c>
      <c r="Q75" s="666">
        <v>12320.112218315664</v>
      </c>
      <c r="R75" s="666">
        <v>12689.715584865135</v>
      </c>
      <c r="S75" s="666">
        <v>13070.407052411088</v>
      </c>
    </row>
    <row r="76" spans="1:19" x14ac:dyDescent="0.3">
      <c r="A76" s="698" t="s">
        <v>2045</v>
      </c>
      <c r="B76" s="699" t="s">
        <v>946</v>
      </c>
      <c r="C76" s="700" t="s">
        <v>2183</v>
      </c>
      <c r="D76" s="700" t="s">
        <v>2184</v>
      </c>
      <c r="E76" s="701">
        <v>7580.393</v>
      </c>
      <c r="F76" s="701">
        <v>541.13017000000002</v>
      </c>
      <c r="G76" s="701">
        <v>1667.4085668599998</v>
      </c>
      <c r="H76" s="701">
        <v>148</v>
      </c>
      <c r="I76" s="701">
        <v>4429.4401878400004</v>
      </c>
      <c r="J76" s="701">
        <v>2121.6893955099999</v>
      </c>
      <c r="K76" s="701">
        <v>2185.3400773753001</v>
      </c>
      <c r="L76" s="701">
        <v>2250.9002796965592</v>
      </c>
      <c r="M76" s="701">
        <v>2318.427288087456</v>
      </c>
      <c r="N76" s="701">
        <v>2387.9801067300796</v>
      </c>
      <c r="O76" s="701">
        <v>2459.6195099319821</v>
      </c>
      <c r="P76" s="701">
        <v>2533.4080952299414</v>
      </c>
      <c r="Q76" s="701">
        <v>2609.4103380868396</v>
      </c>
      <c r="R76" s="701">
        <v>2687.6926482294448</v>
      </c>
      <c r="S76" s="701">
        <v>2768.3234276763283</v>
      </c>
    </row>
    <row r="77" spans="1:19" x14ac:dyDescent="0.3">
      <c r="A77" s="698" t="s">
        <v>2045</v>
      </c>
      <c r="B77" s="699" t="s">
        <v>946</v>
      </c>
      <c r="C77" s="700" t="s">
        <v>2185</v>
      </c>
      <c r="D77" s="700" t="s">
        <v>2186</v>
      </c>
      <c r="E77" s="701">
        <v>0</v>
      </c>
      <c r="F77" s="701">
        <v>0</v>
      </c>
      <c r="G77" s="701">
        <v>0</v>
      </c>
      <c r="H77" s="701"/>
      <c r="I77" s="701">
        <v>0</v>
      </c>
      <c r="J77" s="701">
        <v>0</v>
      </c>
      <c r="K77" s="701">
        <v>0</v>
      </c>
      <c r="L77" s="701">
        <v>0</v>
      </c>
      <c r="M77" s="701">
        <v>0</v>
      </c>
      <c r="N77" s="701"/>
      <c r="O77" s="701">
        <v>0</v>
      </c>
      <c r="P77" s="701">
        <v>0</v>
      </c>
      <c r="Q77" s="701">
        <v>0</v>
      </c>
      <c r="R77" s="701">
        <v>0</v>
      </c>
      <c r="S77" s="701">
        <v>0</v>
      </c>
    </row>
    <row r="78" spans="1:19" x14ac:dyDescent="0.3">
      <c r="A78" s="698" t="s">
        <v>2045</v>
      </c>
      <c r="B78" s="699" t="s">
        <v>946</v>
      </c>
      <c r="C78" s="700" t="s">
        <v>2187</v>
      </c>
      <c r="D78" s="700" t="s">
        <v>2188</v>
      </c>
      <c r="E78" s="701">
        <v>0</v>
      </c>
      <c r="F78" s="701">
        <v>0</v>
      </c>
      <c r="G78" s="701">
        <v>0</v>
      </c>
      <c r="H78" s="701"/>
      <c r="I78" s="701">
        <v>0</v>
      </c>
      <c r="J78" s="701">
        <v>0</v>
      </c>
      <c r="K78" s="701">
        <v>0</v>
      </c>
      <c r="L78" s="701">
        <v>0</v>
      </c>
      <c r="M78" s="701">
        <v>0</v>
      </c>
      <c r="N78" s="701">
        <v>0</v>
      </c>
      <c r="O78" s="701">
        <v>0</v>
      </c>
      <c r="P78" s="701">
        <v>0</v>
      </c>
      <c r="Q78" s="701">
        <v>0</v>
      </c>
      <c r="R78" s="701">
        <v>0</v>
      </c>
      <c r="S78" s="701">
        <v>0</v>
      </c>
    </row>
    <row r="79" spans="1:19" x14ac:dyDescent="0.3">
      <c r="A79" s="698" t="s">
        <v>2045</v>
      </c>
      <c r="B79" s="699" t="s">
        <v>946</v>
      </c>
      <c r="C79" s="700" t="s">
        <v>2189</v>
      </c>
      <c r="D79" s="700" t="s">
        <v>2190</v>
      </c>
      <c r="E79" s="701">
        <v>2296.2649999999999</v>
      </c>
      <c r="F79" s="701">
        <v>1610.289495</v>
      </c>
      <c r="G79" s="701">
        <v>1876.9898087300003</v>
      </c>
      <c r="H79" s="701">
        <v>626</v>
      </c>
      <c r="I79" s="701">
        <v>1176.882726</v>
      </c>
      <c r="J79" s="701">
        <v>482.42261100000002</v>
      </c>
      <c r="K79" s="701">
        <v>496.89528933000003</v>
      </c>
      <c r="L79" s="701">
        <v>511.80214800990007</v>
      </c>
      <c r="M79" s="701">
        <v>527.15621245019713</v>
      </c>
      <c r="N79" s="701">
        <v>542.97089882370301</v>
      </c>
      <c r="O79" s="701">
        <v>559.26002578841417</v>
      </c>
      <c r="P79" s="701">
        <v>576.03782656206658</v>
      </c>
      <c r="Q79" s="701">
        <v>593.31896135892862</v>
      </c>
      <c r="R79" s="701">
        <v>611.11853019969647</v>
      </c>
      <c r="S79" s="701">
        <v>629.45208610568739</v>
      </c>
    </row>
    <row r="80" spans="1:19" x14ac:dyDescent="0.3">
      <c r="A80" s="698" t="s">
        <v>2045</v>
      </c>
      <c r="B80" s="699" t="s">
        <v>946</v>
      </c>
      <c r="C80" s="700" t="s">
        <v>2191</v>
      </c>
      <c r="D80" s="700" t="s">
        <v>2192</v>
      </c>
      <c r="E80" s="701">
        <v>0</v>
      </c>
      <c r="F80" s="701">
        <v>0</v>
      </c>
      <c r="G80" s="701">
        <v>221.40355199999999</v>
      </c>
      <c r="H80" s="701">
        <v>377</v>
      </c>
      <c r="I80" s="701">
        <v>237.44251800000001</v>
      </c>
      <c r="J80" s="701">
        <v>150</v>
      </c>
      <c r="K80" s="701">
        <v>154.5</v>
      </c>
      <c r="L80" s="701">
        <v>159.13499999999999</v>
      </c>
      <c r="M80" s="701">
        <v>163.90905000000001</v>
      </c>
      <c r="N80" s="701">
        <v>168.82632150000001</v>
      </c>
      <c r="O80" s="701">
        <v>173.891111145</v>
      </c>
      <c r="P80" s="701">
        <v>179.10784447935001</v>
      </c>
      <c r="Q80" s="701">
        <v>184.4810798137305</v>
      </c>
      <c r="R80" s="701">
        <v>190.01551220814241</v>
      </c>
      <c r="S80" s="701">
        <v>195.7159775743867</v>
      </c>
    </row>
    <row r="81" spans="1:19" x14ac:dyDescent="0.3">
      <c r="A81" s="698" t="s">
        <v>2037</v>
      </c>
      <c r="B81" s="699" t="s">
        <v>946</v>
      </c>
      <c r="C81" s="700" t="s">
        <v>2193</v>
      </c>
      <c r="D81" s="700" t="s">
        <v>2194</v>
      </c>
      <c r="E81" s="701">
        <v>7691.5780000000004</v>
      </c>
      <c r="F81" s="701">
        <v>6616.0669909999997</v>
      </c>
      <c r="G81" s="701">
        <v>18755.583212000001</v>
      </c>
      <c r="H81" s="701">
        <v>8660</v>
      </c>
      <c r="I81" s="701">
        <v>7000</v>
      </c>
      <c r="J81" s="701">
        <v>7263.2666570000001</v>
      </c>
      <c r="K81" s="701">
        <v>7481.1646567100006</v>
      </c>
      <c r="L81" s="701">
        <v>7705.5995964113008</v>
      </c>
      <c r="M81" s="701">
        <v>7936.7675843036404</v>
      </c>
      <c r="N81" s="701">
        <v>8174.87061183275</v>
      </c>
      <c r="O81" s="701">
        <v>8420.1167301877322</v>
      </c>
      <c r="P81" s="701">
        <v>8672.7202320933648</v>
      </c>
      <c r="Q81" s="701">
        <v>8932.901839056165</v>
      </c>
      <c r="R81" s="701">
        <v>9200.88889422785</v>
      </c>
      <c r="S81" s="701">
        <v>9476.9155610546859</v>
      </c>
    </row>
    <row r="82" spans="1:19" x14ac:dyDescent="0.3">
      <c r="A82" s="698" t="s">
        <v>2045</v>
      </c>
      <c r="B82" s="699" t="s">
        <v>946</v>
      </c>
      <c r="C82" s="700" t="s">
        <v>2195</v>
      </c>
      <c r="D82" s="700" t="s">
        <v>2196</v>
      </c>
      <c r="E82" s="701">
        <v>0</v>
      </c>
      <c r="F82" s="701">
        <v>0</v>
      </c>
      <c r="G82" s="701">
        <v>0</v>
      </c>
      <c r="H82" s="701"/>
      <c r="I82" s="701">
        <v>0</v>
      </c>
      <c r="J82" s="701">
        <v>0</v>
      </c>
      <c r="K82" s="701">
        <v>0</v>
      </c>
      <c r="L82" s="701">
        <v>0</v>
      </c>
      <c r="M82" s="701">
        <v>0</v>
      </c>
      <c r="N82" s="701">
        <v>0</v>
      </c>
      <c r="O82" s="701">
        <v>0</v>
      </c>
      <c r="P82" s="701">
        <v>0</v>
      </c>
      <c r="Q82" s="701">
        <v>0</v>
      </c>
      <c r="R82" s="701">
        <v>0</v>
      </c>
      <c r="S82" s="701">
        <v>0</v>
      </c>
    </row>
    <row r="83" spans="1:19" x14ac:dyDescent="0.3">
      <c r="A83" s="698" t="s">
        <v>2045</v>
      </c>
      <c r="B83" s="699" t="s">
        <v>946</v>
      </c>
      <c r="C83" s="700" t="s">
        <v>2197</v>
      </c>
      <c r="D83" s="700" t="s">
        <v>2198</v>
      </c>
      <c r="E83" s="701">
        <v>0</v>
      </c>
      <c r="F83" s="701">
        <v>0</v>
      </c>
      <c r="G83" s="701">
        <v>0</v>
      </c>
      <c r="H83" s="701"/>
      <c r="I83" s="701">
        <v>0</v>
      </c>
      <c r="J83" s="701">
        <v>0</v>
      </c>
      <c r="K83" s="701">
        <v>0</v>
      </c>
      <c r="L83" s="701">
        <v>0</v>
      </c>
      <c r="M83" s="701">
        <v>0</v>
      </c>
      <c r="N83" s="701">
        <v>0</v>
      </c>
      <c r="O83" s="701">
        <v>0</v>
      </c>
      <c r="P83" s="701">
        <v>0</v>
      </c>
      <c r="Q83" s="701">
        <v>0</v>
      </c>
      <c r="R83" s="701">
        <v>0</v>
      </c>
      <c r="S83" s="701">
        <v>0</v>
      </c>
    </row>
    <row r="84" spans="1:19" x14ac:dyDescent="0.3">
      <c r="A84" s="698" t="s">
        <v>2045</v>
      </c>
      <c r="B84" s="699" t="s">
        <v>946</v>
      </c>
      <c r="C84" s="700" t="s">
        <v>2199</v>
      </c>
      <c r="D84" s="700" t="s">
        <v>2200</v>
      </c>
      <c r="E84" s="701">
        <v>0</v>
      </c>
      <c r="F84" s="701">
        <v>0</v>
      </c>
      <c r="G84" s="701">
        <v>0</v>
      </c>
      <c r="H84" s="701"/>
      <c r="I84" s="701">
        <v>0</v>
      </c>
      <c r="J84" s="701">
        <v>0</v>
      </c>
      <c r="K84" s="701">
        <v>0</v>
      </c>
      <c r="L84" s="701">
        <v>0</v>
      </c>
      <c r="M84" s="701">
        <v>0</v>
      </c>
      <c r="N84" s="701">
        <v>0</v>
      </c>
      <c r="O84" s="701">
        <v>0</v>
      </c>
      <c r="P84" s="701">
        <v>0</v>
      </c>
      <c r="Q84" s="701">
        <v>0</v>
      </c>
      <c r="R84" s="701">
        <v>0</v>
      </c>
      <c r="S84" s="701">
        <v>0</v>
      </c>
    </row>
    <row r="85" spans="1:19" x14ac:dyDescent="0.3">
      <c r="A85" s="698" t="s">
        <v>2045</v>
      </c>
      <c r="B85" s="699" t="s">
        <v>946</v>
      </c>
      <c r="C85" s="700" t="s">
        <v>2201</v>
      </c>
      <c r="D85" s="700" t="s">
        <v>2202</v>
      </c>
      <c r="E85" s="701">
        <v>7691.5780000000004</v>
      </c>
      <c r="F85" s="701">
        <v>6616.0669909999997</v>
      </c>
      <c r="G85" s="701">
        <v>18755.583212000001</v>
      </c>
      <c r="H85" s="701">
        <v>8660</v>
      </c>
      <c r="I85" s="701">
        <v>7000</v>
      </c>
      <c r="J85" s="701">
        <v>7263.2666570000001</v>
      </c>
      <c r="K85" s="701">
        <v>7481.1646567100006</v>
      </c>
      <c r="L85" s="701">
        <v>7705.5995964113008</v>
      </c>
      <c r="M85" s="701">
        <v>7936.7675843036404</v>
      </c>
      <c r="N85" s="701">
        <v>8174.87061183275</v>
      </c>
      <c r="O85" s="701">
        <v>8420.1167301877322</v>
      </c>
      <c r="P85" s="701">
        <v>8672.7202320933648</v>
      </c>
      <c r="Q85" s="701">
        <v>8932.901839056165</v>
      </c>
      <c r="R85" s="701">
        <v>9200.88889422785</v>
      </c>
      <c r="S85" s="701">
        <v>9476.9155610546859</v>
      </c>
    </row>
    <row r="86" spans="1:19" x14ac:dyDescent="0.3">
      <c r="A86" s="698" t="s">
        <v>2045</v>
      </c>
      <c r="B86" s="699" t="s">
        <v>946</v>
      </c>
      <c r="C86" s="700" t="s">
        <v>2203</v>
      </c>
      <c r="D86" s="700" t="s">
        <v>2204</v>
      </c>
      <c r="E86" s="701">
        <v>705.601</v>
      </c>
      <c r="F86" s="701">
        <v>786.22733000000005</v>
      </c>
      <c r="G86" s="701">
        <v>0</v>
      </c>
      <c r="H86" s="701"/>
      <c r="I86" s="701">
        <v>0</v>
      </c>
      <c r="J86" s="701">
        <v>0</v>
      </c>
      <c r="K86" s="701">
        <v>0</v>
      </c>
      <c r="L86" s="701">
        <v>0</v>
      </c>
      <c r="M86" s="701">
        <v>0</v>
      </c>
      <c r="N86" s="701">
        <v>0</v>
      </c>
      <c r="O86" s="701">
        <v>0</v>
      </c>
      <c r="P86" s="701">
        <v>0</v>
      </c>
      <c r="Q86" s="701">
        <v>0</v>
      </c>
      <c r="R86" s="701">
        <v>0</v>
      </c>
      <c r="S86" s="701">
        <v>0</v>
      </c>
    </row>
    <row r="87" spans="1:19" s="725" customFormat="1" x14ac:dyDescent="0.3">
      <c r="A87" s="731" t="s">
        <v>2037</v>
      </c>
      <c r="B87" s="732" t="s">
        <v>2038</v>
      </c>
      <c r="C87" s="663" t="s">
        <v>2205</v>
      </c>
      <c r="D87" s="663" t="s">
        <v>2206</v>
      </c>
      <c r="E87" s="666">
        <v>41980.294000000002</v>
      </c>
      <c r="F87" s="666">
        <v>36187.638661999998</v>
      </c>
      <c r="G87" s="666">
        <v>19584.230575699999</v>
      </c>
      <c r="H87" s="666">
        <v>4066</v>
      </c>
      <c r="I87" s="666">
        <v>15986.154634140001</v>
      </c>
      <c r="J87" s="666">
        <v>7154</v>
      </c>
      <c r="K87" s="666">
        <v>6276.76</v>
      </c>
      <c r="L87" s="666">
        <v>8777.372800000001</v>
      </c>
      <c r="M87" s="666">
        <v>10496.026527259626</v>
      </c>
      <c r="N87" s="666">
        <v>12107.347323077409</v>
      </c>
      <c r="O87" s="666">
        <v>13735.697742769738</v>
      </c>
      <c r="P87" s="666">
        <v>15597.648675052766</v>
      </c>
      <c r="Q87" s="666">
        <v>17952.788135304334</v>
      </c>
      <c r="R87" s="666">
        <v>21167.721779363437</v>
      </c>
      <c r="S87" s="666">
        <v>22348.073432744441</v>
      </c>
    </row>
    <row r="88" spans="1:19" x14ac:dyDescent="0.3">
      <c r="A88" s="698" t="s">
        <v>2037</v>
      </c>
      <c r="B88" s="699" t="s">
        <v>2038</v>
      </c>
      <c r="C88" s="703" t="s">
        <v>2207</v>
      </c>
      <c r="D88" s="703" t="s">
        <v>2208</v>
      </c>
      <c r="E88" s="704">
        <v>33697.959000000003</v>
      </c>
      <c r="F88" s="704">
        <v>24017.043226999998</v>
      </c>
      <c r="G88" s="704">
        <v>19584.230575699999</v>
      </c>
      <c r="H88" s="704">
        <v>4066</v>
      </c>
      <c r="I88" s="704">
        <v>15986.154634140001</v>
      </c>
      <c r="J88" s="704">
        <v>7154</v>
      </c>
      <c r="K88" s="704">
        <v>6276.76</v>
      </c>
      <c r="L88" s="704">
        <v>8777.372800000001</v>
      </c>
      <c r="M88" s="704">
        <v>10496.026527259626</v>
      </c>
      <c r="N88" s="704">
        <v>12107.347323077409</v>
      </c>
      <c r="O88" s="704">
        <v>13735.697742769738</v>
      </c>
      <c r="P88" s="704">
        <v>15597.648675052766</v>
      </c>
      <c r="Q88" s="704">
        <v>17952.788135304334</v>
      </c>
      <c r="R88" s="704">
        <v>21167.721779363437</v>
      </c>
      <c r="S88" s="704">
        <v>22348.073432744441</v>
      </c>
    </row>
    <row r="89" spans="1:19" x14ac:dyDescent="0.3">
      <c r="A89" s="698" t="s">
        <v>2045</v>
      </c>
      <c r="B89" s="699" t="s">
        <v>2162</v>
      </c>
      <c r="C89" s="700" t="s">
        <v>2209</v>
      </c>
      <c r="D89" s="700" t="s">
        <v>2210</v>
      </c>
      <c r="E89" s="701">
        <v>4821.2089999999998</v>
      </c>
      <c r="F89" s="701">
        <v>7310.555746</v>
      </c>
      <c r="G89" s="701">
        <v>3373.3044188200001</v>
      </c>
      <c r="H89" s="701"/>
      <c r="I89" s="701">
        <v>2083.25722</v>
      </c>
      <c r="J89" s="701">
        <v>1500</v>
      </c>
      <c r="K89" s="701">
        <v>1545</v>
      </c>
      <c r="L89" s="701">
        <v>1591.3500000000001</v>
      </c>
      <c r="M89" s="701">
        <v>1639.0905000000002</v>
      </c>
      <c r="N89" s="701">
        <v>1688.2632150000004</v>
      </c>
      <c r="O89" s="701">
        <v>1738.9111114500004</v>
      </c>
      <c r="P89" s="701">
        <v>1791.0784447935005</v>
      </c>
      <c r="Q89" s="701">
        <v>1844.8107981373055</v>
      </c>
      <c r="R89" s="701">
        <v>1900.1551220814247</v>
      </c>
      <c r="S89" s="701">
        <v>1957.1597757438674</v>
      </c>
    </row>
    <row r="90" spans="1:19" x14ac:dyDescent="0.3">
      <c r="A90" s="698" t="s">
        <v>2045</v>
      </c>
      <c r="B90" s="699" t="s">
        <v>2162</v>
      </c>
      <c r="C90" s="700" t="s">
        <v>2211</v>
      </c>
      <c r="D90" s="700" t="s">
        <v>2212</v>
      </c>
      <c r="E90" s="701">
        <v>0</v>
      </c>
      <c r="F90" s="701">
        <v>1043.3134170000001</v>
      </c>
      <c r="G90" s="701">
        <v>0</v>
      </c>
      <c r="H90" s="701"/>
      <c r="I90" s="701">
        <v>96.746978999999996</v>
      </c>
      <c r="J90" s="701">
        <v>0</v>
      </c>
      <c r="K90" s="701">
        <v>0</v>
      </c>
      <c r="L90" s="701">
        <v>0</v>
      </c>
      <c r="M90" s="701">
        <v>0</v>
      </c>
      <c r="N90" s="701">
        <v>0</v>
      </c>
      <c r="O90" s="701">
        <v>0</v>
      </c>
      <c r="P90" s="701">
        <v>0</v>
      </c>
      <c r="Q90" s="701">
        <v>0</v>
      </c>
      <c r="R90" s="701">
        <v>0</v>
      </c>
      <c r="S90" s="701">
        <v>0</v>
      </c>
    </row>
    <row r="91" spans="1:19" x14ac:dyDescent="0.3">
      <c r="A91" s="698" t="s">
        <v>2045</v>
      </c>
      <c r="B91" s="699" t="s">
        <v>2162</v>
      </c>
      <c r="C91" s="700" t="s">
        <v>2213</v>
      </c>
      <c r="D91" s="700" t="s">
        <v>2214</v>
      </c>
      <c r="E91" s="701">
        <v>3000.732</v>
      </c>
      <c r="F91" s="701">
        <v>3350.4114500000001</v>
      </c>
      <c r="G91" s="701">
        <v>5485.4115061599996</v>
      </c>
      <c r="H91" s="701">
        <v>2767</v>
      </c>
      <c r="I91" s="701">
        <v>3121.1596416800003</v>
      </c>
      <c r="J91" s="701">
        <v>3892</v>
      </c>
      <c r="K91" s="701">
        <v>4008.76</v>
      </c>
      <c r="L91" s="701">
        <v>4129.0228000000006</v>
      </c>
      <c r="M91" s="701">
        <v>4252.8934840000011</v>
      </c>
      <c r="N91" s="701">
        <v>4380.4802885200015</v>
      </c>
      <c r="O91" s="701">
        <v>4511.8946971756013</v>
      </c>
      <c r="P91" s="701">
        <v>4647.2515380908699</v>
      </c>
      <c r="Q91" s="701">
        <v>4786.6690842335956</v>
      </c>
      <c r="R91" s="701">
        <v>4930.2691567606034</v>
      </c>
      <c r="S91" s="701">
        <v>5078.1772314634218</v>
      </c>
    </row>
    <row r="92" spans="1:19" x14ac:dyDescent="0.3">
      <c r="A92" s="698" t="s">
        <v>2045</v>
      </c>
      <c r="B92" s="699" t="s">
        <v>2162</v>
      </c>
      <c r="C92" s="700" t="s">
        <v>2215</v>
      </c>
      <c r="D92" s="700" t="s">
        <v>2216</v>
      </c>
      <c r="E92" s="701">
        <v>0</v>
      </c>
      <c r="F92" s="701">
        <v>0</v>
      </c>
      <c r="G92" s="701">
        <v>1557.2417088</v>
      </c>
      <c r="H92" s="701"/>
      <c r="I92" s="701">
        <v>0</v>
      </c>
      <c r="J92" s="701">
        <v>380</v>
      </c>
      <c r="K92" s="701">
        <v>0</v>
      </c>
      <c r="L92" s="701">
        <v>0</v>
      </c>
      <c r="M92" s="701">
        <v>0</v>
      </c>
      <c r="N92" s="701">
        <v>0</v>
      </c>
      <c r="O92" s="701">
        <v>0</v>
      </c>
      <c r="P92" s="701">
        <v>0</v>
      </c>
      <c r="Q92" s="701">
        <v>0</v>
      </c>
      <c r="R92" s="701">
        <v>0</v>
      </c>
      <c r="S92" s="701">
        <v>0</v>
      </c>
    </row>
    <row r="93" spans="1:19" x14ac:dyDescent="0.3">
      <c r="A93" s="698" t="s">
        <v>2045</v>
      </c>
      <c r="B93" s="699" t="s">
        <v>2162</v>
      </c>
      <c r="C93" s="700" t="s">
        <v>2217</v>
      </c>
      <c r="D93" s="700" t="s">
        <v>2218</v>
      </c>
      <c r="E93" s="701">
        <v>964.99199999999996</v>
      </c>
      <c r="F93" s="701">
        <v>4454.9703060000002</v>
      </c>
      <c r="G93" s="701">
        <v>4870.2179725599999</v>
      </c>
      <c r="H93" s="701">
        <v>1299</v>
      </c>
      <c r="I93" s="701">
        <v>4783.6890039999998</v>
      </c>
      <c r="J93" s="701">
        <v>1382</v>
      </c>
      <c r="K93" s="701">
        <v>0</v>
      </c>
      <c r="L93" s="701">
        <v>0</v>
      </c>
      <c r="M93" s="701">
        <v>0</v>
      </c>
      <c r="N93" s="701">
        <v>0</v>
      </c>
      <c r="O93" s="701">
        <v>0</v>
      </c>
      <c r="P93" s="701">
        <v>0</v>
      </c>
      <c r="Q93" s="701">
        <v>0</v>
      </c>
      <c r="R93" s="701">
        <v>0</v>
      </c>
      <c r="S93" s="701">
        <v>0</v>
      </c>
    </row>
    <row r="94" spans="1:19" x14ac:dyDescent="0.3">
      <c r="A94" s="698" t="s">
        <v>2045</v>
      </c>
      <c r="B94" s="699" t="s">
        <v>2162</v>
      </c>
      <c r="C94" s="700" t="s">
        <v>2219</v>
      </c>
      <c r="D94" s="700" t="s">
        <v>2220</v>
      </c>
      <c r="E94" s="701">
        <v>24911.026000000002</v>
      </c>
      <c r="F94" s="701">
        <v>7857.792308</v>
      </c>
      <c r="G94" s="701">
        <v>4298.0549693600005</v>
      </c>
      <c r="H94" s="701"/>
      <c r="I94" s="701">
        <v>5901.3017894599998</v>
      </c>
      <c r="J94" s="701">
        <v>0</v>
      </c>
      <c r="K94" s="701">
        <v>723</v>
      </c>
      <c r="L94" s="701">
        <v>3057</v>
      </c>
      <c r="M94" s="701">
        <v>4604.0425432596239</v>
      </c>
      <c r="N94" s="701">
        <v>6038.6038195574074</v>
      </c>
      <c r="O94" s="701">
        <v>7484.891934144136</v>
      </c>
      <c r="P94" s="701">
        <v>9159.3186921683955</v>
      </c>
      <c r="Q94" s="701">
        <v>11321.308252933435</v>
      </c>
      <c r="R94" s="701">
        <v>14337.29750052141</v>
      </c>
      <c r="S94" s="701">
        <v>15312.73642553715</v>
      </c>
    </row>
    <row r="95" spans="1:19" x14ac:dyDescent="0.3">
      <c r="A95" s="698" t="s">
        <v>2045</v>
      </c>
      <c r="B95" s="699" t="s">
        <v>2162</v>
      </c>
      <c r="C95" s="705" t="s">
        <v>2221</v>
      </c>
      <c r="D95" s="705" t="s">
        <v>2222</v>
      </c>
      <c r="E95" s="706">
        <v>8282.3349999999991</v>
      </c>
      <c r="F95" s="706">
        <v>12170.595434999999</v>
      </c>
      <c r="G95" s="706">
        <v>0</v>
      </c>
      <c r="H95" s="706">
        <v>0</v>
      </c>
      <c r="I95" s="706">
        <v>0</v>
      </c>
      <c r="J95" s="706">
        <v>0</v>
      </c>
      <c r="K95" s="706">
        <v>0</v>
      </c>
      <c r="L95" s="706">
        <v>0</v>
      </c>
      <c r="M95" s="706">
        <v>0</v>
      </c>
      <c r="N95" s="706">
        <v>0</v>
      </c>
      <c r="O95" s="706">
        <v>0</v>
      </c>
      <c r="P95" s="706">
        <v>0</v>
      </c>
      <c r="Q95" s="706">
        <v>0</v>
      </c>
      <c r="R95" s="706">
        <v>0</v>
      </c>
      <c r="S95" s="706">
        <v>0</v>
      </c>
    </row>
    <row r="96" spans="1:19" s="725" customFormat="1" x14ac:dyDescent="0.3">
      <c r="A96" s="731" t="s">
        <v>2037</v>
      </c>
      <c r="B96" s="732" t="s">
        <v>2038</v>
      </c>
      <c r="C96" s="663" t="s">
        <v>2223</v>
      </c>
      <c r="D96" s="663" t="s">
        <v>2224</v>
      </c>
      <c r="E96" s="666">
        <v>-23706.457000000002</v>
      </c>
      <c r="F96" s="666">
        <v>-26633.924675999999</v>
      </c>
      <c r="G96" s="666">
        <v>2937.1545638900025</v>
      </c>
      <c r="H96" s="666">
        <v>5745</v>
      </c>
      <c r="I96" s="666">
        <v>-3142.3892023000008</v>
      </c>
      <c r="J96" s="666">
        <v>2863.3786635100005</v>
      </c>
      <c r="K96" s="666">
        <v>4041.1400234153007</v>
      </c>
      <c r="L96" s="666">
        <v>1850.0642241177593</v>
      </c>
      <c r="M96" s="666">
        <v>450.23360758166746</v>
      </c>
      <c r="N96" s="666">
        <v>-832.69938419087521</v>
      </c>
      <c r="O96" s="666">
        <v>-2122.8103657166102</v>
      </c>
      <c r="P96" s="666">
        <v>-3636.3746766880431</v>
      </c>
      <c r="Q96" s="666">
        <v>-5632.67591698867</v>
      </c>
      <c r="R96" s="666">
        <v>-8478.0061944983026</v>
      </c>
      <c r="S96" s="666">
        <v>-9277.6663803333522</v>
      </c>
    </row>
    <row r="97" spans="1:19" s="725" customFormat="1" x14ac:dyDescent="0.3">
      <c r="A97" s="731" t="s">
        <v>2037</v>
      </c>
      <c r="B97" s="732" t="s">
        <v>2038</v>
      </c>
      <c r="C97" s="663" t="s">
        <v>2225</v>
      </c>
      <c r="D97" s="663" t="s">
        <v>2226</v>
      </c>
      <c r="E97" s="666">
        <v>5039.6990000000224</v>
      </c>
      <c r="F97" s="666">
        <v>-5031.0178560000495</v>
      </c>
      <c r="G97" s="666">
        <v>-1240.5298740200815</v>
      </c>
      <c r="H97" s="666">
        <v>14707</v>
      </c>
      <c r="I97" s="666">
        <v>-32983.803752430249</v>
      </c>
      <c r="J97" s="666">
        <v>7139.7795215634978</v>
      </c>
      <c r="K97" s="666">
        <v>5739.5129072105046</v>
      </c>
      <c r="L97" s="666">
        <v>4984.8082944267662</v>
      </c>
      <c r="M97" s="666">
        <v>4879</v>
      </c>
      <c r="N97" s="666">
        <v>4878</v>
      </c>
      <c r="O97" s="666">
        <v>4878</v>
      </c>
      <c r="P97" s="666">
        <v>4665</v>
      </c>
      <c r="Q97" s="666">
        <v>3936</v>
      </c>
      <c r="R97" s="666">
        <v>2222</v>
      </c>
      <c r="S97" s="666">
        <v>2222</v>
      </c>
    </row>
    <row r="98" spans="1:19" s="725" customFormat="1" x14ac:dyDescent="0.3">
      <c r="A98" s="731" t="s">
        <v>2037</v>
      </c>
      <c r="B98" s="732" t="s">
        <v>2038</v>
      </c>
      <c r="C98" s="663" t="s">
        <v>2227</v>
      </c>
      <c r="D98" s="663" t="s">
        <v>2228</v>
      </c>
      <c r="E98" s="666">
        <v>40838.980000000003</v>
      </c>
      <c r="F98" s="666">
        <v>42052.543274999996</v>
      </c>
      <c r="G98" s="666">
        <v>42306.258489469968</v>
      </c>
      <c r="H98" s="666">
        <v>34161</v>
      </c>
      <c r="I98" s="666">
        <v>32983.803752430002</v>
      </c>
      <c r="J98" s="666">
        <v>-7140</v>
      </c>
      <c r="K98" s="666">
        <v>-5740</v>
      </c>
      <c r="L98" s="666">
        <v>-4985</v>
      </c>
      <c r="M98" s="666">
        <v>-4879</v>
      </c>
      <c r="N98" s="666">
        <v>-4878</v>
      </c>
      <c r="O98" s="666">
        <v>-4878</v>
      </c>
      <c r="P98" s="666">
        <v>-4665</v>
      </c>
      <c r="Q98" s="666">
        <v>-3936</v>
      </c>
      <c r="R98" s="666">
        <v>-2222</v>
      </c>
      <c r="S98" s="666">
        <v>-2222</v>
      </c>
    </row>
    <row r="99" spans="1:19" x14ac:dyDescent="0.3">
      <c r="A99" s="698" t="s">
        <v>2037</v>
      </c>
      <c r="B99" s="699" t="s">
        <v>2038</v>
      </c>
      <c r="C99" s="703" t="s">
        <v>2229</v>
      </c>
      <c r="D99" s="703" t="s">
        <v>2230</v>
      </c>
      <c r="E99" s="704">
        <v>-4037.5070000000001</v>
      </c>
      <c r="F99" s="704">
        <v>-1993.4183949999997</v>
      </c>
      <c r="G99" s="704">
        <v>-468.91578095000114</v>
      </c>
      <c r="H99" s="704">
        <v>-5781</v>
      </c>
      <c r="I99" s="704">
        <v>-7302.032013</v>
      </c>
      <c r="J99" s="704">
        <v>-7140</v>
      </c>
      <c r="K99" s="704">
        <v>-5740</v>
      </c>
      <c r="L99" s="704">
        <v>-4985</v>
      </c>
      <c r="M99" s="704">
        <v>-4879</v>
      </c>
      <c r="N99" s="704">
        <v>-4878</v>
      </c>
      <c r="O99" s="704">
        <v>-4878</v>
      </c>
      <c r="P99" s="704">
        <v>-4665</v>
      </c>
      <c r="Q99" s="704">
        <v>-3936</v>
      </c>
      <c r="R99" s="704">
        <v>-2222</v>
      </c>
      <c r="S99" s="704">
        <v>-2222</v>
      </c>
    </row>
    <row r="100" spans="1:19" x14ac:dyDescent="0.3">
      <c r="A100" s="698" t="s">
        <v>2037</v>
      </c>
      <c r="B100" s="699" t="s">
        <v>2038</v>
      </c>
      <c r="C100" s="703" t="s">
        <v>2231</v>
      </c>
      <c r="D100" s="703" t="s">
        <v>2232</v>
      </c>
      <c r="E100" s="704">
        <v>-4037.5070000000001</v>
      </c>
      <c r="F100" s="704">
        <v>-1993.4183949999997</v>
      </c>
      <c r="G100" s="704">
        <v>-468.91578095000114</v>
      </c>
      <c r="H100" s="704">
        <v>-5781</v>
      </c>
      <c r="I100" s="704">
        <v>-7302.032013</v>
      </c>
      <c r="J100" s="704">
        <v>-7140</v>
      </c>
      <c r="K100" s="704">
        <v>-5740</v>
      </c>
      <c r="L100" s="704">
        <v>-4985</v>
      </c>
      <c r="M100" s="704">
        <v>-4879</v>
      </c>
      <c r="N100" s="704">
        <v>-4878</v>
      </c>
      <c r="O100" s="704">
        <v>-4878</v>
      </c>
      <c r="P100" s="704">
        <v>-4665</v>
      </c>
      <c r="Q100" s="704">
        <v>-3936</v>
      </c>
      <c r="R100" s="704">
        <v>-2222</v>
      </c>
      <c r="S100" s="704">
        <v>-2222</v>
      </c>
    </row>
    <row r="101" spans="1:19" x14ac:dyDescent="0.3">
      <c r="A101" s="698" t="s">
        <v>2045</v>
      </c>
      <c r="B101" s="699" t="s">
        <v>946</v>
      </c>
      <c r="C101" s="700" t="s">
        <v>2233</v>
      </c>
      <c r="D101" s="700" t="s">
        <v>2234</v>
      </c>
      <c r="E101" s="701">
        <v>0</v>
      </c>
      <c r="F101" s="701">
        <v>3600</v>
      </c>
      <c r="G101" s="701">
        <v>9953.6580334999999</v>
      </c>
      <c r="H101" s="701">
        <v>0</v>
      </c>
      <c r="I101" s="701">
        <v>0</v>
      </c>
      <c r="J101" s="701">
        <v>0</v>
      </c>
      <c r="K101" s="701">
        <v>0</v>
      </c>
      <c r="L101" s="701">
        <v>0</v>
      </c>
      <c r="M101" s="701">
        <v>0</v>
      </c>
      <c r="N101" s="701">
        <v>0</v>
      </c>
      <c r="O101" s="701">
        <v>0</v>
      </c>
      <c r="P101" s="701">
        <v>0</v>
      </c>
      <c r="Q101" s="701">
        <v>0</v>
      </c>
      <c r="R101" s="701">
        <v>0</v>
      </c>
      <c r="S101" s="701">
        <v>0</v>
      </c>
    </row>
    <row r="102" spans="1:19" x14ac:dyDescent="0.3">
      <c r="A102" s="698" t="s">
        <v>2045</v>
      </c>
      <c r="B102" s="699" t="s">
        <v>2157</v>
      </c>
      <c r="C102" s="700" t="s">
        <v>2235</v>
      </c>
      <c r="D102" s="700" t="s">
        <v>2236</v>
      </c>
      <c r="E102" s="701">
        <v>4037.5070000000001</v>
      </c>
      <c r="F102" s="701">
        <v>5593.4183949999997</v>
      </c>
      <c r="G102" s="701">
        <v>10422.573814450001</v>
      </c>
      <c r="H102" s="701">
        <v>5781</v>
      </c>
      <c r="I102" s="701">
        <v>7302.032013</v>
      </c>
      <c r="J102" s="701">
        <v>7140</v>
      </c>
      <c r="K102" s="701">
        <v>5740</v>
      </c>
      <c r="L102" s="701">
        <v>4985</v>
      </c>
      <c r="M102" s="701">
        <v>4879</v>
      </c>
      <c r="N102" s="701">
        <v>4878</v>
      </c>
      <c r="O102" s="701">
        <v>4878</v>
      </c>
      <c r="P102" s="701">
        <v>4665</v>
      </c>
      <c r="Q102" s="701">
        <v>3936</v>
      </c>
      <c r="R102" s="701">
        <v>2222</v>
      </c>
      <c r="S102" s="701">
        <v>2222</v>
      </c>
    </row>
    <row r="103" spans="1:19" x14ac:dyDescent="0.3">
      <c r="A103" s="698" t="s">
        <v>2037</v>
      </c>
      <c r="B103" s="699" t="s">
        <v>2038</v>
      </c>
      <c r="C103" s="703" t="s">
        <v>2237</v>
      </c>
      <c r="D103" s="703" t="s">
        <v>2238</v>
      </c>
      <c r="E103" s="704">
        <v>0</v>
      </c>
      <c r="F103" s="704">
        <v>0</v>
      </c>
      <c r="G103" s="704">
        <v>0</v>
      </c>
      <c r="H103" s="704">
        <v>0</v>
      </c>
      <c r="I103" s="704">
        <v>0</v>
      </c>
      <c r="J103" s="704">
        <v>0</v>
      </c>
      <c r="K103" s="704">
        <v>0</v>
      </c>
      <c r="L103" s="704">
        <v>0</v>
      </c>
      <c r="M103" s="704">
        <v>0</v>
      </c>
      <c r="N103" s="704">
        <v>0</v>
      </c>
      <c r="O103" s="704">
        <v>0</v>
      </c>
      <c r="P103" s="704">
        <v>0</v>
      </c>
      <c r="Q103" s="704">
        <v>0</v>
      </c>
      <c r="R103" s="704">
        <v>0</v>
      </c>
      <c r="S103" s="704">
        <v>0</v>
      </c>
    </row>
    <row r="104" spans="1:19" x14ac:dyDescent="0.3">
      <c r="A104" s="698" t="s">
        <v>2045</v>
      </c>
      <c r="B104" s="699" t="s">
        <v>946</v>
      </c>
      <c r="C104" s="700" t="s">
        <v>2239</v>
      </c>
      <c r="D104" s="700" t="s">
        <v>2234</v>
      </c>
      <c r="E104" s="701">
        <v>0</v>
      </c>
      <c r="F104" s="701">
        <v>0</v>
      </c>
      <c r="G104" s="701">
        <v>0</v>
      </c>
      <c r="H104" s="701">
        <v>0</v>
      </c>
      <c r="I104" s="701">
        <v>0</v>
      </c>
      <c r="J104" s="701">
        <v>0</v>
      </c>
      <c r="K104" s="701">
        <v>0</v>
      </c>
      <c r="L104" s="701">
        <v>0</v>
      </c>
      <c r="M104" s="701">
        <v>0</v>
      </c>
      <c r="N104" s="701">
        <v>0</v>
      </c>
      <c r="O104" s="701">
        <v>0</v>
      </c>
      <c r="P104" s="701">
        <v>0</v>
      </c>
      <c r="Q104" s="701">
        <v>0</v>
      </c>
      <c r="R104" s="701">
        <v>0</v>
      </c>
      <c r="S104" s="701">
        <v>0</v>
      </c>
    </row>
    <row r="105" spans="1:19" x14ac:dyDescent="0.3">
      <c r="A105" s="698" t="s">
        <v>2045</v>
      </c>
      <c r="B105" s="699" t="s">
        <v>2157</v>
      </c>
      <c r="C105" s="700" t="s">
        <v>2240</v>
      </c>
      <c r="D105" s="700" t="s">
        <v>2236</v>
      </c>
      <c r="E105" s="701">
        <v>0</v>
      </c>
      <c r="F105" s="701">
        <v>0</v>
      </c>
      <c r="G105" s="701">
        <v>0</v>
      </c>
      <c r="H105" s="701">
        <v>0</v>
      </c>
      <c r="I105" s="701">
        <v>0</v>
      </c>
      <c r="J105" s="701">
        <v>0</v>
      </c>
      <c r="K105" s="701">
        <v>0</v>
      </c>
      <c r="L105" s="701">
        <v>0</v>
      </c>
      <c r="M105" s="701">
        <v>0</v>
      </c>
      <c r="N105" s="701">
        <v>0</v>
      </c>
      <c r="O105" s="701">
        <v>0</v>
      </c>
      <c r="P105" s="701">
        <v>0</v>
      </c>
      <c r="Q105" s="701">
        <v>0</v>
      </c>
      <c r="R105" s="701">
        <v>0</v>
      </c>
      <c r="S105" s="701">
        <v>0</v>
      </c>
    </row>
    <row r="106" spans="1:19" x14ac:dyDescent="0.3">
      <c r="A106" s="698" t="s">
        <v>2045</v>
      </c>
      <c r="B106" s="699" t="s">
        <v>946</v>
      </c>
      <c r="C106" s="705" t="s">
        <v>2241</v>
      </c>
      <c r="D106" s="705" t="s">
        <v>2242</v>
      </c>
      <c r="E106" s="706">
        <v>44876.487000000001</v>
      </c>
      <c r="F106" s="706">
        <v>44045.961669999997</v>
      </c>
      <c r="G106" s="706">
        <v>42775.174270419971</v>
      </c>
      <c r="H106" s="706">
        <v>39942</v>
      </c>
      <c r="I106" s="706">
        <v>40285.835765429998</v>
      </c>
      <c r="J106" s="706">
        <v>0</v>
      </c>
      <c r="K106" s="706">
        <v>0</v>
      </c>
      <c r="L106" s="706">
        <v>0</v>
      </c>
      <c r="M106" s="706">
        <v>0</v>
      </c>
      <c r="N106" s="706">
        <v>0</v>
      </c>
      <c r="O106" s="706">
        <v>0</v>
      </c>
      <c r="P106" s="706">
        <v>0</v>
      </c>
      <c r="Q106" s="706">
        <v>0</v>
      </c>
      <c r="R106" s="706">
        <v>0</v>
      </c>
      <c r="S106" s="706">
        <v>0</v>
      </c>
    </row>
    <row r="107" spans="1:19" x14ac:dyDescent="0.3">
      <c r="A107" s="698" t="s">
        <v>2045</v>
      </c>
      <c r="B107" s="699" t="s">
        <v>946</v>
      </c>
      <c r="C107" s="705" t="s">
        <v>2243</v>
      </c>
      <c r="D107" s="705" t="s">
        <v>2244</v>
      </c>
      <c r="E107" s="706">
        <v>0</v>
      </c>
      <c r="F107" s="706">
        <v>0</v>
      </c>
      <c r="G107" s="706">
        <v>0</v>
      </c>
      <c r="H107" s="706">
        <v>0</v>
      </c>
      <c r="I107" s="706">
        <v>0</v>
      </c>
      <c r="J107" s="706">
        <v>0</v>
      </c>
      <c r="K107" s="706">
        <v>0</v>
      </c>
      <c r="L107" s="706">
        <v>0</v>
      </c>
      <c r="M107" s="706">
        <v>0</v>
      </c>
      <c r="N107" s="706">
        <v>0</v>
      </c>
      <c r="O107" s="706">
        <v>0</v>
      </c>
      <c r="P107" s="706">
        <v>0</v>
      </c>
      <c r="Q107" s="706">
        <v>0</v>
      </c>
      <c r="R107" s="706">
        <v>0</v>
      </c>
      <c r="S107" s="706">
        <v>0</v>
      </c>
    </row>
    <row r="108" spans="1:19" x14ac:dyDescent="0.3">
      <c r="A108" s="698" t="s">
        <v>2045</v>
      </c>
      <c r="B108" s="699" t="s">
        <v>946</v>
      </c>
      <c r="C108" s="705" t="s">
        <v>2245</v>
      </c>
      <c r="D108" s="705" t="s">
        <v>2246</v>
      </c>
      <c r="E108" s="706">
        <v>0</v>
      </c>
      <c r="F108" s="706">
        <v>0</v>
      </c>
      <c r="G108" s="706">
        <v>0</v>
      </c>
      <c r="H108" s="706">
        <v>0</v>
      </c>
      <c r="I108" s="706">
        <v>0</v>
      </c>
      <c r="J108" s="706">
        <v>0</v>
      </c>
      <c r="K108" s="706">
        <v>0</v>
      </c>
      <c r="L108" s="706">
        <v>0</v>
      </c>
      <c r="M108" s="706">
        <v>0</v>
      </c>
      <c r="N108" s="706">
        <v>0</v>
      </c>
      <c r="O108" s="706">
        <v>0</v>
      </c>
      <c r="P108" s="706">
        <v>0</v>
      </c>
      <c r="Q108" s="706">
        <v>0</v>
      </c>
      <c r="R108" s="706">
        <v>0</v>
      </c>
      <c r="S108" s="706">
        <v>0</v>
      </c>
    </row>
    <row r="109" spans="1:19" x14ac:dyDescent="0.3">
      <c r="A109" s="698" t="s">
        <v>2045</v>
      </c>
      <c r="B109" s="699" t="s">
        <v>2038</v>
      </c>
      <c r="C109" s="703" t="s">
        <v>2247</v>
      </c>
      <c r="D109" s="703" t="s">
        <v>2248</v>
      </c>
      <c r="E109" s="704"/>
      <c r="F109" s="704"/>
      <c r="G109" s="704"/>
      <c r="H109" s="704"/>
      <c r="I109" s="704"/>
      <c r="J109" s="704"/>
      <c r="K109" s="704"/>
      <c r="L109" s="704"/>
      <c r="M109" s="704"/>
      <c r="N109" s="704"/>
      <c r="O109" s="704"/>
      <c r="P109" s="704"/>
      <c r="Q109" s="704"/>
      <c r="R109" s="704"/>
      <c r="S109" s="704"/>
    </row>
    <row r="110" spans="1:19" s="725" customFormat="1" x14ac:dyDescent="0.3">
      <c r="A110" s="731" t="s">
        <v>2037</v>
      </c>
      <c r="B110" s="732" t="s">
        <v>2038</v>
      </c>
      <c r="C110" s="663" t="s">
        <v>2249</v>
      </c>
      <c r="D110" s="663" t="s">
        <v>2250</v>
      </c>
      <c r="E110" s="666"/>
      <c r="F110" s="666"/>
      <c r="G110" s="666"/>
      <c r="H110" s="666"/>
      <c r="I110" s="666"/>
      <c r="J110" s="666"/>
      <c r="K110" s="666"/>
      <c r="L110" s="666"/>
      <c r="M110" s="666"/>
      <c r="N110" s="666"/>
      <c r="O110" s="666"/>
      <c r="P110" s="666"/>
      <c r="Q110" s="666"/>
      <c r="R110" s="666"/>
      <c r="S110" s="666"/>
    </row>
    <row r="111" spans="1:19" s="725" customFormat="1" x14ac:dyDescent="0.3">
      <c r="A111" s="731" t="s">
        <v>2037</v>
      </c>
      <c r="B111" s="732" t="s">
        <v>2038</v>
      </c>
      <c r="C111" s="663" t="s">
        <v>2251</v>
      </c>
      <c r="D111" s="663" t="s">
        <v>2252</v>
      </c>
      <c r="E111" s="666">
        <v>52946.809000000045</v>
      </c>
      <c r="F111" s="666">
        <v>41277.739048999974</v>
      </c>
      <c r="G111" s="666">
        <v>43589.786189619903</v>
      </c>
      <c r="H111" s="666">
        <v>55513</v>
      </c>
      <c r="I111" s="666">
        <v>9970.4888119997267</v>
      </c>
      <c r="J111" s="666">
        <v>12195.779521563498</v>
      </c>
      <c r="K111" s="666">
        <v>13653.512907210505</v>
      </c>
      <c r="L111" s="666">
        <v>11750.808294426766</v>
      </c>
      <c r="M111" s="666">
        <v>10648</v>
      </c>
      <c r="N111" s="666">
        <v>9671</v>
      </c>
      <c r="O111" s="666">
        <v>8696</v>
      </c>
      <c r="P111" s="666">
        <v>7507</v>
      </c>
      <c r="Q111" s="666">
        <v>5845</v>
      </c>
      <c r="R111" s="666">
        <v>3344</v>
      </c>
      <c r="S111" s="666">
        <v>2899</v>
      </c>
    </row>
    <row r="112" spans="1:19" x14ac:dyDescent="0.3">
      <c r="A112" s="698" t="s">
        <v>2037</v>
      </c>
      <c r="B112" s="699" t="s">
        <v>2038</v>
      </c>
      <c r="C112" s="705" t="s">
        <v>2253</v>
      </c>
      <c r="D112" s="705" t="s">
        <v>2254</v>
      </c>
      <c r="E112" s="706">
        <v>17.470602249108531</v>
      </c>
      <c r="F112" s="706">
        <v>18.241924152275306</v>
      </c>
      <c r="G112" s="706">
        <v>21.21011130882767</v>
      </c>
      <c r="H112" s="706">
        <v>64.251157407407405</v>
      </c>
      <c r="I112" s="706">
        <v>3.7364250437691746</v>
      </c>
      <c r="J112" s="706">
        <v>2.4121399370180967</v>
      </c>
      <c r="K112" s="706">
        <v>1.7252353938855831</v>
      </c>
      <c r="L112" s="706">
        <v>1.7367437621085968</v>
      </c>
      <c r="M112" s="706">
        <v>1.8457271624198301</v>
      </c>
      <c r="N112" s="706">
        <v>2.0177341957020656</v>
      </c>
      <c r="O112" s="706">
        <v>2.2776322682032477</v>
      </c>
      <c r="P112" s="706">
        <v>2.6414496833216043</v>
      </c>
      <c r="Q112" s="706">
        <v>3.0618124672603457</v>
      </c>
      <c r="R112" s="706">
        <v>2.9803921568627452</v>
      </c>
      <c r="S112" s="706">
        <v>4.2821270310192023</v>
      </c>
    </row>
    <row r="113" spans="1:19" s="725" customFormat="1" x14ac:dyDescent="0.3">
      <c r="A113" s="731" t="s">
        <v>2037</v>
      </c>
      <c r="B113" s="732" t="s">
        <v>2038</v>
      </c>
      <c r="C113" s="663" t="s">
        <v>2255</v>
      </c>
      <c r="D113" s="663" t="s">
        <v>2256</v>
      </c>
      <c r="E113" s="666"/>
      <c r="F113" s="666"/>
      <c r="G113" s="666"/>
      <c r="H113" s="666"/>
      <c r="I113" s="666"/>
      <c r="J113" s="666"/>
      <c r="K113" s="666"/>
      <c r="L113" s="666"/>
      <c r="M113" s="666"/>
      <c r="N113" s="666"/>
      <c r="O113" s="666"/>
      <c r="P113" s="666"/>
      <c r="Q113" s="666"/>
      <c r="R113" s="666"/>
      <c r="S113" s="666"/>
    </row>
    <row r="114" spans="1:19" x14ac:dyDescent="0.3">
      <c r="A114" s="698" t="s">
        <v>2037</v>
      </c>
      <c r="B114" s="699" t="s">
        <v>2038</v>
      </c>
      <c r="C114" s="705" t="s">
        <v>2257</v>
      </c>
      <c r="D114" s="705" t="s">
        <v>2258</v>
      </c>
      <c r="E114" s="706">
        <v>349878.14100000006</v>
      </c>
      <c r="F114" s="706">
        <v>360898.69964199996</v>
      </c>
      <c r="G114" s="706">
        <v>405242.52438238991</v>
      </c>
      <c r="H114" s="706">
        <v>378695</v>
      </c>
      <c r="I114" s="706">
        <v>416019.92512606981</v>
      </c>
      <c r="J114" s="706">
        <v>364299.7795215635</v>
      </c>
      <c r="K114" s="706">
        <v>375228.77290721046</v>
      </c>
      <c r="L114" s="706">
        <v>386485.63609442674</v>
      </c>
      <c r="M114" s="706">
        <v>398080.20517725957</v>
      </c>
      <c r="N114" s="706">
        <v>410022.61133257742</v>
      </c>
      <c r="O114" s="706">
        <v>422323.2896725547</v>
      </c>
      <c r="P114" s="706">
        <v>434992.98836273135</v>
      </c>
      <c r="Q114" s="706">
        <v>448042.77801361325</v>
      </c>
      <c r="R114" s="706">
        <v>461484.06135402172</v>
      </c>
      <c r="S114" s="706">
        <v>475328.58319464239</v>
      </c>
    </row>
    <row r="115" spans="1:19" x14ac:dyDescent="0.3">
      <c r="A115" s="698" t="s">
        <v>2037</v>
      </c>
      <c r="B115" s="699" t="s">
        <v>2038</v>
      </c>
      <c r="C115" s="705" t="s">
        <v>2259</v>
      </c>
      <c r="D115" s="705" t="s">
        <v>2260</v>
      </c>
      <c r="E115" s="706">
        <v>303999.462</v>
      </c>
      <c r="F115" s="706">
        <v>323877.17422300001</v>
      </c>
      <c r="G115" s="706">
        <v>364176.79576693999</v>
      </c>
      <c r="H115" s="706">
        <v>329827</v>
      </c>
      <c r="I115" s="706">
        <v>416019.92512607004</v>
      </c>
      <c r="J115" s="706">
        <v>364300</v>
      </c>
      <c r="K115" s="706">
        <v>375229.25999999995</v>
      </c>
      <c r="L115" s="706">
        <v>386485.82779999997</v>
      </c>
      <c r="M115" s="706">
        <v>398080.20517725957</v>
      </c>
      <c r="N115" s="706">
        <v>410022.61133257742</v>
      </c>
      <c r="O115" s="706">
        <v>422323.2896725547</v>
      </c>
      <c r="P115" s="706">
        <v>434992.98836273135</v>
      </c>
      <c r="Q115" s="706">
        <v>448042.77801361325</v>
      </c>
      <c r="R115" s="706">
        <v>461484.06135402172</v>
      </c>
      <c r="S115" s="706">
        <v>475328.58319464239</v>
      </c>
    </row>
    <row r="116" spans="1:19" s="725" customFormat="1" x14ac:dyDescent="0.3">
      <c r="A116" s="726" t="s">
        <v>2037</v>
      </c>
      <c r="B116" s="727" t="s">
        <v>2038</v>
      </c>
      <c r="C116" s="733" t="s">
        <v>2261</v>
      </c>
      <c r="D116" s="733" t="s">
        <v>2262</v>
      </c>
      <c r="E116" s="734">
        <v>45878.679000000062</v>
      </c>
      <c r="F116" s="734">
        <v>37021.525418999954</v>
      </c>
      <c r="G116" s="734">
        <v>41065.728615449916</v>
      </c>
      <c r="H116" s="734">
        <v>48868</v>
      </c>
      <c r="I116" s="734">
        <v>0</v>
      </c>
      <c r="J116" s="734">
        <v>-0.22047843650216237</v>
      </c>
      <c r="K116" s="734">
        <v>-0.48709278949536383</v>
      </c>
      <c r="L116" s="734">
        <v>-0.19170557323377579</v>
      </c>
      <c r="M116" s="734">
        <v>0</v>
      </c>
      <c r="N116" s="734">
        <v>0</v>
      </c>
      <c r="O116" s="734">
        <v>0</v>
      </c>
      <c r="P116" s="734">
        <v>0</v>
      </c>
      <c r="Q116" s="734">
        <v>0</v>
      </c>
      <c r="R116" s="734">
        <v>0</v>
      </c>
      <c r="S116" s="734">
        <v>0</v>
      </c>
    </row>
    <row r="117" spans="1:19" x14ac:dyDescent="0.3">
      <c r="A117" s="698"/>
      <c r="B117" s="698"/>
      <c r="C117" s="707"/>
      <c r="D117" s="707"/>
      <c r="E117" s="708"/>
      <c r="F117" s="708"/>
      <c r="G117" s="708"/>
      <c r="H117" s="708"/>
      <c r="I117" s="708"/>
      <c r="J117" s="708"/>
      <c r="K117" s="708"/>
      <c r="L117" s="708"/>
      <c r="M117" s="708"/>
      <c r="N117" s="708"/>
      <c r="O117" s="708"/>
      <c r="P117" s="708"/>
      <c r="Q117" s="708"/>
      <c r="R117" s="708"/>
      <c r="S117" s="708"/>
    </row>
    <row r="118" spans="1:19" s="725" customFormat="1" x14ac:dyDescent="0.3">
      <c r="A118" s="731" t="s">
        <v>2037</v>
      </c>
      <c r="B118" s="731" t="s">
        <v>2038</v>
      </c>
      <c r="C118" s="663" t="s">
        <v>2263</v>
      </c>
      <c r="D118" s="663" t="s">
        <v>2264</v>
      </c>
      <c r="E118" s="666"/>
      <c r="F118" s="666"/>
      <c r="G118" s="666"/>
      <c r="H118" s="666"/>
      <c r="I118" s="666"/>
      <c r="J118" s="666"/>
      <c r="K118" s="666"/>
      <c r="L118" s="666"/>
      <c r="M118" s="666"/>
      <c r="N118" s="666"/>
      <c r="O118" s="666"/>
      <c r="P118" s="666"/>
      <c r="Q118" s="666"/>
      <c r="R118" s="666"/>
      <c r="S118" s="666"/>
    </row>
    <row r="119" spans="1:19" x14ac:dyDescent="0.3">
      <c r="A119" s="698" t="s">
        <v>2045</v>
      </c>
      <c r="B119" s="698" t="s">
        <v>2038</v>
      </c>
      <c r="C119" s="700" t="s">
        <v>2265</v>
      </c>
      <c r="D119" s="700" t="s">
        <v>2266</v>
      </c>
      <c r="E119" s="701">
        <v>3515.2440000000001</v>
      </c>
      <c r="F119" s="701">
        <v>888.63490000000002</v>
      </c>
      <c r="G119" s="701">
        <v>0</v>
      </c>
      <c r="H119" s="701">
        <v>0</v>
      </c>
      <c r="I119" s="701">
        <v>2785.9993128900005</v>
      </c>
      <c r="J119" s="701">
        <v>0</v>
      </c>
      <c r="K119" s="701">
        <v>0</v>
      </c>
      <c r="L119" s="701">
        <v>0</v>
      </c>
      <c r="M119" s="701">
        <v>0</v>
      </c>
      <c r="N119" s="701">
        <v>0</v>
      </c>
      <c r="O119" s="701">
        <v>0</v>
      </c>
      <c r="P119" s="701">
        <v>0</v>
      </c>
      <c r="Q119" s="701">
        <v>0</v>
      </c>
      <c r="R119" s="701">
        <v>0</v>
      </c>
      <c r="S119" s="701">
        <v>0</v>
      </c>
    </row>
    <row r="120" spans="1:19" x14ac:dyDescent="0.3">
      <c r="A120" s="698" t="s">
        <v>2045</v>
      </c>
      <c r="B120" s="698" t="s">
        <v>2038</v>
      </c>
      <c r="C120" s="700" t="s">
        <v>2267</v>
      </c>
      <c r="D120" s="700" t="s">
        <v>2268</v>
      </c>
      <c r="E120" s="701">
        <v>386.00700000000001</v>
      </c>
      <c r="F120" s="701">
        <v>646.99664399999995</v>
      </c>
      <c r="G120" s="701">
        <v>0</v>
      </c>
      <c r="H120" s="701">
        <v>0</v>
      </c>
      <c r="I120" s="701">
        <v>187.28478200000001</v>
      </c>
      <c r="J120" s="701">
        <v>0</v>
      </c>
      <c r="K120" s="701">
        <v>0</v>
      </c>
      <c r="L120" s="701">
        <v>0</v>
      </c>
      <c r="M120" s="701">
        <v>0</v>
      </c>
      <c r="N120" s="701">
        <v>0</v>
      </c>
      <c r="O120" s="701">
        <v>0</v>
      </c>
      <c r="P120" s="701">
        <v>0</v>
      </c>
      <c r="Q120" s="701">
        <v>0</v>
      </c>
      <c r="R120" s="701">
        <v>0</v>
      </c>
      <c r="S120" s="701">
        <v>0</v>
      </c>
    </row>
    <row r="121" spans="1:19" x14ac:dyDescent="0.3">
      <c r="A121" s="698" t="s">
        <v>2045</v>
      </c>
      <c r="B121" s="698" t="s">
        <v>2038</v>
      </c>
      <c r="C121" s="700" t="s">
        <v>2269</v>
      </c>
      <c r="D121" s="700" t="s">
        <v>2270</v>
      </c>
      <c r="E121" s="701">
        <v>1001.595</v>
      </c>
      <c r="F121" s="701">
        <v>236.974872</v>
      </c>
      <c r="G121" s="701">
        <v>0</v>
      </c>
      <c r="H121" s="701">
        <v>0</v>
      </c>
      <c r="I121" s="701">
        <v>2598.7145308900003</v>
      </c>
      <c r="J121" s="701">
        <v>0</v>
      </c>
      <c r="K121" s="701">
        <v>0</v>
      </c>
      <c r="L121" s="701">
        <v>0</v>
      </c>
      <c r="M121" s="701">
        <v>0</v>
      </c>
      <c r="N121" s="701">
        <v>0</v>
      </c>
      <c r="O121" s="701">
        <v>0</v>
      </c>
      <c r="P121" s="701">
        <v>0</v>
      </c>
      <c r="Q121" s="701">
        <v>0</v>
      </c>
      <c r="R121" s="701">
        <v>0</v>
      </c>
      <c r="S121" s="701">
        <v>0</v>
      </c>
    </row>
    <row r="122" spans="1:19" s="725" customFormat="1" x14ac:dyDescent="0.3">
      <c r="A122" s="726" t="s">
        <v>2037</v>
      </c>
      <c r="B122" s="726" t="s">
        <v>2038</v>
      </c>
      <c r="C122" s="733" t="s">
        <v>2271</v>
      </c>
      <c r="D122" s="733" t="s">
        <v>2248</v>
      </c>
      <c r="E122" s="734">
        <v>2127.6419999999998</v>
      </c>
      <c r="F122" s="734">
        <v>4.6633840000000646</v>
      </c>
      <c r="G122" s="734">
        <v>0</v>
      </c>
      <c r="H122" s="734">
        <v>0</v>
      </c>
      <c r="I122" s="734">
        <v>0</v>
      </c>
      <c r="J122" s="734">
        <v>0</v>
      </c>
      <c r="K122" s="734">
        <v>0</v>
      </c>
      <c r="L122" s="734">
        <v>0</v>
      </c>
      <c r="M122" s="734">
        <v>0</v>
      </c>
      <c r="N122" s="734">
        <v>0</v>
      </c>
      <c r="O122" s="734">
        <v>0</v>
      </c>
      <c r="P122" s="734">
        <v>0</v>
      </c>
      <c r="Q122" s="734">
        <v>0</v>
      </c>
      <c r="R122" s="734">
        <v>0</v>
      </c>
      <c r="S122" s="734">
        <v>0</v>
      </c>
    </row>
    <row r="123" spans="1:19" x14ac:dyDescent="0.3">
      <c r="A123" s="698"/>
      <c r="B123" s="698"/>
      <c r="C123" s="709"/>
      <c r="D123" s="709"/>
      <c r="E123" s="710"/>
      <c r="F123" s="710"/>
      <c r="G123" s="710"/>
      <c r="H123" s="710"/>
      <c r="I123" s="710"/>
      <c r="J123" s="710"/>
      <c r="K123" s="710"/>
      <c r="L123" s="710"/>
      <c r="M123" s="710"/>
      <c r="N123" s="710"/>
      <c r="O123" s="710"/>
      <c r="P123" s="710"/>
      <c r="Q123" s="710"/>
      <c r="R123" s="710"/>
      <c r="S123" s="710"/>
    </row>
    <row r="124" spans="1:19" s="725" customFormat="1" ht="33" x14ac:dyDescent="0.3">
      <c r="A124" s="731" t="s">
        <v>2037</v>
      </c>
      <c r="B124" s="731" t="s">
        <v>2038</v>
      </c>
      <c r="C124" s="663" t="s">
        <v>2272</v>
      </c>
      <c r="D124" s="663" t="s">
        <v>2273</v>
      </c>
      <c r="E124" s="666"/>
      <c r="F124" s="666"/>
      <c r="G124" s="666"/>
      <c r="H124" s="666"/>
      <c r="I124" s="666"/>
      <c r="J124" s="666"/>
      <c r="K124" s="666"/>
      <c r="L124" s="666"/>
      <c r="M124" s="666"/>
      <c r="N124" s="666"/>
      <c r="O124" s="666"/>
      <c r="P124" s="666"/>
      <c r="Q124" s="666"/>
      <c r="R124" s="666"/>
      <c r="S124" s="666"/>
    </row>
    <row r="125" spans="1:19" x14ac:dyDescent="0.3">
      <c r="A125" s="698" t="s">
        <v>2037</v>
      </c>
      <c r="B125" s="698" t="s">
        <v>2038</v>
      </c>
      <c r="C125" s="705" t="s">
        <v>2274</v>
      </c>
      <c r="D125" s="705" t="s">
        <v>2275</v>
      </c>
      <c r="E125" s="706">
        <v>353393.38500000007</v>
      </c>
      <c r="F125" s="706">
        <v>361787.33454199997</v>
      </c>
      <c r="G125" s="706">
        <v>405242.52438238991</v>
      </c>
      <c r="H125" s="706">
        <v>378695</v>
      </c>
      <c r="I125" s="706">
        <v>418805.9244389598</v>
      </c>
      <c r="J125" s="706">
        <v>364299.7795215635</v>
      </c>
      <c r="K125" s="706">
        <v>375228.77290721046</v>
      </c>
      <c r="L125" s="706">
        <v>386485.63609442674</v>
      </c>
      <c r="M125" s="706">
        <v>398080.20517725957</v>
      </c>
      <c r="N125" s="706">
        <v>410022.61133257742</v>
      </c>
      <c r="O125" s="706">
        <v>422323.2896725547</v>
      </c>
      <c r="P125" s="706">
        <v>434992.98836273135</v>
      </c>
      <c r="Q125" s="706">
        <v>448042.77801361325</v>
      </c>
      <c r="R125" s="706">
        <v>461484.06135402172</v>
      </c>
      <c r="S125" s="706">
        <v>475328.58319464239</v>
      </c>
    </row>
    <row r="126" spans="1:19" x14ac:dyDescent="0.3">
      <c r="A126" s="698" t="s">
        <v>2037</v>
      </c>
      <c r="B126" s="698" t="s">
        <v>2038</v>
      </c>
      <c r="C126" s="705" t="s">
        <v>2276</v>
      </c>
      <c r="D126" s="705" t="s">
        <v>2277</v>
      </c>
      <c r="E126" s="706">
        <v>305387.06399999995</v>
      </c>
      <c r="F126" s="706">
        <v>324761.145739</v>
      </c>
      <c r="G126" s="706">
        <v>364176.79576693999</v>
      </c>
      <c r="H126" s="706">
        <v>329827</v>
      </c>
      <c r="I126" s="706">
        <v>418805.92443896004</v>
      </c>
      <c r="J126" s="706">
        <v>364300</v>
      </c>
      <c r="K126" s="706">
        <v>375229.25999999995</v>
      </c>
      <c r="L126" s="706">
        <v>386485.82779999997</v>
      </c>
      <c r="M126" s="706">
        <v>398080.20517725957</v>
      </c>
      <c r="N126" s="706">
        <v>410022.61133257742</v>
      </c>
      <c r="O126" s="706">
        <v>422323.2896725547</v>
      </c>
      <c r="P126" s="706">
        <v>434992.98836273135</v>
      </c>
      <c r="Q126" s="706">
        <v>448042.77801361325</v>
      </c>
      <c r="R126" s="706">
        <v>461484.06135402172</v>
      </c>
      <c r="S126" s="706">
        <v>475328.58319464239</v>
      </c>
    </row>
    <row r="127" spans="1:19" s="725" customFormat="1" x14ac:dyDescent="0.3">
      <c r="A127" s="726" t="s">
        <v>2037</v>
      </c>
      <c r="B127" s="726" t="s">
        <v>2038</v>
      </c>
      <c r="C127" s="733" t="s">
        <v>2278</v>
      </c>
      <c r="D127" s="733" t="s">
        <v>2262</v>
      </c>
      <c r="E127" s="734">
        <v>48006.321000000113</v>
      </c>
      <c r="F127" s="734">
        <v>37026.188802999968</v>
      </c>
      <c r="G127" s="734">
        <v>41065.728615449916</v>
      </c>
      <c r="H127" s="734">
        <v>48868</v>
      </c>
      <c r="I127" s="734">
        <v>0</v>
      </c>
      <c r="J127" s="734">
        <v>0</v>
      </c>
      <c r="K127" s="734">
        <v>0</v>
      </c>
      <c r="L127" s="734">
        <v>0</v>
      </c>
      <c r="M127" s="734">
        <v>0</v>
      </c>
      <c r="N127" s="734">
        <v>0</v>
      </c>
      <c r="O127" s="734">
        <v>0</v>
      </c>
      <c r="P127" s="734">
        <v>0</v>
      </c>
      <c r="Q127" s="734">
        <v>0</v>
      </c>
      <c r="R127" s="734">
        <v>0</v>
      </c>
      <c r="S127" s="734">
        <v>0</v>
      </c>
    </row>
  </sheetData>
  <mergeCells count="3">
    <mergeCell ref="C1:D1"/>
    <mergeCell ref="C2:D2"/>
    <mergeCell ref="C3:D3"/>
  </mergeCells>
  <dataValidations count="1">
    <dataValidation allowBlank="1" showInputMessage="1" showErrorMessage="1" errorTitle="Error" error="Valor No Permitido" sqref="G1" xr:uid="{00000000-0002-0000-0F00-000000000000}"/>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8"/>
  <sheetViews>
    <sheetView topLeftCell="A26" zoomScale="90" zoomScaleNormal="90" workbookViewId="0">
      <selection activeCell="D68" sqref="D68"/>
    </sheetView>
  </sheetViews>
  <sheetFormatPr baseColWidth="10" defaultColWidth="57.5703125" defaultRowHeight="15" x14ac:dyDescent="0.25"/>
  <cols>
    <col min="1" max="1" width="50.85546875" customWidth="1"/>
    <col min="2" max="2" width="58.28515625" customWidth="1"/>
    <col min="3" max="3" width="24.42578125" bestFit="1" customWidth="1"/>
    <col min="4" max="4" width="31.5703125" customWidth="1"/>
    <col min="5" max="5" width="29.85546875" customWidth="1"/>
    <col min="6" max="6" width="33.85546875" customWidth="1"/>
    <col min="7" max="7" width="32.7109375" customWidth="1"/>
  </cols>
  <sheetData>
    <row r="1" spans="1:5" ht="18.75" x14ac:dyDescent="0.25">
      <c r="A1" s="982" t="s">
        <v>946</v>
      </c>
      <c r="B1" s="982" t="s">
        <v>955</v>
      </c>
      <c r="C1" s="982" t="s">
        <v>956</v>
      </c>
    </row>
    <row r="2" spans="1:5" ht="18.75" x14ac:dyDescent="0.25">
      <c r="A2" s="983" t="s">
        <v>950</v>
      </c>
      <c r="B2" s="984">
        <f>+B3+B4</f>
        <v>153846924153.72162</v>
      </c>
      <c r="C2" s="993">
        <v>0.38429999999999997</v>
      </c>
      <c r="D2" s="945"/>
    </row>
    <row r="3" spans="1:5" ht="18.75" hidden="1" x14ac:dyDescent="0.25">
      <c r="A3" s="985" t="s">
        <v>951</v>
      </c>
      <c r="B3" s="986">
        <f>SUM('F Y U 2023 Prespupuesto'!C7:C38)</f>
        <v>126411551449.8231</v>
      </c>
      <c r="C3" s="994"/>
      <c r="D3" s="131"/>
      <c r="E3" s="945"/>
    </row>
    <row r="4" spans="1:5" ht="18.75" hidden="1" x14ac:dyDescent="0.25">
      <c r="A4" s="985" t="s">
        <v>952</v>
      </c>
      <c r="B4" s="986">
        <f>SUM('F Y U 2023 Prespupuesto'!C39:C52)</f>
        <v>27435372703.898506</v>
      </c>
      <c r="C4" s="994"/>
    </row>
    <row r="5" spans="1:5" ht="18.75" x14ac:dyDescent="0.25">
      <c r="A5" s="983" t="s">
        <v>954</v>
      </c>
      <c r="B5" s="984">
        <v>795641085</v>
      </c>
      <c r="C5" s="993">
        <v>1.9E-3</v>
      </c>
    </row>
    <row r="6" spans="1:5" ht="18.75" x14ac:dyDescent="0.25">
      <c r="A6" s="983" t="s">
        <v>953</v>
      </c>
      <c r="B6" s="984">
        <v>254310579367</v>
      </c>
      <c r="C6" s="995">
        <f>+B6/B11</f>
        <v>0.62185749815467239</v>
      </c>
    </row>
    <row r="7" spans="1:5" ht="18.75" hidden="1" x14ac:dyDescent="0.25">
      <c r="A7" s="985" t="s">
        <v>958</v>
      </c>
      <c r="B7" s="986">
        <v>196054000000</v>
      </c>
      <c r="C7" s="996">
        <v>0.47320000000000001</v>
      </c>
    </row>
    <row r="8" spans="1:5" ht="18.75" hidden="1" x14ac:dyDescent="0.25">
      <c r="A8" s="985" t="s">
        <v>959</v>
      </c>
      <c r="B8" s="986">
        <v>52144109045</v>
      </c>
      <c r="C8" s="996">
        <v>0.1258</v>
      </c>
    </row>
    <row r="9" spans="1:5" ht="37.5" hidden="1" x14ac:dyDescent="0.25">
      <c r="A9" s="985" t="s">
        <v>960</v>
      </c>
      <c r="B9" s="986">
        <v>2952931316</v>
      </c>
      <c r="C9" s="996">
        <v>7.1000000000000004E-3</v>
      </c>
    </row>
    <row r="10" spans="1:5" ht="18.75" hidden="1" x14ac:dyDescent="0.25">
      <c r="A10" s="985" t="s">
        <v>961</v>
      </c>
      <c r="B10" s="986">
        <v>3159539006</v>
      </c>
      <c r="C10" s="996">
        <v>7.6E-3</v>
      </c>
    </row>
    <row r="11" spans="1:5" ht="18.75" x14ac:dyDescent="0.25">
      <c r="A11" s="987" t="s">
        <v>949</v>
      </c>
      <c r="B11" s="988">
        <f>+B2+B5+B6</f>
        <v>408953144605.72162</v>
      </c>
      <c r="C11" s="997">
        <v>1</v>
      </c>
    </row>
    <row r="30" spans="1:6" ht="21.75" x14ac:dyDescent="0.25">
      <c r="A30" s="979" t="s">
        <v>968</v>
      </c>
      <c r="B30" s="979">
        <v>2017</v>
      </c>
      <c r="C30" s="979">
        <v>2018</v>
      </c>
      <c r="D30" s="979">
        <v>2019</v>
      </c>
      <c r="E30" s="979">
        <v>2020</v>
      </c>
      <c r="F30" s="979">
        <v>2021</v>
      </c>
    </row>
    <row r="31" spans="1:6" ht="31.5" x14ac:dyDescent="0.25">
      <c r="A31" s="980" t="s">
        <v>975</v>
      </c>
      <c r="B31" s="981">
        <v>77596</v>
      </c>
      <c r="C31" s="981">
        <v>80147</v>
      </c>
      <c r="D31" s="981">
        <v>85160</v>
      </c>
      <c r="E31" s="981">
        <v>71867</v>
      </c>
      <c r="F31" s="981">
        <v>96343</v>
      </c>
    </row>
    <row r="38" spans="1:3" ht="15.75" thickBot="1" x14ac:dyDescent="0.3"/>
    <row r="39" spans="1:3" ht="15.75" thickBot="1" x14ac:dyDescent="0.3">
      <c r="A39" s="1063" t="s">
        <v>976</v>
      </c>
      <c r="B39" s="1062" t="s">
        <v>977</v>
      </c>
    </row>
    <row r="40" spans="1:3" ht="15.75" thickBot="1" x14ac:dyDescent="0.3">
      <c r="A40" s="1067" t="s">
        <v>978</v>
      </c>
      <c r="B40" s="1069">
        <v>416942737937</v>
      </c>
    </row>
    <row r="41" spans="1:3" ht="15.75" thickBot="1" x14ac:dyDescent="0.3">
      <c r="A41" s="1067" t="s">
        <v>979</v>
      </c>
      <c r="B41" s="1069">
        <v>3964421668</v>
      </c>
    </row>
    <row r="42" spans="1:3" ht="26.25" thickBot="1" x14ac:dyDescent="0.3">
      <c r="A42" s="1067" t="s">
        <v>980</v>
      </c>
      <c r="B42" s="1069">
        <v>8963219425</v>
      </c>
    </row>
    <row r="43" spans="1:3" ht="15.75" thickBot="1" x14ac:dyDescent="0.3">
      <c r="A43" s="1058" t="s">
        <v>981</v>
      </c>
      <c r="B43" s="1065">
        <f>SUM(B40:B42)</f>
        <v>429870379030</v>
      </c>
    </row>
    <row r="46" spans="1:3" ht="15.75" thickBot="1" x14ac:dyDescent="0.3"/>
    <row r="47" spans="1:3" ht="15.75" thickBot="1" x14ac:dyDescent="0.3">
      <c r="A47" s="1063" t="s">
        <v>982</v>
      </c>
      <c r="B47" s="1062" t="s">
        <v>983</v>
      </c>
      <c r="C47" s="1068" t="s">
        <v>984</v>
      </c>
    </row>
    <row r="48" spans="1:3" ht="15.75" thickBot="1" x14ac:dyDescent="0.3">
      <c r="A48" s="1067" t="s">
        <v>985</v>
      </c>
      <c r="B48" s="1066">
        <v>416147096852</v>
      </c>
      <c r="C48" s="1066">
        <v>407418685559.86963</v>
      </c>
    </row>
    <row r="49" spans="1:5" ht="15.75" thickBot="1" x14ac:dyDescent="0.3">
      <c r="A49" s="1067" t="s">
        <v>986</v>
      </c>
      <c r="B49" s="1066">
        <v>795641085</v>
      </c>
      <c r="C49" s="1066">
        <v>9524052376.7000008</v>
      </c>
    </row>
    <row r="50" spans="1:5" ht="15.75" thickBot="1" x14ac:dyDescent="0.3">
      <c r="A50" s="1058" t="s">
        <v>987</v>
      </c>
      <c r="B50" s="1065">
        <f>SUM(B48:B49)</f>
        <v>416942737937</v>
      </c>
      <c r="C50" s="1057">
        <f>SUM(C48:C49)</f>
        <v>416942737936.56964</v>
      </c>
    </row>
    <row r="52" spans="1:5" ht="15.75" thickBot="1" x14ac:dyDescent="0.3">
      <c r="A52" t="s">
        <v>988</v>
      </c>
    </row>
    <row r="53" spans="1:5" ht="15.75" thickBot="1" x14ac:dyDescent="0.3">
      <c r="A53" s="1063" t="s">
        <v>989</v>
      </c>
      <c r="B53" s="1062" t="s">
        <v>983</v>
      </c>
    </row>
    <row r="54" spans="1:5" ht="15.75" thickBot="1" x14ac:dyDescent="0.3">
      <c r="A54" s="1067" t="s">
        <v>985</v>
      </c>
      <c r="B54" s="1066">
        <v>3963048608</v>
      </c>
    </row>
    <row r="55" spans="1:5" ht="15.75" thickBot="1" x14ac:dyDescent="0.3">
      <c r="A55" s="1067" t="s">
        <v>986</v>
      </c>
      <c r="B55" s="1066">
        <v>1373060</v>
      </c>
    </row>
    <row r="56" spans="1:5" ht="15.75" thickBot="1" x14ac:dyDescent="0.3">
      <c r="A56" s="1058" t="s">
        <v>987</v>
      </c>
      <c r="B56" s="1065">
        <f>SUM(B54:B55)</f>
        <v>3964421668</v>
      </c>
    </row>
    <row r="57" spans="1:5" ht="15.75" thickBot="1" x14ac:dyDescent="0.3">
      <c r="A57" t="s">
        <v>990</v>
      </c>
    </row>
    <row r="58" spans="1:5" ht="15.75" thickBot="1" x14ac:dyDescent="0.3">
      <c r="A58" s="1063" t="s">
        <v>989</v>
      </c>
      <c r="B58" s="1062" t="s">
        <v>983</v>
      </c>
    </row>
    <row r="59" spans="1:5" ht="15.75" thickBot="1" x14ac:dyDescent="0.3">
      <c r="A59" s="1067" t="s">
        <v>985</v>
      </c>
      <c r="B59" s="1066">
        <v>8923219425</v>
      </c>
    </row>
    <row r="60" spans="1:5" ht="15.75" thickBot="1" x14ac:dyDescent="0.3">
      <c r="A60" s="1067" t="s">
        <v>986</v>
      </c>
      <c r="B60" s="1066">
        <v>40000000</v>
      </c>
    </row>
    <row r="61" spans="1:5" ht="15.75" thickBot="1" x14ac:dyDescent="0.3">
      <c r="A61" s="1058" t="s">
        <v>987</v>
      </c>
      <c r="B61" s="1065">
        <f>SUM(B59:B60)</f>
        <v>8963219425</v>
      </c>
      <c r="C61" s="1056">
        <f>+B56+B61</f>
        <v>12927641093</v>
      </c>
      <c r="D61" s="1056">
        <f>+C61+C50</f>
        <v>429870379029.56964</v>
      </c>
    </row>
    <row r="62" spans="1:5" x14ac:dyDescent="0.25">
      <c r="B62" s="1064"/>
    </row>
    <row r="63" spans="1:5" ht="15.75" thickBot="1" x14ac:dyDescent="0.3"/>
    <row r="64" spans="1:5" ht="15.75" thickBot="1" x14ac:dyDescent="0.3">
      <c r="A64" s="1063" t="s">
        <v>991</v>
      </c>
      <c r="B64" s="1062" t="s">
        <v>992</v>
      </c>
      <c r="C64" s="1062" t="s">
        <v>993</v>
      </c>
      <c r="D64" s="1062" t="s">
        <v>994</v>
      </c>
      <c r="E64" s="1062" t="s">
        <v>995</v>
      </c>
    </row>
    <row r="65" spans="1:6" ht="15.75" thickBot="1" x14ac:dyDescent="0.3">
      <c r="A65" s="1061" t="s">
        <v>996</v>
      </c>
      <c r="B65" s="1059">
        <v>126027587884</v>
      </c>
      <c r="C65" s="1059">
        <v>9106158521</v>
      </c>
      <c r="D65" s="1059">
        <v>281808991533</v>
      </c>
      <c r="E65" s="1059">
        <v>416942737937</v>
      </c>
    </row>
    <row r="66" spans="1:6" ht="15.75" thickBot="1" x14ac:dyDescent="0.3">
      <c r="A66" s="1061" t="s">
        <v>997</v>
      </c>
      <c r="B66" s="1059">
        <v>3845489018</v>
      </c>
      <c r="C66" s="1060"/>
      <c r="D66" s="1059">
        <v>118932650</v>
      </c>
      <c r="E66" s="1059">
        <v>3964421668</v>
      </c>
    </row>
    <row r="67" spans="1:6" ht="15.75" thickBot="1" x14ac:dyDescent="0.3">
      <c r="A67" s="1061" t="s">
        <v>998</v>
      </c>
      <c r="B67" s="1059">
        <v>1889591440</v>
      </c>
      <c r="C67" s="1060"/>
      <c r="D67" s="1059">
        <v>7073627985</v>
      </c>
      <c r="E67" s="1059">
        <v>8963219425</v>
      </c>
    </row>
    <row r="68" spans="1:6" ht="15.75" thickBot="1" x14ac:dyDescent="0.3">
      <c r="A68" s="1058" t="s">
        <v>999</v>
      </c>
      <c r="B68" s="1057">
        <f>SUM(B65:B67)</f>
        <v>131762668342</v>
      </c>
      <c r="C68" s="1057">
        <f>SUM(C65:C67)</f>
        <v>9106158521</v>
      </c>
      <c r="D68" s="1057">
        <f>SUM(D65:D67)</f>
        <v>289001552168</v>
      </c>
      <c r="E68" s="1057">
        <f>SUM(E65:E67)</f>
        <v>429870379030</v>
      </c>
      <c r="F68" s="1056">
        <f>+E68-D61</f>
        <v>0.43035888671875</v>
      </c>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0.89999084444715716"/>
  </sheetPr>
  <dimension ref="A1:S127"/>
  <sheetViews>
    <sheetView topLeftCell="E18" workbookViewId="0"/>
  </sheetViews>
  <sheetFormatPr baseColWidth="10" defaultColWidth="11.42578125" defaultRowHeight="16.5" x14ac:dyDescent="0.3"/>
  <cols>
    <col min="1" max="1" width="11.42578125" style="695" hidden="1" customWidth="1"/>
    <col min="2" max="2" width="47.28515625" style="695" hidden="1" customWidth="1"/>
    <col min="3" max="3" width="13" style="711" bestFit="1" customWidth="1"/>
    <col min="4" max="4" width="69" style="711" customWidth="1"/>
    <col min="5" max="19" width="13.140625" style="712" customWidth="1"/>
    <col min="20" max="16384" width="11.42578125" style="695"/>
  </cols>
  <sheetData>
    <row r="1" spans="1:19" ht="41.25" customHeight="1" x14ac:dyDescent="0.3">
      <c r="A1" s="693"/>
      <c r="B1" s="693"/>
      <c r="C1" s="1789" t="s">
        <v>2030</v>
      </c>
      <c r="D1" s="1789"/>
      <c r="E1" s="694"/>
      <c r="F1" s="694"/>
      <c r="G1" s="694"/>
      <c r="H1" s="694"/>
      <c r="I1" s="694"/>
      <c r="J1" s="694"/>
      <c r="K1" s="694"/>
      <c r="L1" s="694"/>
      <c r="M1" s="694"/>
      <c r="N1" s="694"/>
      <c r="O1" s="694"/>
      <c r="P1" s="694"/>
      <c r="Q1" s="694"/>
      <c r="R1" s="694"/>
      <c r="S1" s="694"/>
    </row>
    <row r="2" spans="1:19" ht="28.5" customHeight="1" x14ac:dyDescent="0.3">
      <c r="A2" s="693"/>
      <c r="B2" s="693"/>
      <c r="C2" s="1790" t="str">
        <f>+[6]Entidad!B10</f>
        <v>DEPARTAMENTO DEL QUINDIO</v>
      </c>
      <c r="D2" s="1790"/>
      <c r="E2" s="696"/>
      <c r="F2" s="696"/>
      <c r="G2" s="696"/>
      <c r="H2" s="696"/>
      <c r="I2" s="696"/>
      <c r="J2" s="696"/>
      <c r="K2" s="696"/>
      <c r="L2" s="696"/>
      <c r="M2" s="696"/>
      <c r="N2" s="696"/>
      <c r="O2" s="696"/>
      <c r="P2" s="696"/>
      <c r="Q2" s="696"/>
      <c r="R2" s="696"/>
      <c r="S2" s="696"/>
    </row>
    <row r="3" spans="1:19" x14ac:dyDescent="0.3">
      <c r="A3" s="693"/>
      <c r="B3" s="693"/>
      <c r="C3" s="1791" t="s">
        <v>2032</v>
      </c>
      <c r="D3" s="1791"/>
      <c r="E3" s="697"/>
      <c r="F3" s="697"/>
      <c r="G3" s="697"/>
      <c r="H3" s="697"/>
      <c r="I3" s="697"/>
      <c r="J3" s="697"/>
      <c r="K3" s="697"/>
      <c r="L3" s="697"/>
      <c r="M3" s="697"/>
      <c r="N3" s="697"/>
      <c r="O3" s="697"/>
      <c r="P3" s="697"/>
      <c r="Q3" s="697"/>
      <c r="R3" s="697"/>
      <c r="S3" s="697"/>
    </row>
    <row r="4" spans="1:19" s="725" customFormat="1" x14ac:dyDescent="0.3">
      <c r="A4" s="661" t="s">
        <v>2033</v>
      </c>
      <c r="B4" s="662" t="s">
        <v>2034</v>
      </c>
      <c r="C4" s="664" t="s">
        <v>2035</v>
      </c>
      <c r="D4" s="664" t="s">
        <v>2036</v>
      </c>
      <c r="E4" s="664">
        <f>VALUE([6]DatosBasicos!A2)-2</f>
        <v>2017</v>
      </c>
      <c r="F4" s="664">
        <f>E4+1</f>
        <v>2018</v>
      </c>
      <c r="G4" s="664">
        <f t="shared" ref="G4:S4" si="0">F4+1</f>
        <v>2019</v>
      </c>
      <c r="H4" s="664">
        <f t="shared" si="0"/>
        <v>2020</v>
      </c>
      <c r="I4" s="664">
        <f t="shared" si="0"/>
        <v>2021</v>
      </c>
      <c r="J4" s="664">
        <f t="shared" si="0"/>
        <v>2022</v>
      </c>
      <c r="K4" s="664">
        <f t="shared" si="0"/>
        <v>2023</v>
      </c>
      <c r="L4" s="664">
        <f t="shared" si="0"/>
        <v>2024</v>
      </c>
      <c r="M4" s="664">
        <f t="shared" si="0"/>
        <v>2025</v>
      </c>
      <c r="N4" s="664">
        <f t="shared" si="0"/>
        <v>2026</v>
      </c>
      <c r="O4" s="664">
        <f t="shared" si="0"/>
        <v>2027</v>
      </c>
      <c r="P4" s="664">
        <f t="shared" si="0"/>
        <v>2028</v>
      </c>
      <c r="Q4" s="664">
        <f t="shared" si="0"/>
        <v>2029</v>
      </c>
      <c r="R4" s="664">
        <f t="shared" si="0"/>
        <v>2030</v>
      </c>
      <c r="S4" s="664">
        <f t="shared" si="0"/>
        <v>2031</v>
      </c>
    </row>
    <row r="5" spans="1:19" s="725" customFormat="1" x14ac:dyDescent="0.3">
      <c r="A5" s="726" t="s">
        <v>2037</v>
      </c>
      <c r="B5" s="727" t="s">
        <v>2038</v>
      </c>
      <c r="C5" s="663" t="s">
        <v>2039</v>
      </c>
      <c r="D5" s="663" t="s">
        <v>2040</v>
      </c>
      <c r="E5" s="666">
        <f t="shared" ref="E5:S5" si="1">E6+E75</f>
        <v>305001.65400000004</v>
      </c>
      <c r="F5" s="666">
        <f t="shared" si="1"/>
        <v>313252.73797199997</v>
      </c>
      <c r="G5" s="666">
        <f t="shared" si="1"/>
        <v>352513.6920784699</v>
      </c>
      <c r="H5" s="666">
        <f t="shared" si="1"/>
        <v>338753</v>
      </c>
      <c r="I5" s="666">
        <f t="shared" si="1"/>
        <v>375734.0893606398</v>
      </c>
      <c r="J5" s="666">
        <f t="shared" si="1"/>
        <v>364299.7795215635</v>
      </c>
      <c r="K5" s="666">
        <f t="shared" si="1"/>
        <v>375241.77290721046</v>
      </c>
      <c r="L5" s="666">
        <f t="shared" si="1"/>
        <v>386499.02609442675</v>
      </c>
      <c r="M5" s="666">
        <f t="shared" si="1"/>
        <v>398093.99687725957</v>
      </c>
      <c r="N5" s="666">
        <f t="shared" si="1"/>
        <v>410036.81678357744</v>
      </c>
      <c r="O5" s="666">
        <f t="shared" si="1"/>
        <v>422337.9212870847</v>
      </c>
      <c r="P5" s="666">
        <f t="shared" si="1"/>
        <v>435008.05892569723</v>
      </c>
      <c r="Q5" s="666">
        <f t="shared" si="1"/>
        <v>448058.30069346813</v>
      </c>
      <c r="R5" s="666">
        <f t="shared" si="1"/>
        <v>461500.04971427226</v>
      </c>
      <c r="S5" s="666">
        <f t="shared" si="1"/>
        <v>475345.05120570038</v>
      </c>
    </row>
    <row r="6" spans="1:19" s="725" customFormat="1" x14ac:dyDescent="0.3">
      <c r="A6" s="726" t="s">
        <v>2037</v>
      </c>
      <c r="B6" s="727" t="s">
        <v>2038</v>
      </c>
      <c r="C6" s="663" t="s">
        <v>2041</v>
      </c>
      <c r="D6" s="663" t="s">
        <v>2042</v>
      </c>
      <c r="E6" s="666">
        <f t="shared" ref="E6:S6" si="2">E7+E20+E23</f>
        <v>286727.81700000004</v>
      </c>
      <c r="F6" s="666">
        <f t="shared" si="2"/>
        <v>303699.02398599999</v>
      </c>
      <c r="G6" s="666">
        <f t="shared" si="2"/>
        <v>329992.30693887989</v>
      </c>
      <c r="H6" s="666">
        <f t="shared" si="2"/>
        <v>328942</v>
      </c>
      <c r="I6" s="666">
        <f t="shared" si="2"/>
        <v>362890.32392879983</v>
      </c>
      <c r="J6" s="666">
        <f t="shared" si="2"/>
        <v>354282.40085805347</v>
      </c>
      <c r="K6" s="666">
        <f t="shared" si="2"/>
        <v>364910.87288379518</v>
      </c>
      <c r="L6" s="666">
        <f t="shared" si="2"/>
        <v>375858.199070309</v>
      </c>
      <c r="M6" s="666">
        <f t="shared" si="2"/>
        <v>387133.94504241826</v>
      </c>
      <c r="N6" s="666">
        <f t="shared" si="2"/>
        <v>398747.96339369088</v>
      </c>
      <c r="O6" s="666">
        <f t="shared" si="2"/>
        <v>410710.40229550155</v>
      </c>
      <c r="P6" s="666">
        <f t="shared" si="2"/>
        <v>423031.71436436661</v>
      </c>
      <c r="Q6" s="666">
        <f t="shared" si="2"/>
        <v>435722.66579529759</v>
      </c>
      <c r="R6" s="666">
        <f t="shared" si="2"/>
        <v>448794.34576915659</v>
      </c>
      <c r="S6" s="666">
        <f t="shared" si="2"/>
        <v>462258.17614223127</v>
      </c>
    </row>
    <row r="7" spans="1:19" s="725" customFormat="1" x14ac:dyDescent="0.3">
      <c r="A7" s="726" t="s">
        <v>2037</v>
      </c>
      <c r="B7" s="727" t="s">
        <v>2038</v>
      </c>
      <c r="C7" s="663" t="s">
        <v>2043</v>
      </c>
      <c r="D7" s="663" t="s">
        <v>2044</v>
      </c>
      <c r="E7" s="666">
        <f>SUM(E8:E19)</f>
        <v>116340.342</v>
      </c>
      <c r="F7" s="666">
        <f>SUM(F8:F19)</f>
        <v>118908.05119499999</v>
      </c>
      <c r="G7" s="666">
        <f t="shared" ref="G7:S7" si="3">SUM(G8:G19)</f>
        <v>113710.10173530999</v>
      </c>
      <c r="H7" s="666">
        <f t="shared" si="3"/>
        <v>108740</v>
      </c>
      <c r="I7" s="666">
        <f t="shared" si="3"/>
        <v>127702.34585680001</v>
      </c>
      <c r="J7" s="666">
        <f t="shared" si="3"/>
        <v>116030.80891985985</v>
      </c>
      <c r="K7" s="666">
        <f t="shared" si="3"/>
        <v>119511.73318745564</v>
      </c>
      <c r="L7" s="666">
        <f t="shared" si="3"/>
        <v>123097.08518307931</v>
      </c>
      <c r="M7" s="666">
        <f t="shared" si="3"/>
        <v>126789.99773857169</v>
      </c>
      <c r="N7" s="666">
        <f t="shared" si="3"/>
        <v>130593.69767072886</v>
      </c>
      <c r="O7" s="666">
        <f t="shared" si="3"/>
        <v>134511.50860085071</v>
      </c>
      <c r="P7" s="666">
        <f t="shared" si="3"/>
        <v>138546.85385887625</v>
      </c>
      <c r="Q7" s="666">
        <f t="shared" si="3"/>
        <v>142703.25947464255</v>
      </c>
      <c r="R7" s="666">
        <f t="shared" si="3"/>
        <v>146984.35725888182</v>
      </c>
      <c r="S7" s="666">
        <f t="shared" si="3"/>
        <v>151393.88797664829</v>
      </c>
    </row>
    <row r="8" spans="1:19" x14ac:dyDescent="0.3">
      <c r="A8" s="698" t="s">
        <v>2045</v>
      </c>
      <c r="B8" s="699" t="s">
        <v>946</v>
      </c>
      <c r="C8" s="700" t="s">
        <v>2046</v>
      </c>
      <c r="D8" s="700" t="s">
        <v>2047</v>
      </c>
      <c r="E8" s="701">
        <f>IFERROR(VLOOKUP([6]Entidad!$B$12&amp;"-"&amp;'[6]Plan Financiero'!$C8,[6]DAF_BalanceFinanciero!$A$2:$I$1053,COLUMN([6]DAF_BalanceFinanciero!H$1),FALSE),0)</f>
        <v>12628.027</v>
      </c>
      <c r="F8" s="701">
        <f>IFERROR(VLOOKUP([6]Entidad!$B$12&amp;"-"&amp;'[6]Plan Financiero'!$C8,[6]DAF_BalanceFinanciero!$A$2:$I$1053,COLUMN([6]DAF_BalanceFinanciero!I$1),FALSE),0)</f>
        <v>13740.633217000001</v>
      </c>
      <c r="G8" s="701">
        <v>16265.214035910001</v>
      </c>
      <c r="H8" s="701">
        <v>17643</v>
      </c>
      <c r="I8" s="701">
        <v>18334.260463999999</v>
      </c>
      <c r="J8" s="701">
        <v>18334.260463560429</v>
      </c>
      <c r="K8" s="701">
        <f>+J8*1.03</f>
        <v>18884.288277467243</v>
      </c>
      <c r="L8" s="701">
        <f t="shared" ref="L8:S8" si="4">+K8*1.03</f>
        <v>19450.81692579126</v>
      </c>
      <c r="M8" s="701">
        <f t="shared" si="4"/>
        <v>20034.341433564998</v>
      </c>
      <c r="N8" s="701">
        <f t="shared" si="4"/>
        <v>20635.371676571947</v>
      </c>
      <c r="O8" s="701">
        <f t="shared" si="4"/>
        <v>21254.432826869106</v>
      </c>
      <c r="P8" s="701">
        <f t="shared" si="4"/>
        <v>21892.06581167518</v>
      </c>
      <c r="Q8" s="701">
        <f t="shared" si="4"/>
        <v>22548.827786025435</v>
      </c>
      <c r="R8" s="701">
        <f t="shared" si="4"/>
        <v>23225.2926196062</v>
      </c>
      <c r="S8" s="701">
        <f t="shared" si="4"/>
        <v>23922.051398194388</v>
      </c>
    </row>
    <row r="9" spans="1:19" x14ac:dyDescent="0.3">
      <c r="A9" s="698" t="s">
        <v>2045</v>
      </c>
      <c r="B9" s="699" t="s">
        <v>946</v>
      </c>
      <c r="C9" s="700" t="s">
        <v>2048</v>
      </c>
      <c r="D9" s="700" t="s">
        <v>2049</v>
      </c>
      <c r="E9" s="701">
        <f>IFERROR(VLOOKUP([6]Entidad!$B$12&amp;"-"&amp;'[6]Plan Financiero'!$C9,[6]DAF_BalanceFinanciero!$A$2:$I$1053,COLUMN([6]DAF_BalanceFinanciero!H$1),FALSE),0)</f>
        <v>0</v>
      </c>
      <c r="F9" s="701">
        <f>IFERROR(VLOOKUP([6]Entidad!$B$12&amp;"-"&amp;'[6]Plan Financiero'!$C9,[6]DAF_BalanceFinanciero!$A$2:$I$1053,COLUMN([6]DAF_BalanceFinanciero!I$1),FALSE),0)</f>
        <v>0</v>
      </c>
      <c r="G9" s="701"/>
      <c r="H9" s="701"/>
      <c r="I9" s="701"/>
      <c r="J9" s="701"/>
      <c r="K9" s="701"/>
      <c r="L9" s="701"/>
      <c r="M9" s="701"/>
      <c r="N9" s="701"/>
      <c r="O9" s="701"/>
      <c r="P9" s="701"/>
      <c r="Q9" s="701"/>
      <c r="R9" s="701"/>
      <c r="S9" s="701"/>
    </row>
    <row r="10" spans="1:19" x14ac:dyDescent="0.3">
      <c r="A10" s="698" t="s">
        <v>2045</v>
      </c>
      <c r="B10" s="699" t="s">
        <v>946</v>
      </c>
      <c r="C10" s="700" t="s">
        <v>2050</v>
      </c>
      <c r="D10" s="700" t="s">
        <v>2051</v>
      </c>
      <c r="E10" s="701">
        <f>IFERROR(VLOOKUP([6]Entidad!$B$12&amp;"-"&amp;'[6]Plan Financiero'!$C10,[6]DAF_BalanceFinanciero!$A$2:$I$1053,COLUMN([6]DAF_BalanceFinanciero!H$1),FALSE),0)</f>
        <v>0</v>
      </c>
      <c r="F10" s="701">
        <f>IFERROR(VLOOKUP([6]Entidad!$B$12&amp;"-"&amp;'[6]Plan Financiero'!$C10,[6]DAF_BalanceFinanciero!$A$2:$I$1053,COLUMN([6]DAF_BalanceFinanciero!I$1),FALSE),0)</f>
        <v>0</v>
      </c>
      <c r="G10" s="701"/>
      <c r="H10" s="701"/>
      <c r="I10" s="701"/>
      <c r="J10" s="701"/>
      <c r="K10" s="701"/>
      <c r="L10" s="701"/>
      <c r="M10" s="701"/>
      <c r="N10" s="701"/>
      <c r="O10" s="701"/>
      <c r="P10" s="701"/>
      <c r="Q10" s="701"/>
      <c r="R10" s="701"/>
      <c r="S10" s="701"/>
    </row>
    <row r="11" spans="1:19" x14ac:dyDescent="0.3">
      <c r="A11" s="698" t="s">
        <v>2045</v>
      </c>
      <c r="B11" s="699" t="s">
        <v>946</v>
      </c>
      <c r="C11" s="700" t="s">
        <v>2052</v>
      </c>
      <c r="D11" s="700" t="s">
        <v>2053</v>
      </c>
      <c r="E11" s="701">
        <f>IFERROR(VLOOKUP([6]Entidad!$B$12&amp;"-"&amp;'[6]Plan Financiero'!$C11,[6]DAF_BalanceFinanciero!$A$2:$I$1053,COLUMN([6]DAF_BalanceFinanciero!H$1),FALSE),0)</f>
        <v>13064.938</v>
      </c>
      <c r="F11" s="701">
        <f>IFERROR(VLOOKUP([6]Entidad!$B$12&amp;"-"&amp;'[6]Plan Financiero'!$C11,[6]DAF_BalanceFinanciero!$A$2:$I$1053,COLUMN([6]DAF_BalanceFinanciero!I$1),FALSE),0)</f>
        <v>13570.933605</v>
      </c>
      <c r="G11" s="701">
        <v>15060.515283299999</v>
      </c>
      <c r="H11" s="701">
        <v>15048</v>
      </c>
      <c r="I11" s="701">
        <v>16621.8075938</v>
      </c>
      <c r="J11" s="701">
        <v>17634.07567563</v>
      </c>
      <c r="K11" s="701">
        <f t="shared" ref="K11:S16" si="5">+J11*1.03</f>
        <v>18163.097945898899</v>
      </c>
      <c r="L11" s="701">
        <f t="shared" si="5"/>
        <v>18707.990884275867</v>
      </c>
      <c r="M11" s="701">
        <f t="shared" si="5"/>
        <v>19269.230610804145</v>
      </c>
      <c r="N11" s="701">
        <f t="shared" si="5"/>
        <v>19847.307529128269</v>
      </c>
      <c r="O11" s="701">
        <f t="shared" si="5"/>
        <v>20442.726755002117</v>
      </c>
      <c r="P11" s="701">
        <f t="shared" si="5"/>
        <v>21056.008557652181</v>
      </c>
      <c r="Q11" s="701">
        <f t="shared" si="5"/>
        <v>21687.688814381749</v>
      </c>
      <c r="R11" s="701">
        <f t="shared" si="5"/>
        <v>22338.319478813202</v>
      </c>
      <c r="S11" s="701">
        <f t="shared" si="5"/>
        <v>23008.469063177599</v>
      </c>
    </row>
    <row r="12" spans="1:19" x14ac:dyDescent="0.3">
      <c r="A12" s="698" t="s">
        <v>2045</v>
      </c>
      <c r="B12" s="699" t="s">
        <v>946</v>
      </c>
      <c r="C12" s="700" t="s">
        <v>2054</v>
      </c>
      <c r="D12" s="700" t="s">
        <v>2055</v>
      </c>
      <c r="E12" s="701">
        <f>IFERROR(VLOOKUP([6]Entidad!$B$12&amp;"-"&amp;'[6]Plan Financiero'!$C12,[6]DAF_BalanceFinanciero!$A$2:$I$1053,COLUMN([6]DAF_BalanceFinanciero!H$1),FALSE),0)</f>
        <v>12378.339</v>
      </c>
      <c r="F12" s="701">
        <f>IFERROR(VLOOKUP([6]Entidad!$B$12&amp;"-"&amp;'[6]Plan Financiero'!$C12,[6]DAF_BalanceFinanciero!$A$2:$I$1053,COLUMN([6]DAF_BalanceFinanciero!I$1),FALSE),0)</f>
        <v>12323.33171</v>
      </c>
      <c r="G12" s="701">
        <v>16448.031271100001</v>
      </c>
      <c r="H12" s="701">
        <v>13948</v>
      </c>
      <c r="I12" s="701">
        <v>17175.371115999998</v>
      </c>
      <c r="J12" s="701">
        <v>18966.158947788888</v>
      </c>
      <c r="K12" s="701">
        <f t="shared" si="5"/>
        <v>19535.143716222556</v>
      </c>
      <c r="L12" s="701">
        <f t="shared" si="5"/>
        <v>20121.198027709233</v>
      </c>
      <c r="M12" s="701">
        <f t="shared" si="5"/>
        <v>20724.833968540512</v>
      </c>
      <c r="N12" s="701">
        <f t="shared" si="5"/>
        <v>21346.578987596728</v>
      </c>
      <c r="O12" s="701">
        <f t="shared" si="5"/>
        <v>21986.97635722463</v>
      </c>
      <c r="P12" s="701">
        <f t="shared" si="5"/>
        <v>22646.585647941371</v>
      </c>
      <c r="Q12" s="701">
        <f t="shared" si="5"/>
        <v>23325.983217379613</v>
      </c>
      <c r="R12" s="701">
        <f t="shared" si="5"/>
        <v>24025.762713901004</v>
      </c>
      <c r="S12" s="701">
        <f t="shared" si="5"/>
        <v>24746.535595318033</v>
      </c>
    </row>
    <row r="13" spans="1:19" x14ac:dyDescent="0.3">
      <c r="A13" s="698" t="s">
        <v>2045</v>
      </c>
      <c r="B13" s="699" t="s">
        <v>946</v>
      </c>
      <c r="C13" s="700" t="s">
        <v>2056</v>
      </c>
      <c r="D13" s="700" t="s">
        <v>2057</v>
      </c>
      <c r="E13" s="701">
        <f>IFERROR(VLOOKUP([6]Entidad!$B$12&amp;"-"&amp;'[6]Plan Financiero'!$C13,[6]DAF_BalanceFinanciero!$A$2:$I$1053,COLUMN([6]DAF_BalanceFinanciero!H$1),FALSE),0)</f>
        <v>19989.563999999998</v>
      </c>
      <c r="F13" s="701">
        <f>IFERROR(VLOOKUP([6]Entidad!$B$12&amp;"-"&amp;'[6]Plan Financiero'!$C13,[6]DAF_BalanceFinanciero!$A$2:$I$1053,COLUMN([6]DAF_BalanceFinanciero!I$1),FALSE),0)</f>
        <v>18447.6194</v>
      </c>
      <c r="G13" s="701">
        <v>16634.310844</v>
      </c>
      <c r="H13" s="701">
        <v>13148</v>
      </c>
      <c r="I13" s="701">
        <v>17698.214959000001</v>
      </c>
      <c r="J13" s="701">
        <v>17647.340374399602</v>
      </c>
      <c r="K13" s="701">
        <f t="shared" si="5"/>
        <v>18176.760585631589</v>
      </c>
      <c r="L13" s="701">
        <f t="shared" si="5"/>
        <v>18722.063403200536</v>
      </c>
      <c r="M13" s="701">
        <f t="shared" si="5"/>
        <v>19283.725305296553</v>
      </c>
      <c r="N13" s="701">
        <f t="shared" si="5"/>
        <v>19862.23706445545</v>
      </c>
      <c r="O13" s="701">
        <f t="shared" si="5"/>
        <v>20458.104176389115</v>
      </c>
      <c r="P13" s="701">
        <f t="shared" si="5"/>
        <v>21071.847301680791</v>
      </c>
      <c r="Q13" s="701">
        <f t="shared" si="5"/>
        <v>21704.002720731216</v>
      </c>
      <c r="R13" s="701">
        <f t="shared" si="5"/>
        <v>22355.122802353151</v>
      </c>
      <c r="S13" s="701">
        <f t="shared" si="5"/>
        <v>23025.776486423747</v>
      </c>
    </row>
    <row r="14" spans="1:19" x14ac:dyDescent="0.3">
      <c r="A14" s="698" t="s">
        <v>2045</v>
      </c>
      <c r="B14" s="699" t="s">
        <v>946</v>
      </c>
      <c r="C14" s="700" t="s">
        <v>2058</v>
      </c>
      <c r="D14" s="700" t="s">
        <v>2059</v>
      </c>
      <c r="E14" s="701">
        <f>IFERROR(VLOOKUP([6]Entidad!$B$12&amp;"-"&amp;'[6]Plan Financiero'!$C14,[6]DAF_BalanceFinanciero!$A$2:$I$1053,COLUMN([6]DAF_BalanceFinanciero!H$1),FALSE),0)</f>
        <v>21721.458999999999</v>
      </c>
      <c r="F14" s="701">
        <f>IFERROR(VLOOKUP([6]Entidad!$B$12&amp;"-"&amp;'[6]Plan Financiero'!$C14,[6]DAF_BalanceFinanciero!$A$2:$I$1053,COLUMN([6]DAF_BalanceFinanciero!I$1),FALSE),0)</f>
        <v>22183.786067000001</v>
      </c>
      <c r="G14" s="701">
        <v>15212.004711</v>
      </c>
      <c r="H14" s="701">
        <f>10458+9396</f>
        <v>19854</v>
      </c>
      <c r="I14" s="701">
        <v>26408.337651000002</v>
      </c>
      <c r="J14" s="701">
        <v>21766.569037958321</v>
      </c>
      <c r="K14" s="701">
        <f t="shared" si="5"/>
        <v>22419.566109097072</v>
      </c>
      <c r="L14" s="701">
        <f t="shared" si="5"/>
        <v>23092.153092369983</v>
      </c>
      <c r="M14" s="701">
        <f t="shared" si="5"/>
        <v>23784.917685141085</v>
      </c>
      <c r="N14" s="701">
        <f t="shared" si="5"/>
        <v>24498.46521569532</v>
      </c>
      <c r="O14" s="701">
        <f t="shared" si="5"/>
        <v>25233.419172166181</v>
      </c>
      <c r="P14" s="701">
        <f t="shared" si="5"/>
        <v>25990.421747331166</v>
      </c>
      <c r="Q14" s="701">
        <f t="shared" si="5"/>
        <v>26770.134399751099</v>
      </c>
      <c r="R14" s="701">
        <f t="shared" si="5"/>
        <v>27573.238431743634</v>
      </c>
      <c r="S14" s="701">
        <f t="shared" si="5"/>
        <v>28400.435584695944</v>
      </c>
    </row>
    <row r="15" spans="1:19" x14ac:dyDescent="0.3">
      <c r="A15" s="698" t="s">
        <v>2045</v>
      </c>
      <c r="B15" s="699" t="s">
        <v>946</v>
      </c>
      <c r="C15" s="700" t="s">
        <v>2060</v>
      </c>
      <c r="D15" s="700" t="s">
        <v>2061</v>
      </c>
      <c r="E15" s="701">
        <f>IFERROR(VLOOKUP([6]Entidad!$B$12&amp;"-"&amp;'[6]Plan Financiero'!$C15,[6]DAF_BalanceFinanciero!$A$2:$I$1053,COLUMN([6]DAF_BalanceFinanciero!H$1),FALSE),0)</f>
        <v>6713.558</v>
      </c>
      <c r="F15" s="701">
        <f>IFERROR(VLOOKUP([6]Entidad!$B$12&amp;"-"&amp;'[6]Plan Financiero'!$C15,[6]DAF_BalanceFinanciero!$A$2:$I$1053,COLUMN([6]DAF_BalanceFinanciero!I$1),FALSE),0)</f>
        <v>6992.5485500000004</v>
      </c>
      <c r="G15" s="701">
        <v>7173.9152999999997</v>
      </c>
      <c r="H15" s="701">
        <v>6045</v>
      </c>
      <c r="I15" s="701">
        <v>7715.9968010000002</v>
      </c>
      <c r="J15" s="701">
        <v>7947.476705</v>
      </c>
      <c r="K15" s="701">
        <f t="shared" si="5"/>
        <v>8185.9010061500003</v>
      </c>
      <c r="L15" s="701">
        <f t="shared" si="5"/>
        <v>8431.4780363344998</v>
      </c>
      <c r="M15" s="701">
        <f t="shared" si="5"/>
        <v>8684.4223774245347</v>
      </c>
      <c r="N15" s="701">
        <f t="shared" si="5"/>
        <v>8944.9550487472716</v>
      </c>
      <c r="O15" s="701">
        <f t="shared" si="5"/>
        <v>9213.3037002096899</v>
      </c>
      <c r="P15" s="701">
        <f t="shared" si="5"/>
        <v>9489.7028112159805</v>
      </c>
      <c r="Q15" s="701">
        <f t="shared" si="5"/>
        <v>9774.3938955524609</v>
      </c>
      <c r="R15" s="701">
        <f t="shared" si="5"/>
        <v>10067.625712419034</v>
      </c>
      <c r="S15" s="701">
        <f t="shared" si="5"/>
        <v>10369.654483791606</v>
      </c>
    </row>
    <row r="16" spans="1:19" x14ac:dyDescent="0.3">
      <c r="A16" s="698" t="s">
        <v>2045</v>
      </c>
      <c r="B16" s="699" t="s">
        <v>946</v>
      </c>
      <c r="C16" s="700" t="s">
        <v>2062</v>
      </c>
      <c r="D16" s="700" t="s">
        <v>2063</v>
      </c>
      <c r="E16" s="701">
        <f>IFERROR(VLOOKUP([6]Entidad!$B$12&amp;"-"&amp;'[6]Plan Financiero'!$C16,[6]DAF_BalanceFinanciero!$A$2:$I$1053,COLUMN([6]DAF_BalanceFinanciero!H$1),FALSE),0)</f>
        <v>25973.508000000002</v>
      </c>
      <c r="F16" s="701">
        <f>IFERROR(VLOOKUP([6]Entidad!$B$12&amp;"-"&amp;'[6]Plan Financiero'!$C16,[6]DAF_BalanceFinanciero!$A$2:$I$1053,COLUMN([6]DAF_BalanceFinanciero!I$1),FALSE),0)</f>
        <v>27166.513202999999</v>
      </c>
      <c r="G16" s="701">
        <v>26268.670989999999</v>
      </c>
      <c r="H16" s="701">
        <v>20928</v>
      </c>
      <c r="I16" s="701">
        <v>23074.907839999996</v>
      </c>
      <c r="J16" s="701">
        <v>13041.2748005226</v>
      </c>
      <c r="K16" s="701">
        <f t="shared" si="5"/>
        <v>13432.513044538278</v>
      </c>
      <c r="L16" s="701">
        <f t="shared" si="5"/>
        <v>13835.488435874428</v>
      </c>
      <c r="M16" s="701">
        <f t="shared" si="5"/>
        <v>14250.553088950661</v>
      </c>
      <c r="N16" s="701">
        <f t="shared" si="5"/>
        <v>14678.069681619181</v>
      </c>
      <c r="O16" s="701">
        <f t="shared" si="5"/>
        <v>15118.411772067757</v>
      </c>
      <c r="P16" s="701">
        <f t="shared" si="5"/>
        <v>15571.96412522979</v>
      </c>
      <c r="Q16" s="701">
        <f t="shared" si="5"/>
        <v>16039.123048986683</v>
      </c>
      <c r="R16" s="701">
        <f t="shared" si="5"/>
        <v>16520.296740456284</v>
      </c>
      <c r="S16" s="701">
        <f t="shared" si="5"/>
        <v>17015.905642669972</v>
      </c>
    </row>
    <row r="17" spans="1:19" x14ac:dyDescent="0.3">
      <c r="A17" s="698" t="s">
        <v>2045</v>
      </c>
      <c r="B17" s="699" t="s">
        <v>946</v>
      </c>
      <c r="C17" s="700" t="s">
        <v>2064</v>
      </c>
      <c r="D17" s="700" t="s">
        <v>2065</v>
      </c>
      <c r="E17" s="701">
        <f>IFERROR(VLOOKUP([6]Entidad!$B$12&amp;"-"&amp;'[6]Plan Financiero'!$C17,[6]DAF_BalanceFinanciero!$A$2:$I$1053,COLUMN([6]DAF_BalanceFinanciero!H$1),FALSE),0)</f>
        <v>0</v>
      </c>
      <c r="F17" s="701">
        <f>IFERROR(VLOOKUP([6]Entidad!$B$12&amp;"-"&amp;'[6]Plan Financiero'!$C17,[6]DAF_BalanceFinanciero!$A$2:$I$1053,COLUMN([6]DAF_BalanceFinanciero!I$1),FALSE),0)</f>
        <v>0</v>
      </c>
      <c r="G17" s="701"/>
      <c r="H17" s="701"/>
      <c r="I17" s="701"/>
      <c r="J17" s="701"/>
      <c r="K17" s="701"/>
      <c r="L17" s="701"/>
      <c r="M17" s="701"/>
      <c r="N17" s="701"/>
      <c r="O17" s="701"/>
      <c r="P17" s="701"/>
      <c r="Q17" s="701"/>
      <c r="R17" s="701"/>
      <c r="S17" s="701"/>
    </row>
    <row r="18" spans="1:19" x14ac:dyDescent="0.3">
      <c r="A18" s="698" t="s">
        <v>2045</v>
      </c>
      <c r="B18" s="699" t="s">
        <v>946</v>
      </c>
      <c r="C18" s="700" t="s">
        <v>2066</v>
      </c>
      <c r="D18" s="700" t="s">
        <v>2067</v>
      </c>
      <c r="E18" s="701">
        <f>IFERROR(VLOOKUP([6]Entidad!$B$12&amp;"-"&amp;'[6]Plan Financiero'!$C18,[6]DAF_BalanceFinanciero!$A$2:$I$1053,COLUMN([6]DAF_BalanceFinanciero!H$1),FALSE),0)</f>
        <v>0</v>
      </c>
      <c r="F18" s="701">
        <f>IFERROR(VLOOKUP([6]Entidad!$B$12&amp;"-"&amp;'[6]Plan Financiero'!$C18,[6]DAF_BalanceFinanciero!$A$2:$I$1053,COLUMN([6]DAF_BalanceFinanciero!I$1),FALSE),0)</f>
        <v>0</v>
      </c>
      <c r="G18" s="701"/>
      <c r="H18" s="701"/>
      <c r="I18" s="701"/>
      <c r="J18" s="701"/>
      <c r="K18" s="701"/>
      <c r="L18" s="701"/>
      <c r="M18" s="701"/>
      <c r="N18" s="701"/>
      <c r="O18" s="701"/>
      <c r="P18" s="701"/>
      <c r="Q18" s="701"/>
      <c r="R18" s="701"/>
      <c r="S18" s="701"/>
    </row>
    <row r="19" spans="1:19" x14ac:dyDescent="0.3">
      <c r="A19" s="698" t="s">
        <v>2045</v>
      </c>
      <c r="B19" s="699" t="s">
        <v>946</v>
      </c>
      <c r="C19" s="700" t="s">
        <v>2068</v>
      </c>
      <c r="D19" s="700" t="s">
        <v>2069</v>
      </c>
      <c r="E19" s="701">
        <f>IFERROR(VLOOKUP([6]Entidad!$B$12&amp;"-"&amp;'[6]Plan Financiero'!$C19,[6]DAF_BalanceFinanciero!$A$2:$I$1053,COLUMN([6]DAF_BalanceFinanciero!H$1),FALSE),0)</f>
        <v>3870.9490000000001</v>
      </c>
      <c r="F19" s="701">
        <f>IFERROR(VLOOKUP([6]Entidad!$B$12&amp;"-"&amp;'[6]Plan Financiero'!$C19,[6]DAF_BalanceFinanciero!$A$2:$I$1053,COLUMN([6]DAF_BalanceFinanciero!I$1),FALSE),0)</f>
        <v>4482.6854430000003</v>
      </c>
      <c r="G19" s="701">
        <v>647.4393</v>
      </c>
      <c r="H19" s="701">
        <f>562+1564</f>
        <v>2126</v>
      </c>
      <c r="I19" s="701">
        <v>673.449432</v>
      </c>
      <c r="J19" s="701">
        <v>693.65291500000001</v>
      </c>
      <c r="K19" s="701">
        <f>+J19*1.03</f>
        <v>714.46250244999999</v>
      </c>
      <c r="L19" s="701">
        <f t="shared" ref="L19:S19" si="6">+K19*1.03</f>
        <v>735.89637752349995</v>
      </c>
      <c r="M19" s="701">
        <f t="shared" si="6"/>
        <v>757.97326884920494</v>
      </c>
      <c r="N19" s="701">
        <f t="shared" si="6"/>
        <v>780.71246691468116</v>
      </c>
      <c r="O19" s="701">
        <f t="shared" si="6"/>
        <v>804.13384092212164</v>
      </c>
      <c r="P19" s="701">
        <f t="shared" si="6"/>
        <v>828.25785614978531</v>
      </c>
      <c r="Q19" s="701">
        <f t="shared" si="6"/>
        <v>853.10559183427893</v>
      </c>
      <c r="R19" s="701">
        <f t="shared" si="6"/>
        <v>878.69875958930731</v>
      </c>
      <c r="S19" s="701">
        <f t="shared" si="6"/>
        <v>905.05972237698654</v>
      </c>
    </row>
    <row r="20" spans="1:19" s="725" customFormat="1" x14ac:dyDescent="0.3">
      <c r="A20" s="726" t="s">
        <v>2037</v>
      </c>
      <c r="B20" s="727" t="s">
        <v>2038</v>
      </c>
      <c r="C20" s="663" t="s">
        <v>2070</v>
      </c>
      <c r="D20" s="663" t="s">
        <v>2071</v>
      </c>
      <c r="E20" s="666">
        <f>SUM(E21:E22)</f>
        <v>22534.029000000002</v>
      </c>
      <c r="F20" s="666">
        <f>SUM(F21:F22)</f>
        <v>23932.643243000002</v>
      </c>
      <c r="G20" s="666">
        <f t="shared" ref="G20:S20" si="7">SUM(G21:G22)</f>
        <v>24893.061124690008</v>
      </c>
      <c r="H20" s="666">
        <f t="shared" si="7"/>
        <v>29093</v>
      </c>
      <c r="I20" s="666">
        <f t="shared" si="7"/>
        <v>40725.270534999887</v>
      </c>
      <c r="J20" s="666">
        <f t="shared" si="7"/>
        <v>26102.001629238672</v>
      </c>
      <c r="K20" s="666">
        <f t="shared" si="7"/>
        <v>26885.061678115831</v>
      </c>
      <c r="L20" s="666">
        <f t="shared" si="7"/>
        <v>27691.613528459311</v>
      </c>
      <c r="M20" s="666">
        <f t="shared" si="7"/>
        <v>28522.361934313092</v>
      </c>
      <c r="N20" s="666">
        <f t="shared" si="7"/>
        <v>29378.032792342485</v>
      </c>
      <c r="O20" s="666">
        <f t="shared" si="7"/>
        <v>30259.37377611276</v>
      </c>
      <c r="P20" s="666">
        <f t="shared" si="7"/>
        <v>31167.154989396142</v>
      </c>
      <c r="Q20" s="666">
        <f t="shared" si="7"/>
        <v>32102.169639078031</v>
      </c>
      <c r="R20" s="666">
        <f t="shared" si="7"/>
        <v>33065.234728250376</v>
      </c>
      <c r="S20" s="666">
        <f t="shared" si="7"/>
        <v>34057.191770097888</v>
      </c>
    </row>
    <row r="21" spans="1:19" x14ac:dyDescent="0.3">
      <c r="A21" s="698" t="s">
        <v>2045</v>
      </c>
      <c r="B21" s="699" t="s">
        <v>946</v>
      </c>
      <c r="C21" s="700" t="s">
        <v>2072</v>
      </c>
      <c r="D21" s="700" t="s">
        <v>2073</v>
      </c>
      <c r="E21" s="701">
        <f>IFERROR(VLOOKUP([6]Entidad!$B$12&amp;"-"&amp;'[6]Plan Financiero'!$C21,[6]DAF_BalanceFinanciero!$A$2:$I$1053,COLUMN([6]DAF_BalanceFinanciero!H$1),FALSE),0)</f>
        <v>21417.488000000001</v>
      </c>
      <c r="F21" s="701">
        <f>IFERROR(VLOOKUP([6]Entidad!$B$12&amp;"-"&amp;'[6]Plan Financiero'!$C21,[6]DAF_BalanceFinanciero!$A$2:$I$1053,COLUMN([6]DAF_BalanceFinanciero!I$1),FALSE),0)</f>
        <v>23028.200915000001</v>
      </c>
      <c r="G21" s="701">
        <v>23234.797743890009</v>
      </c>
      <c r="H21" s="701">
        <f>518+978+27+1+1421</f>
        <v>2945</v>
      </c>
      <c r="I21" s="701">
        <v>11224.374016</v>
      </c>
      <c r="J21" s="701">
        <v>4349.861269</v>
      </c>
      <c r="K21" s="701">
        <f>+J21*1.03</f>
        <v>4480.35710707</v>
      </c>
      <c r="L21" s="701">
        <f t="shared" ref="L21:S22" si="8">+K21*1.03</f>
        <v>4614.7678202820998</v>
      </c>
      <c r="M21" s="701">
        <f t="shared" si="8"/>
        <v>4753.2108548905626</v>
      </c>
      <c r="N21" s="701">
        <f t="shared" si="8"/>
        <v>4895.8071805372792</v>
      </c>
      <c r="O21" s="701">
        <f t="shared" si="8"/>
        <v>5042.6813959533974</v>
      </c>
      <c r="P21" s="701">
        <f t="shared" si="8"/>
        <v>5193.9618378319992</v>
      </c>
      <c r="Q21" s="701">
        <f t="shared" si="8"/>
        <v>5349.7806929669596</v>
      </c>
      <c r="R21" s="701">
        <f t="shared" si="8"/>
        <v>5510.2741137559688</v>
      </c>
      <c r="S21" s="701">
        <f t="shared" si="8"/>
        <v>5675.5823371686483</v>
      </c>
    </row>
    <row r="22" spans="1:19" x14ac:dyDescent="0.3">
      <c r="A22" s="698" t="s">
        <v>2045</v>
      </c>
      <c r="B22" s="699" t="s">
        <v>946</v>
      </c>
      <c r="C22" s="700" t="s">
        <v>2074</v>
      </c>
      <c r="D22" s="700" t="s">
        <v>2075</v>
      </c>
      <c r="E22" s="701">
        <f>IFERROR(VLOOKUP([6]Entidad!$B$12&amp;"-"&amp;'[6]Plan Financiero'!$C22,[6]DAF_BalanceFinanciero!$A$2:$I$1053,COLUMN([6]DAF_BalanceFinanciero!H$1),FALSE),0)</f>
        <v>1116.5409999999999</v>
      </c>
      <c r="F22" s="701">
        <f>IFERROR(VLOOKUP([6]Entidad!$B$12&amp;"-"&amp;'[6]Plan Financiero'!$C22,[6]DAF_BalanceFinanciero!$A$2:$I$1053,COLUMN([6]DAF_BalanceFinanciero!I$1),FALSE),0)</f>
        <v>904.44232799999997</v>
      </c>
      <c r="G22" s="701">
        <v>1658.2633808</v>
      </c>
      <c r="H22" s="701">
        <f>464+197+118+703+21+52+21872+2721</f>
        <v>26148</v>
      </c>
      <c r="I22" s="701">
        <v>29500.896518999885</v>
      </c>
      <c r="J22" s="701">
        <v>21752.140360238671</v>
      </c>
      <c r="K22" s="701">
        <f>+J22*1.03</f>
        <v>22404.704571045833</v>
      </c>
      <c r="L22" s="701">
        <f t="shared" si="8"/>
        <v>23076.84570817721</v>
      </c>
      <c r="M22" s="701">
        <f t="shared" si="8"/>
        <v>23769.151079422529</v>
      </c>
      <c r="N22" s="701">
        <f t="shared" si="8"/>
        <v>24482.225611805206</v>
      </c>
      <c r="O22" s="701">
        <f t="shared" si="8"/>
        <v>25216.692380159362</v>
      </c>
      <c r="P22" s="701">
        <f t="shared" si="8"/>
        <v>25973.193151564145</v>
      </c>
      <c r="Q22" s="701">
        <f t="shared" si="8"/>
        <v>26752.38894611107</v>
      </c>
      <c r="R22" s="701">
        <f t="shared" si="8"/>
        <v>27554.960614494405</v>
      </c>
      <c r="S22" s="701">
        <f t="shared" si="8"/>
        <v>28381.609432929239</v>
      </c>
    </row>
    <row r="23" spans="1:19" s="730" customFormat="1" x14ac:dyDescent="0.3">
      <c r="A23" s="728" t="s">
        <v>2037</v>
      </c>
      <c r="B23" s="729" t="s">
        <v>2038</v>
      </c>
      <c r="C23" s="663" t="s">
        <v>2076</v>
      </c>
      <c r="D23" s="663" t="s">
        <v>2077</v>
      </c>
      <c r="E23" s="666">
        <f t="shared" ref="E23:S23" si="9">E24+E32</f>
        <v>147853.44600000003</v>
      </c>
      <c r="F23" s="666">
        <f t="shared" si="9"/>
        <v>160858.32954799998</v>
      </c>
      <c r="G23" s="666">
        <f t="shared" si="9"/>
        <v>191389.14407887988</v>
      </c>
      <c r="H23" s="666">
        <f t="shared" si="9"/>
        <v>191109</v>
      </c>
      <c r="I23" s="666">
        <f t="shared" si="9"/>
        <v>194462.70753699998</v>
      </c>
      <c r="J23" s="666">
        <f t="shared" si="9"/>
        <v>212149.59030895497</v>
      </c>
      <c r="K23" s="666">
        <f t="shared" si="9"/>
        <v>218514.07801822366</v>
      </c>
      <c r="L23" s="666">
        <f t="shared" si="9"/>
        <v>225069.50035877037</v>
      </c>
      <c r="M23" s="666">
        <f t="shared" si="9"/>
        <v>231821.58536953348</v>
      </c>
      <c r="N23" s="666">
        <f t="shared" si="9"/>
        <v>238776.2329306195</v>
      </c>
      <c r="O23" s="666">
        <f t="shared" si="9"/>
        <v>245939.51991853811</v>
      </c>
      <c r="P23" s="666">
        <f t="shared" si="9"/>
        <v>253317.70551609423</v>
      </c>
      <c r="Q23" s="666">
        <f t="shared" si="9"/>
        <v>260917.23668157705</v>
      </c>
      <c r="R23" s="666">
        <f t="shared" si="9"/>
        <v>268744.75378202437</v>
      </c>
      <c r="S23" s="666">
        <f t="shared" si="9"/>
        <v>276807.0963954851</v>
      </c>
    </row>
    <row r="24" spans="1:19" x14ac:dyDescent="0.3">
      <c r="A24" s="698" t="s">
        <v>2037</v>
      </c>
      <c r="B24" s="699" t="s">
        <v>2038</v>
      </c>
      <c r="C24" s="703" t="s">
        <v>2078</v>
      </c>
      <c r="D24" s="703" t="s">
        <v>2079</v>
      </c>
      <c r="E24" s="704">
        <f t="shared" ref="E24:S24" si="10">E25+E28+E31</f>
        <v>2043.203</v>
      </c>
      <c r="F24" s="704">
        <f t="shared" si="10"/>
        <v>3109.9217550000003</v>
      </c>
      <c r="G24" s="704">
        <f t="shared" si="10"/>
        <v>0</v>
      </c>
      <c r="H24" s="704">
        <f t="shared" si="10"/>
        <v>0</v>
      </c>
      <c r="I24" s="704">
        <f t="shared" si="10"/>
        <v>0</v>
      </c>
      <c r="J24" s="704">
        <f t="shared" si="10"/>
        <v>0</v>
      </c>
      <c r="K24" s="704">
        <f t="shared" si="10"/>
        <v>0</v>
      </c>
      <c r="L24" s="704">
        <f t="shared" si="10"/>
        <v>0</v>
      </c>
      <c r="M24" s="704">
        <f t="shared" si="10"/>
        <v>0</v>
      </c>
      <c r="N24" s="704">
        <f t="shared" si="10"/>
        <v>0</v>
      </c>
      <c r="O24" s="704">
        <f t="shared" si="10"/>
        <v>0</v>
      </c>
      <c r="P24" s="704">
        <f t="shared" si="10"/>
        <v>0</v>
      </c>
      <c r="Q24" s="704">
        <f t="shared" si="10"/>
        <v>0</v>
      </c>
      <c r="R24" s="704">
        <f t="shared" si="10"/>
        <v>0</v>
      </c>
      <c r="S24" s="704">
        <f t="shared" si="10"/>
        <v>0</v>
      </c>
    </row>
    <row r="25" spans="1:19" s="702" customFormat="1" x14ac:dyDescent="0.3">
      <c r="A25" s="698" t="s">
        <v>2037</v>
      </c>
      <c r="B25" s="699" t="s">
        <v>2038</v>
      </c>
      <c r="C25" s="703" t="s">
        <v>2080</v>
      </c>
      <c r="D25" s="703" t="s">
        <v>2081</v>
      </c>
      <c r="E25" s="704">
        <f>SUM(E26:E27)</f>
        <v>0</v>
      </c>
      <c r="F25" s="704">
        <f>SUM(F26:F27)</f>
        <v>1301.0208660000001</v>
      </c>
      <c r="G25" s="704">
        <f t="shared" ref="G25:S25" si="11">SUM(G26:G27)</f>
        <v>0</v>
      </c>
      <c r="H25" s="704">
        <f t="shared" si="11"/>
        <v>0</v>
      </c>
      <c r="I25" s="704">
        <f t="shared" si="11"/>
        <v>0</v>
      </c>
      <c r="J25" s="704">
        <f t="shared" si="11"/>
        <v>0</v>
      </c>
      <c r="K25" s="704">
        <f t="shared" si="11"/>
        <v>0</v>
      </c>
      <c r="L25" s="704">
        <f t="shared" si="11"/>
        <v>0</v>
      </c>
      <c r="M25" s="704">
        <f t="shared" si="11"/>
        <v>0</v>
      </c>
      <c r="N25" s="704">
        <f t="shared" si="11"/>
        <v>0</v>
      </c>
      <c r="O25" s="704">
        <f t="shared" si="11"/>
        <v>0</v>
      </c>
      <c r="P25" s="704">
        <f t="shared" si="11"/>
        <v>0</v>
      </c>
      <c r="Q25" s="704">
        <f t="shared" si="11"/>
        <v>0</v>
      </c>
      <c r="R25" s="704">
        <f t="shared" si="11"/>
        <v>0</v>
      </c>
      <c r="S25" s="704">
        <f t="shared" si="11"/>
        <v>0</v>
      </c>
    </row>
    <row r="26" spans="1:19" ht="12.75" customHeight="1" x14ac:dyDescent="0.3">
      <c r="A26" s="698" t="s">
        <v>2045</v>
      </c>
      <c r="B26" s="699" t="s">
        <v>946</v>
      </c>
      <c r="C26" s="700" t="s">
        <v>2082</v>
      </c>
      <c r="D26" s="700" t="s">
        <v>2279</v>
      </c>
      <c r="E26" s="701">
        <f>IFERROR(VLOOKUP([6]Entidad!$B$12&amp;"-"&amp;'[6]Plan Financiero'!$C26,[6]DAF_BalanceFinanciero!$A$2:$I$1053,COLUMN([6]DAF_BalanceFinanciero!H$1),FALSE),0)</f>
        <v>0</v>
      </c>
      <c r="F26" s="701">
        <f>IFERROR(VLOOKUP([6]Entidad!$B$12&amp;"-"&amp;'[6]Plan Financiero'!$C26,[6]DAF_BalanceFinanciero!$A$2:$I$1053,COLUMN([6]DAF_BalanceFinanciero!I$1),FALSE),0)</f>
        <v>0</v>
      </c>
      <c r="G26" s="701">
        <v>0</v>
      </c>
      <c r="H26" s="701">
        <v>0</v>
      </c>
      <c r="I26" s="701">
        <v>0</v>
      </c>
      <c r="J26" s="701">
        <v>0</v>
      </c>
      <c r="K26" s="701">
        <v>0</v>
      </c>
      <c r="L26" s="701">
        <v>0</v>
      </c>
      <c r="M26" s="701">
        <v>0</v>
      </c>
      <c r="N26" s="701">
        <v>0</v>
      </c>
      <c r="O26" s="701">
        <v>0</v>
      </c>
      <c r="P26" s="701">
        <v>0</v>
      </c>
      <c r="Q26" s="701">
        <v>0</v>
      </c>
      <c r="R26" s="701"/>
      <c r="S26" s="701"/>
    </row>
    <row r="27" spans="1:19" x14ac:dyDescent="0.3">
      <c r="A27" s="698" t="s">
        <v>2045</v>
      </c>
      <c r="B27" s="699" t="s">
        <v>946</v>
      </c>
      <c r="C27" s="700" t="s">
        <v>2084</v>
      </c>
      <c r="D27" s="700" t="s">
        <v>2085</v>
      </c>
      <c r="E27" s="701">
        <f>IFERROR(VLOOKUP([6]Entidad!$B$12&amp;"-"&amp;'[6]Plan Financiero'!$C27,[6]DAF_BalanceFinanciero!$A$2:$I$1053,COLUMN([6]DAF_BalanceFinanciero!H$1),FALSE),0)</f>
        <v>0</v>
      </c>
      <c r="F27" s="701">
        <f>IFERROR(VLOOKUP([6]Entidad!$B$12&amp;"-"&amp;'[6]Plan Financiero'!$C27,[6]DAF_BalanceFinanciero!$A$2:$I$1053,COLUMN([6]DAF_BalanceFinanciero!I$1),FALSE),0)</f>
        <v>1301.0208660000001</v>
      </c>
      <c r="G27" s="701">
        <v>0</v>
      </c>
      <c r="H27" s="701">
        <v>0</v>
      </c>
      <c r="I27" s="701">
        <v>0</v>
      </c>
      <c r="J27" s="701">
        <v>0</v>
      </c>
      <c r="K27" s="701">
        <v>0</v>
      </c>
      <c r="L27" s="701">
        <v>0</v>
      </c>
      <c r="M27" s="701">
        <v>0</v>
      </c>
      <c r="N27" s="701">
        <v>0</v>
      </c>
      <c r="O27" s="701">
        <v>0</v>
      </c>
      <c r="P27" s="701">
        <v>0</v>
      </c>
      <c r="Q27" s="701">
        <v>0</v>
      </c>
      <c r="R27" s="701"/>
      <c r="S27" s="701"/>
    </row>
    <row r="28" spans="1:19" s="702" customFormat="1" x14ac:dyDescent="0.3">
      <c r="A28" s="698" t="s">
        <v>2037</v>
      </c>
      <c r="B28" s="699" t="s">
        <v>2038</v>
      </c>
      <c r="C28" s="703" t="s">
        <v>2086</v>
      </c>
      <c r="D28" s="703" t="s">
        <v>2087</v>
      </c>
      <c r="E28" s="704">
        <f>+E29+E30</f>
        <v>0</v>
      </c>
      <c r="F28" s="704">
        <f>+F29+F30</f>
        <v>0</v>
      </c>
      <c r="G28" s="704">
        <f>SUM(G29:G30)</f>
        <v>0</v>
      </c>
      <c r="H28" s="704">
        <f>SUM(H29:H30)</f>
        <v>0</v>
      </c>
      <c r="I28" s="704">
        <f t="shared" ref="I28:S28" si="12">SUM(I29:I30)</f>
        <v>0</v>
      </c>
      <c r="J28" s="704">
        <f t="shared" si="12"/>
        <v>0</v>
      </c>
      <c r="K28" s="704">
        <f t="shared" si="12"/>
        <v>0</v>
      </c>
      <c r="L28" s="704">
        <f t="shared" si="12"/>
        <v>0</v>
      </c>
      <c r="M28" s="704">
        <f t="shared" si="12"/>
        <v>0</v>
      </c>
      <c r="N28" s="704">
        <f t="shared" si="12"/>
        <v>0</v>
      </c>
      <c r="O28" s="704">
        <f t="shared" si="12"/>
        <v>0</v>
      </c>
      <c r="P28" s="704">
        <f t="shared" si="12"/>
        <v>0</v>
      </c>
      <c r="Q28" s="704">
        <f t="shared" si="12"/>
        <v>0</v>
      </c>
      <c r="R28" s="704">
        <f t="shared" si="12"/>
        <v>0</v>
      </c>
      <c r="S28" s="704">
        <f t="shared" si="12"/>
        <v>0</v>
      </c>
    </row>
    <row r="29" spans="1:19" x14ac:dyDescent="0.3">
      <c r="A29" s="698" t="s">
        <v>2045</v>
      </c>
      <c r="B29" s="699" t="s">
        <v>946</v>
      </c>
      <c r="C29" s="700" t="s">
        <v>2088</v>
      </c>
      <c r="D29" s="700" t="s">
        <v>2089</v>
      </c>
      <c r="E29" s="701">
        <f>IFERROR(VLOOKUP([6]Entidad!$B$12&amp;"-"&amp;'[6]Plan Financiero'!$C29,[6]DAF_BalanceFinanciero!$A$2:$I$1053,COLUMN([6]DAF_BalanceFinanciero!H$1),FALSE),0)</f>
        <v>0</v>
      </c>
      <c r="F29" s="701">
        <f>IFERROR(VLOOKUP([6]Entidad!$B$12&amp;"-"&amp;'[6]Plan Financiero'!$C29,[6]DAF_BalanceFinanciero!$A$2:$I$1053,COLUMN([6]DAF_BalanceFinanciero!I$1),FALSE),0)</f>
        <v>0</v>
      </c>
      <c r="G29" s="701">
        <f>IFERROR(VLOOKUP([7]Entidad!$B$12&amp;"-"&amp;'[7]Plan Financiero'!$C29,[7]DAF_BalanceFinanciero!$A$2:$I$1053,COLUMN([7]DAF_BalanceFinanciero!J$1),FALSE),0)</f>
        <v>0</v>
      </c>
      <c r="H29" s="701">
        <f>IFERROR(VLOOKUP([7]Entidad!$B$12&amp;"-"&amp;'[7]Plan Financiero'!$C29,[7]DAF_BalanceFinanciero!$A$2:$I$1053,COLUMN([7]DAF_BalanceFinanciero!K$1),FALSE),0)</f>
        <v>0</v>
      </c>
      <c r="I29" s="701">
        <v>0</v>
      </c>
      <c r="J29" s="701">
        <v>0</v>
      </c>
      <c r="K29" s="701">
        <v>0</v>
      </c>
      <c r="L29" s="701">
        <v>0</v>
      </c>
      <c r="M29" s="701">
        <v>0</v>
      </c>
      <c r="N29" s="701">
        <v>0</v>
      </c>
      <c r="O29" s="701">
        <v>0</v>
      </c>
      <c r="P29" s="701">
        <v>0</v>
      </c>
      <c r="Q29" s="701">
        <v>0</v>
      </c>
      <c r="R29" s="701">
        <v>0</v>
      </c>
      <c r="S29" s="701">
        <v>0</v>
      </c>
    </row>
    <row r="30" spans="1:19" x14ac:dyDescent="0.3">
      <c r="A30" s="698" t="s">
        <v>2045</v>
      </c>
      <c r="B30" s="699" t="s">
        <v>946</v>
      </c>
      <c r="C30" s="700" t="s">
        <v>2090</v>
      </c>
      <c r="D30" s="700" t="s">
        <v>2091</v>
      </c>
      <c r="E30" s="701">
        <f>IFERROR(VLOOKUP([6]Entidad!$B$12&amp;"-"&amp;'[6]Plan Financiero'!$C30,[6]DAF_BalanceFinanciero!$A$2:$I$1053,COLUMN([6]DAF_BalanceFinanciero!H$1),FALSE),0)</f>
        <v>0</v>
      </c>
      <c r="F30" s="701">
        <f>IFERROR(VLOOKUP([6]Entidad!$B$12&amp;"-"&amp;'[6]Plan Financiero'!$C30,[6]DAF_BalanceFinanciero!$A$2:$I$1053,COLUMN([6]DAF_BalanceFinanciero!I$1),FALSE),0)</f>
        <v>0</v>
      </c>
      <c r="G30" s="701">
        <f>IFERROR(VLOOKUP([7]Entidad!$B$12&amp;"-"&amp;'[7]Plan Financiero'!$C30,[7]DAF_BalanceFinanciero!$A$2:$I$1053,COLUMN([7]DAF_BalanceFinanciero!J$1),FALSE),0)</f>
        <v>0</v>
      </c>
      <c r="H30" s="701">
        <f>IFERROR(VLOOKUP([7]Entidad!$B$12&amp;"-"&amp;'[7]Plan Financiero'!$C30,[7]DAF_BalanceFinanciero!$A$2:$I$1053,COLUMN([7]DAF_BalanceFinanciero!K$1),FALSE),0)</f>
        <v>0</v>
      </c>
      <c r="I30" s="701">
        <v>0</v>
      </c>
      <c r="J30" s="701">
        <v>0</v>
      </c>
      <c r="K30" s="701">
        <v>0</v>
      </c>
      <c r="L30" s="701">
        <v>0</v>
      </c>
      <c r="M30" s="701">
        <v>0</v>
      </c>
      <c r="N30" s="701">
        <v>0</v>
      </c>
      <c r="O30" s="701">
        <v>0</v>
      </c>
      <c r="P30" s="701">
        <v>0</v>
      </c>
      <c r="Q30" s="701">
        <v>0</v>
      </c>
      <c r="R30" s="701">
        <v>0</v>
      </c>
      <c r="S30" s="701">
        <v>0</v>
      </c>
    </row>
    <row r="31" spans="1:19" x14ac:dyDescent="0.3">
      <c r="A31" s="698" t="s">
        <v>2045</v>
      </c>
      <c r="B31" s="699" t="s">
        <v>946</v>
      </c>
      <c r="C31" s="700" t="s">
        <v>2092</v>
      </c>
      <c r="D31" s="700" t="s">
        <v>2093</v>
      </c>
      <c r="E31" s="701">
        <f>IFERROR(VLOOKUP([6]Entidad!$B$12&amp;"-"&amp;'[6]Plan Financiero'!$C31,[6]DAF_BalanceFinanciero!$A$2:$I$1053,COLUMN([6]DAF_BalanceFinanciero!H$1),FALSE),0)</f>
        <v>2043.203</v>
      </c>
      <c r="F31" s="701">
        <f>IFERROR(VLOOKUP([6]Entidad!$B$12&amp;"-"&amp;'[6]Plan Financiero'!$C31,[6]DAF_BalanceFinanciero!$A$2:$I$1053,COLUMN([6]DAF_BalanceFinanciero!I$1),FALSE),0)</f>
        <v>1808.900889</v>
      </c>
      <c r="G31" s="701">
        <v>0</v>
      </c>
      <c r="H31" s="701">
        <v>0</v>
      </c>
      <c r="I31" s="701">
        <v>0</v>
      </c>
      <c r="J31" s="701">
        <v>0</v>
      </c>
      <c r="K31" s="701">
        <v>0</v>
      </c>
      <c r="L31" s="701">
        <v>0</v>
      </c>
      <c r="M31" s="701">
        <v>0</v>
      </c>
      <c r="N31" s="701">
        <v>0</v>
      </c>
      <c r="O31" s="701">
        <v>0</v>
      </c>
      <c r="P31" s="701">
        <v>0</v>
      </c>
      <c r="Q31" s="701">
        <v>0</v>
      </c>
      <c r="R31" s="701">
        <v>0</v>
      </c>
      <c r="S31" s="701">
        <v>0</v>
      </c>
    </row>
    <row r="32" spans="1:19" x14ac:dyDescent="0.3">
      <c r="A32" s="698" t="s">
        <v>2037</v>
      </c>
      <c r="B32" s="699" t="s">
        <v>2038</v>
      </c>
      <c r="C32" s="703" t="s">
        <v>2094</v>
      </c>
      <c r="D32" s="703" t="s">
        <v>2095</v>
      </c>
      <c r="E32" s="704">
        <f t="shared" ref="E32:S32" si="13">E33+E42+E43+E44+E45+E46</f>
        <v>145810.24300000002</v>
      </c>
      <c r="F32" s="704">
        <f t="shared" si="13"/>
        <v>157748.40779299999</v>
      </c>
      <c r="G32" s="704">
        <f t="shared" si="13"/>
        <v>191389.14407887988</v>
      </c>
      <c r="H32" s="704">
        <f t="shared" si="13"/>
        <v>191109</v>
      </c>
      <c r="I32" s="704">
        <f t="shared" si="13"/>
        <v>194462.70753699998</v>
      </c>
      <c r="J32" s="704">
        <f t="shared" si="13"/>
        <v>212149.59030895497</v>
      </c>
      <c r="K32" s="704">
        <f t="shared" si="13"/>
        <v>218514.07801822366</v>
      </c>
      <c r="L32" s="704">
        <f t="shared" si="13"/>
        <v>225069.50035877037</v>
      </c>
      <c r="M32" s="704">
        <f t="shared" si="13"/>
        <v>231821.58536953348</v>
      </c>
      <c r="N32" s="704">
        <f t="shared" si="13"/>
        <v>238776.2329306195</v>
      </c>
      <c r="O32" s="704">
        <f t="shared" si="13"/>
        <v>245939.51991853811</v>
      </c>
      <c r="P32" s="704">
        <f t="shared" si="13"/>
        <v>253317.70551609423</v>
      </c>
      <c r="Q32" s="704">
        <f t="shared" si="13"/>
        <v>260917.23668157705</v>
      </c>
      <c r="R32" s="704">
        <f t="shared" si="13"/>
        <v>268744.75378202437</v>
      </c>
      <c r="S32" s="704">
        <f t="shared" si="13"/>
        <v>276807.0963954851</v>
      </c>
    </row>
    <row r="33" spans="1:19" s="702" customFormat="1" x14ac:dyDescent="0.3">
      <c r="A33" s="698" t="s">
        <v>2037</v>
      </c>
      <c r="B33" s="699" t="s">
        <v>2038</v>
      </c>
      <c r="C33" s="703" t="s">
        <v>2096</v>
      </c>
      <c r="D33" s="703" t="s">
        <v>2081</v>
      </c>
      <c r="E33" s="704">
        <f>E34+E40+E41</f>
        <v>144704.58199999999</v>
      </c>
      <c r="F33" s="704">
        <f>F34+F40+F41</f>
        <v>157748.40779299999</v>
      </c>
      <c r="G33" s="704">
        <f t="shared" ref="G33:S33" si="14">G34+G40+G41</f>
        <v>190457.11362610987</v>
      </c>
      <c r="H33" s="704">
        <f t="shared" si="14"/>
        <v>189532</v>
      </c>
      <c r="I33" s="704">
        <f t="shared" si="14"/>
        <v>194462.70753699998</v>
      </c>
      <c r="J33" s="704">
        <f t="shared" si="14"/>
        <v>212149.59030895497</v>
      </c>
      <c r="K33" s="704">
        <f t="shared" si="14"/>
        <v>218514.07801822366</v>
      </c>
      <c r="L33" s="704">
        <f t="shared" si="14"/>
        <v>225069.50035877037</v>
      </c>
      <c r="M33" s="704">
        <f t="shared" si="14"/>
        <v>231821.58536953348</v>
      </c>
      <c r="N33" s="704">
        <f t="shared" si="14"/>
        <v>238776.2329306195</v>
      </c>
      <c r="O33" s="704">
        <f t="shared" si="14"/>
        <v>245939.51991853811</v>
      </c>
      <c r="P33" s="704">
        <f t="shared" si="14"/>
        <v>253317.70551609423</v>
      </c>
      <c r="Q33" s="704">
        <f t="shared" si="14"/>
        <v>260917.23668157705</v>
      </c>
      <c r="R33" s="704">
        <f t="shared" si="14"/>
        <v>268744.75378202437</v>
      </c>
      <c r="S33" s="704">
        <f t="shared" si="14"/>
        <v>276807.0963954851</v>
      </c>
    </row>
    <row r="34" spans="1:19" s="702" customFormat="1" x14ac:dyDescent="0.3">
      <c r="A34" s="698" t="s">
        <v>2037</v>
      </c>
      <c r="B34" s="699" t="s">
        <v>2038</v>
      </c>
      <c r="C34" s="703" t="s">
        <v>2097</v>
      </c>
      <c r="D34" s="703" t="s">
        <v>2098</v>
      </c>
      <c r="E34" s="704">
        <f>SUM(E35:E39)</f>
        <v>140349.372</v>
      </c>
      <c r="F34" s="704">
        <f>SUM(F35:F39)</f>
        <v>145732.228011</v>
      </c>
      <c r="G34" s="704">
        <f t="shared" ref="G34:S34" si="15">SUM(G35:G39)</f>
        <v>172556.01585900001</v>
      </c>
      <c r="H34" s="704">
        <f t="shared" si="15"/>
        <v>164068</v>
      </c>
      <c r="I34" s="704">
        <f t="shared" si="15"/>
        <v>187275.34232499998</v>
      </c>
      <c r="J34" s="704">
        <f t="shared" si="15"/>
        <v>199378.04017999998</v>
      </c>
      <c r="K34" s="704">
        <f t="shared" si="15"/>
        <v>205359.38138540002</v>
      </c>
      <c r="L34" s="704">
        <f t="shared" si="15"/>
        <v>211520.16282696201</v>
      </c>
      <c r="M34" s="704">
        <f t="shared" si="15"/>
        <v>217865.76771177087</v>
      </c>
      <c r="N34" s="704">
        <f t="shared" si="15"/>
        <v>224401.74074312401</v>
      </c>
      <c r="O34" s="704">
        <f t="shared" si="15"/>
        <v>231133.79296541776</v>
      </c>
      <c r="P34" s="704">
        <f t="shared" si="15"/>
        <v>238067.80675438026</v>
      </c>
      <c r="Q34" s="704">
        <f t="shared" si="15"/>
        <v>245209.84095701168</v>
      </c>
      <c r="R34" s="704">
        <f t="shared" si="15"/>
        <v>252566.13618572205</v>
      </c>
      <c r="S34" s="704">
        <f t="shared" si="15"/>
        <v>260143.12027129371</v>
      </c>
    </row>
    <row r="35" spans="1:19" x14ac:dyDescent="0.3">
      <c r="A35" s="698" t="s">
        <v>2045</v>
      </c>
      <c r="B35" s="699" t="s">
        <v>946</v>
      </c>
      <c r="C35" s="700" t="s">
        <v>2099</v>
      </c>
      <c r="D35" s="700" t="s">
        <v>2100</v>
      </c>
      <c r="E35" s="701">
        <f>IFERROR(VLOOKUP([6]Entidad!$B$12&amp;"-"&amp;'[6]Plan Financiero'!$C35,[6]DAF_BalanceFinanciero!$A$2:$I$1053,COLUMN([6]DAF_BalanceFinanciero!H$1),FALSE),0)</f>
        <v>126466.371</v>
      </c>
      <c r="F35" s="701">
        <f>IFERROR(VLOOKUP([6]Entidad!$B$12&amp;"-"&amp;'[6]Plan Financiero'!$C35,[6]DAF_BalanceFinanciero!$A$2:$I$1053,COLUMN([6]DAF_BalanceFinanciero!I$1),FALSE),0)</f>
        <v>131777.19046499999</v>
      </c>
      <c r="G35" s="701">
        <v>144675.15110000002</v>
      </c>
      <c r="H35" s="701">
        <v>155063</v>
      </c>
      <c r="I35" s="701">
        <v>168370.52356199999</v>
      </c>
      <c r="J35" s="701">
        <v>179387</v>
      </c>
      <c r="K35" s="701">
        <f>+J35*1.03</f>
        <v>184768.61000000002</v>
      </c>
      <c r="L35" s="701">
        <f t="shared" ref="L35:S37" si="16">+K35*1.03</f>
        <v>190311.66830000002</v>
      </c>
      <c r="M35" s="701">
        <f t="shared" si="16"/>
        <v>196021.01834900002</v>
      </c>
      <c r="N35" s="701">
        <f t="shared" si="16"/>
        <v>201901.64889947002</v>
      </c>
      <c r="O35" s="701">
        <f t="shared" si="16"/>
        <v>207958.69836645413</v>
      </c>
      <c r="P35" s="701">
        <f t="shared" si="16"/>
        <v>214197.45931744776</v>
      </c>
      <c r="Q35" s="701">
        <f t="shared" si="16"/>
        <v>220623.3830969712</v>
      </c>
      <c r="R35" s="701">
        <f t="shared" si="16"/>
        <v>227242.08458988034</v>
      </c>
      <c r="S35" s="701">
        <f t="shared" si="16"/>
        <v>234059.34712757677</v>
      </c>
    </row>
    <row r="36" spans="1:19" x14ac:dyDescent="0.3">
      <c r="A36" s="698" t="s">
        <v>2045</v>
      </c>
      <c r="B36" s="699" t="s">
        <v>946</v>
      </c>
      <c r="C36" s="700" t="s">
        <v>2101</v>
      </c>
      <c r="D36" s="700" t="s">
        <v>2102</v>
      </c>
      <c r="E36" s="701">
        <f>IFERROR(VLOOKUP([6]Entidad!$B$12&amp;"-"&amp;'[6]Plan Financiero'!$C36,[6]DAF_BalanceFinanciero!$A$2:$I$1053,COLUMN([6]DAF_BalanceFinanciero!H$1),FALSE),0)</f>
        <v>11564.476000000001</v>
      </c>
      <c r="F36" s="701">
        <f>IFERROR(VLOOKUP([6]Entidad!$B$12&amp;"-"&amp;'[6]Plan Financiero'!$C36,[6]DAF_BalanceFinanciero!$A$2:$I$1053,COLUMN([6]DAF_BalanceFinanciero!I$1),FALSE),0)</f>
        <v>11440.320914</v>
      </c>
      <c r="G36" s="701">
        <v>13435.108820000001</v>
      </c>
      <c r="H36" s="701">
        <v>6238</v>
      </c>
      <c r="I36" s="701">
        <v>5999.2408910000004</v>
      </c>
      <c r="J36" s="701">
        <v>5999.2408910000004</v>
      </c>
      <c r="K36" s="701">
        <f>+J36*1.03</f>
        <v>6179.2181177300008</v>
      </c>
      <c r="L36" s="701">
        <f t="shared" si="16"/>
        <v>6364.5946612619009</v>
      </c>
      <c r="M36" s="701">
        <f t="shared" si="16"/>
        <v>6555.5325010997585</v>
      </c>
      <c r="N36" s="701">
        <f t="shared" si="16"/>
        <v>6752.1984761327512</v>
      </c>
      <c r="O36" s="701">
        <f t="shared" si="16"/>
        <v>6954.7644304167343</v>
      </c>
      <c r="P36" s="701">
        <f t="shared" si="16"/>
        <v>7163.4073633292364</v>
      </c>
      <c r="Q36" s="701">
        <f t="shared" si="16"/>
        <v>7378.3095842291141</v>
      </c>
      <c r="R36" s="701">
        <f t="shared" si="16"/>
        <v>7599.658871755988</v>
      </c>
      <c r="S36" s="701">
        <f t="shared" si="16"/>
        <v>7827.6486379086682</v>
      </c>
    </row>
    <row r="37" spans="1:19" x14ac:dyDescent="0.3">
      <c r="A37" s="698" t="s">
        <v>2045</v>
      </c>
      <c r="B37" s="699" t="s">
        <v>946</v>
      </c>
      <c r="C37" s="700" t="s">
        <v>2103</v>
      </c>
      <c r="D37" s="700" t="s">
        <v>2104</v>
      </c>
      <c r="E37" s="701">
        <f>IFERROR(VLOOKUP([6]Entidad!$B$12&amp;"-"&amp;'[6]Plan Financiero'!$C37,[6]DAF_BalanceFinanciero!$A$2:$I$1053,COLUMN([6]DAF_BalanceFinanciero!H$1),FALSE),0)</f>
        <v>2318.5250000000001</v>
      </c>
      <c r="F37" s="701">
        <f>IFERROR(VLOOKUP([6]Entidad!$B$12&amp;"-"&amp;'[6]Plan Financiero'!$C37,[6]DAF_BalanceFinanciero!$A$2:$I$1053,COLUMN([6]DAF_BalanceFinanciero!I$1),FALSE),0)</f>
        <v>2514.7166320000001</v>
      </c>
      <c r="G37" s="701">
        <v>2591.680073</v>
      </c>
      <c r="H37" s="701">
        <v>2767</v>
      </c>
      <c r="I37" s="701">
        <v>2876.730086</v>
      </c>
      <c r="J37" s="701">
        <v>2991.799289</v>
      </c>
      <c r="K37" s="701">
        <f>+J37*1.03</f>
        <v>3081.55326767</v>
      </c>
      <c r="L37" s="701">
        <f t="shared" si="16"/>
        <v>3173.9998657001001</v>
      </c>
      <c r="M37" s="701">
        <f t="shared" si="16"/>
        <v>3269.2198616711034</v>
      </c>
      <c r="N37" s="701">
        <f t="shared" si="16"/>
        <v>3367.2964575212368</v>
      </c>
      <c r="O37" s="701">
        <f t="shared" si="16"/>
        <v>3468.3153512468739</v>
      </c>
      <c r="P37" s="701">
        <f t="shared" si="16"/>
        <v>3572.3648117842804</v>
      </c>
      <c r="Q37" s="701">
        <f t="shared" si="16"/>
        <v>3679.5357561378087</v>
      </c>
      <c r="R37" s="701">
        <f t="shared" si="16"/>
        <v>3789.9218288219431</v>
      </c>
      <c r="S37" s="701">
        <f t="shared" si="16"/>
        <v>3903.6194836866016</v>
      </c>
    </row>
    <row r="38" spans="1:19" x14ac:dyDescent="0.3">
      <c r="A38" s="698" t="s">
        <v>2045</v>
      </c>
      <c r="B38" s="699" t="s">
        <v>946</v>
      </c>
      <c r="C38" s="700" t="s">
        <v>2105</v>
      </c>
      <c r="D38" s="700" t="s">
        <v>2106</v>
      </c>
      <c r="E38" s="701">
        <f>IFERROR(VLOOKUP([6]Entidad!$B$12&amp;"-"&amp;'[6]Plan Financiero'!$C38,[6]DAF_BalanceFinanciero!$A$2:$I$1053,COLUMN([6]DAF_BalanceFinanciero!H$1),FALSE),0)</f>
        <v>0</v>
      </c>
      <c r="F38" s="701">
        <f>IFERROR(VLOOKUP([6]Entidad!$B$12&amp;"-"&amp;'[6]Plan Financiero'!$C38,[6]DAF_BalanceFinanciero!$A$2:$I$1053,COLUMN([6]DAF_BalanceFinanciero!I$1),FALSE),0)</f>
        <v>0</v>
      </c>
      <c r="G38" s="701">
        <v>0</v>
      </c>
      <c r="H38" s="701"/>
      <c r="I38" s="701">
        <v>0</v>
      </c>
      <c r="J38" s="701">
        <v>0</v>
      </c>
      <c r="K38" s="701">
        <v>0</v>
      </c>
      <c r="L38" s="701">
        <v>0</v>
      </c>
      <c r="M38" s="701">
        <v>0</v>
      </c>
      <c r="N38" s="701">
        <v>0</v>
      </c>
      <c r="O38" s="701">
        <v>0</v>
      </c>
      <c r="P38" s="701">
        <v>0</v>
      </c>
      <c r="Q38" s="701">
        <v>0</v>
      </c>
      <c r="R38" s="701">
        <v>0</v>
      </c>
      <c r="S38" s="701">
        <v>0</v>
      </c>
    </row>
    <row r="39" spans="1:19" x14ac:dyDescent="0.3">
      <c r="A39" s="698" t="s">
        <v>2045</v>
      </c>
      <c r="B39" s="699" t="s">
        <v>946</v>
      </c>
      <c r="C39" s="700" t="s">
        <v>2107</v>
      </c>
      <c r="D39" s="700" t="s">
        <v>2108</v>
      </c>
      <c r="E39" s="701">
        <f>IFERROR(VLOOKUP([6]Entidad!$B$12&amp;"-"&amp;'[6]Plan Financiero'!$C39,[6]DAF_BalanceFinanciero!$A$2:$I$1053,COLUMN([6]DAF_BalanceFinanciero!H$1),FALSE),0)</f>
        <v>0</v>
      </c>
      <c r="F39" s="701">
        <f>IFERROR(VLOOKUP([6]Entidad!$B$12&amp;"-"&amp;'[6]Plan Financiero'!$C39,[6]DAF_BalanceFinanciero!$A$2:$I$1053,COLUMN([6]DAF_BalanceFinanciero!I$1),FALSE),0)</f>
        <v>0</v>
      </c>
      <c r="G39" s="701">
        <v>11854.075865999999</v>
      </c>
      <c r="H39" s="701"/>
      <c r="I39" s="701">
        <v>10028.847786</v>
      </c>
      <c r="J39" s="701">
        <v>11000</v>
      </c>
      <c r="K39" s="701">
        <f>+J39*1.03</f>
        <v>11330</v>
      </c>
      <c r="L39" s="701">
        <f t="shared" ref="L39:S39" si="17">+K39*1.03</f>
        <v>11669.9</v>
      </c>
      <c r="M39" s="701">
        <f t="shared" si="17"/>
        <v>12019.996999999999</v>
      </c>
      <c r="N39" s="701">
        <f t="shared" si="17"/>
        <v>12380.59691</v>
      </c>
      <c r="O39" s="701">
        <f t="shared" si="17"/>
        <v>12752.0148173</v>
      </c>
      <c r="P39" s="701">
        <f t="shared" si="17"/>
        <v>13134.575261819</v>
      </c>
      <c r="Q39" s="701">
        <f t="shared" si="17"/>
        <v>13528.61251967357</v>
      </c>
      <c r="R39" s="701">
        <f t="shared" si="17"/>
        <v>13934.470895263777</v>
      </c>
      <c r="S39" s="701">
        <f t="shared" si="17"/>
        <v>14352.505022121692</v>
      </c>
    </row>
    <row r="40" spans="1:19" x14ac:dyDescent="0.3">
      <c r="A40" s="698" t="s">
        <v>2045</v>
      </c>
      <c r="B40" s="699" t="s">
        <v>946</v>
      </c>
      <c r="C40" s="700" t="s">
        <v>2109</v>
      </c>
      <c r="D40" s="700" t="s">
        <v>2110</v>
      </c>
      <c r="E40" s="701">
        <f>IFERROR(VLOOKUP([6]Entidad!$B$12&amp;"-"&amp;'[6]Plan Financiero'!$C40,[6]DAF_BalanceFinanciero!$A$2:$I$1053,COLUMN([6]DAF_BalanceFinanciero!H$1),FALSE),0)</f>
        <v>0</v>
      </c>
      <c r="F40" s="701">
        <f>IFERROR(VLOOKUP([6]Entidad!$B$12&amp;"-"&amp;'[6]Plan Financiero'!$C40,[6]DAF_BalanceFinanciero!$A$2:$I$1053,COLUMN([6]DAF_BalanceFinanciero!I$1),FALSE),0)</f>
        <v>0</v>
      </c>
      <c r="G40" s="701">
        <v>0</v>
      </c>
      <c r="H40" s="701"/>
      <c r="I40" s="701">
        <v>0</v>
      </c>
      <c r="J40" s="701">
        <v>0</v>
      </c>
      <c r="K40" s="701">
        <v>0</v>
      </c>
      <c r="L40" s="701">
        <v>0</v>
      </c>
      <c r="M40" s="701">
        <v>0</v>
      </c>
      <c r="N40" s="701">
        <v>0</v>
      </c>
      <c r="O40" s="701">
        <v>0</v>
      </c>
      <c r="P40" s="701">
        <v>0</v>
      </c>
      <c r="Q40" s="701">
        <v>0</v>
      </c>
      <c r="R40" s="701">
        <v>0</v>
      </c>
      <c r="S40" s="701">
        <v>0</v>
      </c>
    </row>
    <row r="41" spans="1:19" x14ac:dyDescent="0.3">
      <c r="A41" s="698" t="s">
        <v>2045</v>
      </c>
      <c r="B41" s="699" t="s">
        <v>946</v>
      </c>
      <c r="C41" s="700" t="s">
        <v>2111</v>
      </c>
      <c r="D41" s="700" t="s">
        <v>2085</v>
      </c>
      <c r="E41" s="701">
        <f>IFERROR(VLOOKUP([6]Entidad!$B$12&amp;"-"&amp;'[6]Plan Financiero'!$C41,[6]DAF_BalanceFinanciero!$A$2:$I$1053,COLUMN([6]DAF_BalanceFinanciero!H$1),FALSE),0)</f>
        <v>4355.21</v>
      </c>
      <c r="F41" s="701">
        <f>IFERROR(VLOOKUP([6]Entidad!$B$12&amp;"-"&amp;'[6]Plan Financiero'!$C41,[6]DAF_BalanceFinanciero!$A$2:$I$1053,COLUMN([6]DAF_BalanceFinanciero!I$1),FALSE),0)</f>
        <v>12016.179781999999</v>
      </c>
      <c r="G41" s="701">
        <v>17901.097767109877</v>
      </c>
      <c r="H41" s="701">
        <f>219+3056+1059+11808+1792+7530</f>
        <v>25464</v>
      </c>
      <c r="I41" s="701">
        <v>7187.3652119999997</v>
      </c>
      <c r="J41" s="701">
        <v>12771.550128954999</v>
      </c>
      <c r="K41" s="701">
        <f>+J41*1.03</f>
        <v>13154.69663282365</v>
      </c>
      <c r="L41" s="701">
        <f t="shared" ref="L41:S41" si="18">+K41*1.03</f>
        <v>13549.33753180836</v>
      </c>
      <c r="M41" s="701">
        <f t="shared" si="18"/>
        <v>13955.817657762611</v>
      </c>
      <c r="N41" s="701">
        <f t="shared" si="18"/>
        <v>14374.492187495489</v>
      </c>
      <c r="O41" s="701">
        <f t="shared" si="18"/>
        <v>14805.726953120355</v>
      </c>
      <c r="P41" s="701">
        <f t="shared" si="18"/>
        <v>15249.898761713966</v>
      </c>
      <c r="Q41" s="701">
        <f t="shared" si="18"/>
        <v>15707.395724565386</v>
      </c>
      <c r="R41" s="701">
        <f t="shared" si="18"/>
        <v>16178.617596302347</v>
      </c>
      <c r="S41" s="701">
        <f t="shared" si="18"/>
        <v>16663.976124191417</v>
      </c>
    </row>
    <row r="42" spans="1:19" x14ac:dyDescent="0.3">
      <c r="A42" s="698" t="s">
        <v>2045</v>
      </c>
      <c r="B42" s="699" t="s">
        <v>946</v>
      </c>
      <c r="C42" s="700" t="s">
        <v>2112</v>
      </c>
      <c r="D42" s="700" t="s">
        <v>2087</v>
      </c>
      <c r="E42" s="701">
        <f>IFERROR(VLOOKUP([6]Entidad!$B$12&amp;"-"&amp;'[6]Plan Financiero'!$C42,[6]DAF_BalanceFinanciero!$A$2:$I$1053,COLUMN([6]DAF_BalanceFinanciero!H$1),FALSE),0)</f>
        <v>0</v>
      </c>
      <c r="F42" s="701">
        <f>IFERROR(VLOOKUP([6]Entidad!$B$12&amp;"-"&amp;'[6]Plan Financiero'!$C42,[6]DAF_BalanceFinanciero!$A$2:$I$1053,COLUMN([6]DAF_BalanceFinanciero!I$1),FALSE),0)</f>
        <v>0</v>
      </c>
      <c r="G42" s="701">
        <v>0</v>
      </c>
      <c r="H42" s="701"/>
      <c r="I42" s="701">
        <v>0</v>
      </c>
      <c r="J42" s="701">
        <v>0</v>
      </c>
      <c r="K42" s="701">
        <v>0</v>
      </c>
      <c r="L42" s="701">
        <v>0</v>
      </c>
      <c r="M42" s="701">
        <v>0</v>
      </c>
      <c r="N42" s="701">
        <v>0</v>
      </c>
      <c r="O42" s="701">
        <v>0</v>
      </c>
      <c r="P42" s="701">
        <v>0</v>
      </c>
      <c r="Q42" s="701">
        <v>0</v>
      </c>
      <c r="R42" s="701">
        <v>0</v>
      </c>
      <c r="S42" s="701">
        <v>0</v>
      </c>
    </row>
    <row r="43" spans="1:19" x14ac:dyDescent="0.3">
      <c r="A43" s="698" t="s">
        <v>2045</v>
      </c>
      <c r="B43" s="699" t="s">
        <v>946</v>
      </c>
      <c r="C43" s="700" t="s">
        <v>2113</v>
      </c>
      <c r="D43" s="700" t="s">
        <v>2114</v>
      </c>
      <c r="E43" s="701">
        <f>IFERROR(VLOOKUP([6]Entidad!$B$12&amp;"-"&amp;'[6]Plan Financiero'!$C43,[6]DAF_BalanceFinanciero!$A$2:$I$1053,COLUMN([6]DAF_BalanceFinanciero!H$1),FALSE),0)</f>
        <v>792.98</v>
      </c>
      <c r="F43" s="701">
        <f>IFERROR(VLOOKUP([6]Entidad!$B$12&amp;"-"&amp;'[6]Plan Financiero'!$C43,[6]DAF_BalanceFinanciero!$A$2:$I$1053,COLUMN([6]DAF_BalanceFinanciero!I$1),FALSE),0)</f>
        <v>0</v>
      </c>
      <c r="G43" s="701">
        <v>932.0304527699999</v>
      </c>
      <c r="H43" s="701">
        <v>1577</v>
      </c>
      <c r="I43" s="701">
        <v>0</v>
      </c>
      <c r="J43" s="701">
        <v>0</v>
      </c>
      <c r="K43" s="701">
        <v>0</v>
      </c>
      <c r="L43" s="701">
        <v>0</v>
      </c>
      <c r="M43" s="701">
        <v>0</v>
      </c>
      <c r="N43" s="701">
        <v>0</v>
      </c>
      <c r="O43" s="701">
        <v>0</v>
      </c>
      <c r="P43" s="701">
        <v>0</v>
      </c>
      <c r="Q43" s="701">
        <v>0</v>
      </c>
      <c r="R43" s="701">
        <v>0</v>
      </c>
      <c r="S43" s="701">
        <v>0</v>
      </c>
    </row>
    <row r="44" spans="1:19" x14ac:dyDescent="0.3">
      <c r="A44" s="698" t="s">
        <v>2045</v>
      </c>
      <c r="B44" s="699" t="s">
        <v>946</v>
      </c>
      <c r="C44" s="700" t="s">
        <v>2115</v>
      </c>
      <c r="D44" s="700" t="s">
        <v>2116</v>
      </c>
      <c r="E44" s="701">
        <f>IFERROR(VLOOKUP([6]Entidad!$B$12&amp;"-"&amp;'[6]Plan Financiero'!$C44,[6]DAF_BalanceFinanciero!$A$2:$I$1053,COLUMN([6]DAF_BalanceFinanciero!H$1),FALSE),0)</f>
        <v>312.68099999999998</v>
      </c>
      <c r="F44" s="701">
        <f>IFERROR(VLOOKUP([6]Entidad!$B$12&amp;"-"&amp;'[6]Plan Financiero'!$C44,[6]DAF_BalanceFinanciero!$A$2:$I$1053,COLUMN([6]DAF_BalanceFinanciero!I$1),FALSE),0)</f>
        <v>0</v>
      </c>
      <c r="G44" s="701">
        <v>0</v>
      </c>
      <c r="H44" s="701"/>
      <c r="I44" s="701">
        <v>0</v>
      </c>
      <c r="J44" s="701">
        <v>0</v>
      </c>
      <c r="K44" s="701">
        <v>0</v>
      </c>
      <c r="L44" s="701">
        <v>0</v>
      </c>
      <c r="M44" s="701">
        <v>0</v>
      </c>
      <c r="N44" s="701">
        <v>0</v>
      </c>
      <c r="O44" s="701">
        <v>0</v>
      </c>
      <c r="P44" s="701">
        <v>0</v>
      </c>
      <c r="Q44" s="701">
        <v>0</v>
      </c>
      <c r="R44" s="701">
        <v>0</v>
      </c>
      <c r="S44" s="701">
        <v>0</v>
      </c>
    </row>
    <row r="45" spans="1:19" x14ac:dyDescent="0.3">
      <c r="A45" s="698" t="s">
        <v>2045</v>
      </c>
      <c r="B45" s="699" t="s">
        <v>946</v>
      </c>
      <c r="C45" s="700" t="s">
        <v>2117</v>
      </c>
      <c r="D45" s="700" t="s">
        <v>2118</v>
      </c>
      <c r="E45" s="701">
        <f>IFERROR(VLOOKUP([6]Entidad!$B$12&amp;"-"&amp;'[6]Plan Financiero'!$C45,[6]DAF_BalanceFinanciero!$A$2:$I$1053,COLUMN([6]DAF_BalanceFinanciero!H$1),FALSE),0)</f>
        <v>0</v>
      </c>
      <c r="F45" s="701">
        <f>IFERROR(VLOOKUP([6]Entidad!$B$12&amp;"-"&amp;'[6]Plan Financiero'!$C45,[6]DAF_BalanceFinanciero!$A$2:$I$1053,COLUMN([6]DAF_BalanceFinanciero!I$1),FALSE),0)</f>
        <v>0</v>
      </c>
      <c r="G45" s="701">
        <v>0</v>
      </c>
      <c r="H45" s="701"/>
      <c r="I45" s="701">
        <v>0</v>
      </c>
      <c r="J45" s="701">
        <v>0</v>
      </c>
      <c r="K45" s="701">
        <v>0</v>
      </c>
      <c r="L45" s="701">
        <v>0</v>
      </c>
      <c r="M45" s="701">
        <v>0</v>
      </c>
      <c r="N45" s="701">
        <v>0</v>
      </c>
      <c r="O45" s="701">
        <v>0</v>
      </c>
      <c r="P45" s="701">
        <v>0</v>
      </c>
      <c r="Q45" s="701">
        <v>0</v>
      </c>
      <c r="R45" s="701">
        <v>0</v>
      </c>
      <c r="S45" s="701">
        <v>0</v>
      </c>
    </row>
    <row r="46" spans="1:19" x14ac:dyDescent="0.3">
      <c r="A46" s="698" t="s">
        <v>2045</v>
      </c>
      <c r="B46" s="699" t="s">
        <v>946</v>
      </c>
      <c r="C46" s="700" t="s">
        <v>2119</v>
      </c>
      <c r="D46" s="700" t="s">
        <v>2120</v>
      </c>
      <c r="E46" s="701">
        <f>IFERROR(VLOOKUP([6]Entidad!$B$12&amp;"-"&amp;'[6]Plan Financiero'!$C46,[6]DAF_BalanceFinanciero!$A$2:$I$1053,COLUMN([6]DAF_BalanceFinanciero!H$1),FALSE),0)</f>
        <v>0</v>
      </c>
      <c r="F46" s="701">
        <f>IFERROR(VLOOKUP([6]Entidad!$B$12&amp;"-"&amp;'[6]Plan Financiero'!$C46,[6]DAF_BalanceFinanciero!$A$2:$I$1053,COLUMN([6]DAF_BalanceFinanciero!I$1),FALSE),0)</f>
        <v>0</v>
      </c>
      <c r="G46" s="701">
        <v>0</v>
      </c>
      <c r="H46" s="701"/>
      <c r="I46" s="701">
        <v>0</v>
      </c>
      <c r="J46" s="701">
        <v>0</v>
      </c>
      <c r="K46" s="701">
        <v>0</v>
      </c>
      <c r="L46" s="701">
        <v>0</v>
      </c>
      <c r="M46" s="701">
        <v>0</v>
      </c>
      <c r="N46" s="701">
        <v>0</v>
      </c>
      <c r="O46" s="701">
        <v>0</v>
      </c>
      <c r="P46" s="701">
        <v>0</v>
      </c>
      <c r="Q46" s="701">
        <v>0</v>
      </c>
      <c r="R46" s="701">
        <v>0</v>
      </c>
      <c r="S46" s="701">
        <v>0</v>
      </c>
    </row>
    <row r="47" spans="1:19" s="725" customFormat="1" x14ac:dyDescent="0.3">
      <c r="A47" s="731" t="s">
        <v>2037</v>
      </c>
      <c r="B47" s="732" t="s">
        <v>2038</v>
      </c>
      <c r="C47" s="663" t="s">
        <v>2121</v>
      </c>
      <c r="D47" s="663" t="s">
        <v>2122</v>
      </c>
      <c r="E47" s="666">
        <f t="shared" ref="E47:S47" si="19">E48+E87</f>
        <v>299961.95500000002</v>
      </c>
      <c r="F47" s="666">
        <f t="shared" si="19"/>
        <v>318283.75582800002</v>
      </c>
      <c r="G47" s="666">
        <f t="shared" si="19"/>
        <v>353754.22195248998</v>
      </c>
      <c r="H47" s="666">
        <f t="shared" si="19"/>
        <v>324046</v>
      </c>
      <c r="I47" s="666">
        <f t="shared" si="19"/>
        <v>408717.89311307005</v>
      </c>
      <c r="J47" s="666">
        <f t="shared" si="19"/>
        <v>357160</v>
      </c>
      <c r="K47" s="666">
        <f t="shared" si="19"/>
        <v>369501.62</v>
      </c>
      <c r="L47" s="666">
        <f t="shared" si="19"/>
        <v>381513.55859999999</v>
      </c>
      <c r="M47" s="666">
        <f t="shared" si="19"/>
        <v>393215.31790125958</v>
      </c>
      <c r="N47" s="666">
        <f t="shared" si="19"/>
        <v>405158.51361873996</v>
      </c>
      <c r="O47" s="666">
        <f t="shared" si="19"/>
        <v>417460.3090273022</v>
      </c>
      <c r="P47" s="666">
        <f t="shared" si="19"/>
        <v>430342.99829812127</v>
      </c>
      <c r="Q47" s="666">
        <f t="shared" si="19"/>
        <v>444122.22824706486</v>
      </c>
      <c r="R47" s="666">
        <f t="shared" si="19"/>
        <v>459277.96509447694</v>
      </c>
      <c r="S47" s="666">
        <f t="shared" si="19"/>
        <v>473123.50404731114</v>
      </c>
    </row>
    <row r="48" spans="1:19" s="725" customFormat="1" x14ac:dyDescent="0.3">
      <c r="A48" s="731" t="s">
        <v>2037</v>
      </c>
      <c r="B48" s="732" t="s">
        <v>2038</v>
      </c>
      <c r="C48" s="663" t="s">
        <v>2123</v>
      </c>
      <c r="D48" s="663" t="s">
        <v>2124</v>
      </c>
      <c r="E48" s="666">
        <f t="shared" ref="E48:S48" si="20">E49+E63+E64+E65+E71</f>
        <v>257981.66099999999</v>
      </c>
      <c r="F48" s="666">
        <f t="shared" si="20"/>
        <v>282096.11716600001</v>
      </c>
      <c r="G48" s="666">
        <f t="shared" si="20"/>
        <v>334169.99137678999</v>
      </c>
      <c r="H48" s="666">
        <f t="shared" si="20"/>
        <v>319980</v>
      </c>
      <c r="I48" s="666">
        <f t="shared" si="20"/>
        <v>392731.73847893003</v>
      </c>
      <c r="J48" s="666">
        <f t="shared" si="20"/>
        <v>350006</v>
      </c>
      <c r="K48" s="666">
        <f t="shared" si="20"/>
        <v>363224.86</v>
      </c>
      <c r="L48" s="666">
        <f t="shared" si="20"/>
        <v>372736.18579999998</v>
      </c>
      <c r="M48" s="666">
        <f t="shared" si="20"/>
        <v>382718.29137399996</v>
      </c>
      <c r="N48" s="666">
        <f t="shared" si="20"/>
        <v>393050.77011521999</v>
      </c>
      <c r="O48" s="666">
        <f t="shared" si="20"/>
        <v>403723.5032186766</v>
      </c>
      <c r="P48" s="666">
        <f t="shared" si="20"/>
        <v>414744.66831523692</v>
      </c>
      <c r="Q48" s="666">
        <f t="shared" si="20"/>
        <v>426168.74836469395</v>
      </c>
      <c r="R48" s="666">
        <f t="shared" si="20"/>
        <v>438109.54081563489</v>
      </c>
      <c r="S48" s="666">
        <f t="shared" si="20"/>
        <v>450774.16704010387</v>
      </c>
    </row>
    <row r="49" spans="1:19" s="725" customFormat="1" x14ac:dyDescent="0.3">
      <c r="A49" s="731" t="s">
        <v>2037</v>
      </c>
      <c r="B49" s="732" t="s">
        <v>2038</v>
      </c>
      <c r="C49" s="663" t="s">
        <v>2125</v>
      </c>
      <c r="D49" s="663" t="s">
        <v>2126</v>
      </c>
      <c r="E49" s="666">
        <f>E50+E51+E52+E60+E61+E62</f>
        <v>75782.722999999998</v>
      </c>
      <c r="F49" s="666">
        <f>F50+F51+F52+F60+F61+F62</f>
        <v>78829.30113800001</v>
      </c>
      <c r="G49" s="666">
        <f>SUM(G50:G52)+SUM(G60:G62)</f>
        <v>79934.438266700003</v>
      </c>
      <c r="H49" s="666">
        <f>SUM(H50:H52)+SUM(H60:H62)</f>
        <v>76698</v>
      </c>
      <c r="I49" s="666">
        <f t="shared" ref="I49:P49" si="21">SUM(I50:I52)+SUM(I60:I62)</f>
        <v>108192.02991642999</v>
      </c>
      <c r="J49" s="666">
        <f t="shared" si="21"/>
        <v>84624</v>
      </c>
      <c r="K49" s="666">
        <f t="shared" si="21"/>
        <v>87162.72</v>
      </c>
      <c r="L49" s="666">
        <f t="shared" si="21"/>
        <v>89777.601599999995</v>
      </c>
      <c r="M49" s="666">
        <f t="shared" si="21"/>
        <v>92470.929648000005</v>
      </c>
      <c r="N49" s="666">
        <f t="shared" si="21"/>
        <v>95245.057537440007</v>
      </c>
      <c r="O49" s="666">
        <f t="shared" si="21"/>
        <v>98102.409263563226</v>
      </c>
      <c r="P49" s="666">
        <f t="shared" si="21"/>
        <v>101045.4815414701</v>
      </c>
      <c r="Q49" s="666">
        <f>SUM(Q50:Q52)+SUM(Q60:Q62)</f>
        <v>104076.84598771422</v>
      </c>
      <c r="R49" s="666">
        <f>SUM(R50:R52)+SUM(R60:R62)</f>
        <v>107199.15136734565</v>
      </c>
      <c r="S49" s="666">
        <f>SUM(S50:S52)+SUM(S60:S62)</f>
        <v>110415.12590836601</v>
      </c>
    </row>
    <row r="50" spans="1:19" x14ac:dyDescent="0.3">
      <c r="A50" s="698" t="s">
        <v>2045</v>
      </c>
      <c r="B50" s="699" t="s">
        <v>2127</v>
      </c>
      <c r="C50" s="700" t="s">
        <v>2128</v>
      </c>
      <c r="D50" s="700" t="s">
        <v>2129</v>
      </c>
      <c r="E50" s="701">
        <f>IFERROR(VLOOKUP([6]Entidad!$B$12&amp;"-"&amp;'[6]Plan Financiero'!$C50,[6]DAF_BalanceFinanciero!$A$2:$I$1053,COLUMN([6]DAF_BalanceFinanciero!H$1),FALSE),0)</f>
        <v>29026.309000000001</v>
      </c>
      <c r="F50" s="701">
        <f>IFERROR(VLOOKUP([6]Entidad!$B$12&amp;"-"&amp;'[6]Plan Financiero'!$C50,[6]DAF_BalanceFinanciero!$A$2:$I$1053,COLUMN([6]DAF_BalanceFinanciero!I$1),FALSE),0)</f>
        <v>31428.355007999999</v>
      </c>
      <c r="G50" s="701">
        <v>32896.194550669999</v>
      </c>
      <c r="H50" s="701">
        <f>25293+285+2057</f>
        <v>27635</v>
      </c>
      <c r="I50" s="701">
        <v>23929.484388000001</v>
      </c>
      <c r="J50" s="701">
        <f>24747+12</f>
        <v>24759</v>
      </c>
      <c r="K50" s="701">
        <f>+J50*1.03</f>
        <v>25501.77</v>
      </c>
      <c r="L50" s="701">
        <f t="shared" ref="L50:S51" si="22">+K50*1.03</f>
        <v>26266.823100000001</v>
      </c>
      <c r="M50" s="701">
        <f t="shared" si="22"/>
        <v>27054.827793</v>
      </c>
      <c r="N50" s="701">
        <f t="shared" si="22"/>
        <v>27866.472626790001</v>
      </c>
      <c r="O50" s="701">
        <f t="shared" si="22"/>
        <v>28702.4668055937</v>
      </c>
      <c r="P50" s="701">
        <f t="shared" si="22"/>
        <v>29563.540809761511</v>
      </c>
      <c r="Q50" s="701">
        <f t="shared" si="22"/>
        <v>30450.447034054356</v>
      </c>
      <c r="R50" s="701">
        <f t="shared" si="22"/>
        <v>31363.960445075987</v>
      </c>
      <c r="S50" s="701">
        <f t="shared" si="22"/>
        <v>32304.879258428267</v>
      </c>
    </row>
    <row r="51" spans="1:19" x14ac:dyDescent="0.3">
      <c r="A51" s="698" t="s">
        <v>2045</v>
      </c>
      <c r="B51" s="699" t="s">
        <v>2127</v>
      </c>
      <c r="C51" s="700" t="s">
        <v>2130</v>
      </c>
      <c r="D51" s="700" t="s">
        <v>2131</v>
      </c>
      <c r="E51" s="701">
        <f>IFERROR(VLOOKUP([6]Entidad!$B$12&amp;"-"&amp;'[6]Plan Financiero'!$C51,[6]DAF_BalanceFinanciero!$A$2:$I$1053,COLUMN([6]DAF_BalanceFinanciero!H$1),FALSE),0)</f>
        <v>7611.9369999999999</v>
      </c>
      <c r="F51" s="701">
        <f>IFERROR(VLOOKUP([6]Entidad!$B$12&amp;"-"&amp;'[6]Plan Financiero'!$C51,[6]DAF_BalanceFinanciero!$A$2:$I$1053,COLUMN([6]DAF_BalanceFinanciero!I$1),FALSE),0)</f>
        <v>6786.0466210000004</v>
      </c>
      <c r="G51" s="701">
        <v>7738.1080681399999</v>
      </c>
      <c r="H51" s="701">
        <v>5548</v>
      </c>
      <c r="I51" s="701">
        <v>15506.475274</v>
      </c>
      <c r="J51" s="701">
        <v>9763</v>
      </c>
      <c r="K51" s="701">
        <f>+J51*1.03</f>
        <v>10055.89</v>
      </c>
      <c r="L51" s="701">
        <f t="shared" si="22"/>
        <v>10357.566699999999</v>
      </c>
      <c r="M51" s="701">
        <f t="shared" si="22"/>
        <v>10668.293701000001</v>
      </c>
      <c r="N51" s="701">
        <f t="shared" si="22"/>
        <v>10988.342512030002</v>
      </c>
      <c r="O51" s="701">
        <f t="shared" si="22"/>
        <v>11317.992787390902</v>
      </c>
      <c r="P51" s="701">
        <f t="shared" si="22"/>
        <v>11657.532571012629</v>
      </c>
      <c r="Q51" s="701">
        <f t="shared" si="22"/>
        <v>12007.258548143009</v>
      </c>
      <c r="R51" s="701">
        <f t="shared" si="22"/>
        <v>12367.476304587299</v>
      </c>
      <c r="S51" s="701">
        <f t="shared" si="22"/>
        <v>12738.500593724919</v>
      </c>
    </row>
    <row r="52" spans="1:19" x14ac:dyDescent="0.3">
      <c r="A52" s="698" t="s">
        <v>2037</v>
      </c>
      <c r="B52" s="699" t="s">
        <v>2038</v>
      </c>
      <c r="C52" s="703" t="s">
        <v>2132</v>
      </c>
      <c r="D52" s="703" t="s">
        <v>2133</v>
      </c>
      <c r="E52" s="704">
        <f>SUM(E53:E59)</f>
        <v>37479.087</v>
      </c>
      <c r="F52" s="704">
        <f>SUM(F53:F59)</f>
        <v>39929.734617000002</v>
      </c>
      <c r="G52" s="704">
        <f t="shared" ref="G52:S52" si="23">SUM(G53:G59)</f>
        <v>39025.456691890002</v>
      </c>
      <c r="H52" s="704">
        <f t="shared" si="23"/>
        <v>43515</v>
      </c>
      <c r="I52" s="704">
        <f t="shared" si="23"/>
        <v>54559.608307169998</v>
      </c>
      <c r="J52" s="704">
        <f t="shared" si="23"/>
        <v>34943</v>
      </c>
      <c r="K52" s="704">
        <f t="shared" si="23"/>
        <v>35991.289999999994</v>
      </c>
      <c r="L52" s="704">
        <f t="shared" si="23"/>
        <v>37071.028699999995</v>
      </c>
      <c r="M52" s="704">
        <f t="shared" si="23"/>
        <v>38183.159561</v>
      </c>
      <c r="N52" s="704">
        <f t="shared" si="23"/>
        <v>39328.654347830001</v>
      </c>
      <c r="O52" s="704">
        <f t="shared" si="23"/>
        <v>40508.513978264906</v>
      </c>
      <c r="P52" s="704">
        <f t="shared" si="23"/>
        <v>41723.76939761285</v>
      </c>
      <c r="Q52" s="704">
        <f t="shared" si="23"/>
        <v>42975.482479541242</v>
      </c>
      <c r="R52" s="704">
        <f t="shared" si="23"/>
        <v>44264.746953927475</v>
      </c>
      <c r="S52" s="704">
        <f t="shared" si="23"/>
        <v>45592.689362545301</v>
      </c>
    </row>
    <row r="53" spans="1:19" x14ac:dyDescent="0.3">
      <c r="A53" s="698" t="s">
        <v>2045</v>
      </c>
      <c r="B53" s="699" t="s">
        <v>2127</v>
      </c>
      <c r="C53" s="700" t="s">
        <v>2134</v>
      </c>
      <c r="D53" s="700" t="s">
        <v>2135</v>
      </c>
      <c r="E53" s="701">
        <f>IFERROR(VLOOKUP([6]Entidad!$B$12&amp;"-"&amp;'[6]Plan Financiero'!$C53,[6]DAF_BalanceFinanciero!$A$2:$I$1053,COLUMN([6]DAF_BalanceFinanciero!H$1),FALSE),0)</f>
        <v>10546.245999999999</v>
      </c>
      <c r="F53" s="701">
        <f>IFERROR(VLOOKUP([6]Entidad!$B$12&amp;"-"&amp;'[6]Plan Financiero'!$C53,[6]DAF_BalanceFinanciero!$A$2:$I$1053,COLUMN([6]DAF_BalanceFinanciero!I$1),FALSE),0)</f>
        <v>12695.564394999999</v>
      </c>
      <c r="G53" s="701">
        <v>9584.601251</v>
      </c>
      <c r="H53" s="701">
        <v>8890</v>
      </c>
      <c r="I53" s="701">
        <v>9918.6411580000004</v>
      </c>
      <c r="J53" s="701">
        <v>10256</v>
      </c>
      <c r="K53" s="701">
        <f>+J53*1.03</f>
        <v>10563.68</v>
      </c>
      <c r="L53" s="701">
        <f t="shared" ref="L53:S54" si="24">+K53*1.03</f>
        <v>10880.590400000001</v>
      </c>
      <c r="M53" s="701">
        <f t="shared" si="24"/>
        <v>11207.008112000001</v>
      </c>
      <c r="N53" s="701">
        <f t="shared" si="24"/>
        <v>11543.218355360003</v>
      </c>
      <c r="O53" s="701">
        <f t="shared" si="24"/>
        <v>11889.514906020802</v>
      </c>
      <c r="P53" s="701">
        <f t="shared" si="24"/>
        <v>12246.200353201426</v>
      </c>
      <c r="Q53" s="701">
        <f t="shared" si="24"/>
        <v>12613.586363797469</v>
      </c>
      <c r="R53" s="701">
        <f t="shared" si="24"/>
        <v>12991.993954711394</v>
      </c>
      <c r="S53" s="701">
        <f t="shared" si="24"/>
        <v>13381.753773352735</v>
      </c>
    </row>
    <row r="54" spans="1:19" x14ac:dyDescent="0.3">
      <c r="A54" s="698" t="s">
        <v>2045</v>
      </c>
      <c r="B54" s="699" t="s">
        <v>2127</v>
      </c>
      <c r="C54" s="700" t="s">
        <v>2136</v>
      </c>
      <c r="D54" s="700" t="s">
        <v>2137</v>
      </c>
      <c r="E54" s="701">
        <f>IFERROR(VLOOKUP([6]Entidad!$B$12&amp;"-"&amp;'[6]Plan Financiero'!$C54,[6]DAF_BalanceFinanciero!$A$2:$I$1053,COLUMN([6]DAF_BalanceFinanciero!H$1),FALSE),0)</f>
        <v>3064.5650000000001</v>
      </c>
      <c r="F54" s="701">
        <f>IFERROR(VLOOKUP([6]Entidad!$B$12&amp;"-"&amp;'[6]Plan Financiero'!$C54,[6]DAF_BalanceFinanciero!$A$2:$I$1053,COLUMN([6]DAF_BalanceFinanciero!I$1),FALSE),0)</f>
        <v>3431.814046</v>
      </c>
      <c r="G54" s="701">
        <v>171.43938900000001</v>
      </c>
      <c r="H54" s="701">
        <v>4290</v>
      </c>
      <c r="I54" s="701">
        <v>9092.1767235499992</v>
      </c>
      <c r="J54" s="701">
        <v>11832</v>
      </c>
      <c r="K54" s="701">
        <f>+J54*1.03</f>
        <v>12186.960000000001</v>
      </c>
      <c r="L54" s="701">
        <f t="shared" si="24"/>
        <v>12552.568800000001</v>
      </c>
      <c r="M54" s="701">
        <f t="shared" si="24"/>
        <v>12929.145864000002</v>
      </c>
      <c r="N54" s="701">
        <f t="shared" si="24"/>
        <v>13317.020239920002</v>
      </c>
      <c r="O54" s="701">
        <f t="shared" si="24"/>
        <v>13716.530847117603</v>
      </c>
      <c r="P54" s="701">
        <f t="shared" si="24"/>
        <v>14128.026772531131</v>
      </c>
      <c r="Q54" s="701">
        <f t="shared" si="24"/>
        <v>14551.867575707065</v>
      </c>
      <c r="R54" s="701">
        <f t="shared" si="24"/>
        <v>14988.423602978277</v>
      </c>
      <c r="S54" s="701">
        <f t="shared" si="24"/>
        <v>15438.076311067625</v>
      </c>
    </row>
    <row r="55" spans="1:19" x14ac:dyDescent="0.3">
      <c r="A55" s="698" t="s">
        <v>2045</v>
      </c>
      <c r="B55" s="699" t="s">
        <v>2127</v>
      </c>
      <c r="C55" s="700" t="s">
        <v>2138</v>
      </c>
      <c r="D55" s="700" t="s">
        <v>2139</v>
      </c>
      <c r="E55" s="701">
        <f>IFERROR(VLOOKUP([6]Entidad!$B$12&amp;"-"&amp;'[6]Plan Financiero'!$C55,[6]DAF_BalanceFinanciero!$A$2:$I$1053,COLUMN([6]DAF_BalanceFinanciero!H$1),FALSE),0)</f>
        <v>0</v>
      </c>
      <c r="F55" s="701">
        <f>IFERROR(VLOOKUP([6]Entidad!$B$12&amp;"-"&amp;'[6]Plan Financiero'!$C55,[6]DAF_BalanceFinanciero!$A$2:$I$1053,COLUMN([6]DAF_BalanceFinanciero!I$1),FALSE),0)</f>
        <v>0</v>
      </c>
      <c r="G55" s="701">
        <v>0</v>
      </c>
      <c r="H55" s="701"/>
      <c r="I55" s="701">
        <v>0</v>
      </c>
      <c r="J55" s="701">
        <v>0</v>
      </c>
      <c r="K55" s="701">
        <v>0</v>
      </c>
      <c r="L55" s="701">
        <v>0</v>
      </c>
      <c r="M55" s="701">
        <v>0</v>
      </c>
      <c r="N55" s="701">
        <v>0</v>
      </c>
      <c r="O55" s="701">
        <v>0</v>
      </c>
      <c r="P55" s="701">
        <v>0</v>
      </c>
      <c r="Q55" s="701">
        <v>0</v>
      </c>
      <c r="R55" s="701">
        <v>0</v>
      </c>
      <c r="S55" s="701">
        <v>0</v>
      </c>
    </row>
    <row r="56" spans="1:19" x14ac:dyDescent="0.3">
      <c r="A56" s="698" t="s">
        <v>2045</v>
      </c>
      <c r="B56" s="699" t="s">
        <v>2127</v>
      </c>
      <c r="C56" s="700" t="s">
        <v>2140</v>
      </c>
      <c r="D56" s="700" t="s">
        <v>2141</v>
      </c>
      <c r="E56" s="701">
        <f>IFERROR(VLOOKUP([6]Entidad!$B$12&amp;"-"&amp;'[6]Plan Financiero'!$C56,[6]DAF_BalanceFinanciero!$A$2:$I$1053,COLUMN([6]DAF_BalanceFinanciero!H$1),FALSE),0)</f>
        <v>5011.0069999999996</v>
      </c>
      <c r="F56" s="701">
        <f>IFERROR(VLOOKUP([6]Entidad!$B$12&amp;"-"&amp;'[6]Plan Financiero'!$C56,[6]DAF_BalanceFinanciero!$A$2:$I$1053,COLUMN([6]DAF_BalanceFinanciero!I$1),FALSE),0)</f>
        <v>5743.690525</v>
      </c>
      <c r="G56" s="701">
        <v>6179.5390229999994</v>
      </c>
      <c r="H56" s="701">
        <f>39+243+5971</f>
        <v>6253</v>
      </c>
      <c r="I56" s="701">
        <v>6819.1981530000003</v>
      </c>
      <c r="J56" s="701">
        <v>6408</v>
      </c>
      <c r="K56" s="701">
        <f>+J56*1.03</f>
        <v>6600.24</v>
      </c>
      <c r="L56" s="701">
        <f t="shared" ref="L56:S58" si="25">+K56*1.03</f>
        <v>6798.2471999999998</v>
      </c>
      <c r="M56" s="701">
        <f t="shared" si="25"/>
        <v>7002.1946159999998</v>
      </c>
      <c r="N56" s="701">
        <f t="shared" si="25"/>
        <v>7212.2604544799997</v>
      </c>
      <c r="O56" s="701">
        <f t="shared" si="25"/>
        <v>7428.6282681144003</v>
      </c>
      <c r="P56" s="701">
        <f t="shared" si="25"/>
        <v>7651.4871161578321</v>
      </c>
      <c r="Q56" s="701">
        <f t="shared" si="25"/>
        <v>7881.0317296425674</v>
      </c>
      <c r="R56" s="701">
        <f t="shared" si="25"/>
        <v>8117.4626815318443</v>
      </c>
      <c r="S56" s="701">
        <f t="shared" si="25"/>
        <v>8360.9865619777993</v>
      </c>
    </row>
    <row r="57" spans="1:19" x14ac:dyDescent="0.3">
      <c r="A57" s="698" t="s">
        <v>2045</v>
      </c>
      <c r="B57" s="699" t="s">
        <v>2127</v>
      </c>
      <c r="C57" s="700" t="s">
        <v>2142</v>
      </c>
      <c r="D57" s="700" t="s">
        <v>2143</v>
      </c>
      <c r="E57" s="701">
        <f>IFERROR(VLOOKUP([6]Entidad!$B$12&amp;"-"&amp;'[6]Plan Financiero'!$C57,[6]DAF_BalanceFinanciero!$A$2:$I$1053,COLUMN([6]DAF_BalanceFinanciero!H$1),FALSE),0)</f>
        <v>17264.606</v>
      </c>
      <c r="F57" s="701">
        <f>IFERROR(VLOOKUP([6]Entidad!$B$12&amp;"-"&amp;'[6]Plan Financiero'!$C57,[6]DAF_BalanceFinanciero!$A$2:$I$1053,COLUMN([6]DAF_BalanceFinanciero!I$1),FALSE),0)</f>
        <v>15933.290602999999</v>
      </c>
      <c r="G57" s="701">
        <v>20336.116129560003</v>
      </c>
      <c r="H57" s="701">
        <f>14850-1336</f>
        <v>13514</v>
      </c>
      <c r="I57" s="701">
        <v>12513.20805763</v>
      </c>
      <c r="J57" s="701">
        <v>4947</v>
      </c>
      <c r="K57" s="701">
        <f>+J57*1.03</f>
        <v>5095.41</v>
      </c>
      <c r="L57" s="701">
        <f t="shared" si="25"/>
        <v>5248.2722999999996</v>
      </c>
      <c r="M57" s="701">
        <f t="shared" si="25"/>
        <v>5405.7204689999999</v>
      </c>
      <c r="N57" s="701">
        <f t="shared" si="25"/>
        <v>5567.8920830699999</v>
      </c>
      <c r="O57" s="701">
        <f t="shared" si="25"/>
        <v>5734.9288455620999</v>
      </c>
      <c r="P57" s="701">
        <f t="shared" si="25"/>
        <v>5906.9767109289633</v>
      </c>
      <c r="Q57" s="701">
        <f t="shared" si="25"/>
        <v>6084.1860122568323</v>
      </c>
      <c r="R57" s="701">
        <f t="shared" si="25"/>
        <v>6266.7115926245378</v>
      </c>
      <c r="S57" s="701">
        <f t="shared" si="25"/>
        <v>6454.7129404032739</v>
      </c>
    </row>
    <row r="58" spans="1:19" x14ac:dyDescent="0.3">
      <c r="A58" s="698" t="s">
        <v>2045</v>
      </c>
      <c r="B58" s="699" t="s">
        <v>2127</v>
      </c>
      <c r="C58" s="700" t="s">
        <v>2144</v>
      </c>
      <c r="D58" s="700" t="s">
        <v>2145</v>
      </c>
      <c r="E58" s="701">
        <f>IFERROR(VLOOKUP([6]Entidad!$B$12&amp;"-"&amp;'[6]Plan Financiero'!$C58,[6]DAF_BalanceFinanciero!$A$2:$I$1053,COLUMN([6]DAF_BalanceFinanciero!H$1),FALSE),0)</f>
        <v>1592.663</v>
      </c>
      <c r="F58" s="701">
        <f>IFERROR(VLOOKUP([6]Entidad!$B$12&amp;"-"&amp;'[6]Plan Financiero'!$C58,[6]DAF_BalanceFinanciero!$A$2:$I$1053,COLUMN([6]DAF_BalanceFinanciero!I$1),FALSE),0)</f>
        <v>2125.3750479999999</v>
      </c>
      <c r="G58" s="701">
        <v>2753.7608993300005</v>
      </c>
      <c r="H58" s="701">
        <v>10568</v>
      </c>
      <c r="I58" s="701">
        <v>3550</v>
      </c>
      <c r="J58" s="701">
        <v>1500</v>
      </c>
      <c r="K58" s="701">
        <f>+J58*1.03</f>
        <v>1545</v>
      </c>
      <c r="L58" s="701">
        <f t="shared" si="25"/>
        <v>1591.3500000000001</v>
      </c>
      <c r="M58" s="701">
        <f t="shared" si="25"/>
        <v>1639.0905000000002</v>
      </c>
      <c r="N58" s="701">
        <f t="shared" si="25"/>
        <v>1688.2632150000004</v>
      </c>
      <c r="O58" s="701">
        <f t="shared" si="25"/>
        <v>1738.9111114500004</v>
      </c>
      <c r="P58" s="701">
        <f t="shared" si="25"/>
        <v>1791.0784447935005</v>
      </c>
      <c r="Q58" s="701">
        <f t="shared" si="25"/>
        <v>1844.8107981373055</v>
      </c>
      <c r="R58" s="701">
        <f t="shared" si="25"/>
        <v>1900.1551220814247</v>
      </c>
      <c r="S58" s="701">
        <f t="shared" si="25"/>
        <v>1957.1597757438674</v>
      </c>
    </row>
    <row r="59" spans="1:19" x14ac:dyDescent="0.3">
      <c r="A59" s="698" t="s">
        <v>2045</v>
      </c>
      <c r="B59" s="699" t="s">
        <v>2127</v>
      </c>
      <c r="C59" s="700" t="s">
        <v>2146</v>
      </c>
      <c r="D59" s="700" t="s">
        <v>2147</v>
      </c>
      <c r="E59" s="701">
        <f>IFERROR(VLOOKUP([6]Entidad!$B$12&amp;"-"&amp;'[6]Plan Financiero'!$C59,[6]DAF_BalanceFinanciero!$A$2:$I$1053,COLUMN([6]DAF_BalanceFinanciero!H$1),FALSE),0)</f>
        <v>0</v>
      </c>
      <c r="F59" s="701">
        <f>IFERROR(VLOOKUP([6]Entidad!$B$12&amp;"-"&amp;'[6]Plan Financiero'!$C59,[6]DAF_BalanceFinanciero!$A$2:$I$1053,COLUMN([6]DAF_BalanceFinanciero!I$1),FALSE),0)</f>
        <v>0</v>
      </c>
      <c r="G59" s="701">
        <v>0</v>
      </c>
      <c r="H59" s="701"/>
      <c r="I59" s="701">
        <v>12666.384214989999</v>
      </c>
      <c r="J59" s="701">
        <v>0</v>
      </c>
      <c r="K59" s="701">
        <v>0</v>
      </c>
      <c r="L59" s="701">
        <v>0</v>
      </c>
      <c r="M59" s="701">
        <v>0</v>
      </c>
      <c r="N59" s="701">
        <v>0</v>
      </c>
      <c r="O59" s="701">
        <v>0</v>
      </c>
      <c r="P59" s="701">
        <v>0</v>
      </c>
      <c r="Q59" s="701">
        <v>0</v>
      </c>
      <c r="R59" s="701">
        <v>0</v>
      </c>
      <c r="S59" s="701">
        <v>0</v>
      </c>
    </row>
    <row r="60" spans="1:19" x14ac:dyDescent="0.3">
      <c r="A60" s="698" t="s">
        <v>2045</v>
      </c>
      <c r="B60" s="699" t="s">
        <v>2127</v>
      </c>
      <c r="C60" s="700" t="s">
        <v>2148</v>
      </c>
      <c r="D60" s="700" t="s">
        <v>2149</v>
      </c>
      <c r="E60" s="701">
        <f>IFERROR(VLOOKUP([6]Entidad!$B$12&amp;"-"&amp;'[6]Plan Financiero'!$C60,[6]DAF_BalanceFinanciero!$A$2:$I$1053,COLUMN([6]DAF_BalanceFinanciero!H$1),FALSE),0)</f>
        <v>0</v>
      </c>
      <c r="F60" s="701">
        <f>IFERROR(VLOOKUP([6]Entidad!$B$12&amp;"-"&amp;'[6]Plan Financiero'!$C60,[6]DAF_BalanceFinanciero!$A$2:$I$1053,COLUMN([6]DAF_BalanceFinanciero!I$1),FALSE),0)</f>
        <v>0</v>
      </c>
      <c r="G60" s="701">
        <v>0</v>
      </c>
      <c r="H60" s="701"/>
      <c r="I60" s="701">
        <v>0</v>
      </c>
      <c r="J60" s="701">
        <v>0</v>
      </c>
      <c r="K60" s="701">
        <v>0</v>
      </c>
      <c r="L60" s="701">
        <v>0</v>
      </c>
      <c r="M60" s="701">
        <v>0</v>
      </c>
      <c r="N60" s="701">
        <v>0</v>
      </c>
      <c r="O60" s="701">
        <v>0</v>
      </c>
      <c r="P60" s="701">
        <v>0</v>
      </c>
      <c r="Q60" s="701">
        <v>0</v>
      </c>
      <c r="R60" s="701">
        <v>0</v>
      </c>
      <c r="S60" s="701">
        <v>0</v>
      </c>
    </row>
    <row r="61" spans="1:19" x14ac:dyDescent="0.3">
      <c r="A61" s="698" t="s">
        <v>2045</v>
      </c>
      <c r="B61" s="699" t="s">
        <v>2127</v>
      </c>
      <c r="C61" s="700" t="s">
        <v>2150</v>
      </c>
      <c r="D61" s="700" t="s">
        <v>2151</v>
      </c>
      <c r="E61" s="701">
        <f>IFERROR(VLOOKUP([6]Entidad!$B$12&amp;"-"&amp;'[6]Plan Financiero'!$C61,[6]DAF_BalanceFinanciero!$A$2:$I$1053,COLUMN([6]DAF_BalanceFinanciero!H$1),FALSE),0)</f>
        <v>0</v>
      </c>
      <c r="F61" s="701">
        <f>IFERROR(VLOOKUP([6]Entidad!$B$12&amp;"-"&amp;'[6]Plan Financiero'!$C61,[6]DAF_BalanceFinanciero!$A$2:$I$1053,COLUMN([6]DAF_BalanceFinanciero!I$1),FALSE),0)</f>
        <v>0</v>
      </c>
      <c r="G61" s="701">
        <v>274.67895600000003</v>
      </c>
      <c r="H61" s="701"/>
      <c r="I61" s="701">
        <v>0</v>
      </c>
      <c r="J61" s="701">
        <v>0</v>
      </c>
      <c r="K61" s="701">
        <v>0</v>
      </c>
      <c r="L61" s="701">
        <v>0</v>
      </c>
      <c r="M61" s="701">
        <v>0</v>
      </c>
      <c r="N61" s="701">
        <v>0</v>
      </c>
      <c r="O61" s="701">
        <v>0</v>
      </c>
      <c r="P61" s="701">
        <v>0</v>
      </c>
      <c r="Q61" s="701">
        <v>0</v>
      </c>
      <c r="R61" s="701">
        <v>0</v>
      </c>
      <c r="S61" s="701">
        <v>0</v>
      </c>
    </row>
    <row r="62" spans="1:19" x14ac:dyDescent="0.3">
      <c r="A62" s="698" t="s">
        <v>2045</v>
      </c>
      <c r="B62" s="699" t="s">
        <v>2127</v>
      </c>
      <c r="C62" s="700" t="s">
        <v>2152</v>
      </c>
      <c r="D62" s="700" t="s">
        <v>2153</v>
      </c>
      <c r="E62" s="701">
        <f>IFERROR(VLOOKUP([6]Entidad!$B$12&amp;"-"&amp;'[6]Plan Financiero'!$C62,[6]DAF_BalanceFinanciero!$A$2:$I$1053,COLUMN([6]DAF_BalanceFinanciero!H$1),FALSE),0)</f>
        <v>1665.39</v>
      </c>
      <c r="F62" s="701">
        <f>IFERROR(VLOOKUP([6]Entidad!$B$12&amp;"-"&amp;'[6]Plan Financiero'!$C62,[6]DAF_BalanceFinanciero!$A$2:$I$1053,COLUMN([6]DAF_BalanceFinanciero!I$1),FALSE),0)</f>
        <v>685.16489200000001</v>
      </c>
      <c r="G62" s="701">
        <v>0</v>
      </c>
      <c r="H62" s="701"/>
      <c r="I62" s="701">
        <v>14196.461947259999</v>
      </c>
      <c r="J62" s="701">
        <v>15159</v>
      </c>
      <c r="K62" s="701">
        <f>+J62*1.03</f>
        <v>15613.77</v>
      </c>
      <c r="L62" s="701">
        <f t="shared" ref="L62:S62" si="26">+K62*1.03</f>
        <v>16082.1831</v>
      </c>
      <c r="M62" s="701">
        <f t="shared" si="26"/>
        <v>16564.648593000002</v>
      </c>
      <c r="N62" s="701">
        <f t="shared" si="26"/>
        <v>17061.588050790004</v>
      </c>
      <c r="O62" s="701">
        <f t="shared" si="26"/>
        <v>17573.435692313706</v>
      </c>
      <c r="P62" s="701">
        <f t="shared" si="26"/>
        <v>18100.638763083116</v>
      </c>
      <c r="Q62" s="701">
        <f t="shared" si="26"/>
        <v>18643.657925975611</v>
      </c>
      <c r="R62" s="701">
        <f t="shared" si="26"/>
        <v>19202.96766375488</v>
      </c>
      <c r="S62" s="701">
        <f t="shared" si="26"/>
        <v>19779.056693667528</v>
      </c>
    </row>
    <row r="63" spans="1:19" x14ac:dyDescent="0.3">
      <c r="A63" s="698" t="s">
        <v>2045</v>
      </c>
      <c r="B63" s="699" t="s">
        <v>2154</v>
      </c>
      <c r="C63" s="705" t="s">
        <v>2155</v>
      </c>
      <c r="D63" s="705" t="s">
        <v>2156</v>
      </c>
      <c r="E63" s="706">
        <f>IFERROR(VLOOKUP([6]Entidad!$B$12&amp;"-"&amp;'[6]Plan Financiero'!$C63,[6]DAF_BalanceFinanciero!$A$2:$I$1053,COLUMN([6]DAF_BalanceFinanciero!H$1),FALSE),0)</f>
        <v>0</v>
      </c>
      <c r="F63" s="706">
        <f>IFERROR(VLOOKUP([6]Entidad!$B$12&amp;"-"&amp;'[6]Plan Financiero'!$C63,[6]DAF_BalanceFinanciero!$A$2:$I$1053,COLUMN([6]DAF_BalanceFinanciero!I$1),FALSE),0)</f>
        <v>0</v>
      </c>
      <c r="G63" s="706">
        <v>2996.8530000000001</v>
      </c>
      <c r="H63" s="706">
        <v>5155</v>
      </c>
      <c r="I63" s="706">
        <v>0</v>
      </c>
      <c r="J63" s="706">
        <v>0</v>
      </c>
      <c r="K63" s="706">
        <v>0</v>
      </c>
      <c r="L63" s="706">
        <v>0</v>
      </c>
      <c r="M63" s="706">
        <v>0</v>
      </c>
      <c r="N63" s="706">
        <v>0</v>
      </c>
      <c r="O63" s="706">
        <v>0</v>
      </c>
      <c r="P63" s="706">
        <v>0</v>
      </c>
      <c r="Q63" s="706">
        <v>0</v>
      </c>
      <c r="R63" s="706">
        <v>0</v>
      </c>
      <c r="S63" s="706">
        <v>0</v>
      </c>
    </row>
    <row r="64" spans="1:19" x14ac:dyDescent="0.3">
      <c r="A64" s="698" t="s">
        <v>2045</v>
      </c>
      <c r="B64" s="699" t="s">
        <v>2157</v>
      </c>
      <c r="C64" s="705" t="s">
        <v>2158</v>
      </c>
      <c r="D64" s="705" t="s">
        <v>2159</v>
      </c>
      <c r="E64" s="706">
        <f>IFERROR(VLOOKUP([6]Entidad!$B$12&amp;"-"&amp;'[6]Plan Financiero'!$C64,[6]DAF_BalanceFinanciero!$A$2:$I$1053,COLUMN([6]DAF_BalanceFinanciero!H$1),FALSE),0)</f>
        <v>0</v>
      </c>
      <c r="F64" s="706">
        <f>IFERROR(VLOOKUP([6]Entidad!$B$12&amp;"-"&amp;'[6]Plan Financiero'!$C64,[6]DAF_BalanceFinanciero!$A$2:$I$1053,COLUMN([6]DAF_BalanceFinanciero!I$1),FALSE),0)</f>
        <v>0</v>
      </c>
      <c r="G64" s="706">
        <v>0</v>
      </c>
      <c r="H64" s="706">
        <v>0</v>
      </c>
      <c r="I64" s="706">
        <v>0</v>
      </c>
      <c r="J64" s="706">
        <v>0</v>
      </c>
      <c r="K64" s="706">
        <v>0</v>
      </c>
      <c r="L64" s="706">
        <v>0</v>
      </c>
      <c r="M64" s="706">
        <v>0</v>
      </c>
      <c r="N64" s="706">
        <v>0</v>
      </c>
      <c r="O64" s="706">
        <v>0</v>
      </c>
      <c r="P64" s="706">
        <v>0</v>
      </c>
      <c r="Q64" s="706">
        <v>0</v>
      </c>
      <c r="R64" s="706">
        <v>0</v>
      </c>
      <c r="S64" s="706">
        <v>0</v>
      </c>
    </row>
    <row r="65" spans="1:19" x14ac:dyDescent="0.3">
      <c r="A65" s="698" t="s">
        <v>2037</v>
      </c>
      <c r="B65" s="699" t="s">
        <v>2038</v>
      </c>
      <c r="C65" s="703" t="s">
        <v>2160</v>
      </c>
      <c r="D65" s="703" t="s">
        <v>2161</v>
      </c>
      <c r="E65" s="704">
        <f>SUM(E66:E70)</f>
        <v>179168.315</v>
      </c>
      <c r="F65" s="704">
        <f>SUM(F66:F70)</f>
        <v>201004.020793</v>
      </c>
      <c r="G65" s="704">
        <f t="shared" ref="G65:S65" si="27">SUM(G66:G70)</f>
        <v>249183.55831686998</v>
      </c>
      <c r="H65" s="704">
        <f t="shared" si="27"/>
        <v>237263</v>
      </c>
      <c r="I65" s="704">
        <f t="shared" si="27"/>
        <v>281871.25176350004</v>
      </c>
      <c r="J65" s="704">
        <f t="shared" si="27"/>
        <v>260338</v>
      </c>
      <c r="K65" s="704">
        <f t="shared" si="27"/>
        <v>268148.13999999996</v>
      </c>
      <c r="L65" s="704">
        <f t="shared" si="27"/>
        <v>276192.58419999998</v>
      </c>
      <c r="M65" s="704">
        <f t="shared" si="27"/>
        <v>284478.36172599997</v>
      </c>
      <c r="N65" s="704">
        <f t="shared" si="27"/>
        <v>293012.71257778001</v>
      </c>
      <c r="O65" s="704">
        <f t="shared" si="27"/>
        <v>301803.09395511338</v>
      </c>
      <c r="P65" s="704">
        <f t="shared" si="27"/>
        <v>310857.18677376682</v>
      </c>
      <c r="Q65" s="704">
        <f t="shared" si="27"/>
        <v>320182.90237697976</v>
      </c>
      <c r="R65" s="704">
        <f t="shared" si="27"/>
        <v>329788.38944828924</v>
      </c>
      <c r="S65" s="704">
        <f t="shared" si="27"/>
        <v>339682.04113173787</v>
      </c>
    </row>
    <row r="66" spans="1:19" x14ac:dyDescent="0.3">
      <c r="A66" s="698" t="s">
        <v>2045</v>
      </c>
      <c r="B66" s="699" t="s">
        <v>2162</v>
      </c>
      <c r="C66" s="700" t="s">
        <v>2163</v>
      </c>
      <c r="D66" s="700" t="s">
        <v>2164</v>
      </c>
      <c r="E66" s="701">
        <f>IFERROR(VLOOKUP([6]Entidad!$B$12&amp;"-"&amp;'[6]Plan Financiero'!$C66,[6]DAF_BalanceFinanciero!$A$2:$I$1053,COLUMN([6]DAF_BalanceFinanciero!H$1),FALSE),0)</f>
        <v>140313.46900000001</v>
      </c>
      <c r="F66" s="701">
        <f>IFERROR(VLOOKUP([6]Entidad!$B$12&amp;"-"&amp;'[6]Plan Financiero'!$C66,[6]DAF_BalanceFinanciero!$A$2:$I$1053,COLUMN([6]DAF_BalanceFinanciero!I$1),FALSE),0)</f>
        <v>143070.6023</v>
      </c>
      <c r="G66" s="701">
        <v>173384.64885036997</v>
      </c>
      <c r="H66" s="701">
        <v>168314</v>
      </c>
      <c r="I66" s="701">
        <v>190698.73986530001</v>
      </c>
      <c r="J66" s="701">
        <v>190482</v>
      </c>
      <c r="K66" s="701">
        <f>+J66*1.03</f>
        <v>196196.46</v>
      </c>
      <c r="L66" s="701">
        <f t="shared" ref="L66:S67" si="28">+K66*1.03</f>
        <v>202082.35379999998</v>
      </c>
      <c r="M66" s="701">
        <f t="shared" si="28"/>
        <v>208144.82441399997</v>
      </c>
      <c r="N66" s="701">
        <f t="shared" si="28"/>
        <v>214389.16914641997</v>
      </c>
      <c r="O66" s="701">
        <f t="shared" si="28"/>
        <v>220820.84422081258</v>
      </c>
      <c r="P66" s="701">
        <f t="shared" si="28"/>
        <v>227445.46954743695</v>
      </c>
      <c r="Q66" s="701">
        <f t="shared" si="28"/>
        <v>234268.83363386008</v>
      </c>
      <c r="R66" s="701">
        <f t="shared" si="28"/>
        <v>241296.89864287589</v>
      </c>
      <c r="S66" s="701">
        <f t="shared" si="28"/>
        <v>248535.80560216217</v>
      </c>
    </row>
    <row r="67" spans="1:19" x14ac:dyDescent="0.3">
      <c r="A67" s="698" t="s">
        <v>2045</v>
      </c>
      <c r="B67" s="699" t="s">
        <v>2162</v>
      </c>
      <c r="C67" s="700" t="s">
        <v>2165</v>
      </c>
      <c r="D67" s="700" t="s">
        <v>2166</v>
      </c>
      <c r="E67" s="701">
        <f>IFERROR(VLOOKUP([6]Entidad!$B$12&amp;"-"&amp;'[6]Plan Financiero'!$C67,[6]DAF_BalanceFinanciero!$A$2:$I$1053,COLUMN([6]DAF_BalanceFinanciero!H$1),FALSE),0)</f>
        <v>35718.294000000002</v>
      </c>
      <c r="F67" s="701">
        <f>IFERROR(VLOOKUP([6]Entidad!$B$12&amp;"-"&amp;'[6]Plan Financiero'!$C67,[6]DAF_BalanceFinanciero!$A$2:$I$1053,COLUMN([6]DAF_BalanceFinanciero!I$1),FALSE),0)</f>
        <v>35630.144436000002</v>
      </c>
      <c r="G67" s="701">
        <v>46742.963487440014</v>
      </c>
      <c r="H67" s="701">
        <v>43042</v>
      </c>
      <c r="I67" s="701">
        <v>60898.780523460002</v>
      </c>
      <c r="J67" s="701">
        <v>47036</v>
      </c>
      <c r="K67" s="701">
        <f>+J67*1.03</f>
        <v>48447.08</v>
      </c>
      <c r="L67" s="701">
        <f t="shared" si="28"/>
        <v>49900.492400000003</v>
      </c>
      <c r="M67" s="701">
        <f t="shared" si="28"/>
        <v>51397.507172000005</v>
      </c>
      <c r="N67" s="701">
        <f t="shared" si="28"/>
        <v>52939.432387160006</v>
      </c>
      <c r="O67" s="701">
        <f t="shared" si="28"/>
        <v>54527.615358774805</v>
      </c>
      <c r="P67" s="701">
        <f t="shared" si="28"/>
        <v>56163.44381953805</v>
      </c>
      <c r="Q67" s="701">
        <f t="shared" si="28"/>
        <v>57848.347134124189</v>
      </c>
      <c r="R67" s="701">
        <f t="shared" si="28"/>
        <v>59583.797548147915</v>
      </c>
      <c r="S67" s="701">
        <f t="shared" si="28"/>
        <v>61371.311474592352</v>
      </c>
    </row>
    <row r="68" spans="1:19" x14ac:dyDescent="0.3">
      <c r="A68" s="698" t="s">
        <v>2045</v>
      </c>
      <c r="B68" s="699" t="s">
        <v>2162</v>
      </c>
      <c r="C68" s="700" t="s">
        <v>2167</v>
      </c>
      <c r="D68" s="700" t="s">
        <v>2168</v>
      </c>
      <c r="E68" s="701">
        <f>IFERROR(VLOOKUP([6]Entidad!$B$12&amp;"-"&amp;'[6]Plan Financiero'!$C68,[6]DAF_BalanceFinanciero!$A$2:$I$1053,COLUMN([6]DAF_BalanceFinanciero!H$1),FALSE),0)</f>
        <v>0</v>
      </c>
      <c r="F68" s="701">
        <f>IFERROR(VLOOKUP([6]Entidad!$B$12&amp;"-"&amp;'[6]Plan Financiero'!$C68,[6]DAF_BalanceFinanciero!$A$2:$I$1053,COLUMN([6]DAF_BalanceFinanciero!I$1),FALSE),0)</f>
        <v>0</v>
      </c>
      <c r="G68" s="701">
        <v>0</v>
      </c>
      <c r="H68" s="701"/>
      <c r="I68" s="701">
        <v>0</v>
      </c>
      <c r="J68" s="701"/>
      <c r="K68" s="701">
        <v>0</v>
      </c>
      <c r="L68" s="701">
        <v>0</v>
      </c>
      <c r="M68" s="701">
        <v>0</v>
      </c>
      <c r="N68" s="701">
        <v>0</v>
      </c>
      <c r="O68" s="701">
        <v>0</v>
      </c>
      <c r="P68" s="701">
        <v>0</v>
      </c>
      <c r="Q68" s="701">
        <v>0</v>
      </c>
      <c r="R68" s="701">
        <v>0</v>
      </c>
      <c r="S68" s="701">
        <v>0</v>
      </c>
    </row>
    <row r="69" spans="1:19" x14ac:dyDescent="0.3">
      <c r="A69" s="698" t="s">
        <v>2045</v>
      </c>
      <c r="B69" s="699" t="s">
        <v>2162</v>
      </c>
      <c r="C69" s="700" t="s">
        <v>2169</v>
      </c>
      <c r="D69" s="700" t="s">
        <v>2170</v>
      </c>
      <c r="E69" s="701">
        <f>IFERROR(VLOOKUP([6]Entidad!$B$12&amp;"-"&amp;'[6]Plan Financiero'!$C69,[6]DAF_BalanceFinanciero!$A$2:$I$1053,COLUMN([6]DAF_BalanceFinanciero!H$1),FALSE),0)</f>
        <v>0</v>
      </c>
      <c r="F69" s="701">
        <f>IFERROR(VLOOKUP([6]Entidad!$B$12&amp;"-"&amp;'[6]Plan Financiero'!$C69,[6]DAF_BalanceFinanciero!$A$2:$I$1053,COLUMN([6]DAF_BalanceFinanciero!I$1),FALSE),0)</f>
        <v>0</v>
      </c>
      <c r="G69" s="701">
        <v>0</v>
      </c>
      <c r="H69" s="701"/>
      <c r="I69" s="701">
        <v>0</v>
      </c>
      <c r="J69" s="701"/>
      <c r="K69" s="701">
        <v>0</v>
      </c>
      <c r="L69" s="701">
        <v>0</v>
      </c>
      <c r="M69" s="701">
        <v>0</v>
      </c>
      <c r="N69" s="701">
        <v>0</v>
      </c>
      <c r="O69" s="701">
        <v>0</v>
      </c>
      <c r="P69" s="701">
        <v>0</v>
      </c>
      <c r="Q69" s="701">
        <v>0</v>
      </c>
      <c r="R69" s="701">
        <v>0</v>
      </c>
      <c r="S69" s="701">
        <v>0</v>
      </c>
    </row>
    <row r="70" spans="1:19" x14ac:dyDescent="0.3">
      <c r="A70" s="698" t="s">
        <v>2045</v>
      </c>
      <c r="B70" s="699" t="s">
        <v>2162</v>
      </c>
      <c r="C70" s="700" t="s">
        <v>2171</v>
      </c>
      <c r="D70" s="700" t="s">
        <v>2172</v>
      </c>
      <c r="E70" s="701">
        <f>IFERROR(VLOOKUP([6]Entidad!$B$12&amp;"-"&amp;'[6]Plan Financiero'!$C70,[6]DAF_BalanceFinanciero!$A$2:$I$1053,COLUMN([6]DAF_BalanceFinanciero!H$1),FALSE),0)</f>
        <v>3136.5520000000001</v>
      </c>
      <c r="F70" s="701">
        <f>IFERROR(VLOOKUP([6]Entidad!$B$12&amp;"-"&amp;'[6]Plan Financiero'!$C70,[6]DAF_BalanceFinanciero!$A$2:$I$1053,COLUMN([6]DAF_BalanceFinanciero!I$1),FALSE),0)</f>
        <v>22303.274056999999</v>
      </c>
      <c r="G70" s="701">
        <v>29055.945979060001</v>
      </c>
      <c r="H70" s="701">
        <f>11962+13945</f>
        <v>25907</v>
      </c>
      <c r="I70" s="701">
        <v>30273.731374739997</v>
      </c>
      <c r="J70" s="701">
        <v>22820</v>
      </c>
      <c r="K70" s="701">
        <f>+J70*1.03</f>
        <v>23504.600000000002</v>
      </c>
      <c r="L70" s="701">
        <f t="shared" ref="L70:S70" si="29">+K70*1.03</f>
        <v>24209.738000000001</v>
      </c>
      <c r="M70" s="701">
        <f t="shared" si="29"/>
        <v>24936.030140000003</v>
      </c>
      <c r="N70" s="701">
        <f t="shared" si="29"/>
        <v>25684.111044200003</v>
      </c>
      <c r="O70" s="701">
        <f t="shared" si="29"/>
        <v>26454.634375526002</v>
      </c>
      <c r="P70" s="701">
        <f t="shared" si="29"/>
        <v>27248.273406791785</v>
      </c>
      <c r="Q70" s="701">
        <f t="shared" si="29"/>
        <v>28065.72160899554</v>
      </c>
      <c r="R70" s="701">
        <f t="shared" si="29"/>
        <v>28907.693257265408</v>
      </c>
      <c r="S70" s="701">
        <f t="shared" si="29"/>
        <v>29774.92405498337</v>
      </c>
    </row>
    <row r="71" spans="1:19" x14ac:dyDescent="0.3">
      <c r="A71" s="698" t="s">
        <v>2037</v>
      </c>
      <c r="B71" s="699" t="s">
        <v>2038</v>
      </c>
      <c r="C71" s="703" t="s">
        <v>2173</v>
      </c>
      <c r="D71" s="703" t="s">
        <v>2174</v>
      </c>
      <c r="E71" s="704">
        <f>SUM(E72:E73)</f>
        <v>3030.623</v>
      </c>
      <c r="F71" s="704">
        <f>SUM(F72:F73)</f>
        <v>2262.795235</v>
      </c>
      <c r="G71" s="704">
        <f t="shared" ref="G71:S71" si="30">SUM(G72:G73)</f>
        <v>2055.1417932200002</v>
      </c>
      <c r="H71" s="704">
        <f t="shared" si="30"/>
        <v>864</v>
      </c>
      <c r="I71" s="704">
        <f t="shared" si="30"/>
        <v>2668.456799</v>
      </c>
      <c r="J71" s="704">
        <f t="shared" si="30"/>
        <v>5044</v>
      </c>
      <c r="K71" s="704">
        <f t="shared" si="30"/>
        <v>7914</v>
      </c>
      <c r="L71" s="704">
        <f t="shared" si="30"/>
        <v>6766</v>
      </c>
      <c r="M71" s="704">
        <f t="shared" si="30"/>
        <v>5769</v>
      </c>
      <c r="N71" s="704">
        <f t="shared" si="30"/>
        <v>4793</v>
      </c>
      <c r="O71" s="704">
        <f t="shared" si="30"/>
        <v>3818</v>
      </c>
      <c r="P71" s="704">
        <f t="shared" si="30"/>
        <v>2842</v>
      </c>
      <c r="Q71" s="704">
        <f t="shared" si="30"/>
        <v>1909</v>
      </c>
      <c r="R71" s="704">
        <f t="shared" si="30"/>
        <v>1122</v>
      </c>
      <c r="S71" s="704">
        <f t="shared" si="30"/>
        <v>677</v>
      </c>
    </row>
    <row r="72" spans="1:19" x14ac:dyDescent="0.3">
      <c r="A72" s="698" t="s">
        <v>2045</v>
      </c>
      <c r="B72" s="699" t="s">
        <v>2157</v>
      </c>
      <c r="C72" s="700" t="s">
        <v>2175</v>
      </c>
      <c r="D72" s="700" t="s">
        <v>2176</v>
      </c>
      <c r="E72" s="701">
        <f>IFERROR(VLOOKUP([6]Entidad!$B$12&amp;"-"&amp;'[6]Plan Financiero'!$C72,[6]DAF_BalanceFinanciero!$A$2:$I$1053,COLUMN([6]DAF_BalanceFinanciero!H$1),FALSE),0)</f>
        <v>3030.623</v>
      </c>
      <c r="F72" s="701">
        <f>IFERROR(VLOOKUP([6]Entidad!$B$12&amp;"-"&amp;'[6]Plan Financiero'!$C72,[6]DAF_BalanceFinanciero!$A$2:$I$1053,COLUMN([6]DAF_BalanceFinanciero!I$1),FALSE),0)</f>
        <v>2262.795235</v>
      </c>
      <c r="G72" s="701">
        <v>2055.1417932200002</v>
      </c>
      <c r="H72" s="701">
        <v>864</v>
      </c>
      <c r="I72" s="701">
        <v>2668.456799</v>
      </c>
      <c r="J72" s="701">
        <f>5056-12</f>
        <v>5044</v>
      </c>
      <c r="K72" s="701">
        <v>7914</v>
      </c>
      <c r="L72" s="701">
        <v>6766</v>
      </c>
      <c r="M72" s="701">
        <v>5769</v>
      </c>
      <c r="N72" s="701">
        <v>4793</v>
      </c>
      <c r="O72" s="701">
        <v>3818</v>
      </c>
      <c r="P72" s="701">
        <v>2842</v>
      </c>
      <c r="Q72" s="701">
        <v>1909</v>
      </c>
      <c r="R72" s="701">
        <v>1122</v>
      </c>
      <c r="S72" s="701">
        <v>677</v>
      </c>
    </row>
    <row r="73" spans="1:19" x14ac:dyDescent="0.3">
      <c r="A73" s="698" t="s">
        <v>2045</v>
      </c>
      <c r="B73" s="699" t="s">
        <v>2157</v>
      </c>
      <c r="C73" s="700" t="s">
        <v>2177</v>
      </c>
      <c r="D73" s="700" t="s">
        <v>2178</v>
      </c>
      <c r="E73" s="701">
        <f>IFERROR(VLOOKUP([6]Entidad!$B$12&amp;"-"&amp;'[6]Plan Financiero'!$C73,[6]DAF_BalanceFinanciero!$A$2:$I$1053,COLUMN([6]DAF_BalanceFinanciero!H$1),FALSE),0)</f>
        <v>0</v>
      </c>
      <c r="F73" s="701">
        <f>IFERROR(VLOOKUP([6]Entidad!$B$12&amp;"-"&amp;'[6]Plan Financiero'!$C73,[6]DAF_BalanceFinanciero!$A$2:$I$1053,COLUMN([6]DAF_BalanceFinanciero!I$1),FALSE),0)</f>
        <v>0</v>
      </c>
      <c r="G73" s="701">
        <v>0</v>
      </c>
      <c r="H73" s="701"/>
      <c r="I73" s="701">
        <v>0</v>
      </c>
      <c r="J73" s="701">
        <v>0</v>
      </c>
      <c r="K73" s="701">
        <v>0</v>
      </c>
      <c r="L73" s="701">
        <v>0</v>
      </c>
      <c r="M73" s="701">
        <v>0</v>
      </c>
      <c r="N73" s="701">
        <v>0</v>
      </c>
      <c r="O73" s="701">
        <v>0</v>
      </c>
      <c r="P73" s="701">
        <v>0</v>
      </c>
      <c r="Q73" s="701">
        <v>0</v>
      </c>
      <c r="R73" s="701">
        <v>0</v>
      </c>
      <c r="S73" s="701">
        <v>0</v>
      </c>
    </row>
    <row r="74" spans="1:19" s="725" customFormat="1" x14ac:dyDescent="0.3">
      <c r="A74" s="731" t="s">
        <v>2037</v>
      </c>
      <c r="B74" s="732" t="s">
        <v>2038</v>
      </c>
      <c r="C74" s="663" t="s">
        <v>2179</v>
      </c>
      <c r="D74" s="663" t="s">
        <v>2180</v>
      </c>
      <c r="E74" s="666">
        <f t="shared" ref="E74:S74" si="31">E6-E48</f>
        <v>28746.156000000046</v>
      </c>
      <c r="F74" s="666">
        <f t="shared" si="31"/>
        <v>21602.906819999975</v>
      </c>
      <c r="G74" s="666">
        <f t="shared" si="31"/>
        <v>-4177.6844379100949</v>
      </c>
      <c r="H74" s="666">
        <f t="shared" si="31"/>
        <v>8962</v>
      </c>
      <c r="I74" s="666">
        <f t="shared" si="31"/>
        <v>-29841.414550130197</v>
      </c>
      <c r="J74" s="666">
        <f t="shared" si="31"/>
        <v>4276.4008580534719</v>
      </c>
      <c r="K74" s="666">
        <f t="shared" si="31"/>
        <v>1686.0128837951925</v>
      </c>
      <c r="L74" s="666">
        <f t="shared" si="31"/>
        <v>3122.0132703090203</v>
      </c>
      <c r="M74" s="666">
        <f t="shared" si="31"/>
        <v>4415.6536684182938</v>
      </c>
      <c r="N74" s="666">
        <f t="shared" si="31"/>
        <v>5697.1932784708915</v>
      </c>
      <c r="O74" s="666">
        <f t="shared" si="31"/>
        <v>6986.8990768249496</v>
      </c>
      <c r="P74" s="666">
        <f t="shared" si="31"/>
        <v>8287.0460491296835</v>
      </c>
      <c r="Q74" s="666">
        <f t="shared" si="31"/>
        <v>9553.9174306036439</v>
      </c>
      <c r="R74" s="666">
        <f t="shared" si="31"/>
        <v>10684.8049535217</v>
      </c>
      <c r="S74" s="666">
        <f t="shared" si="31"/>
        <v>11484.009102127398</v>
      </c>
    </row>
    <row r="75" spans="1:19" s="725" customFormat="1" x14ac:dyDescent="0.3">
      <c r="A75" s="731" t="s">
        <v>2037</v>
      </c>
      <c r="B75" s="732" t="s">
        <v>2038</v>
      </c>
      <c r="C75" s="663" t="s">
        <v>2181</v>
      </c>
      <c r="D75" s="663" t="s">
        <v>2182</v>
      </c>
      <c r="E75" s="666">
        <f>SUM(E76:E81)+E86</f>
        <v>18273.837</v>
      </c>
      <c r="F75" s="666">
        <f>SUM(F76:F81)+F86</f>
        <v>9553.7139859999988</v>
      </c>
      <c r="G75" s="666">
        <f t="shared" ref="G75:Q75" si="32">SUM(G76:G81)+G86</f>
        <v>22521.385139590002</v>
      </c>
      <c r="H75" s="666">
        <f t="shared" si="32"/>
        <v>9811</v>
      </c>
      <c r="I75" s="666">
        <f t="shared" si="32"/>
        <v>12843.76543184</v>
      </c>
      <c r="J75" s="666">
        <f t="shared" si="32"/>
        <v>10017.37866351</v>
      </c>
      <c r="K75" s="666">
        <f t="shared" si="32"/>
        <v>10330.900023415301</v>
      </c>
      <c r="L75" s="666">
        <f t="shared" si="32"/>
        <v>10640.82702411776</v>
      </c>
      <c r="M75" s="666">
        <f t="shared" si="32"/>
        <v>10960.051834841293</v>
      </c>
      <c r="N75" s="666">
        <f t="shared" si="32"/>
        <v>11288.853389886532</v>
      </c>
      <c r="O75" s="666">
        <f t="shared" si="32"/>
        <v>11627.518991583129</v>
      </c>
      <c r="P75" s="666">
        <f t="shared" si="32"/>
        <v>11976.344561330623</v>
      </c>
      <c r="Q75" s="666">
        <f t="shared" si="32"/>
        <v>12335.634898170543</v>
      </c>
      <c r="R75" s="666">
        <f>SUM(R76:R81)+R86</f>
        <v>12705.70394511566</v>
      </c>
      <c r="S75" s="666">
        <f>SUM(S76:S81)+S86</f>
        <v>13086.87506346913</v>
      </c>
    </row>
    <row r="76" spans="1:19" x14ac:dyDescent="0.3">
      <c r="A76" s="698" t="s">
        <v>2045</v>
      </c>
      <c r="B76" s="699" t="s">
        <v>946</v>
      </c>
      <c r="C76" s="700" t="s">
        <v>2183</v>
      </c>
      <c r="D76" s="700" t="s">
        <v>2184</v>
      </c>
      <c r="E76" s="701">
        <f>IFERROR(VLOOKUP([6]Entidad!$B$12&amp;"-"&amp;'[6]Plan Financiero'!$C76,[6]DAF_BalanceFinanciero!$A$2:$I$1053,COLUMN([6]DAF_BalanceFinanciero!H$1),FALSE),0)</f>
        <v>7580.393</v>
      </c>
      <c r="F76" s="701">
        <f>IFERROR(VLOOKUP([6]Entidad!$B$12&amp;"-"&amp;'[6]Plan Financiero'!$C76,[6]DAF_BalanceFinanciero!$A$2:$I$1053,COLUMN([6]DAF_BalanceFinanciero!I$1),FALSE),0)</f>
        <v>541.13017000000002</v>
      </c>
      <c r="G76" s="701">
        <v>1667.4085668599998</v>
      </c>
      <c r="H76" s="701">
        <v>148</v>
      </c>
      <c r="I76" s="701">
        <v>4429.4401878400004</v>
      </c>
      <c r="J76" s="701">
        <v>2121.6893955099999</v>
      </c>
      <c r="K76" s="701">
        <f>+J76*1.03</f>
        <v>2185.3400773753001</v>
      </c>
      <c r="L76" s="701">
        <f t="shared" ref="L76:S76" si="33">+K76*1.03</f>
        <v>2250.9002796965592</v>
      </c>
      <c r="M76" s="701">
        <f t="shared" si="33"/>
        <v>2318.427288087456</v>
      </c>
      <c r="N76" s="701">
        <f t="shared" si="33"/>
        <v>2387.9801067300796</v>
      </c>
      <c r="O76" s="701">
        <f t="shared" si="33"/>
        <v>2459.6195099319821</v>
      </c>
      <c r="P76" s="701">
        <f t="shared" si="33"/>
        <v>2533.4080952299414</v>
      </c>
      <c r="Q76" s="701">
        <f t="shared" si="33"/>
        <v>2609.4103380868396</v>
      </c>
      <c r="R76" s="701">
        <f t="shared" si="33"/>
        <v>2687.6926482294448</v>
      </c>
      <c r="S76" s="701">
        <f t="shared" si="33"/>
        <v>2768.3234276763283</v>
      </c>
    </row>
    <row r="77" spans="1:19" x14ac:dyDescent="0.3">
      <c r="A77" s="698" t="s">
        <v>2045</v>
      </c>
      <c r="B77" s="699" t="s">
        <v>946</v>
      </c>
      <c r="C77" s="700" t="s">
        <v>2185</v>
      </c>
      <c r="D77" s="700" t="s">
        <v>2186</v>
      </c>
      <c r="E77" s="701">
        <f>IFERROR(VLOOKUP([6]Entidad!$B$12&amp;"-"&amp;'[6]Plan Financiero'!$C77,[6]DAF_BalanceFinanciero!$A$2:$I$1053,COLUMN([6]DAF_BalanceFinanciero!H$1),FALSE),0)</f>
        <v>0</v>
      </c>
      <c r="F77" s="701">
        <f>IFERROR(VLOOKUP([6]Entidad!$B$12&amp;"-"&amp;'[6]Plan Financiero'!$C77,[6]DAF_BalanceFinanciero!$A$2:$I$1053,COLUMN([6]DAF_BalanceFinanciero!I$1),FALSE),0)</f>
        <v>0</v>
      </c>
      <c r="G77" s="701">
        <v>0</v>
      </c>
      <c r="H77" s="701"/>
      <c r="I77" s="701">
        <v>0</v>
      </c>
      <c r="J77" s="701">
        <v>0</v>
      </c>
      <c r="K77" s="701">
        <v>0</v>
      </c>
      <c r="L77" s="701">
        <v>0</v>
      </c>
      <c r="M77" s="701">
        <v>0</v>
      </c>
      <c r="N77" s="701"/>
      <c r="O77" s="701">
        <v>0</v>
      </c>
      <c r="P77" s="701">
        <v>0</v>
      </c>
      <c r="Q77" s="701">
        <v>0</v>
      </c>
      <c r="R77" s="701">
        <v>0</v>
      </c>
      <c r="S77" s="701">
        <v>0</v>
      </c>
    </row>
    <row r="78" spans="1:19" x14ac:dyDescent="0.3">
      <c r="A78" s="698" t="s">
        <v>2045</v>
      </c>
      <c r="B78" s="699" t="s">
        <v>946</v>
      </c>
      <c r="C78" s="700" t="s">
        <v>2187</v>
      </c>
      <c r="D78" s="700" t="s">
        <v>2188</v>
      </c>
      <c r="E78" s="701">
        <f>IFERROR(VLOOKUP([6]Entidad!$B$12&amp;"-"&amp;'[6]Plan Financiero'!$C78,[6]DAF_BalanceFinanciero!$A$2:$I$1053,COLUMN([6]DAF_BalanceFinanciero!H$1),FALSE),0)</f>
        <v>0</v>
      </c>
      <c r="F78" s="701">
        <f>IFERROR(VLOOKUP([6]Entidad!$B$12&amp;"-"&amp;'[6]Plan Financiero'!$C78,[6]DAF_BalanceFinanciero!$A$2:$I$1053,COLUMN([6]DAF_BalanceFinanciero!I$1),FALSE),0)</f>
        <v>0</v>
      </c>
      <c r="G78" s="701">
        <v>0</v>
      </c>
      <c r="H78" s="701"/>
      <c r="I78" s="701">
        <v>0</v>
      </c>
      <c r="J78" s="701">
        <v>0</v>
      </c>
      <c r="K78" s="701">
        <v>0</v>
      </c>
      <c r="L78" s="701">
        <v>0</v>
      </c>
      <c r="M78" s="701">
        <v>0</v>
      </c>
      <c r="N78" s="701">
        <v>0</v>
      </c>
      <c r="O78" s="701">
        <v>0</v>
      </c>
      <c r="P78" s="701">
        <v>0</v>
      </c>
      <c r="Q78" s="701">
        <v>0</v>
      </c>
      <c r="R78" s="701">
        <v>0</v>
      </c>
      <c r="S78" s="701">
        <v>0</v>
      </c>
    </row>
    <row r="79" spans="1:19" x14ac:dyDescent="0.3">
      <c r="A79" s="698" t="s">
        <v>2045</v>
      </c>
      <c r="B79" s="699" t="s">
        <v>946</v>
      </c>
      <c r="C79" s="700" t="s">
        <v>2189</v>
      </c>
      <c r="D79" s="700" t="s">
        <v>2190</v>
      </c>
      <c r="E79" s="701">
        <f>IFERROR(VLOOKUP([6]Entidad!$B$12&amp;"-"&amp;'[6]Plan Financiero'!$C79,[6]DAF_BalanceFinanciero!$A$2:$I$1053,COLUMN([6]DAF_BalanceFinanciero!H$1),FALSE),0)</f>
        <v>2296.2649999999999</v>
      </c>
      <c r="F79" s="701">
        <f>IFERROR(VLOOKUP([6]Entidad!$B$12&amp;"-"&amp;'[6]Plan Financiero'!$C79,[6]DAF_BalanceFinanciero!$A$2:$I$1053,COLUMN([6]DAF_BalanceFinanciero!I$1),FALSE),0)</f>
        <v>1610.289495</v>
      </c>
      <c r="G79" s="701">
        <v>1876.9898087300003</v>
      </c>
      <c r="H79" s="701">
        <f>388+20+177+1+17+3+20</f>
        <v>626</v>
      </c>
      <c r="I79" s="701">
        <v>1176.882726</v>
      </c>
      <c r="J79" s="701">
        <v>482.42261100000002</v>
      </c>
      <c r="K79" s="701">
        <f>+J79*1.03</f>
        <v>496.89528933000003</v>
      </c>
      <c r="L79" s="701">
        <f t="shared" ref="L79:S80" si="34">+K79*1.03</f>
        <v>511.80214800990007</v>
      </c>
      <c r="M79" s="701">
        <f t="shared" si="34"/>
        <v>527.15621245019713</v>
      </c>
      <c r="N79" s="701">
        <f t="shared" si="34"/>
        <v>542.97089882370301</v>
      </c>
      <c r="O79" s="701">
        <f t="shared" si="34"/>
        <v>559.26002578841417</v>
      </c>
      <c r="P79" s="701">
        <f t="shared" si="34"/>
        <v>576.03782656206658</v>
      </c>
      <c r="Q79" s="701">
        <f t="shared" si="34"/>
        <v>593.31896135892862</v>
      </c>
      <c r="R79" s="701">
        <f t="shared" si="34"/>
        <v>611.11853019969647</v>
      </c>
      <c r="S79" s="701">
        <f t="shared" si="34"/>
        <v>629.45208610568739</v>
      </c>
    </row>
    <row r="80" spans="1:19" x14ac:dyDescent="0.3">
      <c r="A80" s="698" t="s">
        <v>2045</v>
      </c>
      <c r="B80" s="699" t="s">
        <v>946</v>
      </c>
      <c r="C80" s="700" t="s">
        <v>2191</v>
      </c>
      <c r="D80" s="700" t="s">
        <v>2192</v>
      </c>
      <c r="E80" s="701">
        <f>IFERROR(VLOOKUP([6]Entidad!$B$12&amp;"-"&amp;'[6]Plan Financiero'!$C80,[6]DAF_BalanceFinanciero!$A$2:$I$1053,COLUMN([6]DAF_BalanceFinanciero!H$1),FALSE),0)</f>
        <v>0</v>
      </c>
      <c r="F80" s="701">
        <f>IFERROR(VLOOKUP([6]Entidad!$B$12&amp;"-"&amp;'[6]Plan Financiero'!$C80,[6]DAF_BalanceFinanciero!$A$2:$I$1053,COLUMN([6]DAF_BalanceFinanciero!I$1),FALSE),0)</f>
        <v>0</v>
      </c>
      <c r="G80" s="701">
        <v>221.40355199999999</v>
      </c>
      <c r="H80" s="701">
        <f>248+129</f>
        <v>377</v>
      </c>
      <c r="I80" s="701">
        <v>237.44251800000001</v>
      </c>
      <c r="J80" s="701">
        <v>150</v>
      </c>
      <c r="K80" s="701">
        <f>+J80*1.03</f>
        <v>154.5</v>
      </c>
      <c r="L80" s="701">
        <f t="shared" si="34"/>
        <v>159.13499999999999</v>
      </c>
      <c r="M80" s="701">
        <f t="shared" si="34"/>
        <v>163.90905000000001</v>
      </c>
      <c r="N80" s="701">
        <f t="shared" si="34"/>
        <v>168.82632150000001</v>
      </c>
      <c r="O80" s="701">
        <f t="shared" si="34"/>
        <v>173.891111145</v>
      </c>
      <c r="P80" s="701">
        <f t="shared" si="34"/>
        <v>179.10784447935001</v>
      </c>
      <c r="Q80" s="701">
        <f t="shared" si="34"/>
        <v>184.4810798137305</v>
      </c>
      <c r="R80" s="701">
        <f t="shared" si="34"/>
        <v>190.01551220814241</v>
      </c>
      <c r="S80" s="701">
        <f t="shared" si="34"/>
        <v>195.7159775743867</v>
      </c>
    </row>
    <row r="81" spans="1:19" x14ac:dyDescent="0.3">
      <c r="A81" s="698" t="s">
        <v>2037</v>
      </c>
      <c r="B81" s="699" t="s">
        <v>946</v>
      </c>
      <c r="C81" s="700" t="s">
        <v>2193</v>
      </c>
      <c r="D81" s="700" t="s">
        <v>2194</v>
      </c>
      <c r="E81" s="701">
        <f>SUM(E82:E85)</f>
        <v>7691.5780000000004</v>
      </c>
      <c r="F81" s="701">
        <f>SUM(F82:F85)</f>
        <v>6616.0669909999997</v>
      </c>
      <c r="G81" s="701">
        <f t="shared" ref="G81:S81" si="35">SUM(G82:G85)</f>
        <v>18755.583212000001</v>
      </c>
      <c r="H81" s="701">
        <f t="shared" si="35"/>
        <v>8660</v>
      </c>
      <c r="I81" s="701">
        <f t="shared" si="35"/>
        <v>7000</v>
      </c>
      <c r="J81" s="701">
        <f t="shared" si="35"/>
        <v>7263.2666570000001</v>
      </c>
      <c r="K81" s="701">
        <f t="shared" si="35"/>
        <v>7494.1646567100006</v>
      </c>
      <c r="L81" s="701">
        <f t="shared" si="35"/>
        <v>7718.9895964113011</v>
      </c>
      <c r="M81" s="701">
        <f t="shared" si="35"/>
        <v>7950.5592843036402</v>
      </c>
      <c r="N81" s="701">
        <f t="shared" si="35"/>
        <v>8189.0760628327498</v>
      </c>
      <c r="O81" s="701">
        <f t="shared" si="35"/>
        <v>8434.7483447177328</v>
      </c>
      <c r="P81" s="701">
        <f t="shared" si="35"/>
        <v>8687.7907950592653</v>
      </c>
      <c r="Q81" s="701">
        <f t="shared" si="35"/>
        <v>8948.4245189110443</v>
      </c>
      <c r="R81" s="701">
        <f t="shared" si="35"/>
        <v>9216.8772544783751</v>
      </c>
      <c r="S81" s="701">
        <f t="shared" si="35"/>
        <v>9493.3835721127271</v>
      </c>
    </row>
    <row r="82" spans="1:19" x14ac:dyDescent="0.3">
      <c r="A82" s="698" t="s">
        <v>2045</v>
      </c>
      <c r="B82" s="699" t="s">
        <v>946</v>
      </c>
      <c r="C82" s="700" t="s">
        <v>2195</v>
      </c>
      <c r="D82" s="700" t="s">
        <v>2196</v>
      </c>
      <c r="E82" s="701">
        <f>IFERROR(VLOOKUP([6]Entidad!$B$12&amp;"-"&amp;'[6]Plan Financiero'!$C82,[6]DAF_BalanceFinanciero!$A$2:$I$1053,COLUMN([6]DAF_BalanceFinanciero!H$1),FALSE),0)</f>
        <v>0</v>
      </c>
      <c r="F82" s="701">
        <f>IFERROR(VLOOKUP([6]Entidad!$B$12&amp;"-"&amp;'[6]Plan Financiero'!$C82,[6]DAF_BalanceFinanciero!$A$2:$I$1053,COLUMN([6]DAF_BalanceFinanciero!I$1),FALSE),0)</f>
        <v>0</v>
      </c>
      <c r="G82" s="701">
        <v>0</v>
      </c>
      <c r="H82" s="701"/>
      <c r="I82" s="701">
        <v>0</v>
      </c>
      <c r="J82" s="701">
        <v>0</v>
      </c>
      <c r="K82" s="701">
        <v>0</v>
      </c>
      <c r="L82" s="701">
        <v>0</v>
      </c>
      <c r="M82" s="701">
        <v>0</v>
      </c>
      <c r="N82" s="701">
        <v>0</v>
      </c>
      <c r="O82" s="701">
        <v>0</v>
      </c>
      <c r="P82" s="701">
        <v>0</v>
      </c>
      <c r="Q82" s="701">
        <v>0</v>
      </c>
      <c r="R82" s="701">
        <v>0</v>
      </c>
      <c r="S82" s="701">
        <v>0</v>
      </c>
    </row>
    <row r="83" spans="1:19" x14ac:dyDescent="0.3">
      <c r="A83" s="698" t="s">
        <v>2045</v>
      </c>
      <c r="B83" s="699" t="s">
        <v>946</v>
      </c>
      <c r="C83" s="700" t="s">
        <v>2197</v>
      </c>
      <c r="D83" s="700" t="s">
        <v>2198</v>
      </c>
      <c r="E83" s="701">
        <f>IFERROR(VLOOKUP([6]Entidad!$B$12&amp;"-"&amp;'[6]Plan Financiero'!$C83,[6]DAF_BalanceFinanciero!$A$2:$I$1053,COLUMN([6]DAF_BalanceFinanciero!H$1),FALSE),0)</f>
        <v>0</v>
      </c>
      <c r="F83" s="701">
        <f>IFERROR(VLOOKUP([6]Entidad!$B$12&amp;"-"&amp;'[6]Plan Financiero'!$C83,[6]DAF_BalanceFinanciero!$A$2:$I$1053,COLUMN([6]DAF_BalanceFinanciero!I$1),FALSE),0)</f>
        <v>0</v>
      </c>
      <c r="G83" s="701">
        <v>0</v>
      </c>
      <c r="H83" s="701"/>
      <c r="I83" s="701">
        <v>0</v>
      </c>
      <c r="J83" s="701">
        <v>0</v>
      </c>
      <c r="K83" s="701">
        <v>0</v>
      </c>
      <c r="L83" s="701">
        <v>0</v>
      </c>
      <c r="M83" s="701">
        <v>0</v>
      </c>
      <c r="N83" s="701">
        <v>0</v>
      </c>
      <c r="O83" s="701">
        <v>0</v>
      </c>
      <c r="P83" s="701">
        <v>0</v>
      </c>
      <c r="Q83" s="701">
        <v>0</v>
      </c>
      <c r="R83" s="701">
        <v>0</v>
      </c>
      <c r="S83" s="701">
        <v>0</v>
      </c>
    </row>
    <row r="84" spans="1:19" x14ac:dyDescent="0.3">
      <c r="A84" s="698" t="s">
        <v>2045</v>
      </c>
      <c r="B84" s="699" t="s">
        <v>946</v>
      </c>
      <c r="C84" s="700" t="s">
        <v>2199</v>
      </c>
      <c r="D84" s="700" t="s">
        <v>2200</v>
      </c>
      <c r="E84" s="701">
        <f>IFERROR(VLOOKUP([6]Entidad!$B$12&amp;"-"&amp;'[6]Plan Financiero'!$C84,[6]DAF_BalanceFinanciero!$A$2:$I$1053,COLUMN([6]DAF_BalanceFinanciero!H$1),FALSE),0)</f>
        <v>0</v>
      </c>
      <c r="F84" s="701">
        <f>IFERROR(VLOOKUP([6]Entidad!$B$12&amp;"-"&amp;'[6]Plan Financiero'!$C84,[6]DAF_BalanceFinanciero!$A$2:$I$1053,COLUMN([6]DAF_BalanceFinanciero!I$1),FALSE),0)</f>
        <v>0</v>
      </c>
      <c r="G84" s="701">
        <v>0</v>
      </c>
      <c r="H84" s="701"/>
      <c r="I84" s="701">
        <v>0</v>
      </c>
      <c r="J84" s="701">
        <v>0</v>
      </c>
      <c r="K84" s="701">
        <v>0</v>
      </c>
      <c r="L84" s="701">
        <v>0</v>
      </c>
      <c r="M84" s="701">
        <v>0</v>
      </c>
      <c r="N84" s="701">
        <v>0</v>
      </c>
      <c r="O84" s="701">
        <v>0</v>
      </c>
      <c r="P84" s="701">
        <v>0</v>
      </c>
      <c r="Q84" s="701">
        <v>0</v>
      </c>
      <c r="R84" s="701">
        <v>0</v>
      </c>
      <c r="S84" s="701">
        <v>0</v>
      </c>
    </row>
    <row r="85" spans="1:19" x14ac:dyDescent="0.3">
      <c r="A85" s="698" t="s">
        <v>2045</v>
      </c>
      <c r="B85" s="699" t="s">
        <v>946</v>
      </c>
      <c r="C85" s="700" t="s">
        <v>2201</v>
      </c>
      <c r="D85" s="700" t="s">
        <v>2202</v>
      </c>
      <c r="E85" s="701">
        <f>IFERROR(VLOOKUP([6]Entidad!$B$12&amp;"-"&amp;'[6]Plan Financiero'!$C85,[6]DAF_BalanceFinanciero!$A$2:$I$1053,COLUMN([6]DAF_BalanceFinanciero!H$1),FALSE),0)</f>
        <v>7691.5780000000004</v>
      </c>
      <c r="F85" s="701">
        <f>IFERROR(VLOOKUP([6]Entidad!$B$12&amp;"-"&amp;'[6]Plan Financiero'!$C85,[6]DAF_BalanceFinanciero!$A$2:$I$1053,COLUMN([6]DAF_BalanceFinanciero!I$1),FALSE),0)</f>
        <v>6616.0669909999997</v>
      </c>
      <c r="G85" s="701">
        <v>18755.583212000001</v>
      </c>
      <c r="H85" s="701">
        <v>8660</v>
      </c>
      <c r="I85" s="701">
        <v>7000</v>
      </c>
      <c r="J85" s="701">
        <v>7263.2666570000001</v>
      </c>
      <c r="K85" s="701">
        <f>+J85*1.03+13</f>
        <v>7494.1646567100006</v>
      </c>
      <c r="L85" s="701">
        <f t="shared" ref="L85:S85" si="36">+K85*1.03</f>
        <v>7718.9895964113011</v>
      </c>
      <c r="M85" s="701">
        <f t="shared" si="36"/>
        <v>7950.5592843036402</v>
      </c>
      <c r="N85" s="701">
        <f t="shared" si="36"/>
        <v>8189.0760628327498</v>
      </c>
      <c r="O85" s="701">
        <f t="shared" si="36"/>
        <v>8434.7483447177328</v>
      </c>
      <c r="P85" s="701">
        <f t="shared" si="36"/>
        <v>8687.7907950592653</v>
      </c>
      <c r="Q85" s="701">
        <f t="shared" si="36"/>
        <v>8948.4245189110443</v>
      </c>
      <c r="R85" s="701">
        <f t="shared" si="36"/>
        <v>9216.8772544783751</v>
      </c>
      <c r="S85" s="701">
        <f t="shared" si="36"/>
        <v>9493.3835721127271</v>
      </c>
    </row>
    <row r="86" spans="1:19" x14ac:dyDescent="0.3">
      <c r="A86" s="698" t="s">
        <v>2045</v>
      </c>
      <c r="B86" s="699" t="s">
        <v>946</v>
      </c>
      <c r="C86" s="700" t="s">
        <v>2203</v>
      </c>
      <c r="D86" s="700" t="s">
        <v>2204</v>
      </c>
      <c r="E86" s="701">
        <f>IFERROR(VLOOKUP([6]Entidad!$B$12&amp;"-"&amp;'[6]Plan Financiero'!$C86,[6]DAF_BalanceFinanciero!$A$2:$I$1053,COLUMN([6]DAF_BalanceFinanciero!H$1),FALSE),0)</f>
        <v>705.601</v>
      </c>
      <c r="F86" s="701">
        <f>IFERROR(VLOOKUP([6]Entidad!$B$12&amp;"-"&amp;'[6]Plan Financiero'!$C86,[6]DAF_BalanceFinanciero!$A$2:$I$1053,COLUMN([6]DAF_BalanceFinanciero!I$1),FALSE),0)</f>
        <v>786.22733000000005</v>
      </c>
      <c r="G86" s="701">
        <v>0</v>
      </c>
      <c r="H86" s="701"/>
      <c r="I86" s="701">
        <v>0</v>
      </c>
      <c r="J86" s="701">
        <v>0</v>
      </c>
      <c r="K86" s="701">
        <v>0</v>
      </c>
      <c r="L86" s="701">
        <v>0</v>
      </c>
      <c r="M86" s="701">
        <v>0</v>
      </c>
      <c r="N86" s="701">
        <v>0</v>
      </c>
      <c r="O86" s="701">
        <v>0</v>
      </c>
      <c r="P86" s="701">
        <v>0</v>
      </c>
      <c r="Q86" s="701">
        <v>0</v>
      </c>
      <c r="R86" s="701">
        <v>0</v>
      </c>
      <c r="S86" s="701">
        <v>0</v>
      </c>
    </row>
    <row r="87" spans="1:19" s="725" customFormat="1" x14ac:dyDescent="0.3">
      <c r="A87" s="731" t="s">
        <v>2037</v>
      </c>
      <c r="B87" s="732" t="s">
        <v>2038</v>
      </c>
      <c r="C87" s="663" t="s">
        <v>2205</v>
      </c>
      <c r="D87" s="663" t="s">
        <v>2206</v>
      </c>
      <c r="E87" s="666">
        <f t="shared" ref="E87:S87" si="37">E88+E95</f>
        <v>41980.294000000002</v>
      </c>
      <c r="F87" s="666">
        <f t="shared" si="37"/>
        <v>36187.638661999998</v>
      </c>
      <c r="G87" s="666">
        <f t="shared" si="37"/>
        <v>19584.230575699999</v>
      </c>
      <c r="H87" s="666">
        <f t="shared" si="37"/>
        <v>4066</v>
      </c>
      <c r="I87" s="666">
        <f t="shared" si="37"/>
        <v>15986.154634140001</v>
      </c>
      <c r="J87" s="666">
        <f t="shared" si="37"/>
        <v>7154</v>
      </c>
      <c r="K87" s="666">
        <f t="shared" si="37"/>
        <v>6276.76</v>
      </c>
      <c r="L87" s="666">
        <f t="shared" si="37"/>
        <v>8777.372800000001</v>
      </c>
      <c r="M87" s="666">
        <f t="shared" si="37"/>
        <v>10497.026527259623</v>
      </c>
      <c r="N87" s="666">
        <f t="shared" si="37"/>
        <v>12107.743503520001</v>
      </c>
      <c r="O87" s="666">
        <f t="shared" si="37"/>
        <v>13736.805808625602</v>
      </c>
      <c r="P87" s="666">
        <f t="shared" si="37"/>
        <v>15598.32998288437</v>
      </c>
      <c r="Q87" s="666">
        <f t="shared" si="37"/>
        <v>17953.479882370899</v>
      </c>
      <c r="R87" s="666">
        <f t="shared" si="37"/>
        <v>21168.424278842027</v>
      </c>
      <c r="S87" s="666">
        <f t="shared" si="37"/>
        <v>22349.33700720729</v>
      </c>
    </row>
    <row r="88" spans="1:19" x14ac:dyDescent="0.3">
      <c r="A88" s="698" t="s">
        <v>2037</v>
      </c>
      <c r="B88" s="699" t="s">
        <v>2038</v>
      </c>
      <c r="C88" s="703" t="s">
        <v>2207</v>
      </c>
      <c r="D88" s="703" t="s">
        <v>2208</v>
      </c>
      <c r="E88" s="704">
        <f>SUM(E89:E94)</f>
        <v>33697.959000000003</v>
      </c>
      <c r="F88" s="704">
        <f>SUM(F89:F94)</f>
        <v>24017.043226999998</v>
      </c>
      <c r="G88" s="704">
        <f t="shared" ref="G88:S88" si="38">SUM(G89:G94)</f>
        <v>19584.230575699999</v>
      </c>
      <c r="H88" s="704">
        <f t="shared" si="38"/>
        <v>4066</v>
      </c>
      <c r="I88" s="704">
        <f t="shared" si="38"/>
        <v>15986.154634140001</v>
      </c>
      <c r="J88" s="704">
        <f t="shared" si="38"/>
        <v>7154</v>
      </c>
      <c r="K88" s="704">
        <f t="shared" si="38"/>
        <v>6276.76</v>
      </c>
      <c r="L88" s="704">
        <f t="shared" si="38"/>
        <v>8777.372800000001</v>
      </c>
      <c r="M88" s="704">
        <f t="shared" si="38"/>
        <v>10497.026527259623</v>
      </c>
      <c r="N88" s="704">
        <f t="shared" si="38"/>
        <v>12107.743503520001</v>
      </c>
      <c r="O88" s="704">
        <f t="shared" si="38"/>
        <v>13736.805808625602</v>
      </c>
      <c r="P88" s="704">
        <f t="shared" si="38"/>
        <v>15598.32998288437</v>
      </c>
      <c r="Q88" s="704">
        <f t="shared" si="38"/>
        <v>17953.479882370899</v>
      </c>
      <c r="R88" s="704">
        <f t="shared" si="38"/>
        <v>21168.424278842027</v>
      </c>
      <c r="S88" s="704">
        <f t="shared" si="38"/>
        <v>22349.33700720729</v>
      </c>
    </row>
    <row r="89" spans="1:19" x14ac:dyDescent="0.3">
      <c r="A89" s="698" t="s">
        <v>2045</v>
      </c>
      <c r="B89" s="699" t="s">
        <v>2162</v>
      </c>
      <c r="C89" s="700" t="s">
        <v>2209</v>
      </c>
      <c r="D89" s="700" t="s">
        <v>2210</v>
      </c>
      <c r="E89" s="701">
        <f>IFERROR(VLOOKUP([6]Entidad!$B$12&amp;"-"&amp;'[6]Plan Financiero'!$C89,[6]DAF_BalanceFinanciero!$A$2:$I$1053,COLUMN([6]DAF_BalanceFinanciero!H$1),FALSE),0)</f>
        <v>4821.2089999999998</v>
      </c>
      <c r="F89" s="701">
        <f>IFERROR(VLOOKUP([6]Entidad!$B$12&amp;"-"&amp;'[6]Plan Financiero'!$C89,[6]DAF_BalanceFinanciero!$A$2:$I$1053,COLUMN([6]DAF_BalanceFinanciero!I$1),FALSE),0)</f>
        <v>7310.555746</v>
      </c>
      <c r="G89" s="701">
        <v>3373.3044188200001</v>
      </c>
      <c r="H89" s="701"/>
      <c r="I89" s="701">
        <v>2083.25722</v>
      </c>
      <c r="J89" s="701">
        <v>1500</v>
      </c>
      <c r="K89" s="701">
        <f>+J89*1.03</f>
        <v>1545</v>
      </c>
      <c r="L89" s="701">
        <f t="shared" ref="L89:S91" si="39">+K89*1.03</f>
        <v>1591.3500000000001</v>
      </c>
      <c r="M89" s="701">
        <f t="shared" si="39"/>
        <v>1639.0905000000002</v>
      </c>
      <c r="N89" s="701">
        <f t="shared" si="39"/>
        <v>1688.2632150000004</v>
      </c>
      <c r="O89" s="701">
        <f t="shared" si="39"/>
        <v>1738.9111114500004</v>
      </c>
      <c r="P89" s="701">
        <f t="shared" si="39"/>
        <v>1791.0784447935005</v>
      </c>
      <c r="Q89" s="701">
        <f t="shared" si="39"/>
        <v>1844.8107981373055</v>
      </c>
      <c r="R89" s="701">
        <f t="shared" si="39"/>
        <v>1900.1551220814247</v>
      </c>
      <c r="S89" s="701">
        <f t="shared" si="39"/>
        <v>1957.1597757438674</v>
      </c>
    </row>
    <row r="90" spans="1:19" x14ac:dyDescent="0.3">
      <c r="A90" s="698" t="s">
        <v>2045</v>
      </c>
      <c r="B90" s="699" t="s">
        <v>2162</v>
      </c>
      <c r="C90" s="700" t="s">
        <v>2211</v>
      </c>
      <c r="D90" s="700" t="s">
        <v>2212</v>
      </c>
      <c r="E90" s="701">
        <f>IFERROR(VLOOKUP([6]Entidad!$B$12&amp;"-"&amp;'[6]Plan Financiero'!$C90,[6]DAF_BalanceFinanciero!$A$2:$I$1053,COLUMN([6]DAF_BalanceFinanciero!H$1),FALSE),0)</f>
        <v>0</v>
      </c>
      <c r="F90" s="701">
        <f>IFERROR(VLOOKUP([6]Entidad!$B$12&amp;"-"&amp;'[6]Plan Financiero'!$C90,[6]DAF_BalanceFinanciero!$A$2:$I$1053,COLUMN([6]DAF_BalanceFinanciero!I$1),FALSE),0)</f>
        <v>1043.3134170000001</v>
      </c>
      <c r="G90" s="701">
        <v>0</v>
      </c>
      <c r="H90" s="701"/>
      <c r="I90" s="701">
        <v>96.746978999999996</v>
      </c>
      <c r="J90" s="701">
        <v>0</v>
      </c>
      <c r="K90" s="701">
        <f>+J90*1.03</f>
        <v>0</v>
      </c>
      <c r="L90" s="701">
        <f t="shared" si="39"/>
        <v>0</v>
      </c>
      <c r="M90" s="701">
        <f t="shared" si="39"/>
        <v>0</v>
      </c>
      <c r="N90" s="701">
        <f t="shared" si="39"/>
        <v>0</v>
      </c>
      <c r="O90" s="701">
        <f t="shared" si="39"/>
        <v>0</v>
      </c>
      <c r="P90" s="701">
        <f t="shared" si="39"/>
        <v>0</v>
      </c>
      <c r="Q90" s="701">
        <f t="shared" si="39"/>
        <v>0</v>
      </c>
      <c r="R90" s="701">
        <f t="shared" si="39"/>
        <v>0</v>
      </c>
      <c r="S90" s="701">
        <f t="shared" si="39"/>
        <v>0</v>
      </c>
    </row>
    <row r="91" spans="1:19" x14ac:dyDescent="0.3">
      <c r="A91" s="698" t="s">
        <v>2045</v>
      </c>
      <c r="B91" s="699" t="s">
        <v>2162</v>
      </c>
      <c r="C91" s="700" t="s">
        <v>2213</v>
      </c>
      <c r="D91" s="700" t="s">
        <v>2214</v>
      </c>
      <c r="E91" s="701">
        <f>IFERROR(VLOOKUP([6]Entidad!$B$12&amp;"-"&amp;'[6]Plan Financiero'!$C91,[6]DAF_BalanceFinanciero!$A$2:$I$1053,COLUMN([6]DAF_BalanceFinanciero!H$1),FALSE),0)</f>
        <v>3000.732</v>
      </c>
      <c r="F91" s="701">
        <f>IFERROR(VLOOKUP([6]Entidad!$B$12&amp;"-"&amp;'[6]Plan Financiero'!$C91,[6]DAF_BalanceFinanciero!$A$2:$I$1053,COLUMN([6]DAF_BalanceFinanciero!I$1),FALSE),0)</f>
        <v>3350.4114500000001</v>
      </c>
      <c r="G91" s="701">
        <v>5485.4115061599996</v>
      </c>
      <c r="H91" s="701">
        <v>2767</v>
      </c>
      <c r="I91" s="701">
        <v>3121.1596416800003</v>
      </c>
      <c r="J91" s="701">
        <v>3892</v>
      </c>
      <c r="K91" s="701">
        <f>+J91*1.03</f>
        <v>4008.76</v>
      </c>
      <c r="L91" s="701">
        <f t="shared" si="39"/>
        <v>4129.0228000000006</v>
      </c>
      <c r="M91" s="701">
        <f t="shared" si="39"/>
        <v>4252.8934840000011</v>
      </c>
      <c r="N91" s="701">
        <f t="shared" si="39"/>
        <v>4380.4802885200015</v>
      </c>
      <c r="O91" s="701">
        <f t="shared" si="39"/>
        <v>4511.8946971756013</v>
      </c>
      <c r="P91" s="701">
        <f t="shared" si="39"/>
        <v>4647.2515380908699</v>
      </c>
      <c r="Q91" s="701">
        <f t="shared" si="39"/>
        <v>4786.6690842335956</v>
      </c>
      <c r="R91" s="701">
        <f t="shared" si="39"/>
        <v>4930.2691567606034</v>
      </c>
      <c r="S91" s="701">
        <f t="shared" si="39"/>
        <v>5078.1772314634218</v>
      </c>
    </row>
    <row r="92" spans="1:19" x14ac:dyDescent="0.3">
      <c r="A92" s="698" t="s">
        <v>2045</v>
      </c>
      <c r="B92" s="699" t="s">
        <v>2162</v>
      </c>
      <c r="C92" s="700" t="s">
        <v>2215</v>
      </c>
      <c r="D92" s="700" t="s">
        <v>2216</v>
      </c>
      <c r="E92" s="701">
        <f>IFERROR(VLOOKUP([6]Entidad!$B$12&amp;"-"&amp;'[6]Plan Financiero'!$C92,[6]DAF_BalanceFinanciero!$A$2:$I$1053,COLUMN([6]DAF_BalanceFinanciero!H$1),FALSE),0)</f>
        <v>0</v>
      </c>
      <c r="F92" s="701">
        <f>IFERROR(VLOOKUP([6]Entidad!$B$12&amp;"-"&amp;'[6]Plan Financiero'!$C92,[6]DAF_BalanceFinanciero!$A$2:$I$1053,COLUMN([6]DAF_BalanceFinanciero!I$1),FALSE),0)</f>
        <v>0</v>
      </c>
      <c r="G92" s="701">
        <v>1557.2417088</v>
      </c>
      <c r="H92" s="701"/>
      <c r="I92" s="701">
        <v>0</v>
      </c>
      <c r="J92" s="701">
        <v>380</v>
      </c>
      <c r="K92" s="701">
        <v>0</v>
      </c>
      <c r="L92" s="701">
        <v>0</v>
      </c>
      <c r="M92" s="701">
        <v>0</v>
      </c>
      <c r="N92" s="701">
        <v>0</v>
      </c>
      <c r="O92" s="701">
        <v>0</v>
      </c>
      <c r="P92" s="701">
        <v>0</v>
      </c>
      <c r="Q92" s="701">
        <v>0</v>
      </c>
      <c r="R92" s="701">
        <v>0</v>
      </c>
      <c r="S92" s="701">
        <v>0</v>
      </c>
    </row>
    <row r="93" spans="1:19" x14ac:dyDescent="0.3">
      <c r="A93" s="698" t="s">
        <v>2045</v>
      </c>
      <c r="B93" s="699" t="s">
        <v>2162</v>
      </c>
      <c r="C93" s="700" t="s">
        <v>2217</v>
      </c>
      <c r="D93" s="700" t="s">
        <v>2218</v>
      </c>
      <c r="E93" s="701">
        <f>IFERROR(VLOOKUP([6]Entidad!$B$12&amp;"-"&amp;'[6]Plan Financiero'!$C93,[6]DAF_BalanceFinanciero!$A$2:$I$1053,COLUMN([6]DAF_BalanceFinanciero!H$1),FALSE),0)</f>
        <v>964.99199999999996</v>
      </c>
      <c r="F93" s="701">
        <f>IFERROR(VLOOKUP([6]Entidad!$B$12&amp;"-"&amp;'[6]Plan Financiero'!$C93,[6]DAF_BalanceFinanciero!$A$2:$I$1053,COLUMN([6]DAF_BalanceFinanciero!I$1),FALSE),0)</f>
        <v>4454.9703060000002</v>
      </c>
      <c r="G93" s="701">
        <v>4870.2179725599999</v>
      </c>
      <c r="H93" s="701">
        <v>1299</v>
      </c>
      <c r="I93" s="701">
        <v>4783.6890039999998</v>
      </c>
      <c r="J93" s="701">
        <v>1382</v>
      </c>
      <c r="K93" s="701">
        <v>0</v>
      </c>
      <c r="L93" s="701">
        <v>0</v>
      </c>
      <c r="M93" s="701">
        <v>0</v>
      </c>
      <c r="N93" s="701">
        <v>0</v>
      </c>
      <c r="O93" s="701">
        <v>0</v>
      </c>
      <c r="P93" s="701">
        <v>0</v>
      </c>
      <c r="Q93" s="701">
        <v>0</v>
      </c>
      <c r="R93" s="701">
        <v>0</v>
      </c>
      <c r="S93" s="701">
        <v>0</v>
      </c>
    </row>
    <row r="94" spans="1:19" x14ac:dyDescent="0.3">
      <c r="A94" s="698" t="s">
        <v>2045</v>
      </c>
      <c r="B94" s="699" t="s">
        <v>2162</v>
      </c>
      <c r="C94" s="700" t="s">
        <v>2219</v>
      </c>
      <c r="D94" s="700" t="s">
        <v>2220</v>
      </c>
      <c r="E94" s="701">
        <f>IFERROR(VLOOKUP([6]Entidad!$B$12&amp;"-"&amp;'[6]Plan Financiero'!$C94,[6]DAF_BalanceFinanciero!$A$2:$I$1053,COLUMN([6]DAF_BalanceFinanciero!H$1),FALSE),0)</f>
        <v>24911.026000000002</v>
      </c>
      <c r="F94" s="701">
        <f>IFERROR(VLOOKUP([6]Entidad!$B$12&amp;"-"&amp;'[6]Plan Financiero'!$C94,[6]DAF_BalanceFinanciero!$A$2:$I$1053,COLUMN([6]DAF_BalanceFinanciero!I$1),FALSE),0)</f>
        <v>7857.792308</v>
      </c>
      <c r="G94" s="701">
        <v>4298.0549693600005</v>
      </c>
      <c r="H94" s="701"/>
      <c r="I94" s="701">
        <v>5901.3017894599998</v>
      </c>
      <c r="J94" s="701">
        <v>0</v>
      </c>
      <c r="K94" s="701">
        <v>723</v>
      </c>
      <c r="L94" s="701">
        <v>3057</v>
      </c>
      <c r="M94" s="701">
        <v>4605.0425432596203</v>
      </c>
      <c r="N94" s="701">
        <v>6039</v>
      </c>
      <c r="O94" s="701">
        <v>7486</v>
      </c>
      <c r="P94" s="701">
        <v>9160</v>
      </c>
      <c r="Q94" s="701">
        <v>11322</v>
      </c>
      <c r="R94" s="701">
        <v>14338</v>
      </c>
      <c r="S94" s="701">
        <v>15314</v>
      </c>
    </row>
    <row r="95" spans="1:19" x14ac:dyDescent="0.3">
      <c r="A95" s="698" t="s">
        <v>2045</v>
      </c>
      <c r="B95" s="699" t="s">
        <v>2162</v>
      </c>
      <c r="C95" s="705" t="s">
        <v>2221</v>
      </c>
      <c r="D95" s="705" t="s">
        <v>2222</v>
      </c>
      <c r="E95" s="706">
        <f>IFERROR(VLOOKUP([6]Entidad!$B$12&amp;"-"&amp;'[6]Plan Financiero'!$C95,[6]DAF_BalanceFinanciero!$A$2:$I$1053,COLUMN([6]DAF_BalanceFinanciero!H$1),FALSE),0)</f>
        <v>8282.3349999999991</v>
      </c>
      <c r="F95" s="706">
        <f>IFERROR(VLOOKUP([6]Entidad!$B$12&amp;"-"&amp;'[6]Plan Financiero'!$C95,[6]DAF_BalanceFinanciero!$A$2:$I$1053,COLUMN([6]DAF_BalanceFinanciero!I$1),FALSE),0)</f>
        <v>12170.595434999999</v>
      </c>
      <c r="G95" s="706">
        <v>0</v>
      </c>
      <c r="H95" s="706"/>
      <c r="I95" s="706">
        <v>0</v>
      </c>
      <c r="J95" s="706">
        <v>0</v>
      </c>
      <c r="K95" s="706">
        <v>0</v>
      </c>
      <c r="L95" s="706">
        <v>0</v>
      </c>
      <c r="M95" s="706">
        <v>0</v>
      </c>
      <c r="N95" s="706">
        <v>0</v>
      </c>
      <c r="O95" s="706">
        <v>0</v>
      </c>
      <c r="P95" s="706">
        <v>0</v>
      </c>
      <c r="Q95" s="706">
        <v>0</v>
      </c>
      <c r="R95" s="706">
        <v>0</v>
      </c>
      <c r="S95" s="706">
        <v>0</v>
      </c>
    </row>
    <row r="96" spans="1:19" s="725" customFormat="1" x14ac:dyDescent="0.3">
      <c r="A96" s="731" t="s">
        <v>2037</v>
      </c>
      <c r="B96" s="732" t="s">
        <v>2038</v>
      </c>
      <c r="C96" s="663" t="s">
        <v>2223</v>
      </c>
      <c r="D96" s="663" t="s">
        <v>2224</v>
      </c>
      <c r="E96" s="666">
        <f t="shared" ref="E96:S96" si="40">E75-E87</f>
        <v>-23706.457000000002</v>
      </c>
      <c r="F96" s="666">
        <f t="shared" si="40"/>
        <v>-26633.924675999999</v>
      </c>
      <c r="G96" s="666">
        <f t="shared" si="40"/>
        <v>2937.1545638900025</v>
      </c>
      <c r="H96" s="666">
        <f t="shared" si="40"/>
        <v>5745</v>
      </c>
      <c r="I96" s="666">
        <f t="shared" si="40"/>
        <v>-3142.3892023000008</v>
      </c>
      <c r="J96" s="666">
        <f t="shared" si="40"/>
        <v>2863.3786635100005</v>
      </c>
      <c r="K96" s="666">
        <f t="shared" si="40"/>
        <v>4054.1400234153007</v>
      </c>
      <c r="L96" s="666">
        <f t="shared" si="40"/>
        <v>1863.4542241177587</v>
      </c>
      <c r="M96" s="666">
        <f t="shared" si="40"/>
        <v>463.02530758167086</v>
      </c>
      <c r="N96" s="666">
        <f t="shared" si="40"/>
        <v>-818.89011363346981</v>
      </c>
      <c r="O96" s="666">
        <f t="shared" si="40"/>
        <v>-2109.2868170424736</v>
      </c>
      <c r="P96" s="666">
        <f t="shared" si="40"/>
        <v>-3621.9854215537471</v>
      </c>
      <c r="Q96" s="666">
        <f t="shared" si="40"/>
        <v>-5617.8449842003556</v>
      </c>
      <c r="R96" s="666">
        <f t="shared" si="40"/>
        <v>-8462.7203337263672</v>
      </c>
      <c r="S96" s="666">
        <f t="shared" si="40"/>
        <v>-9262.4619437381607</v>
      </c>
    </row>
    <row r="97" spans="1:19" s="725" customFormat="1" x14ac:dyDescent="0.3">
      <c r="A97" s="731" t="s">
        <v>2037</v>
      </c>
      <c r="B97" s="732" t="s">
        <v>2038</v>
      </c>
      <c r="C97" s="663" t="s">
        <v>2225</v>
      </c>
      <c r="D97" s="663" t="s">
        <v>2226</v>
      </c>
      <c r="E97" s="666">
        <f t="shared" ref="E97:S97" si="41">E5-E47</f>
        <v>5039.6990000000224</v>
      </c>
      <c r="F97" s="666">
        <f t="shared" si="41"/>
        <v>-5031.0178560000495</v>
      </c>
      <c r="G97" s="666">
        <f t="shared" si="41"/>
        <v>-1240.5298740200815</v>
      </c>
      <c r="H97" s="666">
        <f t="shared" si="41"/>
        <v>14707</v>
      </c>
      <c r="I97" s="666">
        <f t="shared" si="41"/>
        <v>-32983.803752430249</v>
      </c>
      <c r="J97" s="666">
        <f t="shared" si="41"/>
        <v>7139.7795215634978</v>
      </c>
      <c r="K97" s="666">
        <f t="shared" si="41"/>
        <v>5740.1529072104604</v>
      </c>
      <c r="L97" s="666">
        <f t="shared" si="41"/>
        <v>4985.4674944267608</v>
      </c>
      <c r="M97" s="666">
        <f t="shared" si="41"/>
        <v>4878.6789759999956</v>
      </c>
      <c r="N97" s="666">
        <f t="shared" si="41"/>
        <v>4878.3031648374745</v>
      </c>
      <c r="O97" s="666">
        <f t="shared" si="41"/>
        <v>4877.6122597825015</v>
      </c>
      <c r="P97" s="666">
        <f t="shared" si="41"/>
        <v>4665.0606275759637</v>
      </c>
      <c r="Q97" s="666">
        <f t="shared" si="41"/>
        <v>3936.0724464032683</v>
      </c>
      <c r="R97" s="666">
        <f t="shared" si="41"/>
        <v>2222.0846197953215</v>
      </c>
      <c r="S97" s="666">
        <f t="shared" si="41"/>
        <v>2221.5471583892358</v>
      </c>
    </row>
    <row r="98" spans="1:19" s="725" customFormat="1" x14ac:dyDescent="0.3">
      <c r="A98" s="731" t="s">
        <v>2037</v>
      </c>
      <c r="B98" s="732" t="s">
        <v>2038</v>
      </c>
      <c r="C98" s="663" t="s">
        <v>2227</v>
      </c>
      <c r="D98" s="663" t="s">
        <v>2228</v>
      </c>
      <c r="E98" s="666">
        <f t="shared" ref="E98:S98" si="42">E99+E106+E107+E108+E109</f>
        <v>40838.980000000003</v>
      </c>
      <c r="F98" s="666">
        <f t="shared" si="42"/>
        <v>42052.543274999996</v>
      </c>
      <c r="G98" s="666">
        <f t="shared" si="42"/>
        <v>42306.258489469968</v>
      </c>
      <c r="H98" s="666">
        <f t="shared" si="42"/>
        <v>34161</v>
      </c>
      <c r="I98" s="666">
        <f t="shared" si="42"/>
        <v>32983.803752430002</v>
      </c>
      <c r="J98" s="666">
        <f t="shared" si="42"/>
        <v>-7140</v>
      </c>
      <c r="K98" s="666">
        <f t="shared" si="42"/>
        <v>-5740</v>
      </c>
      <c r="L98" s="666">
        <f t="shared" si="42"/>
        <v>-4985</v>
      </c>
      <c r="M98" s="666">
        <f t="shared" si="42"/>
        <v>-4879</v>
      </c>
      <c r="N98" s="666">
        <f t="shared" si="42"/>
        <v>-4878</v>
      </c>
      <c r="O98" s="666">
        <f t="shared" si="42"/>
        <v>-4878</v>
      </c>
      <c r="P98" s="666">
        <f t="shared" si="42"/>
        <v>-4665</v>
      </c>
      <c r="Q98" s="666">
        <f t="shared" si="42"/>
        <v>-3936</v>
      </c>
      <c r="R98" s="666">
        <f t="shared" si="42"/>
        <v>-2222</v>
      </c>
      <c r="S98" s="666">
        <f t="shared" si="42"/>
        <v>-2222</v>
      </c>
    </row>
    <row r="99" spans="1:19" x14ac:dyDescent="0.3">
      <c r="A99" s="698" t="s">
        <v>2037</v>
      </c>
      <c r="B99" s="699" t="s">
        <v>2038</v>
      </c>
      <c r="C99" s="703" t="s">
        <v>2229</v>
      </c>
      <c r="D99" s="703" t="s">
        <v>2230</v>
      </c>
      <c r="E99" s="704">
        <f t="shared" ref="E99:S99" si="43">E100+E103</f>
        <v>-4037.5070000000001</v>
      </c>
      <c r="F99" s="704">
        <f t="shared" si="43"/>
        <v>-1993.4183949999997</v>
      </c>
      <c r="G99" s="704">
        <f t="shared" si="43"/>
        <v>-468.91578095000114</v>
      </c>
      <c r="H99" s="704">
        <f t="shared" si="43"/>
        <v>-5781</v>
      </c>
      <c r="I99" s="704">
        <f t="shared" si="43"/>
        <v>-7302.032013</v>
      </c>
      <c r="J99" s="704">
        <f t="shared" si="43"/>
        <v>-7140</v>
      </c>
      <c r="K99" s="704">
        <f t="shared" si="43"/>
        <v>-5740</v>
      </c>
      <c r="L99" s="704">
        <f t="shared" si="43"/>
        <v>-4985</v>
      </c>
      <c r="M99" s="704">
        <f t="shared" si="43"/>
        <v>-4879</v>
      </c>
      <c r="N99" s="704">
        <f t="shared" si="43"/>
        <v>-4878</v>
      </c>
      <c r="O99" s="704">
        <f t="shared" si="43"/>
        <v>-4878</v>
      </c>
      <c r="P99" s="704">
        <f t="shared" si="43"/>
        <v>-4665</v>
      </c>
      <c r="Q99" s="704">
        <f t="shared" si="43"/>
        <v>-3936</v>
      </c>
      <c r="R99" s="704">
        <f t="shared" si="43"/>
        <v>-2222</v>
      </c>
      <c r="S99" s="704">
        <f t="shared" si="43"/>
        <v>-2222</v>
      </c>
    </row>
    <row r="100" spans="1:19" x14ac:dyDescent="0.3">
      <c r="A100" s="698" t="s">
        <v>2037</v>
      </c>
      <c r="B100" s="699" t="s">
        <v>2038</v>
      </c>
      <c r="C100" s="703" t="s">
        <v>2231</v>
      </c>
      <c r="D100" s="703" t="s">
        <v>2232</v>
      </c>
      <c r="E100" s="704">
        <f t="shared" ref="E100:S100" si="44">E101-E102</f>
        <v>-4037.5070000000001</v>
      </c>
      <c r="F100" s="704">
        <f t="shared" si="44"/>
        <v>-1993.4183949999997</v>
      </c>
      <c r="G100" s="704">
        <f t="shared" si="44"/>
        <v>-468.91578095000114</v>
      </c>
      <c r="H100" s="704">
        <f t="shared" si="44"/>
        <v>-5781</v>
      </c>
      <c r="I100" s="704">
        <f t="shared" si="44"/>
        <v>-7302.032013</v>
      </c>
      <c r="J100" s="704">
        <f t="shared" si="44"/>
        <v>-7140</v>
      </c>
      <c r="K100" s="704">
        <f t="shared" si="44"/>
        <v>-5740</v>
      </c>
      <c r="L100" s="704">
        <f t="shared" si="44"/>
        <v>-4985</v>
      </c>
      <c r="M100" s="704">
        <f t="shared" si="44"/>
        <v>-4879</v>
      </c>
      <c r="N100" s="704">
        <f t="shared" si="44"/>
        <v>-4878</v>
      </c>
      <c r="O100" s="704">
        <f t="shared" si="44"/>
        <v>-4878</v>
      </c>
      <c r="P100" s="704">
        <f t="shared" si="44"/>
        <v>-4665</v>
      </c>
      <c r="Q100" s="704">
        <f t="shared" si="44"/>
        <v>-3936</v>
      </c>
      <c r="R100" s="704">
        <f t="shared" si="44"/>
        <v>-2222</v>
      </c>
      <c r="S100" s="704">
        <f t="shared" si="44"/>
        <v>-2222</v>
      </c>
    </row>
    <row r="101" spans="1:19" x14ac:dyDescent="0.3">
      <c r="A101" s="698" t="s">
        <v>2045</v>
      </c>
      <c r="B101" s="699" t="s">
        <v>946</v>
      </c>
      <c r="C101" s="700" t="s">
        <v>2233</v>
      </c>
      <c r="D101" s="700" t="s">
        <v>2234</v>
      </c>
      <c r="E101" s="701">
        <f>IFERROR(VLOOKUP([6]Entidad!$B$12&amp;"-"&amp;'[6]Plan Financiero'!$C101,[6]DAF_BalanceFinanciero!$A$2:$I$1053,COLUMN([6]DAF_BalanceFinanciero!H$1),FALSE),0)</f>
        <v>0</v>
      </c>
      <c r="F101" s="701">
        <f>IFERROR(VLOOKUP([6]Entidad!$B$12&amp;"-"&amp;'[6]Plan Financiero'!$C101,[6]DAF_BalanceFinanciero!$A$2:$I$1053,COLUMN([6]DAF_BalanceFinanciero!I$1),FALSE),0)</f>
        <v>3600</v>
      </c>
      <c r="G101" s="701">
        <v>9953.6580334999999</v>
      </c>
      <c r="H101" s="701">
        <v>0</v>
      </c>
      <c r="I101" s="701">
        <v>0</v>
      </c>
      <c r="J101" s="701">
        <v>0</v>
      </c>
      <c r="K101" s="701">
        <v>0</v>
      </c>
      <c r="L101" s="701">
        <v>0</v>
      </c>
      <c r="M101" s="701">
        <v>0</v>
      </c>
      <c r="N101" s="701">
        <v>0</v>
      </c>
      <c r="O101" s="701">
        <v>0</v>
      </c>
      <c r="P101" s="701">
        <v>0</v>
      </c>
      <c r="Q101" s="701">
        <v>0</v>
      </c>
      <c r="R101" s="701">
        <v>0</v>
      </c>
      <c r="S101" s="701">
        <v>0</v>
      </c>
    </row>
    <row r="102" spans="1:19" x14ac:dyDescent="0.3">
      <c r="A102" s="698" t="s">
        <v>2045</v>
      </c>
      <c r="B102" s="699" t="s">
        <v>2157</v>
      </c>
      <c r="C102" s="700" t="s">
        <v>2235</v>
      </c>
      <c r="D102" s="700" t="s">
        <v>2236</v>
      </c>
      <c r="E102" s="701">
        <f>IFERROR(VLOOKUP([6]Entidad!$B$12&amp;"-"&amp;'[6]Plan Financiero'!$C102,[6]DAF_BalanceFinanciero!$A$2:$I$1053,COLUMN([6]DAF_BalanceFinanciero!H$1),FALSE),0)</f>
        <v>4037.5070000000001</v>
      </c>
      <c r="F102" s="701">
        <f>IFERROR(VLOOKUP([6]Entidad!$B$12&amp;"-"&amp;'[6]Plan Financiero'!$C102,[6]DAF_BalanceFinanciero!$A$2:$I$1053,COLUMN([6]DAF_BalanceFinanciero!I$1),FALSE),0)</f>
        <v>5593.4183949999997</v>
      </c>
      <c r="G102" s="701">
        <v>10422.573814450001</v>
      </c>
      <c r="H102" s="701">
        <v>5781</v>
      </c>
      <c r="I102" s="701">
        <v>7302.032013</v>
      </c>
      <c r="J102" s="701">
        <v>7140</v>
      </c>
      <c r="K102" s="701">
        <v>5740</v>
      </c>
      <c r="L102" s="701">
        <v>4985</v>
      </c>
      <c r="M102" s="701">
        <v>4879</v>
      </c>
      <c r="N102" s="701">
        <v>4878</v>
      </c>
      <c r="O102" s="701">
        <v>4878</v>
      </c>
      <c r="P102" s="701">
        <v>4665</v>
      </c>
      <c r="Q102" s="701">
        <v>3936</v>
      </c>
      <c r="R102" s="701">
        <v>2222</v>
      </c>
      <c r="S102" s="701">
        <v>2222</v>
      </c>
    </row>
    <row r="103" spans="1:19" x14ac:dyDescent="0.3">
      <c r="A103" s="698" t="s">
        <v>2037</v>
      </c>
      <c r="B103" s="699" t="s">
        <v>2038</v>
      </c>
      <c r="C103" s="703" t="s">
        <v>2237</v>
      </c>
      <c r="D103" s="703" t="s">
        <v>2238</v>
      </c>
      <c r="E103" s="704">
        <f>E104-E105</f>
        <v>0</v>
      </c>
      <c r="F103" s="704">
        <f>F104-F105</f>
        <v>0</v>
      </c>
      <c r="G103" s="704">
        <f t="shared" ref="G103:S103" si="45">G104-G105</f>
        <v>0</v>
      </c>
      <c r="H103" s="704">
        <f t="shared" si="45"/>
        <v>0</v>
      </c>
      <c r="I103" s="704">
        <f t="shared" si="45"/>
        <v>0</v>
      </c>
      <c r="J103" s="704">
        <f t="shared" si="45"/>
        <v>0</v>
      </c>
      <c r="K103" s="704">
        <f t="shared" si="45"/>
        <v>0</v>
      </c>
      <c r="L103" s="704">
        <f t="shared" si="45"/>
        <v>0</v>
      </c>
      <c r="M103" s="704">
        <f t="shared" si="45"/>
        <v>0</v>
      </c>
      <c r="N103" s="704">
        <f t="shared" si="45"/>
        <v>0</v>
      </c>
      <c r="O103" s="704">
        <f t="shared" si="45"/>
        <v>0</v>
      </c>
      <c r="P103" s="704">
        <f t="shared" si="45"/>
        <v>0</v>
      </c>
      <c r="Q103" s="704">
        <f t="shared" si="45"/>
        <v>0</v>
      </c>
      <c r="R103" s="704">
        <f t="shared" si="45"/>
        <v>0</v>
      </c>
      <c r="S103" s="704">
        <f t="shared" si="45"/>
        <v>0</v>
      </c>
    </row>
    <row r="104" spans="1:19" x14ac:dyDescent="0.3">
      <c r="A104" s="698" t="s">
        <v>2045</v>
      </c>
      <c r="B104" s="699" t="s">
        <v>946</v>
      </c>
      <c r="C104" s="700" t="s">
        <v>2239</v>
      </c>
      <c r="D104" s="700" t="s">
        <v>2234</v>
      </c>
      <c r="E104" s="701">
        <f>IFERROR(VLOOKUP([6]Entidad!$B$12&amp;"-"&amp;'[6]Plan Financiero'!$C104,[6]DAF_BalanceFinanciero!$A$2:$I$1053,COLUMN([6]DAF_BalanceFinanciero!H$1),FALSE),0)</f>
        <v>0</v>
      </c>
      <c r="F104" s="701">
        <f>IFERROR(VLOOKUP([6]Entidad!$B$12&amp;"-"&amp;'[6]Plan Financiero'!$C104,[6]DAF_BalanceFinanciero!$A$2:$I$1053,COLUMN([6]DAF_BalanceFinanciero!I$1),FALSE),0)</f>
        <v>0</v>
      </c>
      <c r="G104" s="701">
        <v>0</v>
      </c>
      <c r="H104" s="701">
        <v>0</v>
      </c>
      <c r="I104" s="701">
        <v>0</v>
      </c>
      <c r="J104" s="701">
        <v>0</v>
      </c>
      <c r="K104" s="701">
        <v>0</v>
      </c>
      <c r="L104" s="701">
        <v>0</v>
      </c>
      <c r="M104" s="701">
        <v>0</v>
      </c>
      <c r="N104" s="701">
        <v>0</v>
      </c>
      <c r="O104" s="701">
        <v>0</v>
      </c>
      <c r="P104" s="701">
        <v>0</v>
      </c>
      <c r="Q104" s="701">
        <v>0</v>
      </c>
      <c r="R104" s="701">
        <v>0</v>
      </c>
      <c r="S104" s="701">
        <v>0</v>
      </c>
    </row>
    <row r="105" spans="1:19" x14ac:dyDescent="0.3">
      <c r="A105" s="698" t="s">
        <v>2045</v>
      </c>
      <c r="B105" s="699" t="s">
        <v>2157</v>
      </c>
      <c r="C105" s="700" t="s">
        <v>2240</v>
      </c>
      <c r="D105" s="700" t="s">
        <v>2236</v>
      </c>
      <c r="E105" s="701">
        <f>IFERROR(VLOOKUP([6]Entidad!$B$12&amp;"-"&amp;'[6]Plan Financiero'!$C105,[6]DAF_BalanceFinanciero!$A$2:$I$1053,COLUMN([6]DAF_BalanceFinanciero!H$1),FALSE),0)</f>
        <v>0</v>
      </c>
      <c r="F105" s="701">
        <f>IFERROR(VLOOKUP([6]Entidad!$B$12&amp;"-"&amp;'[6]Plan Financiero'!$C105,[6]DAF_BalanceFinanciero!$A$2:$I$1053,COLUMN([6]DAF_BalanceFinanciero!I$1),FALSE),0)</f>
        <v>0</v>
      </c>
      <c r="G105" s="701">
        <v>0</v>
      </c>
      <c r="H105" s="701">
        <v>0</v>
      </c>
      <c r="I105" s="701">
        <v>0</v>
      </c>
      <c r="J105" s="701">
        <v>0</v>
      </c>
      <c r="K105" s="701">
        <v>0</v>
      </c>
      <c r="L105" s="701">
        <v>0</v>
      </c>
      <c r="M105" s="701">
        <v>0</v>
      </c>
      <c r="N105" s="701">
        <v>0</v>
      </c>
      <c r="O105" s="701">
        <v>0</v>
      </c>
      <c r="P105" s="701">
        <v>0</v>
      </c>
      <c r="Q105" s="701">
        <v>0</v>
      </c>
      <c r="R105" s="701">
        <v>0</v>
      </c>
      <c r="S105" s="701">
        <v>0</v>
      </c>
    </row>
    <row r="106" spans="1:19" x14ac:dyDescent="0.3">
      <c r="A106" s="698" t="s">
        <v>2045</v>
      </c>
      <c r="B106" s="699" t="s">
        <v>946</v>
      </c>
      <c r="C106" s="705" t="s">
        <v>2241</v>
      </c>
      <c r="D106" s="705" t="s">
        <v>2242</v>
      </c>
      <c r="E106" s="706">
        <f>IFERROR(VLOOKUP([6]Entidad!$B$12&amp;"-"&amp;'[6]Plan Financiero'!$C106,[6]DAF_BalanceFinanciero!$A$2:$I$1053,COLUMN([6]DAF_BalanceFinanciero!H$1),FALSE),0)</f>
        <v>44876.487000000001</v>
      </c>
      <c r="F106" s="706">
        <f>IFERROR(VLOOKUP([6]Entidad!$B$12&amp;"-"&amp;'[6]Plan Financiero'!$C106,[6]DAF_BalanceFinanciero!$A$2:$I$1053,COLUMN([6]DAF_BalanceFinanciero!I$1),FALSE),0)</f>
        <v>44045.961669999997</v>
      </c>
      <c r="G106" s="706">
        <v>42775.174270419971</v>
      </c>
      <c r="H106" s="706">
        <v>39942</v>
      </c>
      <c r="I106" s="706">
        <v>40285.835765429998</v>
      </c>
      <c r="J106" s="706">
        <v>0</v>
      </c>
      <c r="K106" s="706">
        <v>0</v>
      </c>
      <c r="L106" s="706">
        <v>0</v>
      </c>
      <c r="M106" s="706">
        <v>0</v>
      </c>
      <c r="N106" s="706">
        <v>0</v>
      </c>
      <c r="O106" s="706">
        <v>0</v>
      </c>
      <c r="P106" s="706">
        <v>0</v>
      </c>
      <c r="Q106" s="706">
        <v>0</v>
      </c>
      <c r="R106" s="706">
        <v>0</v>
      </c>
      <c r="S106" s="706">
        <v>0</v>
      </c>
    </row>
    <row r="107" spans="1:19" x14ac:dyDescent="0.3">
      <c r="A107" s="698" t="s">
        <v>2045</v>
      </c>
      <c r="B107" s="699" t="s">
        <v>946</v>
      </c>
      <c r="C107" s="705" t="s">
        <v>2243</v>
      </c>
      <c r="D107" s="705" t="s">
        <v>2244</v>
      </c>
      <c r="E107" s="706">
        <f>IFERROR(VLOOKUP([6]Entidad!$B$12&amp;"-"&amp;'[6]Plan Financiero'!$C107,[6]DAF_BalanceFinanciero!$A$2:$I$1053,COLUMN([6]DAF_BalanceFinanciero!H$1),FALSE),0)</f>
        <v>0</v>
      </c>
      <c r="F107" s="706">
        <f>IFERROR(VLOOKUP([6]Entidad!$B$12&amp;"-"&amp;'[6]Plan Financiero'!$C107,[6]DAF_BalanceFinanciero!$A$2:$I$1053,COLUMN([6]DAF_BalanceFinanciero!I$1),FALSE),0)</f>
        <v>0</v>
      </c>
      <c r="G107" s="706">
        <v>0</v>
      </c>
      <c r="H107" s="706">
        <v>0</v>
      </c>
      <c r="I107" s="706">
        <v>0</v>
      </c>
      <c r="J107" s="706">
        <v>0</v>
      </c>
      <c r="K107" s="706">
        <v>0</v>
      </c>
      <c r="L107" s="706">
        <v>0</v>
      </c>
      <c r="M107" s="706">
        <v>0</v>
      </c>
      <c r="N107" s="706">
        <v>0</v>
      </c>
      <c r="O107" s="706">
        <v>0</v>
      </c>
      <c r="P107" s="706">
        <v>0</v>
      </c>
      <c r="Q107" s="706">
        <v>0</v>
      </c>
      <c r="R107" s="706">
        <v>0</v>
      </c>
      <c r="S107" s="706">
        <v>0</v>
      </c>
    </row>
    <row r="108" spans="1:19" x14ac:dyDescent="0.3">
      <c r="A108" s="698" t="s">
        <v>2045</v>
      </c>
      <c r="B108" s="699" t="s">
        <v>946</v>
      </c>
      <c r="C108" s="705" t="s">
        <v>2245</v>
      </c>
      <c r="D108" s="705" t="s">
        <v>2246</v>
      </c>
      <c r="E108" s="706">
        <f>IFERROR(VLOOKUP([6]Entidad!$B$12&amp;"-"&amp;'[6]Plan Financiero'!$C108,[6]DAF_BalanceFinanciero!$A$2:$I$1053,COLUMN([6]DAF_BalanceFinanciero!H$1),FALSE),0)</f>
        <v>0</v>
      </c>
      <c r="F108" s="706">
        <f>IFERROR(VLOOKUP([6]Entidad!$B$12&amp;"-"&amp;'[6]Plan Financiero'!$C108,[6]DAF_BalanceFinanciero!$A$2:$I$1053,COLUMN([6]DAF_BalanceFinanciero!I$1),FALSE),0)</f>
        <v>0</v>
      </c>
      <c r="G108" s="706">
        <v>0</v>
      </c>
      <c r="H108" s="706">
        <v>0</v>
      </c>
      <c r="I108" s="706">
        <v>0</v>
      </c>
      <c r="J108" s="706">
        <v>0</v>
      </c>
      <c r="K108" s="706">
        <v>0</v>
      </c>
      <c r="L108" s="706">
        <v>0</v>
      </c>
      <c r="M108" s="706">
        <v>0</v>
      </c>
      <c r="N108" s="706">
        <v>0</v>
      </c>
      <c r="O108" s="706">
        <v>0</v>
      </c>
      <c r="P108" s="706">
        <v>0</v>
      </c>
      <c r="Q108" s="706">
        <v>0</v>
      </c>
      <c r="R108" s="706">
        <v>0</v>
      </c>
      <c r="S108" s="706">
        <v>0</v>
      </c>
    </row>
    <row r="109" spans="1:19" x14ac:dyDescent="0.3">
      <c r="A109" s="698" t="s">
        <v>2045</v>
      </c>
      <c r="B109" s="699" t="s">
        <v>2038</v>
      </c>
      <c r="C109" s="703" t="s">
        <v>2247</v>
      </c>
      <c r="D109" s="703" t="s">
        <v>2248</v>
      </c>
      <c r="E109" s="704"/>
      <c r="F109" s="704"/>
      <c r="G109" s="704"/>
      <c r="H109" s="704"/>
      <c r="I109" s="704"/>
      <c r="J109" s="704"/>
      <c r="K109" s="704"/>
      <c r="L109" s="704"/>
      <c r="M109" s="704"/>
      <c r="N109" s="704"/>
      <c r="O109" s="704"/>
      <c r="P109" s="704"/>
      <c r="Q109" s="704"/>
      <c r="R109" s="704"/>
      <c r="S109" s="704"/>
    </row>
    <row r="110" spans="1:19" s="725" customFormat="1" x14ac:dyDescent="0.3">
      <c r="A110" s="731" t="s">
        <v>2037</v>
      </c>
      <c r="B110" s="732" t="s">
        <v>2038</v>
      </c>
      <c r="C110" s="663" t="s">
        <v>2249</v>
      </c>
      <c r="D110" s="663" t="s">
        <v>2250</v>
      </c>
      <c r="E110" s="666"/>
      <c r="F110" s="666"/>
      <c r="G110" s="666"/>
      <c r="H110" s="666"/>
      <c r="I110" s="666"/>
      <c r="J110" s="666"/>
      <c r="K110" s="666"/>
      <c r="L110" s="666"/>
      <c r="M110" s="666"/>
      <c r="N110" s="666"/>
      <c r="O110" s="666"/>
      <c r="P110" s="666"/>
      <c r="Q110" s="666"/>
      <c r="R110" s="666"/>
      <c r="S110" s="666"/>
    </row>
    <row r="111" spans="1:19" s="725" customFormat="1" x14ac:dyDescent="0.3">
      <c r="A111" s="731" t="s">
        <v>2037</v>
      </c>
      <c r="B111" s="732" t="s">
        <v>2038</v>
      </c>
      <c r="C111" s="663" t="s">
        <v>2251</v>
      </c>
      <c r="D111" s="663" t="s">
        <v>2252</v>
      </c>
      <c r="E111" s="666">
        <f t="shared" ref="E111:S111" si="46">E5-(E49+E63+E64+E65+E87)+E106</f>
        <v>52946.809000000045</v>
      </c>
      <c r="F111" s="666">
        <f t="shared" si="46"/>
        <v>41277.739048999974</v>
      </c>
      <c r="G111" s="666">
        <f t="shared" si="46"/>
        <v>43589.786189619903</v>
      </c>
      <c r="H111" s="666">
        <f t="shared" si="46"/>
        <v>55513</v>
      </c>
      <c r="I111" s="666">
        <f t="shared" si="46"/>
        <v>9970.4888119997267</v>
      </c>
      <c r="J111" s="666">
        <f t="shared" si="46"/>
        <v>12183.779521563498</v>
      </c>
      <c r="K111" s="666">
        <f t="shared" si="46"/>
        <v>13654.15290721046</v>
      </c>
      <c r="L111" s="666">
        <f t="shared" si="46"/>
        <v>11751.467494426761</v>
      </c>
      <c r="M111" s="666">
        <f t="shared" si="46"/>
        <v>10647.678975999996</v>
      </c>
      <c r="N111" s="666">
        <f t="shared" si="46"/>
        <v>9671.3031648374745</v>
      </c>
      <c r="O111" s="666">
        <f t="shared" si="46"/>
        <v>8695.6122597825015</v>
      </c>
      <c r="P111" s="666">
        <f t="shared" si="46"/>
        <v>7507.0606275759637</v>
      </c>
      <c r="Q111" s="666">
        <f t="shared" si="46"/>
        <v>5845.0724464032683</v>
      </c>
      <c r="R111" s="666">
        <f t="shared" si="46"/>
        <v>3344.0846197953215</v>
      </c>
      <c r="S111" s="666">
        <f t="shared" si="46"/>
        <v>2898.5471583892358</v>
      </c>
    </row>
    <row r="112" spans="1:19" x14ac:dyDescent="0.3">
      <c r="A112" s="698" t="s">
        <v>2037</v>
      </c>
      <c r="B112" s="699" t="s">
        <v>2038</v>
      </c>
      <c r="C112" s="705" t="s">
        <v>2253</v>
      </c>
      <c r="D112" s="705" t="s">
        <v>2254</v>
      </c>
      <c r="E112" s="706">
        <f t="shared" ref="E112:S112" si="47">IF(E111=0,0,IF(E71=0,0,E111/E71))</f>
        <v>17.470602249108531</v>
      </c>
      <c r="F112" s="706">
        <f t="shared" si="47"/>
        <v>18.241924152275306</v>
      </c>
      <c r="G112" s="706">
        <f t="shared" si="47"/>
        <v>21.21011130882767</v>
      </c>
      <c r="H112" s="706">
        <f t="shared" si="47"/>
        <v>64.251157407407405</v>
      </c>
      <c r="I112" s="706">
        <f t="shared" si="47"/>
        <v>3.7364250437691746</v>
      </c>
      <c r="J112" s="706">
        <f t="shared" si="47"/>
        <v>2.4154995086366968</v>
      </c>
      <c r="K112" s="706">
        <f t="shared" si="47"/>
        <v>1.7253162632310413</v>
      </c>
      <c r="L112" s="706">
        <f t="shared" si="47"/>
        <v>1.736841190426657</v>
      </c>
      <c r="M112" s="706">
        <f t="shared" si="47"/>
        <v>1.8456715160339738</v>
      </c>
      <c r="N112" s="706">
        <f t="shared" si="47"/>
        <v>2.0177974472850981</v>
      </c>
      <c r="O112" s="706">
        <f t="shared" si="47"/>
        <v>2.2775307123579105</v>
      </c>
      <c r="P112" s="706">
        <f t="shared" si="47"/>
        <v>2.6414710160365811</v>
      </c>
      <c r="Q112" s="706">
        <f t="shared" si="47"/>
        <v>3.0618504171834826</v>
      </c>
      <c r="R112" s="706">
        <f t="shared" si="47"/>
        <v>2.9804675755751528</v>
      </c>
      <c r="S112" s="706">
        <f t="shared" si="47"/>
        <v>4.2814581364685909</v>
      </c>
    </row>
    <row r="113" spans="1:19" s="725" customFormat="1" x14ac:dyDescent="0.3">
      <c r="A113" s="731" t="s">
        <v>2037</v>
      </c>
      <c r="B113" s="732" t="s">
        <v>2038</v>
      </c>
      <c r="C113" s="663" t="s">
        <v>2255</v>
      </c>
      <c r="D113" s="663" t="s">
        <v>2256</v>
      </c>
      <c r="E113" s="666"/>
      <c r="F113" s="666"/>
      <c r="G113" s="666"/>
      <c r="H113" s="666"/>
      <c r="I113" s="666"/>
      <c r="J113" s="666"/>
      <c r="K113" s="666"/>
      <c r="L113" s="666"/>
      <c r="M113" s="666"/>
      <c r="N113" s="666"/>
      <c r="O113" s="666"/>
      <c r="P113" s="666"/>
      <c r="Q113" s="666"/>
      <c r="R113" s="666"/>
      <c r="S113" s="666"/>
    </row>
    <row r="114" spans="1:19" x14ac:dyDescent="0.3">
      <c r="A114" s="698" t="s">
        <v>2037</v>
      </c>
      <c r="B114" s="699" t="s">
        <v>2038</v>
      </c>
      <c r="C114" s="705" t="s">
        <v>2257</v>
      </c>
      <c r="D114" s="705" t="s">
        <v>2258</v>
      </c>
      <c r="E114" s="706">
        <f t="shared" ref="E114:S114" si="48">E5+E101+E104+E106+E107+E108</f>
        <v>349878.14100000006</v>
      </c>
      <c r="F114" s="706">
        <f t="shared" si="48"/>
        <v>360898.69964199996</v>
      </c>
      <c r="G114" s="706">
        <f t="shared" si="48"/>
        <v>405242.52438238991</v>
      </c>
      <c r="H114" s="706">
        <f t="shared" si="48"/>
        <v>378695</v>
      </c>
      <c r="I114" s="706">
        <f t="shared" si="48"/>
        <v>416019.92512606981</v>
      </c>
      <c r="J114" s="706">
        <f t="shared" si="48"/>
        <v>364299.7795215635</v>
      </c>
      <c r="K114" s="706">
        <f t="shared" si="48"/>
        <v>375241.77290721046</v>
      </c>
      <c r="L114" s="706">
        <f t="shared" si="48"/>
        <v>386499.02609442675</v>
      </c>
      <c r="M114" s="706">
        <f t="shared" si="48"/>
        <v>398093.99687725957</v>
      </c>
      <c r="N114" s="706">
        <f t="shared" si="48"/>
        <v>410036.81678357744</v>
      </c>
      <c r="O114" s="706">
        <f t="shared" si="48"/>
        <v>422337.9212870847</v>
      </c>
      <c r="P114" s="706">
        <f t="shared" si="48"/>
        <v>435008.05892569723</v>
      </c>
      <c r="Q114" s="706">
        <f t="shared" si="48"/>
        <v>448058.30069346813</v>
      </c>
      <c r="R114" s="706">
        <f t="shared" si="48"/>
        <v>461500.04971427226</v>
      </c>
      <c r="S114" s="706">
        <f t="shared" si="48"/>
        <v>475345.05120570038</v>
      </c>
    </row>
    <row r="115" spans="1:19" x14ac:dyDescent="0.3">
      <c r="A115" s="698" t="s">
        <v>2037</v>
      </c>
      <c r="B115" s="699" t="s">
        <v>2038</v>
      </c>
      <c r="C115" s="705" t="s">
        <v>2259</v>
      </c>
      <c r="D115" s="705" t="s">
        <v>2260</v>
      </c>
      <c r="E115" s="706">
        <f t="shared" ref="E115:S115" si="49">E47+E102+E105</f>
        <v>303999.462</v>
      </c>
      <c r="F115" s="706">
        <f t="shared" si="49"/>
        <v>323877.17422300001</v>
      </c>
      <c r="G115" s="706">
        <f t="shared" si="49"/>
        <v>364176.79576693999</v>
      </c>
      <c r="H115" s="706">
        <f t="shared" si="49"/>
        <v>329827</v>
      </c>
      <c r="I115" s="706">
        <f t="shared" si="49"/>
        <v>416019.92512607004</v>
      </c>
      <c r="J115" s="706">
        <f t="shared" si="49"/>
        <v>364300</v>
      </c>
      <c r="K115" s="706">
        <f t="shared" si="49"/>
        <v>375241.62</v>
      </c>
      <c r="L115" s="706">
        <f t="shared" si="49"/>
        <v>386498.55859999999</v>
      </c>
      <c r="M115" s="706">
        <f t="shared" si="49"/>
        <v>398094.31790125958</v>
      </c>
      <c r="N115" s="706">
        <f t="shared" si="49"/>
        <v>410036.51361873996</v>
      </c>
      <c r="O115" s="706">
        <f t="shared" si="49"/>
        <v>422338.3090273022</v>
      </c>
      <c r="P115" s="706">
        <f t="shared" si="49"/>
        <v>435007.99829812127</v>
      </c>
      <c r="Q115" s="706">
        <f t="shared" si="49"/>
        <v>448058.22824706486</v>
      </c>
      <c r="R115" s="706">
        <f t="shared" si="49"/>
        <v>461499.96509447694</v>
      </c>
      <c r="S115" s="706">
        <f t="shared" si="49"/>
        <v>475345.50404731114</v>
      </c>
    </row>
    <row r="116" spans="1:19" s="725" customFormat="1" x14ac:dyDescent="0.3">
      <c r="A116" s="726" t="s">
        <v>2037</v>
      </c>
      <c r="B116" s="727" t="s">
        <v>2038</v>
      </c>
      <c r="C116" s="733" t="s">
        <v>2261</v>
      </c>
      <c r="D116" s="733" t="s">
        <v>2262</v>
      </c>
      <c r="E116" s="734">
        <f t="shared" ref="E116:S116" si="50">E114-E115</f>
        <v>45878.679000000062</v>
      </c>
      <c r="F116" s="734">
        <f t="shared" si="50"/>
        <v>37021.525418999954</v>
      </c>
      <c r="G116" s="734">
        <f t="shared" si="50"/>
        <v>41065.728615449916</v>
      </c>
      <c r="H116" s="734">
        <f t="shared" si="50"/>
        <v>48868</v>
      </c>
      <c r="I116" s="734">
        <f t="shared" si="50"/>
        <v>0</v>
      </c>
      <c r="J116" s="734">
        <f t="shared" si="50"/>
        <v>-0.22047843650216237</v>
      </c>
      <c r="K116" s="734">
        <f t="shared" si="50"/>
        <v>0.15290721046039835</v>
      </c>
      <c r="L116" s="734">
        <f t="shared" si="50"/>
        <v>0.46749442676082253</v>
      </c>
      <c r="M116" s="734">
        <f t="shared" si="50"/>
        <v>-0.32102400000439957</v>
      </c>
      <c r="N116" s="734">
        <f t="shared" si="50"/>
        <v>0.3031648374744691</v>
      </c>
      <c r="O116" s="734">
        <f t="shared" si="50"/>
        <v>-0.38774021749850363</v>
      </c>
      <c r="P116" s="734">
        <f t="shared" si="50"/>
        <v>6.062757596373558E-2</v>
      </c>
      <c r="Q116" s="734">
        <f t="shared" si="50"/>
        <v>7.2446403268259019E-2</v>
      </c>
      <c r="R116" s="734">
        <f t="shared" si="50"/>
        <v>8.461979532148689E-2</v>
      </c>
      <c r="S116" s="734">
        <f t="shared" si="50"/>
        <v>-0.4528416107641533</v>
      </c>
    </row>
    <row r="117" spans="1:19" x14ac:dyDescent="0.3">
      <c r="A117" s="698"/>
      <c r="B117" s="698"/>
      <c r="C117" s="707"/>
      <c r="D117" s="707"/>
      <c r="E117" s="708"/>
      <c r="F117" s="708"/>
      <c r="G117" s="708"/>
      <c r="H117" s="708"/>
      <c r="I117" s="708"/>
      <c r="J117" s="708"/>
      <c r="K117" s="708"/>
      <c r="L117" s="708"/>
      <c r="M117" s="708"/>
      <c r="N117" s="708"/>
      <c r="O117" s="708"/>
      <c r="P117" s="708"/>
      <c r="Q117" s="708"/>
      <c r="R117" s="708"/>
      <c r="S117" s="708"/>
    </row>
    <row r="118" spans="1:19" s="725" customFormat="1" x14ac:dyDescent="0.3">
      <c r="A118" s="731" t="s">
        <v>2037</v>
      </c>
      <c r="B118" s="731" t="s">
        <v>2038</v>
      </c>
      <c r="C118" s="663" t="s">
        <v>2263</v>
      </c>
      <c r="D118" s="663" t="s">
        <v>2264</v>
      </c>
      <c r="E118" s="666"/>
      <c r="F118" s="666"/>
      <c r="G118" s="666"/>
      <c r="H118" s="666"/>
      <c r="I118" s="666"/>
      <c r="J118" s="666"/>
      <c r="K118" s="666"/>
      <c r="L118" s="666"/>
      <c r="M118" s="666"/>
      <c r="N118" s="666"/>
      <c r="O118" s="666"/>
      <c r="P118" s="666"/>
      <c r="Q118" s="666"/>
      <c r="R118" s="666"/>
      <c r="S118" s="666"/>
    </row>
    <row r="119" spans="1:19" x14ac:dyDescent="0.3">
      <c r="A119" s="698" t="s">
        <v>2045</v>
      </c>
      <c r="B119" s="698" t="s">
        <v>2038</v>
      </c>
      <c r="C119" s="700" t="s">
        <v>2265</v>
      </c>
      <c r="D119" s="700" t="s">
        <v>2266</v>
      </c>
      <c r="E119" s="701">
        <f>IFERROR(VLOOKUP([6]Entidad!$B$12&amp;"-"&amp;'[6]Plan Financiero'!$C119,[6]DAF_BalanceFinanciero!$A$2:$I$1053,COLUMN([6]DAF_BalanceFinanciero!H$1),FALSE),0)</f>
        <v>3515.2440000000001</v>
      </c>
      <c r="F119" s="701">
        <f>IFERROR(VLOOKUP([6]Entidad!$B$12&amp;"-"&amp;'[6]Plan Financiero'!$C119,[6]DAF_BalanceFinanciero!$A$2:$I$1053,COLUMN([6]DAF_BalanceFinanciero!I$1),FALSE),0)</f>
        <v>888.63490000000002</v>
      </c>
      <c r="G119" s="701">
        <v>0</v>
      </c>
      <c r="H119" s="701">
        <v>0</v>
      </c>
      <c r="I119" s="701">
        <v>2785.9993128900005</v>
      </c>
      <c r="J119" s="701">
        <v>0</v>
      </c>
      <c r="K119" s="701">
        <v>0</v>
      </c>
      <c r="L119" s="701">
        <v>0</v>
      </c>
      <c r="M119" s="701">
        <v>0</v>
      </c>
      <c r="N119" s="701">
        <v>0</v>
      </c>
      <c r="O119" s="701">
        <v>0</v>
      </c>
      <c r="P119" s="701">
        <v>0</v>
      </c>
      <c r="Q119" s="701">
        <v>0</v>
      </c>
      <c r="R119" s="701">
        <v>0</v>
      </c>
      <c r="S119" s="701">
        <v>0</v>
      </c>
    </row>
    <row r="120" spans="1:19" x14ac:dyDescent="0.3">
      <c r="A120" s="698" t="s">
        <v>2045</v>
      </c>
      <c r="B120" s="698" t="s">
        <v>2038</v>
      </c>
      <c r="C120" s="700" t="s">
        <v>2267</v>
      </c>
      <c r="D120" s="700" t="s">
        <v>2268</v>
      </c>
      <c r="E120" s="701">
        <f>IFERROR(VLOOKUP([6]Entidad!$B$12&amp;"-"&amp;'[6]Plan Financiero'!$C120,[6]DAF_BalanceFinanciero!$A$2:$I$1053,COLUMN([6]DAF_BalanceFinanciero!H$1),FALSE),0)</f>
        <v>386.00700000000001</v>
      </c>
      <c r="F120" s="701">
        <f>IFERROR(VLOOKUP([6]Entidad!$B$12&amp;"-"&amp;'[6]Plan Financiero'!$C120,[6]DAF_BalanceFinanciero!$A$2:$I$1053,COLUMN([6]DAF_BalanceFinanciero!I$1),FALSE),0)</f>
        <v>646.99664399999995</v>
      </c>
      <c r="G120" s="701">
        <v>0</v>
      </c>
      <c r="H120" s="701">
        <v>0</v>
      </c>
      <c r="I120" s="701">
        <v>187.28478200000001</v>
      </c>
      <c r="J120" s="701">
        <v>0</v>
      </c>
      <c r="K120" s="701">
        <v>0</v>
      </c>
      <c r="L120" s="701">
        <v>0</v>
      </c>
      <c r="M120" s="701">
        <v>0</v>
      </c>
      <c r="N120" s="701">
        <v>0</v>
      </c>
      <c r="O120" s="701">
        <v>0</v>
      </c>
      <c r="P120" s="701">
        <v>0</v>
      </c>
      <c r="Q120" s="701">
        <v>0</v>
      </c>
      <c r="R120" s="701">
        <v>0</v>
      </c>
      <c r="S120" s="701">
        <v>0</v>
      </c>
    </row>
    <row r="121" spans="1:19" x14ac:dyDescent="0.3">
      <c r="A121" s="698" t="s">
        <v>2045</v>
      </c>
      <c r="B121" s="698" t="s">
        <v>2038</v>
      </c>
      <c r="C121" s="700" t="s">
        <v>2269</v>
      </c>
      <c r="D121" s="700" t="s">
        <v>2270</v>
      </c>
      <c r="E121" s="701">
        <f>IFERROR(VLOOKUP([6]Entidad!$B$12&amp;"-"&amp;'[6]Plan Financiero'!$C121,[6]DAF_BalanceFinanciero!$A$2:$I$1053,COLUMN([6]DAF_BalanceFinanciero!H$1),FALSE),0)</f>
        <v>1001.595</v>
      </c>
      <c r="F121" s="701">
        <f>IFERROR(VLOOKUP([6]Entidad!$B$12&amp;"-"&amp;'[6]Plan Financiero'!$C121,[6]DAF_BalanceFinanciero!$A$2:$I$1053,COLUMN([6]DAF_BalanceFinanciero!I$1),FALSE),0)</f>
        <v>236.974872</v>
      </c>
      <c r="G121" s="701">
        <v>0</v>
      </c>
      <c r="H121" s="701">
        <v>0</v>
      </c>
      <c r="I121" s="701">
        <v>2598.7145308900003</v>
      </c>
      <c r="J121" s="701">
        <v>0</v>
      </c>
      <c r="K121" s="701">
        <v>0</v>
      </c>
      <c r="L121" s="701">
        <v>0</v>
      </c>
      <c r="M121" s="701">
        <v>0</v>
      </c>
      <c r="N121" s="701">
        <v>0</v>
      </c>
      <c r="O121" s="701">
        <v>0</v>
      </c>
      <c r="P121" s="701">
        <v>0</v>
      </c>
      <c r="Q121" s="701">
        <v>0</v>
      </c>
      <c r="R121" s="701">
        <v>0</v>
      </c>
      <c r="S121" s="701">
        <v>0</v>
      </c>
    </row>
    <row r="122" spans="1:19" s="725" customFormat="1" x14ac:dyDescent="0.3">
      <c r="A122" s="726" t="s">
        <v>2037</v>
      </c>
      <c r="B122" s="726" t="s">
        <v>2038</v>
      </c>
      <c r="C122" s="733" t="s">
        <v>2271</v>
      </c>
      <c r="D122" s="733" t="s">
        <v>2248</v>
      </c>
      <c r="E122" s="734">
        <f t="shared" ref="E122:S122" si="51">E119-E120-E121</f>
        <v>2127.6419999999998</v>
      </c>
      <c r="F122" s="734">
        <f t="shared" si="51"/>
        <v>4.6633840000000646</v>
      </c>
      <c r="G122" s="734">
        <f t="shared" si="51"/>
        <v>0</v>
      </c>
      <c r="H122" s="734">
        <f t="shared" si="51"/>
        <v>0</v>
      </c>
      <c r="I122" s="734">
        <f t="shared" si="51"/>
        <v>0</v>
      </c>
      <c r="J122" s="734">
        <f t="shared" si="51"/>
        <v>0</v>
      </c>
      <c r="K122" s="734">
        <f t="shared" si="51"/>
        <v>0</v>
      </c>
      <c r="L122" s="734">
        <f t="shared" si="51"/>
        <v>0</v>
      </c>
      <c r="M122" s="734">
        <f t="shared" si="51"/>
        <v>0</v>
      </c>
      <c r="N122" s="734">
        <f t="shared" si="51"/>
        <v>0</v>
      </c>
      <c r="O122" s="734">
        <f t="shared" si="51"/>
        <v>0</v>
      </c>
      <c r="P122" s="734">
        <f t="shared" si="51"/>
        <v>0</v>
      </c>
      <c r="Q122" s="734">
        <f t="shared" si="51"/>
        <v>0</v>
      </c>
      <c r="R122" s="734">
        <f t="shared" si="51"/>
        <v>0</v>
      </c>
      <c r="S122" s="734">
        <f t="shared" si="51"/>
        <v>0</v>
      </c>
    </row>
    <row r="123" spans="1:19" x14ac:dyDescent="0.3">
      <c r="A123" s="698"/>
      <c r="B123" s="698"/>
      <c r="C123" s="709"/>
      <c r="D123" s="709"/>
      <c r="E123" s="710"/>
      <c r="F123" s="710"/>
      <c r="G123" s="710"/>
      <c r="H123" s="710"/>
      <c r="I123" s="710"/>
      <c r="J123" s="710"/>
      <c r="K123" s="710"/>
      <c r="L123" s="710"/>
      <c r="M123" s="710"/>
      <c r="N123" s="710"/>
      <c r="O123" s="710"/>
      <c r="P123" s="710"/>
      <c r="Q123" s="710"/>
      <c r="R123" s="710"/>
      <c r="S123" s="710"/>
    </row>
    <row r="124" spans="1:19" s="725" customFormat="1" ht="33" x14ac:dyDescent="0.3">
      <c r="A124" s="731" t="s">
        <v>2037</v>
      </c>
      <c r="B124" s="731" t="s">
        <v>2038</v>
      </c>
      <c r="C124" s="663" t="s">
        <v>2272</v>
      </c>
      <c r="D124" s="663" t="s">
        <v>2273</v>
      </c>
      <c r="E124" s="666"/>
      <c r="F124" s="666"/>
      <c r="G124" s="666"/>
      <c r="H124" s="666"/>
      <c r="I124" s="666"/>
      <c r="J124" s="666"/>
      <c r="K124" s="666"/>
      <c r="L124" s="666"/>
      <c r="M124" s="666"/>
      <c r="N124" s="666"/>
      <c r="O124" s="666"/>
      <c r="P124" s="666"/>
      <c r="Q124" s="666"/>
      <c r="R124" s="666"/>
      <c r="S124" s="666"/>
    </row>
    <row r="125" spans="1:19" x14ac:dyDescent="0.3">
      <c r="A125" s="698" t="s">
        <v>2037</v>
      </c>
      <c r="B125" s="698" t="s">
        <v>2038</v>
      </c>
      <c r="C125" s="705" t="s">
        <v>2274</v>
      </c>
      <c r="D125" s="705" t="s">
        <v>2275</v>
      </c>
      <c r="E125" s="706">
        <f t="shared" ref="E125:S125" si="52">E114+E119</f>
        <v>353393.38500000007</v>
      </c>
      <c r="F125" s="706">
        <f t="shared" si="52"/>
        <v>361787.33454199997</v>
      </c>
      <c r="G125" s="706">
        <f t="shared" si="52"/>
        <v>405242.52438238991</v>
      </c>
      <c r="H125" s="706">
        <f t="shared" si="52"/>
        <v>378695</v>
      </c>
      <c r="I125" s="706">
        <f t="shared" si="52"/>
        <v>418805.9244389598</v>
      </c>
      <c r="J125" s="706">
        <f t="shared" si="52"/>
        <v>364299.7795215635</v>
      </c>
      <c r="K125" s="706">
        <f t="shared" si="52"/>
        <v>375241.77290721046</v>
      </c>
      <c r="L125" s="706">
        <f t="shared" si="52"/>
        <v>386499.02609442675</v>
      </c>
      <c r="M125" s="706">
        <f t="shared" si="52"/>
        <v>398093.99687725957</v>
      </c>
      <c r="N125" s="706">
        <f t="shared" si="52"/>
        <v>410036.81678357744</v>
      </c>
      <c r="O125" s="706">
        <f t="shared" si="52"/>
        <v>422337.9212870847</v>
      </c>
      <c r="P125" s="706">
        <f t="shared" si="52"/>
        <v>435008.05892569723</v>
      </c>
      <c r="Q125" s="706">
        <f t="shared" si="52"/>
        <v>448058.30069346813</v>
      </c>
      <c r="R125" s="706">
        <f t="shared" si="52"/>
        <v>461500.04971427226</v>
      </c>
      <c r="S125" s="706">
        <f t="shared" si="52"/>
        <v>475345.05120570038</v>
      </c>
    </row>
    <row r="126" spans="1:19" x14ac:dyDescent="0.3">
      <c r="A126" s="698" t="s">
        <v>2037</v>
      </c>
      <c r="B126" s="698" t="s">
        <v>2038</v>
      </c>
      <c r="C126" s="705" t="s">
        <v>2276</v>
      </c>
      <c r="D126" s="705" t="s">
        <v>2277</v>
      </c>
      <c r="E126" s="706">
        <f t="shared" ref="E126:S126" si="53">E115+E120+E121</f>
        <v>305387.06399999995</v>
      </c>
      <c r="F126" s="706">
        <f t="shared" si="53"/>
        <v>324761.145739</v>
      </c>
      <c r="G126" s="706">
        <f t="shared" si="53"/>
        <v>364176.79576693999</v>
      </c>
      <c r="H126" s="706">
        <f t="shared" si="53"/>
        <v>329827</v>
      </c>
      <c r="I126" s="706">
        <f t="shared" si="53"/>
        <v>418805.92443896004</v>
      </c>
      <c r="J126" s="706">
        <f t="shared" si="53"/>
        <v>364300</v>
      </c>
      <c r="K126" s="706">
        <f t="shared" si="53"/>
        <v>375241.62</v>
      </c>
      <c r="L126" s="706">
        <f t="shared" si="53"/>
        <v>386498.55859999999</v>
      </c>
      <c r="M126" s="706">
        <f t="shared" si="53"/>
        <v>398094.31790125958</v>
      </c>
      <c r="N126" s="706">
        <f t="shared" si="53"/>
        <v>410036.51361873996</v>
      </c>
      <c r="O126" s="706">
        <f t="shared" si="53"/>
        <v>422338.3090273022</v>
      </c>
      <c r="P126" s="706">
        <f t="shared" si="53"/>
        <v>435007.99829812127</v>
      </c>
      <c r="Q126" s="706">
        <f t="shared" si="53"/>
        <v>448058.22824706486</v>
      </c>
      <c r="R126" s="706">
        <f t="shared" si="53"/>
        <v>461499.96509447694</v>
      </c>
      <c r="S126" s="706">
        <f t="shared" si="53"/>
        <v>475345.50404731114</v>
      </c>
    </row>
    <row r="127" spans="1:19" s="725" customFormat="1" x14ac:dyDescent="0.3">
      <c r="A127" s="726" t="s">
        <v>2037</v>
      </c>
      <c r="B127" s="726" t="s">
        <v>2038</v>
      </c>
      <c r="C127" s="733" t="s">
        <v>2278</v>
      </c>
      <c r="D127" s="733" t="s">
        <v>2262</v>
      </c>
      <c r="E127" s="734">
        <f t="shared" ref="E127:S127" si="54">E125-E126</f>
        <v>48006.321000000113</v>
      </c>
      <c r="F127" s="734">
        <f t="shared" si="54"/>
        <v>37026.188802999968</v>
      </c>
      <c r="G127" s="734">
        <f t="shared" si="54"/>
        <v>41065.728615449916</v>
      </c>
      <c r="H127" s="734">
        <f t="shared" si="54"/>
        <v>48868</v>
      </c>
      <c r="I127" s="734">
        <f t="shared" si="54"/>
        <v>0</v>
      </c>
      <c r="J127" s="734">
        <f t="shared" si="54"/>
        <v>-0.22047843650216237</v>
      </c>
      <c r="K127" s="734">
        <f t="shared" si="54"/>
        <v>0.15290721046039835</v>
      </c>
      <c r="L127" s="734">
        <f t="shared" si="54"/>
        <v>0.46749442676082253</v>
      </c>
      <c r="M127" s="734">
        <f t="shared" si="54"/>
        <v>-0.32102400000439957</v>
      </c>
      <c r="N127" s="734">
        <f t="shared" si="54"/>
        <v>0.3031648374744691</v>
      </c>
      <c r="O127" s="734">
        <f t="shared" si="54"/>
        <v>-0.38774021749850363</v>
      </c>
      <c r="P127" s="734">
        <f t="shared" si="54"/>
        <v>6.062757596373558E-2</v>
      </c>
      <c r="Q127" s="734">
        <f t="shared" si="54"/>
        <v>7.2446403268259019E-2</v>
      </c>
      <c r="R127" s="734">
        <f t="shared" si="54"/>
        <v>8.461979532148689E-2</v>
      </c>
      <c r="S127" s="734">
        <f t="shared" si="54"/>
        <v>-0.4528416107641533</v>
      </c>
    </row>
  </sheetData>
  <mergeCells count="3">
    <mergeCell ref="C1:D1"/>
    <mergeCell ref="C2:D2"/>
    <mergeCell ref="C3:D3"/>
  </mergeCells>
  <dataValidations count="1">
    <dataValidation allowBlank="1" showInputMessage="1" showErrorMessage="1" errorTitle="Error" error="Valor No Permitido" sqref="G1" xr:uid="{00000000-0002-0000-1000-000000000000}"/>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tabColor theme="1" tint="4.9989318521683403E-2"/>
  </sheetPr>
  <dimension ref="A1:T55"/>
  <sheetViews>
    <sheetView topLeftCell="C5" workbookViewId="0"/>
  </sheetViews>
  <sheetFormatPr baseColWidth="10" defaultColWidth="11.42578125" defaultRowHeight="16.5" x14ac:dyDescent="0.3"/>
  <cols>
    <col min="1" max="1" width="11.42578125" style="695" hidden="1" customWidth="1"/>
    <col min="2" max="2" width="47.28515625" style="695" hidden="1" customWidth="1"/>
    <col min="3" max="3" width="13" style="711" bestFit="1" customWidth="1"/>
    <col min="4" max="4" width="37.42578125" style="880" customWidth="1"/>
    <col min="5" max="19" width="13.140625" style="712" customWidth="1"/>
    <col min="20" max="16384" width="11.42578125" style="695"/>
  </cols>
  <sheetData>
    <row r="1" spans="1:20" ht="41.25" customHeight="1" x14ac:dyDescent="0.3">
      <c r="A1" s="693"/>
      <c r="B1" s="693"/>
      <c r="C1" s="1789" t="s">
        <v>2030</v>
      </c>
      <c r="D1" s="1789"/>
      <c r="E1" s="694"/>
      <c r="F1" s="694"/>
      <c r="G1" s="694"/>
      <c r="H1" s="694"/>
      <c r="I1" s="694"/>
      <c r="J1" s="694"/>
      <c r="K1" s="694"/>
      <c r="L1" s="694"/>
      <c r="M1" s="694"/>
      <c r="N1" s="694"/>
      <c r="O1" s="694"/>
      <c r="P1" s="694"/>
      <c r="Q1" s="694"/>
      <c r="R1" s="694"/>
      <c r="S1" s="694"/>
    </row>
    <row r="2" spans="1:20" ht="28.5" customHeight="1" x14ac:dyDescent="0.3">
      <c r="A2" s="693"/>
      <c r="B2" s="693"/>
      <c r="C2" s="1790" t="s">
        <v>2031</v>
      </c>
      <c r="D2" s="1790"/>
      <c r="E2" s="696"/>
      <c r="F2" s="696"/>
      <c r="G2" s="696"/>
      <c r="H2" s="696"/>
      <c r="I2" s="696"/>
      <c r="J2" s="696"/>
      <c r="K2" s="696"/>
      <c r="L2" s="696"/>
      <c r="M2" s="696"/>
      <c r="N2" s="696"/>
      <c r="O2" s="696"/>
      <c r="P2" s="696"/>
      <c r="Q2" s="696"/>
      <c r="R2" s="696"/>
      <c r="S2" s="696"/>
    </row>
    <row r="3" spans="1:20" x14ac:dyDescent="0.3">
      <c r="A3" s="693"/>
      <c r="B3" s="693"/>
      <c r="C3" s="1791" t="s">
        <v>2032</v>
      </c>
      <c r="D3" s="1791"/>
      <c r="E3" s="697"/>
      <c r="F3" s="697"/>
      <c r="G3" s="697"/>
      <c r="H3" s="697"/>
      <c r="I3" s="697"/>
      <c r="J3" s="697"/>
      <c r="K3" s="697"/>
      <c r="L3" s="697"/>
      <c r="M3" s="697"/>
      <c r="N3" s="697"/>
      <c r="O3" s="697"/>
      <c r="P3" s="697"/>
      <c r="Q3" s="697"/>
      <c r="R3" s="697"/>
      <c r="S3" s="697"/>
    </row>
    <row r="4" spans="1:20" s="725" customFormat="1" x14ac:dyDescent="0.3">
      <c r="A4" s="661" t="s">
        <v>2033</v>
      </c>
      <c r="B4" s="662" t="s">
        <v>2034</v>
      </c>
      <c r="C4" s="664" t="s">
        <v>2035</v>
      </c>
      <c r="D4" s="664" t="s">
        <v>2036</v>
      </c>
      <c r="E4" s="664">
        <v>2017</v>
      </c>
      <c r="F4" s="664">
        <v>2018</v>
      </c>
      <c r="G4" s="664">
        <v>2019</v>
      </c>
      <c r="H4" s="664">
        <v>2020</v>
      </c>
      <c r="I4" s="664">
        <v>2021</v>
      </c>
      <c r="J4" s="664">
        <v>2022</v>
      </c>
      <c r="K4" s="664">
        <v>2023</v>
      </c>
      <c r="L4" s="664">
        <v>2024</v>
      </c>
      <c r="M4" s="664">
        <v>2025</v>
      </c>
      <c r="N4" s="664">
        <v>2026</v>
      </c>
      <c r="O4" s="664">
        <v>2027</v>
      </c>
      <c r="P4" s="664">
        <v>2028</v>
      </c>
      <c r="Q4" s="664">
        <v>2029</v>
      </c>
      <c r="R4" s="664">
        <v>2030</v>
      </c>
      <c r="S4" s="664">
        <v>2031</v>
      </c>
    </row>
    <row r="5" spans="1:20" s="725" customFormat="1" x14ac:dyDescent="0.3">
      <c r="A5" s="731" t="s">
        <v>2037</v>
      </c>
      <c r="B5" s="732" t="s">
        <v>2038</v>
      </c>
      <c r="C5" s="663" t="s">
        <v>2121</v>
      </c>
      <c r="D5" s="663" t="s">
        <v>2122</v>
      </c>
      <c r="E5" s="666">
        <v>299961.95500000002</v>
      </c>
      <c r="F5" s="666">
        <v>318283.75582800002</v>
      </c>
      <c r="G5" s="666">
        <v>353754.22195248998</v>
      </c>
      <c r="H5" s="666">
        <v>324046</v>
      </c>
      <c r="I5" s="666">
        <v>408717.89311307005</v>
      </c>
      <c r="J5" s="666">
        <v>357160</v>
      </c>
      <c r="K5" s="666">
        <v>369501.62</v>
      </c>
      <c r="L5" s="666">
        <v>381513.55859999999</v>
      </c>
      <c r="M5" s="666">
        <v>393215.31790125958</v>
      </c>
      <c r="N5" s="666">
        <v>405158.51361873996</v>
      </c>
      <c r="O5" s="666">
        <v>417460.3090273022</v>
      </c>
      <c r="P5" s="666">
        <v>430342.99829812127</v>
      </c>
      <c r="Q5" s="666">
        <v>444122.22824706486</v>
      </c>
      <c r="R5" s="666">
        <v>459277.96509447694</v>
      </c>
      <c r="S5" s="666">
        <v>473123.50404731114</v>
      </c>
    </row>
    <row r="6" spans="1:20" s="725" customFormat="1" x14ac:dyDescent="0.3">
      <c r="A6" s="731" t="s">
        <v>2037</v>
      </c>
      <c r="B6" s="732" t="s">
        <v>2038</v>
      </c>
      <c r="C6" s="663" t="s">
        <v>2123</v>
      </c>
      <c r="D6" s="663" t="s">
        <v>2124</v>
      </c>
      <c r="E6" s="666">
        <v>257981.66099999999</v>
      </c>
      <c r="F6" s="666">
        <v>282096.11716600001</v>
      </c>
      <c r="G6" s="666">
        <v>334169.99137678999</v>
      </c>
      <c r="H6" s="666">
        <v>319980</v>
      </c>
      <c r="I6" s="666">
        <v>392731.73847893003</v>
      </c>
      <c r="J6" s="666">
        <v>350006</v>
      </c>
      <c r="K6" s="666">
        <v>363224.86</v>
      </c>
      <c r="L6" s="666">
        <v>372736.18579999998</v>
      </c>
      <c r="M6" s="666">
        <v>382718.29137399996</v>
      </c>
      <c r="N6" s="666">
        <v>393050.77011521999</v>
      </c>
      <c r="O6" s="666">
        <v>403723.5032186766</v>
      </c>
      <c r="P6" s="666">
        <v>414744.66831523692</v>
      </c>
      <c r="Q6" s="666">
        <v>426168.74836469395</v>
      </c>
      <c r="R6" s="666">
        <v>438109.54081563489</v>
      </c>
      <c r="S6" s="666">
        <v>450774.16704010387</v>
      </c>
    </row>
    <row r="7" spans="1:20" s="725" customFormat="1" x14ac:dyDescent="0.3">
      <c r="A7" s="731" t="s">
        <v>2037</v>
      </c>
      <c r="B7" s="732" t="s">
        <v>2038</v>
      </c>
      <c r="C7" s="663" t="s">
        <v>2125</v>
      </c>
      <c r="D7" s="663" t="s">
        <v>2126</v>
      </c>
      <c r="E7" s="666">
        <v>75782.722999999998</v>
      </c>
      <c r="F7" s="666">
        <v>78829.30113800001</v>
      </c>
      <c r="G7" s="666">
        <v>79934.438266700003</v>
      </c>
      <c r="H7" s="666">
        <v>76698</v>
      </c>
      <c r="I7" s="666">
        <v>108192.02991642999</v>
      </c>
      <c r="J7" s="666">
        <v>84624</v>
      </c>
      <c r="K7" s="666">
        <v>87162.72</v>
      </c>
      <c r="L7" s="666">
        <v>89777.601599999995</v>
      </c>
      <c r="M7" s="666">
        <v>92470.929648000005</v>
      </c>
      <c r="N7" s="666">
        <v>95245.057537440007</v>
      </c>
      <c r="O7" s="666">
        <v>98102.409263563226</v>
      </c>
      <c r="P7" s="666">
        <v>101045.4815414701</v>
      </c>
      <c r="Q7" s="666">
        <v>104076.84598771422</v>
      </c>
      <c r="R7" s="666">
        <v>107199.15136734565</v>
      </c>
      <c r="S7" s="666">
        <v>110415.12590836601</v>
      </c>
    </row>
    <row r="8" spans="1:20" x14ac:dyDescent="0.3">
      <c r="A8" s="698" t="s">
        <v>2045</v>
      </c>
      <c r="B8" s="699" t="s">
        <v>2127</v>
      </c>
      <c r="C8" s="700" t="s">
        <v>2128</v>
      </c>
      <c r="D8" s="700" t="s">
        <v>2129</v>
      </c>
      <c r="E8" s="701">
        <v>29026.309000000001</v>
      </c>
      <c r="F8" s="701">
        <v>31428.355007999999</v>
      </c>
      <c r="G8" s="701">
        <v>32896.194550669999</v>
      </c>
      <c r="H8" s="701">
        <v>27635</v>
      </c>
      <c r="I8" s="701">
        <v>23929.484388000001</v>
      </c>
      <c r="J8" s="701">
        <v>24759</v>
      </c>
      <c r="K8" s="701">
        <v>25501.77</v>
      </c>
      <c r="L8" s="701">
        <v>26266.823100000001</v>
      </c>
      <c r="M8" s="701">
        <v>27054.827793</v>
      </c>
      <c r="N8" s="701">
        <v>27866.472626790001</v>
      </c>
      <c r="O8" s="701">
        <v>28702.4668055937</v>
      </c>
      <c r="P8" s="701">
        <v>29563.540809761511</v>
      </c>
      <c r="Q8" s="701">
        <v>30450.447034054356</v>
      </c>
      <c r="R8" s="701">
        <v>31363.960445075987</v>
      </c>
      <c r="S8" s="701">
        <v>32304.879258428267</v>
      </c>
      <c r="T8" s="881">
        <f>SUM(E8:S8)</f>
        <v>428749.5308193739</v>
      </c>
    </row>
    <row r="9" spans="1:20" x14ac:dyDescent="0.3">
      <c r="A9" s="698" t="s">
        <v>2045</v>
      </c>
      <c r="B9" s="699" t="s">
        <v>2127</v>
      </c>
      <c r="C9" s="700" t="s">
        <v>2130</v>
      </c>
      <c r="D9" s="700" t="s">
        <v>2131</v>
      </c>
      <c r="E9" s="701">
        <v>7611.9369999999999</v>
      </c>
      <c r="F9" s="701">
        <v>6786.0466210000004</v>
      </c>
      <c r="G9" s="701">
        <v>7738.1080681399999</v>
      </c>
      <c r="H9" s="701">
        <v>5548</v>
      </c>
      <c r="I9" s="701">
        <v>15506.475274</v>
      </c>
      <c r="J9" s="701">
        <v>9763</v>
      </c>
      <c r="K9" s="701">
        <v>10055.89</v>
      </c>
      <c r="L9" s="701">
        <v>10357.566699999999</v>
      </c>
      <c r="M9" s="701">
        <v>10668.293701000001</v>
      </c>
      <c r="N9" s="701">
        <v>10988.342512030002</v>
      </c>
      <c r="O9" s="701">
        <v>11317.992787390902</v>
      </c>
      <c r="P9" s="701">
        <v>11657.532571012629</v>
      </c>
      <c r="Q9" s="701">
        <v>12007.258548143009</v>
      </c>
      <c r="R9" s="701">
        <v>12367.476304587299</v>
      </c>
      <c r="S9" s="701">
        <v>12738.500593724919</v>
      </c>
      <c r="T9" s="881">
        <f t="shared" ref="T9:T55" si="0">SUM(E9:S9)</f>
        <v>155112.42068102877</v>
      </c>
    </row>
    <row r="10" spans="1:20" x14ac:dyDescent="0.3">
      <c r="A10" s="698" t="s">
        <v>2037</v>
      </c>
      <c r="B10" s="699" t="s">
        <v>2038</v>
      </c>
      <c r="C10" s="703" t="s">
        <v>2132</v>
      </c>
      <c r="D10" s="676" t="s">
        <v>2133</v>
      </c>
      <c r="E10" s="704">
        <v>37479.087</v>
      </c>
      <c r="F10" s="704">
        <v>39929.734617000002</v>
      </c>
      <c r="G10" s="704">
        <v>39025.456691890002</v>
      </c>
      <c r="H10" s="704">
        <v>43515</v>
      </c>
      <c r="I10" s="704">
        <v>54559.608307169998</v>
      </c>
      <c r="J10" s="704">
        <v>34943</v>
      </c>
      <c r="K10" s="704">
        <v>35991.289999999994</v>
      </c>
      <c r="L10" s="704">
        <v>37071.028699999995</v>
      </c>
      <c r="M10" s="704">
        <v>38183.159561</v>
      </c>
      <c r="N10" s="704">
        <v>39328.654347830001</v>
      </c>
      <c r="O10" s="704">
        <v>40508.513978264906</v>
      </c>
      <c r="P10" s="704">
        <v>41723.76939761285</v>
      </c>
      <c r="Q10" s="704">
        <v>42975.482479541242</v>
      </c>
      <c r="R10" s="704">
        <v>44264.746953927475</v>
      </c>
      <c r="S10" s="704">
        <v>45592.689362545301</v>
      </c>
      <c r="T10" s="881">
        <f t="shared" si="0"/>
        <v>615091.22139678174</v>
      </c>
    </row>
    <row r="11" spans="1:20" x14ac:dyDescent="0.3">
      <c r="A11" s="698" t="s">
        <v>2045</v>
      </c>
      <c r="B11" s="699" t="s">
        <v>2127</v>
      </c>
      <c r="C11" s="700" t="s">
        <v>2134</v>
      </c>
      <c r="D11" s="700" t="s">
        <v>2135</v>
      </c>
      <c r="E11" s="701">
        <v>10546.245999999999</v>
      </c>
      <c r="F11" s="701">
        <v>12695.564394999999</v>
      </c>
      <c r="G11" s="701">
        <v>9584.601251</v>
      </c>
      <c r="H11" s="701">
        <v>8890</v>
      </c>
      <c r="I11" s="701">
        <v>9918.6411580000004</v>
      </c>
      <c r="J11" s="701">
        <v>10256</v>
      </c>
      <c r="K11" s="701">
        <v>10563.68</v>
      </c>
      <c r="L11" s="701">
        <v>10880.590400000001</v>
      </c>
      <c r="M11" s="701">
        <v>11207.008112000001</v>
      </c>
      <c r="N11" s="701">
        <v>11543.218355360003</v>
      </c>
      <c r="O11" s="701">
        <v>11889.514906020802</v>
      </c>
      <c r="P11" s="701">
        <v>12246.200353201426</v>
      </c>
      <c r="Q11" s="701">
        <v>12613.586363797469</v>
      </c>
      <c r="R11" s="701">
        <v>12991.993954711394</v>
      </c>
      <c r="S11" s="701">
        <v>13381.753773352735</v>
      </c>
      <c r="T11" s="881">
        <f t="shared" si="0"/>
        <v>169208.59902244381</v>
      </c>
    </row>
    <row r="12" spans="1:20" x14ac:dyDescent="0.3">
      <c r="A12" s="698" t="s">
        <v>2045</v>
      </c>
      <c r="B12" s="699" t="s">
        <v>2127</v>
      </c>
      <c r="C12" s="700" t="s">
        <v>2136</v>
      </c>
      <c r="D12" s="700" t="s">
        <v>2137</v>
      </c>
      <c r="E12" s="701">
        <v>3064.5650000000001</v>
      </c>
      <c r="F12" s="701">
        <v>3431.814046</v>
      </c>
      <c r="G12" s="701">
        <v>171.43938900000001</v>
      </c>
      <c r="H12" s="701">
        <v>4290</v>
      </c>
      <c r="I12" s="701">
        <v>9092.1767235499992</v>
      </c>
      <c r="J12" s="701">
        <v>11832</v>
      </c>
      <c r="K12" s="701">
        <v>12186.960000000001</v>
      </c>
      <c r="L12" s="701">
        <v>12552.568800000001</v>
      </c>
      <c r="M12" s="701">
        <v>12929.145864000002</v>
      </c>
      <c r="N12" s="701">
        <v>13317.020239920002</v>
      </c>
      <c r="O12" s="701">
        <v>13716.530847117603</v>
      </c>
      <c r="P12" s="701">
        <v>14128.026772531131</v>
      </c>
      <c r="Q12" s="701">
        <v>14551.867575707065</v>
      </c>
      <c r="R12" s="701">
        <v>14988.423602978277</v>
      </c>
      <c r="S12" s="701">
        <v>15438.076311067625</v>
      </c>
      <c r="T12" s="881">
        <f t="shared" si="0"/>
        <v>155690.61517187167</v>
      </c>
    </row>
    <row r="13" spans="1:20" ht="25.5" hidden="1" x14ac:dyDescent="0.3">
      <c r="A13" s="698" t="s">
        <v>2045</v>
      </c>
      <c r="B13" s="699" t="s">
        <v>2127</v>
      </c>
      <c r="C13" s="700" t="s">
        <v>2138</v>
      </c>
      <c r="D13" s="700" t="s">
        <v>2139</v>
      </c>
      <c r="E13" s="701">
        <v>0</v>
      </c>
      <c r="F13" s="701">
        <v>0</v>
      </c>
      <c r="G13" s="701">
        <v>0</v>
      </c>
      <c r="H13" s="701"/>
      <c r="I13" s="701">
        <v>0</v>
      </c>
      <c r="J13" s="701">
        <v>0</v>
      </c>
      <c r="K13" s="701">
        <v>0</v>
      </c>
      <c r="L13" s="701">
        <v>0</v>
      </c>
      <c r="M13" s="701">
        <v>0</v>
      </c>
      <c r="N13" s="701">
        <v>0</v>
      </c>
      <c r="O13" s="701">
        <v>0</v>
      </c>
      <c r="P13" s="701">
        <v>0</v>
      </c>
      <c r="Q13" s="701">
        <v>0</v>
      </c>
      <c r="R13" s="701">
        <v>0</v>
      </c>
      <c r="S13" s="701">
        <v>0</v>
      </c>
      <c r="T13" s="881">
        <f t="shared" si="0"/>
        <v>0</v>
      </c>
    </row>
    <row r="14" spans="1:20" x14ac:dyDescent="0.3">
      <c r="A14" s="698" t="s">
        <v>2045</v>
      </c>
      <c r="B14" s="699" t="s">
        <v>2127</v>
      </c>
      <c r="C14" s="700" t="s">
        <v>2140</v>
      </c>
      <c r="D14" s="700" t="s">
        <v>2141</v>
      </c>
      <c r="E14" s="701">
        <v>5011.0069999999996</v>
      </c>
      <c r="F14" s="701">
        <v>5743.690525</v>
      </c>
      <c r="G14" s="701">
        <v>6179.5390229999994</v>
      </c>
      <c r="H14" s="701">
        <v>6253</v>
      </c>
      <c r="I14" s="701">
        <v>6819.1981530000003</v>
      </c>
      <c r="J14" s="701">
        <v>6408</v>
      </c>
      <c r="K14" s="701">
        <v>6600.24</v>
      </c>
      <c r="L14" s="701">
        <v>6798.2471999999998</v>
      </c>
      <c r="M14" s="701">
        <v>7002.1946159999998</v>
      </c>
      <c r="N14" s="701">
        <v>7212.2604544799997</v>
      </c>
      <c r="O14" s="701">
        <v>7428.6282681144003</v>
      </c>
      <c r="P14" s="701">
        <v>7651.4871161578321</v>
      </c>
      <c r="Q14" s="701">
        <v>7881.0317296425674</v>
      </c>
      <c r="R14" s="701">
        <v>8117.4626815318443</v>
      </c>
      <c r="S14" s="701">
        <v>8360.9865619777993</v>
      </c>
      <c r="T14" s="881">
        <f t="shared" si="0"/>
        <v>103466.97332890445</v>
      </c>
    </row>
    <row r="15" spans="1:20" ht="25.5" x14ac:dyDescent="0.3">
      <c r="A15" s="698" t="s">
        <v>2045</v>
      </c>
      <c r="B15" s="699" t="s">
        <v>2127</v>
      </c>
      <c r="C15" s="700" t="s">
        <v>2142</v>
      </c>
      <c r="D15" s="700" t="s">
        <v>2143</v>
      </c>
      <c r="E15" s="701">
        <v>17264.606</v>
      </c>
      <c r="F15" s="701">
        <v>15933.290602999999</v>
      </c>
      <c r="G15" s="701">
        <v>20336.116129560003</v>
      </c>
      <c r="H15" s="701">
        <v>13514</v>
      </c>
      <c r="I15" s="701">
        <v>12513.20805763</v>
      </c>
      <c r="J15" s="701">
        <v>4947</v>
      </c>
      <c r="K15" s="701">
        <v>5095.41</v>
      </c>
      <c r="L15" s="701">
        <v>5248.2722999999996</v>
      </c>
      <c r="M15" s="701">
        <v>5405.7204689999999</v>
      </c>
      <c r="N15" s="701">
        <v>5567.8920830699999</v>
      </c>
      <c r="O15" s="701">
        <v>5734.9288455620999</v>
      </c>
      <c r="P15" s="701">
        <v>5906.9767109289633</v>
      </c>
      <c r="Q15" s="701">
        <v>6084.1860122568323</v>
      </c>
      <c r="R15" s="701">
        <v>6266.7115926245378</v>
      </c>
      <c r="S15" s="701">
        <v>6454.7129404032739</v>
      </c>
      <c r="T15" s="881">
        <f t="shared" si="0"/>
        <v>136273.03174403572</v>
      </c>
    </row>
    <row r="16" spans="1:20" x14ac:dyDescent="0.3">
      <c r="A16" s="698" t="s">
        <v>2045</v>
      </c>
      <c r="B16" s="699" t="s">
        <v>2127</v>
      </c>
      <c r="C16" s="700" t="s">
        <v>2144</v>
      </c>
      <c r="D16" s="700" t="s">
        <v>2145</v>
      </c>
      <c r="E16" s="701">
        <v>1592.663</v>
      </c>
      <c r="F16" s="701">
        <v>2125.3750479999999</v>
      </c>
      <c r="G16" s="701">
        <v>2753.7608993300005</v>
      </c>
      <c r="H16" s="701">
        <v>10568</v>
      </c>
      <c r="I16" s="701">
        <v>3550</v>
      </c>
      <c r="J16" s="701">
        <v>1500</v>
      </c>
      <c r="K16" s="701">
        <v>1545</v>
      </c>
      <c r="L16" s="701">
        <v>1591.3500000000001</v>
      </c>
      <c r="M16" s="701">
        <v>1639.0905000000002</v>
      </c>
      <c r="N16" s="701">
        <v>1688.2632150000004</v>
      </c>
      <c r="O16" s="701">
        <v>1738.9111114500004</v>
      </c>
      <c r="P16" s="701">
        <v>1791.0784447935005</v>
      </c>
      <c r="Q16" s="701">
        <v>1844.8107981373055</v>
      </c>
      <c r="R16" s="701">
        <v>1900.1551220814247</v>
      </c>
      <c r="S16" s="701">
        <v>1957.1597757438674</v>
      </c>
      <c r="T16" s="881">
        <f t="shared" si="0"/>
        <v>37785.617914536095</v>
      </c>
    </row>
    <row r="17" spans="1:20" x14ac:dyDescent="0.3">
      <c r="A17" s="698" t="s">
        <v>2045</v>
      </c>
      <c r="B17" s="699" t="s">
        <v>2127</v>
      </c>
      <c r="C17" s="700" t="s">
        <v>2146</v>
      </c>
      <c r="D17" s="700" t="s">
        <v>2147</v>
      </c>
      <c r="E17" s="701">
        <v>0</v>
      </c>
      <c r="F17" s="701">
        <v>0</v>
      </c>
      <c r="G17" s="701">
        <v>0</v>
      </c>
      <c r="H17" s="701"/>
      <c r="I17" s="701">
        <v>12666.384214989999</v>
      </c>
      <c r="J17" s="701">
        <v>0</v>
      </c>
      <c r="K17" s="701">
        <v>0</v>
      </c>
      <c r="L17" s="701">
        <v>0</v>
      </c>
      <c r="M17" s="701">
        <v>0</v>
      </c>
      <c r="N17" s="701">
        <v>0</v>
      </c>
      <c r="O17" s="701">
        <v>0</v>
      </c>
      <c r="P17" s="701">
        <v>0</v>
      </c>
      <c r="Q17" s="701">
        <v>0</v>
      </c>
      <c r="R17" s="701">
        <v>0</v>
      </c>
      <c r="S17" s="701">
        <v>0</v>
      </c>
      <c r="T17" s="881">
        <f t="shared" si="0"/>
        <v>12666.384214989999</v>
      </c>
    </row>
    <row r="18" spans="1:20" ht="25.5" hidden="1" x14ac:dyDescent="0.3">
      <c r="A18" s="698" t="s">
        <v>2045</v>
      </c>
      <c r="B18" s="699" t="s">
        <v>2127</v>
      </c>
      <c r="C18" s="700" t="s">
        <v>2148</v>
      </c>
      <c r="D18" s="700" t="s">
        <v>2149</v>
      </c>
      <c r="E18" s="701">
        <v>0</v>
      </c>
      <c r="F18" s="701">
        <v>0</v>
      </c>
      <c r="G18" s="701">
        <v>0</v>
      </c>
      <c r="H18" s="701"/>
      <c r="I18" s="701">
        <v>0</v>
      </c>
      <c r="J18" s="701">
        <v>0</v>
      </c>
      <c r="K18" s="701">
        <v>0</v>
      </c>
      <c r="L18" s="701">
        <v>0</v>
      </c>
      <c r="M18" s="701">
        <v>0</v>
      </c>
      <c r="N18" s="701">
        <v>0</v>
      </c>
      <c r="O18" s="701">
        <v>0</v>
      </c>
      <c r="P18" s="701">
        <v>0</v>
      </c>
      <c r="Q18" s="701">
        <v>0</v>
      </c>
      <c r="R18" s="701">
        <v>0</v>
      </c>
      <c r="S18" s="701">
        <v>0</v>
      </c>
      <c r="T18" s="881">
        <f t="shared" si="0"/>
        <v>0</v>
      </c>
    </row>
    <row r="19" spans="1:20" ht="25.5" x14ac:dyDescent="0.3">
      <c r="A19" s="698" t="s">
        <v>2045</v>
      </c>
      <c r="B19" s="699" t="s">
        <v>2127</v>
      </c>
      <c r="C19" s="700" t="s">
        <v>2150</v>
      </c>
      <c r="D19" s="700" t="s">
        <v>2151</v>
      </c>
      <c r="E19" s="701">
        <v>0</v>
      </c>
      <c r="F19" s="701">
        <v>0</v>
      </c>
      <c r="G19" s="701">
        <v>274.67895600000003</v>
      </c>
      <c r="H19" s="701"/>
      <c r="I19" s="701">
        <v>0</v>
      </c>
      <c r="J19" s="701">
        <v>0</v>
      </c>
      <c r="K19" s="701">
        <v>0</v>
      </c>
      <c r="L19" s="701">
        <v>0</v>
      </c>
      <c r="M19" s="701">
        <v>0</v>
      </c>
      <c r="N19" s="701">
        <v>0</v>
      </c>
      <c r="O19" s="701">
        <v>0</v>
      </c>
      <c r="P19" s="701">
        <v>0</v>
      </c>
      <c r="Q19" s="701">
        <v>0</v>
      </c>
      <c r="R19" s="701">
        <v>0</v>
      </c>
      <c r="S19" s="701">
        <v>0</v>
      </c>
      <c r="T19" s="881">
        <f t="shared" si="0"/>
        <v>274.67895600000003</v>
      </c>
    </row>
    <row r="20" spans="1:20" x14ac:dyDescent="0.3">
      <c r="A20" s="698" t="s">
        <v>2045</v>
      </c>
      <c r="B20" s="699" t="s">
        <v>2127</v>
      </c>
      <c r="C20" s="700" t="s">
        <v>2152</v>
      </c>
      <c r="D20" s="700" t="s">
        <v>2153</v>
      </c>
      <c r="E20" s="701">
        <v>1665.39</v>
      </c>
      <c r="F20" s="701">
        <v>685.16489200000001</v>
      </c>
      <c r="G20" s="701">
        <v>0</v>
      </c>
      <c r="H20" s="701"/>
      <c r="I20" s="701">
        <v>14196.461947259999</v>
      </c>
      <c r="J20" s="701">
        <v>15159</v>
      </c>
      <c r="K20" s="701">
        <v>15613.77</v>
      </c>
      <c r="L20" s="701">
        <v>16082.1831</v>
      </c>
      <c r="M20" s="701">
        <v>16564.648593000002</v>
      </c>
      <c r="N20" s="701">
        <v>17061.588050790004</v>
      </c>
      <c r="O20" s="701">
        <v>17573.435692313706</v>
      </c>
      <c r="P20" s="701">
        <v>18100.638763083116</v>
      </c>
      <c r="Q20" s="701">
        <v>18643.657925975611</v>
      </c>
      <c r="R20" s="701">
        <v>19202.96766375488</v>
      </c>
      <c r="S20" s="701">
        <v>19779.056693667528</v>
      </c>
      <c r="T20" s="881">
        <f t="shared" si="0"/>
        <v>190327.96332184484</v>
      </c>
    </row>
    <row r="21" spans="1:20" ht="25.5" x14ac:dyDescent="0.3">
      <c r="A21" s="698" t="s">
        <v>2045</v>
      </c>
      <c r="B21" s="699" t="s">
        <v>2154</v>
      </c>
      <c r="C21" s="705" t="s">
        <v>2155</v>
      </c>
      <c r="D21" s="705" t="s">
        <v>2156</v>
      </c>
      <c r="E21" s="706">
        <v>0</v>
      </c>
      <c r="F21" s="706">
        <v>0</v>
      </c>
      <c r="G21" s="706">
        <v>2996.8530000000001</v>
      </c>
      <c r="H21" s="706">
        <v>5155</v>
      </c>
      <c r="I21" s="706">
        <v>0</v>
      </c>
      <c r="J21" s="706">
        <v>0</v>
      </c>
      <c r="K21" s="706">
        <v>0</v>
      </c>
      <c r="L21" s="706">
        <v>0</v>
      </c>
      <c r="M21" s="706">
        <v>0</v>
      </c>
      <c r="N21" s="706">
        <v>0</v>
      </c>
      <c r="O21" s="706">
        <v>0</v>
      </c>
      <c r="P21" s="706">
        <v>0</v>
      </c>
      <c r="Q21" s="706">
        <v>0</v>
      </c>
      <c r="R21" s="706">
        <v>0</v>
      </c>
      <c r="S21" s="706">
        <v>0</v>
      </c>
      <c r="T21" s="881">
        <f t="shared" si="0"/>
        <v>8151.8530000000001</v>
      </c>
    </row>
    <row r="22" spans="1:20" ht="25.5" hidden="1" x14ac:dyDescent="0.3">
      <c r="A22" s="698" t="s">
        <v>2045</v>
      </c>
      <c r="B22" s="699" t="s">
        <v>2157</v>
      </c>
      <c r="C22" s="705" t="s">
        <v>2158</v>
      </c>
      <c r="D22" s="705" t="s">
        <v>2159</v>
      </c>
      <c r="E22" s="706">
        <v>0</v>
      </c>
      <c r="F22" s="706">
        <v>0</v>
      </c>
      <c r="G22" s="706">
        <v>0</v>
      </c>
      <c r="H22" s="706">
        <v>0</v>
      </c>
      <c r="I22" s="706">
        <v>0</v>
      </c>
      <c r="J22" s="706">
        <v>0</v>
      </c>
      <c r="K22" s="706">
        <v>0</v>
      </c>
      <c r="L22" s="706">
        <v>0</v>
      </c>
      <c r="M22" s="706">
        <v>0</v>
      </c>
      <c r="N22" s="706">
        <v>0</v>
      </c>
      <c r="O22" s="706">
        <v>0</v>
      </c>
      <c r="P22" s="706">
        <v>0</v>
      </c>
      <c r="Q22" s="706">
        <v>0</v>
      </c>
      <c r="R22" s="706">
        <v>0</v>
      </c>
      <c r="S22" s="706">
        <v>0</v>
      </c>
      <c r="T22" s="881">
        <f t="shared" si="0"/>
        <v>0</v>
      </c>
    </row>
    <row r="23" spans="1:20" ht="66" x14ac:dyDescent="0.3">
      <c r="A23" s="698" t="s">
        <v>2037</v>
      </c>
      <c r="B23" s="699" t="s">
        <v>2038</v>
      </c>
      <c r="C23" s="703" t="s">
        <v>2160</v>
      </c>
      <c r="D23" s="676" t="s">
        <v>2161</v>
      </c>
      <c r="E23" s="704">
        <v>179168.315</v>
      </c>
      <c r="F23" s="704">
        <v>201004.020793</v>
      </c>
      <c r="G23" s="704">
        <v>249183.55831686998</v>
      </c>
      <c r="H23" s="704">
        <v>237263</v>
      </c>
      <c r="I23" s="704">
        <v>281871.25176350004</v>
      </c>
      <c r="J23" s="704">
        <v>260338</v>
      </c>
      <c r="K23" s="704">
        <v>268148.13999999996</v>
      </c>
      <c r="L23" s="704">
        <v>276192.58419999998</v>
      </c>
      <c r="M23" s="704">
        <v>284478.36172599997</v>
      </c>
      <c r="N23" s="704">
        <v>293012.71257778001</v>
      </c>
      <c r="O23" s="704">
        <v>301803.09395511338</v>
      </c>
      <c r="P23" s="704">
        <v>310857.18677376682</v>
      </c>
      <c r="Q23" s="704">
        <v>320182.90237697976</v>
      </c>
      <c r="R23" s="704">
        <v>329788.38944828924</v>
      </c>
      <c r="S23" s="704">
        <v>339682.04113173787</v>
      </c>
      <c r="T23" s="881">
        <f t="shared" si="0"/>
        <v>4132973.5580630368</v>
      </c>
    </row>
    <row r="24" spans="1:20" x14ac:dyDescent="0.3">
      <c r="A24" s="698" t="s">
        <v>2045</v>
      </c>
      <c r="B24" s="699" t="s">
        <v>2162</v>
      </c>
      <c r="C24" s="700" t="s">
        <v>2163</v>
      </c>
      <c r="D24" s="700" t="s">
        <v>2164</v>
      </c>
      <c r="E24" s="701">
        <v>140313.46900000001</v>
      </c>
      <c r="F24" s="701">
        <v>143070.6023</v>
      </c>
      <c r="G24" s="701">
        <v>173384.64885036997</v>
      </c>
      <c r="H24" s="701">
        <v>168314</v>
      </c>
      <c r="I24" s="701">
        <v>190698.73986530001</v>
      </c>
      <c r="J24" s="701">
        <v>190482</v>
      </c>
      <c r="K24" s="701">
        <v>196196.46</v>
      </c>
      <c r="L24" s="701">
        <v>202082.35379999998</v>
      </c>
      <c r="M24" s="701">
        <v>208144.82441399997</v>
      </c>
      <c r="N24" s="701">
        <v>214389.16914641997</v>
      </c>
      <c r="O24" s="701">
        <v>220820.84422081258</v>
      </c>
      <c r="P24" s="701">
        <v>227445.46954743695</v>
      </c>
      <c r="Q24" s="701">
        <v>234268.83363386008</v>
      </c>
      <c r="R24" s="701">
        <v>241296.89864287589</v>
      </c>
      <c r="S24" s="701">
        <v>248535.80560216217</v>
      </c>
      <c r="T24" s="881">
        <f t="shared" si="0"/>
        <v>2999444.1190232374</v>
      </c>
    </row>
    <row r="25" spans="1:20" x14ac:dyDescent="0.3">
      <c r="A25" s="698" t="s">
        <v>2045</v>
      </c>
      <c r="B25" s="699" t="s">
        <v>2162</v>
      </c>
      <c r="C25" s="700" t="s">
        <v>2165</v>
      </c>
      <c r="D25" s="700" t="s">
        <v>2166</v>
      </c>
      <c r="E25" s="701">
        <v>35718.294000000002</v>
      </c>
      <c r="F25" s="701">
        <v>35630.144436000002</v>
      </c>
      <c r="G25" s="701">
        <v>46742.963487440014</v>
      </c>
      <c r="H25" s="701">
        <v>43042</v>
      </c>
      <c r="I25" s="701">
        <v>60898.780523460002</v>
      </c>
      <c r="J25" s="701">
        <v>47036</v>
      </c>
      <c r="K25" s="701">
        <v>48447.08</v>
      </c>
      <c r="L25" s="701">
        <v>49900.492400000003</v>
      </c>
      <c r="M25" s="701">
        <v>51397.507172000005</v>
      </c>
      <c r="N25" s="701">
        <v>52939.432387160006</v>
      </c>
      <c r="O25" s="701">
        <v>54527.615358774805</v>
      </c>
      <c r="P25" s="701">
        <v>56163.44381953805</v>
      </c>
      <c r="Q25" s="701">
        <v>57848.347134124189</v>
      </c>
      <c r="R25" s="701">
        <v>59583.797548147915</v>
      </c>
      <c r="S25" s="701">
        <v>61371.311474592352</v>
      </c>
      <c r="T25" s="881">
        <f t="shared" si="0"/>
        <v>761247.20974123746</v>
      </c>
    </row>
    <row r="26" spans="1:20" hidden="1" x14ac:dyDescent="0.3">
      <c r="A26" s="698" t="s">
        <v>2045</v>
      </c>
      <c r="B26" s="699" t="s">
        <v>2162</v>
      </c>
      <c r="C26" s="700" t="s">
        <v>2167</v>
      </c>
      <c r="D26" s="700" t="s">
        <v>2168</v>
      </c>
      <c r="E26" s="701">
        <v>0</v>
      </c>
      <c r="F26" s="701">
        <v>0</v>
      </c>
      <c r="G26" s="701">
        <v>0</v>
      </c>
      <c r="H26" s="701"/>
      <c r="I26" s="701">
        <v>0</v>
      </c>
      <c r="J26" s="701"/>
      <c r="K26" s="701">
        <v>0</v>
      </c>
      <c r="L26" s="701">
        <v>0</v>
      </c>
      <c r="M26" s="701">
        <v>0</v>
      </c>
      <c r="N26" s="701">
        <v>0</v>
      </c>
      <c r="O26" s="701">
        <v>0</v>
      </c>
      <c r="P26" s="701">
        <v>0</v>
      </c>
      <c r="Q26" s="701">
        <v>0</v>
      </c>
      <c r="R26" s="701">
        <v>0</v>
      </c>
      <c r="S26" s="701">
        <v>0</v>
      </c>
      <c r="T26" s="881">
        <f t="shared" si="0"/>
        <v>0</v>
      </c>
    </row>
    <row r="27" spans="1:20" hidden="1" x14ac:dyDescent="0.3">
      <c r="A27" s="698" t="s">
        <v>2045</v>
      </c>
      <c r="B27" s="699" t="s">
        <v>2162</v>
      </c>
      <c r="C27" s="700" t="s">
        <v>2169</v>
      </c>
      <c r="D27" s="700" t="s">
        <v>2170</v>
      </c>
      <c r="E27" s="701">
        <v>0</v>
      </c>
      <c r="F27" s="701">
        <v>0</v>
      </c>
      <c r="G27" s="701">
        <v>0</v>
      </c>
      <c r="H27" s="701"/>
      <c r="I27" s="701">
        <v>0</v>
      </c>
      <c r="J27" s="701"/>
      <c r="K27" s="701">
        <v>0</v>
      </c>
      <c r="L27" s="701">
        <v>0</v>
      </c>
      <c r="M27" s="701">
        <v>0</v>
      </c>
      <c r="N27" s="701">
        <v>0</v>
      </c>
      <c r="O27" s="701">
        <v>0</v>
      </c>
      <c r="P27" s="701">
        <v>0</v>
      </c>
      <c r="Q27" s="701">
        <v>0</v>
      </c>
      <c r="R27" s="701">
        <v>0</v>
      </c>
      <c r="S27" s="701">
        <v>0</v>
      </c>
      <c r="T27" s="881">
        <f t="shared" si="0"/>
        <v>0</v>
      </c>
    </row>
    <row r="28" spans="1:20" x14ac:dyDescent="0.3">
      <c r="A28" s="698" t="s">
        <v>2045</v>
      </c>
      <c r="B28" s="699" t="s">
        <v>2162</v>
      </c>
      <c r="C28" s="700" t="s">
        <v>2171</v>
      </c>
      <c r="D28" s="700" t="s">
        <v>2172</v>
      </c>
      <c r="E28" s="701">
        <v>3136.5520000000001</v>
      </c>
      <c r="F28" s="701">
        <v>22303.274056999999</v>
      </c>
      <c r="G28" s="701">
        <v>29055.945979060001</v>
      </c>
      <c r="H28" s="701">
        <v>25907</v>
      </c>
      <c r="I28" s="701">
        <v>30273.731374739997</v>
      </c>
      <c r="J28" s="701">
        <v>22820</v>
      </c>
      <c r="K28" s="701">
        <v>23504.600000000002</v>
      </c>
      <c r="L28" s="701">
        <v>24209.738000000001</v>
      </c>
      <c r="M28" s="701">
        <v>24936.030140000003</v>
      </c>
      <c r="N28" s="701">
        <v>25684.111044200003</v>
      </c>
      <c r="O28" s="701">
        <v>26454.634375526002</v>
      </c>
      <c r="P28" s="701">
        <v>27248.273406791785</v>
      </c>
      <c r="Q28" s="701">
        <v>28065.72160899554</v>
      </c>
      <c r="R28" s="701">
        <v>28907.693257265408</v>
      </c>
      <c r="S28" s="701">
        <v>29774.92405498337</v>
      </c>
      <c r="T28" s="881">
        <f t="shared" si="0"/>
        <v>372282.2292985621</v>
      </c>
    </row>
    <row r="29" spans="1:20" ht="33" x14ac:dyDescent="0.3">
      <c r="A29" s="698" t="s">
        <v>2037</v>
      </c>
      <c r="B29" s="699" t="s">
        <v>2038</v>
      </c>
      <c r="C29" s="703" t="s">
        <v>2173</v>
      </c>
      <c r="D29" s="676" t="s">
        <v>2174</v>
      </c>
      <c r="E29" s="704">
        <v>3030.623</v>
      </c>
      <c r="F29" s="704">
        <v>2262.795235</v>
      </c>
      <c r="G29" s="704">
        <v>2055.1417932200002</v>
      </c>
      <c r="H29" s="704">
        <v>864</v>
      </c>
      <c r="I29" s="704">
        <v>2668.456799</v>
      </c>
      <c r="J29" s="704">
        <v>5044</v>
      </c>
      <c r="K29" s="704">
        <v>7914</v>
      </c>
      <c r="L29" s="704">
        <v>6766</v>
      </c>
      <c r="M29" s="704">
        <v>5769</v>
      </c>
      <c r="N29" s="704">
        <v>4793</v>
      </c>
      <c r="O29" s="704">
        <v>3818</v>
      </c>
      <c r="P29" s="704">
        <v>2842</v>
      </c>
      <c r="Q29" s="704">
        <v>1909</v>
      </c>
      <c r="R29" s="704">
        <v>1122</v>
      </c>
      <c r="S29" s="704">
        <v>677</v>
      </c>
      <c r="T29" s="881">
        <f t="shared" si="0"/>
        <v>51535.016827219995</v>
      </c>
    </row>
    <row r="30" spans="1:20" x14ac:dyDescent="0.3">
      <c r="A30" s="698" t="s">
        <v>2045</v>
      </c>
      <c r="B30" s="699" t="s">
        <v>2157</v>
      </c>
      <c r="C30" s="700" t="s">
        <v>2175</v>
      </c>
      <c r="D30" s="700" t="s">
        <v>2176</v>
      </c>
      <c r="E30" s="701">
        <v>3030.623</v>
      </c>
      <c r="F30" s="701">
        <v>2262.795235</v>
      </c>
      <c r="G30" s="701">
        <v>2055.1417932200002</v>
      </c>
      <c r="H30" s="701">
        <v>864</v>
      </c>
      <c r="I30" s="701">
        <v>2668.456799</v>
      </c>
      <c r="J30" s="701">
        <v>5044</v>
      </c>
      <c r="K30" s="701">
        <v>7914</v>
      </c>
      <c r="L30" s="701">
        <v>6766</v>
      </c>
      <c r="M30" s="701">
        <v>5769</v>
      </c>
      <c r="N30" s="701">
        <v>4793</v>
      </c>
      <c r="O30" s="701">
        <v>3818</v>
      </c>
      <c r="P30" s="701">
        <v>2842</v>
      </c>
      <c r="Q30" s="701">
        <v>1909</v>
      </c>
      <c r="R30" s="701">
        <v>1122</v>
      </c>
      <c r="S30" s="701">
        <v>677</v>
      </c>
      <c r="T30" s="881">
        <f t="shared" si="0"/>
        <v>51535.016827219995</v>
      </c>
    </row>
    <row r="31" spans="1:20" hidden="1" x14ac:dyDescent="0.3">
      <c r="A31" s="698" t="s">
        <v>2045</v>
      </c>
      <c r="B31" s="699" t="s">
        <v>2157</v>
      </c>
      <c r="C31" s="700" t="s">
        <v>2177</v>
      </c>
      <c r="D31" s="700" t="s">
        <v>2178</v>
      </c>
      <c r="E31" s="701">
        <v>0</v>
      </c>
      <c r="F31" s="701">
        <v>0</v>
      </c>
      <c r="G31" s="701">
        <v>0</v>
      </c>
      <c r="H31" s="701"/>
      <c r="I31" s="701">
        <v>0</v>
      </c>
      <c r="J31" s="701">
        <v>0</v>
      </c>
      <c r="K31" s="701">
        <v>0</v>
      </c>
      <c r="L31" s="701">
        <v>0</v>
      </c>
      <c r="M31" s="701">
        <v>0</v>
      </c>
      <c r="N31" s="701">
        <v>0</v>
      </c>
      <c r="O31" s="701">
        <v>0</v>
      </c>
      <c r="P31" s="701">
        <v>0</v>
      </c>
      <c r="Q31" s="701">
        <v>0</v>
      </c>
      <c r="R31" s="701">
        <v>0</v>
      </c>
      <c r="S31" s="701">
        <v>0</v>
      </c>
      <c r="T31" s="881">
        <f t="shared" si="0"/>
        <v>0</v>
      </c>
    </row>
    <row r="32" spans="1:20" s="725" customFormat="1" x14ac:dyDescent="0.3">
      <c r="A32" s="731" t="s">
        <v>2037</v>
      </c>
      <c r="B32" s="732" t="s">
        <v>2038</v>
      </c>
      <c r="C32" s="663" t="s">
        <v>2205</v>
      </c>
      <c r="D32" s="663" t="s">
        <v>2206</v>
      </c>
      <c r="E32" s="666">
        <v>41980.294000000002</v>
      </c>
      <c r="F32" s="666">
        <v>36187.638661999998</v>
      </c>
      <c r="G32" s="666">
        <v>19584.230575699999</v>
      </c>
      <c r="H32" s="666">
        <v>4066</v>
      </c>
      <c r="I32" s="666">
        <v>15986.154634140001</v>
      </c>
      <c r="J32" s="666">
        <v>7154</v>
      </c>
      <c r="K32" s="666">
        <v>6276.76</v>
      </c>
      <c r="L32" s="666">
        <v>8777.372800000001</v>
      </c>
      <c r="M32" s="666">
        <v>10497.026527259623</v>
      </c>
      <c r="N32" s="666">
        <v>12107.743503520001</v>
      </c>
      <c r="O32" s="666">
        <v>13736.805808625602</v>
      </c>
      <c r="P32" s="666">
        <v>15598.32998288437</v>
      </c>
      <c r="Q32" s="666">
        <v>17953.479882370899</v>
      </c>
      <c r="R32" s="666">
        <v>21168.424278842027</v>
      </c>
      <c r="S32" s="666">
        <v>22349.33700720729</v>
      </c>
      <c r="T32" s="881">
        <f t="shared" si="0"/>
        <v>253423.59766254982</v>
      </c>
    </row>
    <row r="33" spans="1:20" ht="49.5" x14ac:dyDescent="0.3">
      <c r="A33" s="698" t="s">
        <v>2037</v>
      </c>
      <c r="B33" s="699" t="s">
        <v>2038</v>
      </c>
      <c r="C33" s="703" t="s">
        <v>2207</v>
      </c>
      <c r="D33" s="676" t="s">
        <v>2208</v>
      </c>
      <c r="E33" s="704">
        <v>33697.959000000003</v>
      </c>
      <c r="F33" s="704">
        <v>24017.043226999998</v>
      </c>
      <c r="G33" s="704">
        <v>19584.230575699999</v>
      </c>
      <c r="H33" s="704">
        <v>4066</v>
      </c>
      <c r="I33" s="704">
        <v>15986.154634140001</v>
      </c>
      <c r="J33" s="704">
        <v>7154</v>
      </c>
      <c r="K33" s="704">
        <v>6276.76</v>
      </c>
      <c r="L33" s="704">
        <v>8777.372800000001</v>
      </c>
      <c r="M33" s="704">
        <v>10497.026527259623</v>
      </c>
      <c r="N33" s="704">
        <v>12107.743503520001</v>
      </c>
      <c r="O33" s="704">
        <v>13736.805808625602</v>
      </c>
      <c r="P33" s="704">
        <v>15598.32998288437</v>
      </c>
      <c r="Q33" s="704">
        <v>17953.479882370899</v>
      </c>
      <c r="R33" s="704">
        <v>21168.424278842027</v>
      </c>
      <c r="S33" s="704">
        <v>22349.33700720729</v>
      </c>
      <c r="T33" s="881">
        <f t="shared" si="0"/>
        <v>232970.66722754983</v>
      </c>
    </row>
    <row r="34" spans="1:20" x14ac:dyDescent="0.3">
      <c r="A34" s="698" t="s">
        <v>2045</v>
      </c>
      <c r="B34" s="699" t="s">
        <v>2162</v>
      </c>
      <c r="C34" s="700" t="s">
        <v>2209</v>
      </c>
      <c r="D34" s="700" t="s">
        <v>2210</v>
      </c>
      <c r="E34" s="701">
        <v>4821.2089999999998</v>
      </c>
      <c r="F34" s="701">
        <v>7310.555746</v>
      </c>
      <c r="G34" s="701">
        <v>3373.3044188200001</v>
      </c>
      <c r="H34" s="701"/>
      <c r="I34" s="701">
        <v>2083.25722</v>
      </c>
      <c r="J34" s="701">
        <v>1500</v>
      </c>
      <c r="K34" s="701">
        <v>1545</v>
      </c>
      <c r="L34" s="701">
        <v>1591.3500000000001</v>
      </c>
      <c r="M34" s="701">
        <v>1639.0905000000002</v>
      </c>
      <c r="N34" s="701">
        <v>1688.2632150000004</v>
      </c>
      <c r="O34" s="701">
        <v>1738.9111114500004</v>
      </c>
      <c r="P34" s="701">
        <v>1791.0784447935005</v>
      </c>
      <c r="Q34" s="701">
        <v>1844.8107981373055</v>
      </c>
      <c r="R34" s="701">
        <v>1900.1551220814247</v>
      </c>
      <c r="S34" s="701">
        <v>1957.1597757438674</v>
      </c>
      <c r="T34" s="881">
        <f t="shared" si="0"/>
        <v>34784.145352026091</v>
      </c>
    </row>
    <row r="35" spans="1:20" x14ac:dyDescent="0.3">
      <c r="A35" s="698" t="s">
        <v>2045</v>
      </c>
      <c r="B35" s="699" t="s">
        <v>2162</v>
      </c>
      <c r="C35" s="700" t="s">
        <v>2211</v>
      </c>
      <c r="D35" s="700" t="s">
        <v>2212</v>
      </c>
      <c r="E35" s="701">
        <v>0</v>
      </c>
      <c r="F35" s="701">
        <v>1043.3134170000001</v>
      </c>
      <c r="G35" s="701">
        <v>0</v>
      </c>
      <c r="H35" s="701"/>
      <c r="I35" s="701">
        <v>96.746978999999996</v>
      </c>
      <c r="J35" s="701">
        <v>0</v>
      </c>
      <c r="K35" s="701">
        <v>0</v>
      </c>
      <c r="L35" s="701">
        <v>0</v>
      </c>
      <c r="M35" s="701">
        <v>0</v>
      </c>
      <c r="N35" s="701">
        <v>0</v>
      </c>
      <c r="O35" s="701">
        <v>0</v>
      </c>
      <c r="P35" s="701">
        <v>0</v>
      </c>
      <c r="Q35" s="701">
        <v>0</v>
      </c>
      <c r="R35" s="701">
        <v>0</v>
      </c>
      <c r="S35" s="701">
        <v>0</v>
      </c>
      <c r="T35" s="881">
        <f t="shared" si="0"/>
        <v>1140.0603960000001</v>
      </c>
    </row>
    <row r="36" spans="1:20" x14ac:dyDescent="0.3">
      <c r="A36" s="698" t="s">
        <v>2045</v>
      </c>
      <c r="B36" s="699" t="s">
        <v>2162</v>
      </c>
      <c r="C36" s="700" t="s">
        <v>2213</v>
      </c>
      <c r="D36" s="700" t="s">
        <v>2214</v>
      </c>
      <c r="E36" s="701">
        <v>3000.732</v>
      </c>
      <c r="F36" s="701">
        <v>3350.4114500000001</v>
      </c>
      <c r="G36" s="701">
        <v>5485.4115061599996</v>
      </c>
      <c r="H36" s="701">
        <v>2767</v>
      </c>
      <c r="I36" s="701">
        <v>3121.1596416800003</v>
      </c>
      <c r="J36" s="701">
        <v>3892</v>
      </c>
      <c r="K36" s="701">
        <v>4008.76</v>
      </c>
      <c r="L36" s="701">
        <v>4129.0228000000006</v>
      </c>
      <c r="M36" s="701">
        <v>4252.8934840000011</v>
      </c>
      <c r="N36" s="701">
        <v>4380.4802885200015</v>
      </c>
      <c r="O36" s="701">
        <v>4511.8946971756013</v>
      </c>
      <c r="P36" s="701">
        <v>4647.2515380908699</v>
      </c>
      <c r="Q36" s="701">
        <v>4786.6690842335956</v>
      </c>
      <c r="R36" s="701">
        <v>4930.2691567606034</v>
      </c>
      <c r="S36" s="701">
        <v>5078.1772314634218</v>
      </c>
      <c r="T36" s="881">
        <f t="shared" si="0"/>
        <v>62342.1328780841</v>
      </c>
    </row>
    <row r="37" spans="1:20" x14ac:dyDescent="0.3">
      <c r="A37" s="698" t="s">
        <v>2045</v>
      </c>
      <c r="B37" s="699" t="s">
        <v>2162</v>
      </c>
      <c r="C37" s="700" t="s">
        <v>2215</v>
      </c>
      <c r="D37" s="700" t="s">
        <v>2216</v>
      </c>
      <c r="E37" s="701">
        <v>0</v>
      </c>
      <c r="F37" s="701">
        <v>0</v>
      </c>
      <c r="G37" s="701">
        <v>1557.2417088</v>
      </c>
      <c r="H37" s="701"/>
      <c r="I37" s="701">
        <v>0</v>
      </c>
      <c r="J37" s="701">
        <v>380</v>
      </c>
      <c r="K37" s="701">
        <v>0</v>
      </c>
      <c r="L37" s="701">
        <v>0</v>
      </c>
      <c r="M37" s="701">
        <v>0</v>
      </c>
      <c r="N37" s="701">
        <v>0</v>
      </c>
      <c r="O37" s="701">
        <v>0</v>
      </c>
      <c r="P37" s="701">
        <v>0</v>
      </c>
      <c r="Q37" s="701">
        <v>0</v>
      </c>
      <c r="R37" s="701">
        <v>0</v>
      </c>
      <c r="S37" s="701">
        <v>0</v>
      </c>
      <c r="T37" s="881">
        <f t="shared" si="0"/>
        <v>1937.2417088</v>
      </c>
    </row>
    <row r="38" spans="1:20" x14ac:dyDescent="0.3">
      <c r="A38" s="698" t="s">
        <v>2045</v>
      </c>
      <c r="B38" s="699" t="s">
        <v>2162</v>
      </c>
      <c r="C38" s="700" t="s">
        <v>2217</v>
      </c>
      <c r="D38" s="700" t="s">
        <v>2218</v>
      </c>
      <c r="E38" s="701">
        <v>964.99199999999996</v>
      </c>
      <c r="F38" s="701">
        <v>4454.9703060000002</v>
      </c>
      <c r="G38" s="701">
        <v>4870.2179725599999</v>
      </c>
      <c r="H38" s="701">
        <v>1299</v>
      </c>
      <c r="I38" s="701">
        <v>4783.6890039999998</v>
      </c>
      <c r="J38" s="701">
        <v>1382</v>
      </c>
      <c r="K38" s="701">
        <v>0</v>
      </c>
      <c r="L38" s="701">
        <v>0</v>
      </c>
      <c r="M38" s="701">
        <v>0</v>
      </c>
      <c r="N38" s="701">
        <v>0</v>
      </c>
      <c r="O38" s="701">
        <v>0</v>
      </c>
      <c r="P38" s="701">
        <v>0</v>
      </c>
      <c r="Q38" s="701">
        <v>0</v>
      </c>
      <c r="R38" s="701">
        <v>0</v>
      </c>
      <c r="S38" s="701">
        <v>0</v>
      </c>
      <c r="T38" s="881">
        <f t="shared" si="0"/>
        <v>17754.869282560001</v>
      </c>
    </row>
    <row r="39" spans="1:20" x14ac:dyDescent="0.3">
      <c r="A39" s="698" t="s">
        <v>2045</v>
      </c>
      <c r="B39" s="699" t="s">
        <v>2162</v>
      </c>
      <c r="C39" s="700" t="s">
        <v>2219</v>
      </c>
      <c r="D39" s="700" t="s">
        <v>2220</v>
      </c>
      <c r="E39" s="701">
        <v>24911.026000000002</v>
      </c>
      <c r="F39" s="701">
        <v>7857.792308</v>
      </c>
      <c r="G39" s="701">
        <v>4298.0549693600005</v>
      </c>
      <c r="H39" s="701"/>
      <c r="I39" s="701">
        <v>5901.3017894599998</v>
      </c>
      <c r="J39" s="701">
        <v>0</v>
      </c>
      <c r="K39" s="701">
        <v>723</v>
      </c>
      <c r="L39" s="701">
        <v>3057</v>
      </c>
      <c r="M39" s="701">
        <v>4605.0425432596203</v>
      </c>
      <c r="N39" s="701">
        <v>6039</v>
      </c>
      <c r="O39" s="701">
        <v>7486</v>
      </c>
      <c r="P39" s="701">
        <v>9160</v>
      </c>
      <c r="Q39" s="701">
        <v>11322</v>
      </c>
      <c r="R39" s="701">
        <v>14338</v>
      </c>
      <c r="S39" s="701">
        <v>15314</v>
      </c>
      <c r="T39" s="881">
        <f t="shared" si="0"/>
        <v>115012.21761007962</v>
      </c>
    </row>
    <row r="40" spans="1:20" ht="25.5" x14ac:dyDescent="0.3">
      <c r="A40" s="698" t="s">
        <v>2045</v>
      </c>
      <c r="B40" s="699" t="s">
        <v>2162</v>
      </c>
      <c r="C40" s="705" t="s">
        <v>2221</v>
      </c>
      <c r="D40" s="705" t="s">
        <v>2222</v>
      </c>
      <c r="E40" s="706">
        <v>8282.3349999999991</v>
      </c>
      <c r="F40" s="706">
        <v>12170.595434999999</v>
      </c>
      <c r="G40" s="706">
        <v>0</v>
      </c>
      <c r="H40" s="706"/>
      <c r="I40" s="706">
        <v>0</v>
      </c>
      <c r="J40" s="706">
        <v>0</v>
      </c>
      <c r="K40" s="706">
        <v>0</v>
      </c>
      <c r="L40" s="706">
        <v>0</v>
      </c>
      <c r="M40" s="706">
        <v>0</v>
      </c>
      <c r="N40" s="706">
        <v>0</v>
      </c>
      <c r="O40" s="706">
        <v>0</v>
      </c>
      <c r="P40" s="706">
        <v>0</v>
      </c>
      <c r="Q40" s="706">
        <v>0</v>
      </c>
      <c r="R40" s="706">
        <v>0</v>
      </c>
      <c r="S40" s="706">
        <v>0</v>
      </c>
      <c r="T40" s="881">
        <f t="shared" si="0"/>
        <v>20452.930434999998</v>
      </c>
    </row>
    <row r="41" spans="1:20" x14ac:dyDescent="0.3">
      <c r="A41" s="698" t="s">
        <v>2037</v>
      </c>
      <c r="B41" s="699" t="s">
        <v>2038</v>
      </c>
      <c r="C41" s="703" t="s">
        <v>2229</v>
      </c>
      <c r="D41" s="676" t="s">
        <v>2230</v>
      </c>
      <c r="E41" s="704">
        <v>-4037.5070000000001</v>
      </c>
      <c r="F41" s="704">
        <v>-1993.4183949999997</v>
      </c>
      <c r="G41" s="704">
        <v>-468.91578095000114</v>
      </c>
      <c r="H41" s="704">
        <v>-5781</v>
      </c>
      <c r="I41" s="704">
        <v>-7302.032013</v>
      </c>
      <c r="J41" s="704">
        <v>-7140</v>
      </c>
      <c r="K41" s="704">
        <v>-5740</v>
      </c>
      <c r="L41" s="704">
        <v>-4985</v>
      </c>
      <c r="M41" s="704">
        <v>-4879</v>
      </c>
      <c r="N41" s="704">
        <v>-4878</v>
      </c>
      <c r="O41" s="704">
        <v>-4878</v>
      </c>
      <c r="P41" s="704">
        <v>-4665</v>
      </c>
      <c r="Q41" s="704">
        <v>-3936</v>
      </c>
      <c r="R41" s="704">
        <v>-2222</v>
      </c>
      <c r="S41" s="704">
        <v>-2222</v>
      </c>
      <c r="T41" s="881">
        <f t="shared" si="0"/>
        <v>-65127.873188950005</v>
      </c>
    </row>
    <row r="42" spans="1:20" x14ac:dyDescent="0.3">
      <c r="A42" s="698" t="s">
        <v>2037</v>
      </c>
      <c r="B42" s="699" t="s">
        <v>2038</v>
      </c>
      <c r="C42" s="703" t="s">
        <v>2231</v>
      </c>
      <c r="D42" s="676" t="s">
        <v>2232</v>
      </c>
      <c r="E42" s="704">
        <v>-4037.5070000000001</v>
      </c>
      <c r="F42" s="704">
        <v>-1993.4183949999997</v>
      </c>
      <c r="G42" s="704">
        <v>-468.91578095000114</v>
      </c>
      <c r="H42" s="704">
        <v>-5781</v>
      </c>
      <c r="I42" s="704">
        <v>-7302.032013</v>
      </c>
      <c r="J42" s="704">
        <v>-7140</v>
      </c>
      <c r="K42" s="704">
        <v>-5740</v>
      </c>
      <c r="L42" s="704">
        <v>-4985</v>
      </c>
      <c r="M42" s="704">
        <v>-4879</v>
      </c>
      <c r="N42" s="704">
        <v>-4878</v>
      </c>
      <c r="O42" s="704">
        <v>-4878</v>
      </c>
      <c r="P42" s="704">
        <v>-4665</v>
      </c>
      <c r="Q42" s="704">
        <v>-3936</v>
      </c>
      <c r="R42" s="704">
        <v>-2222</v>
      </c>
      <c r="S42" s="704">
        <v>-2222</v>
      </c>
      <c r="T42" s="881">
        <f t="shared" si="0"/>
        <v>-65127.873188950005</v>
      </c>
    </row>
    <row r="43" spans="1:20" x14ac:dyDescent="0.3">
      <c r="A43" s="698" t="s">
        <v>2045</v>
      </c>
      <c r="B43" s="699" t="s">
        <v>946</v>
      </c>
      <c r="C43" s="700" t="s">
        <v>2233</v>
      </c>
      <c r="D43" s="700" t="s">
        <v>2234</v>
      </c>
      <c r="E43" s="701">
        <v>0</v>
      </c>
      <c r="F43" s="701">
        <v>3600</v>
      </c>
      <c r="G43" s="701">
        <v>9953.6580334999999</v>
      </c>
      <c r="H43" s="701">
        <v>0</v>
      </c>
      <c r="I43" s="701">
        <v>0</v>
      </c>
      <c r="J43" s="701">
        <v>0</v>
      </c>
      <c r="K43" s="701">
        <v>0</v>
      </c>
      <c r="L43" s="701">
        <v>0</v>
      </c>
      <c r="M43" s="701">
        <v>0</v>
      </c>
      <c r="N43" s="701">
        <v>0</v>
      </c>
      <c r="O43" s="701">
        <v>0</v>
      </c>
      <c r="P43" s="701">
        <v>0</v>
      </c>
      <c r="Q43" s="701">
        <v>0</v>
      </c>
      <c r="R43" s="701">
        <v>0</v>
      </c>
      <c r="S43" s="701">
        <v>0</v>
      </c>
      <c r="T43" s="881">
        <f t="shared" si="0"/>
        <v>13553.6580335</v>
      </c>
    </row>
    <row r="44" spans="1:20" x14ac:dyDescent="0.3">
      <c r="A44" s="698" t="s">
        <v>2045</v>
      </c>
      <c r="B44" s="699" t="s">
        <v>2157</v>
      </c>
      <c r="C44" s="700" t="s">
        <v>2235</v>
      </c>
      <c r="D44" s="700" t="s">
        <v>2236</v>
      </c>
      <c r="E44" s="701">
        <v>4037.5070000000001</v>
      </c>
      <c r="F44" s="701">
        <v>5593.4183949999997</v>
      </c>
      <c r="G44" s="701">
        <v>10422.573814450001</v>
      </c>
      <c r="H44" s="701">
        <v>5781</v>
      </c>
      <c r="I44" s="701">
        <v>7302.032013</v>
      </c>
      <c r="J44" s="701">
        <v>7140</v>
      </c>
      <c r="K44" s="701">
        <v>5740</v>
      </c>
      <c r="L44" s="701">
        <v>4985</v>
      </c>
      <c r="M44" s="701">
        <v>4879</v>
      </c>
      <c r="N44" s="701">
        <v>4878</v>
      </c>
      <c r="O44" s="701">
        <v>4878</v>
      </c>
      <c r="P44" s="701">
        <v>4665</v>
      </c>
      <c r="Q44" s="701">
        <v>3936</v>
      </c>
      <c r="R44" s="701">
        <v>2222</v>
      </c>
      <c r="S44" s="701">
        <v>2222</v>
      </c>
      <c r="T44" s="881">
        <f t="shared" si="0"/>
        <v>78681.531222449994</v>
      </c>
    </row>
    <row r="45" spans="1:20" hidden="1" x14ac:dyDescent="0.3">
      <c r="A45" s="698" t="s">
        <v>2037</v>
      </c>
      <c r="B45" s="699" t="s">
        <v>2038</v>
      </c>
      <c r="C45" s="703" t="s">
        <v>2237</v>
      </c>
      <c r="D45" s="676" t="s">
        <v>2238</v>
      </c>
      <c r="E45" s="704">
        <v>0</v>
      </c>
      <c r="F45" s="704">
        <v>0</v>
      </c>
      <c r="G45" s="704">
        <v>0</v>
      </c>
      <c r="H45" s="704">
        <v>0</v>
      </c>
      <c r="I45" s="704">
        <v>0</v>
      </c>
      <c r="J45" s="704">
        <v>0</v>
      </c>
      <c r="K45" s="704">
        <v>0</v>
      </c>
      <c r="L45" s="704">
        <v>0</v>
      </c>
      <c r="M45" s="704">
        <v>0</v>
      </c>
      <c r="N45" s="704">
        <v>0</v>
      </c>
      <c r="O45" s="704">
        <v>0</v>
      </c>
      <c r="P45" s="704">
        <v>0</v>
      </c>
      <c r="Q45" s="704">
        <v>0</v>
      </c>
      <c r="R45" s="704">
        <v>0</v>
      </c>
      <c r="S45" s="704">
        <v>0</v>
      </c>
      <c r="T45" s="881">
        <f t="shared" si="0"/>
        <v>0</v>
      </c>
    </row>
    <row r="46" spans="1:20" hidden="1" x14ac:dyDescent="0.3">
      <c r="A46" s="698" t="s">
        <v>2045</v>
      </c>
      <c r="B46" s="699" t="s">
        <v>946</v>
      </c>
      <c r="C46" s="700" t="s">
        <v>2239</v>
      </c>
      <c r="D46" s="700" t="s">
        <v>2234</v>
      </c>
      <c r="E46" s="701">
        <v>0</v>
      </c>
      <c r="F46" s="701">
        <v>0</v>
      </c>
      <c r="G46" s="701">
        <v>0</v>
      </c>
      <c r="H46" s="701">
        <v>0</v>
      </c>
      <c r="I46" s="701">
        <v>0</v>
      </c>
      <c r="J46" s="701">
        <v>0</v>
      </c>
      <c r="K46" s="701">
        <v>0</v>
      </c>
      <c r="L46" s="701">
        <v>0</v>
      </c>
      <c r="M46" s="701">
        <v>0</v>
      </c>
      <c r="N46" s="701">
        <v>0</v>
      </c>
      <c r="O46" s="701">
        <v>0</v>
      </c>
      <c r="P46" s="701">
        <v>0</v>
      </c>
      <c r="Q46" s="701">
        <v>0</v>
      </c>
      <c r="R46" s="701">
        <v>0</v>
      </c>
      <c r="S46" s="701">
        <v>0</v>
      </c>
      <c r="T46" s="881">
        <f t="shared" si="0"/>
        <v>0</v>
      </c>
    </row>
    <row r="47" spans="1:20" hidden="1" x14ac:dyDescent="0.3">
      <c r="A47" s="698" t="s">
        <v>2045</v>
      </c>
      <c r="B47" s="699" t="s">
        <v>2157</v>
      </c>
      <c r="C47" s="700" t="s">
        <v>2240</v>
      </c>
      <c r="D47" s="700" t="s">
        <v>2236</v>
      </c>
      <c r="E47" s="701">
        <v>0</v>
      </c>
      <c r="F47" s="701">
        <v>0</v>
      </c>
      <c r="G47" s="701">
        <v>0</v>
      </c>
      <c r="H47" s="701">
        <v>0</v>
      </c>
      <c r="I47" s="701">
        <v>0</v>
      </c>
      <c r="J47" s="701">
        <v>0</v>
      </c>
      <c r="K47" s="701">
        <v>0</v>
      </c>
      <c r="L47" s="701">
        <v>0</v>
      </c>
      <c r="M47" s="701">
        <v>0</v>
      </c>
      <c r="N47" s="701">
        <v>0</v>
      </c>
      <c r="O47" s="701">
        <v>0</v>
      </c>
      <c r="P47" s="701">
        <v>0</v>
      </c>
      <c r="Q47" s="701">
        <v>0</v>
      </c>
      <c r="R47" s="701">
        <v>0</v>
      </c>
      <c r="S47" s="701">
        <v>0</v>
      </c>
      <c r="T47" s="881">
        <f t="shared" si="0"/>
        <v>0</v>
      </c>
    </row>
    <row r="48" spans="1:20" ht="25.5" x14ac:dyDescent="0.3">
      <c r="A48" s="698" t="s">
        <v>2045</v>
      </c>
      <c r="B48" s="699" t="s">
        <v>946</v>
      </c>
      <c r="C48" s="705" t="s">
        <v>2241</v>
      </c>
      <c r="D48" s="705" t="s">
        <v>2242</v>
      </c>
      <c r="E48" s="706">
        <v>44876.487000000001</v>
      </c>
      <c r="F48" s="706">
        <v>44045.961669999997</v>
      </c>
      <c r="G48" s="706">
        <v>42775.174270419971</v>
      </c>
      <c r="H48" s="706">
        <v>39942</v>
      </c>
      <c r="I48" s="706">
        <v>40285.835765429998</v>
      </c>
      <c r="J48" s="706">
        <v>0</v>
      </c>
      <c r="K48" s="706">
        <v>0</v>
      </c>
      <c r="L48" s="706">
        <v>0</v>
      </c>
      <c r="M48" s="706">
        <v>0</v>
      </c>
      <c r="N48" s="706">
        <v>0</v>
      </c>
      <c r="O48" s="706">
        <v>0</v>
      </c>
      <c r="P48" s="706">
        <v>0</v>
      </c>
      <c r="Q48" s="706">
        <v>0</v>
      </c>
      <c r="R48" s="706">
        <v>0</v>
      </c>
      <c r="S48" s="706">
        <v>0</v>
      </c>
      <c r="T48" s="881">
        <f t="shared" si="0"/>
        <v>211925.45870584997</v>
      </c>
    </row>
    <row r="49" spans="1:20" hidden="1" x14ac:dyDescent="0.3">
      <c r="A49" s="698" t="s">
        <v>2045</v>
      </c>
      <c r="B49" s="699" t="s">
        <v>946</v>
      </c>
      <c r="C49" s="705" t="s">
        <v>2243</v>
      </c>
      <c r="D49" s="705" t="s">
        <v>2244</v>
      </c>
      <c r="E49" s="706">
        <v>0</v>
      </c>
      <c r="F49" s="706">
        <v>0</v>
      </c>
      <c r="G49" s="706">
        <v>0</v>
      </c>
      <c r="H49" s="706">
        <v>0</v>
      </c>
      <c r="I49" s="706">
        <v>0</v>
      </c>
      <c r="J49" s="706">
        <v>0</v>
      </c>
      <c r="K49" s="706">
        <v>0</v>
      </c>
      <c r="L49" s="706">
        <v>0</v>
      </c>
      <c r="M49" s="706">
        <v>0</v>
      </c>
      <c r="N49" s="706">
        <v>0</v>
      </c>
      <c r="O49" s="706">
        <v>0</v>
      </c>
      <c r="P49" s="706">
        <v>0</v>
      </c>
      <c r="Q49" s="706">
        <v>0</v>
      </c>
      <c r="R49" s="706">
        <v>0</v>
      </c>
      <c r="S49" s="706">
        <v>0</v>
      </c>
      <c r="T49" s="881">
        <f t="shared" si="0"/>
        <v>0</v>
      </c>
    </row>
    <row r="50" spans="1:20" hidden="1" x14ac:dyDescent="0.3">
      <c r="A50" s="698" t="s">
        <v>2045</v>
      </c>
      <c r="B50" s="699" t="s">
        <v>946</v>
      </c>
      <c r="C50" s="705" t="s">
        <v>2245</v>
      </c>
      <c r="D50" s="705" t="s">
        <v>2246</v>
      </c>
      <c r="E50" s="706">
        <v>0</v>
      </c>
      <c r="F50" s="706">
        <v>0</v>
      </c>
      <c r="G50" s="706">
        <v>0</v>
      </c>
      <c r="H50" s="706">
        <v>0</v>
      </c>
      <c r="I50" s="706">
        <v>0</v>
      </c>
      <c r="J50" s="706">
        <v>0</v>
      </c>
      <c r="K50" s="706">
        <v>0</v>
      </c>
      <c r="L50" s="706">
        <v>0</v>
      </c>
      <c r="M50" s="706">
        <v>0</v>
      </c>
      <c r="N50" s="706">
        <v>0</v>
      </c>
      <c r="O50" s="706">
        <v>0</v>
      </c>
      <c r="P50" s="706">
        <v>0</v>
      </c>
      <c r="Q50" s="706">
        <v>0</v>
      </c>
      <c r="R50" s="706">
        <v>0</v>
      </c>
      <c r="S50" s="706">
        <v>0</v>
      </c>
      <c r="T50" s="881">
        <f t="shared" si="0"/>
        <v>0</v>
      </c>
    </row>
    <row r="51" spans="1:20" s="725" customFormat="1" ht="33" hidden="1" x14ac:dyDescent="0.3">
      <c r="A51" s="731" t="s">
        <v>2037</v>
      </c>
      <c r="B51" s="731" t="s">
        <v>2038</v>
      </c>
      <c r="C51" s="663" t="s">
        <v>2263</v>
      </c>
      <c r="D51" s="663" t="s">
        <v>2264</v>
      </c>
      <c r="E51" s="666"/>
      <c r="F51" s="666"/>
      <c r="G51" s="666"/>
      <c r="H51" s="666"/>
      <c r="I51" s="666"/>
      <c r="J51" s="666"/>
      <c r="K51" s="666"/>
      <c r="L51" s="666"/>
      <c r="M51" s="666"/>
      <c r="N51" s="666"/>
      <c r="O51" s="666"/>
      <c r="P51" s="666"/>
      <c r="Q51" s="666"/>
      <c r="R51" s="666"/>
      <c r="S51" s="666"/>
      <c r="T51" s="881">
        <f t="shared" si="0"/>
        <v>0</v>
      </c>
    </row>
    <row r="52" spans="1:20" ht="25.5" x14ac:dyDescent="0.3">
      <c r="A52" s="698" t="s">
        <v>2045</v>
      </c>
      <c r="B52" s="698" t="s">
        <v>2038</v>
      </c>
      <c r="C52" s="700" t="s">
        <v>2265</v>
      </c>
      <c r="D52" s="700" t="s">
        <v>2266</v>
      </c>
      <c r="E52" s="701">
        <v>3515.2440000000001</v>
      </c>
      <c r="F52" s="701">
        <v>888.63490000000002</v>
      </c>
      <c r="G52" s="701">
        <v>0</v>
      </c>
      <c r="H52" s="701">
        <v>0</v>
      </c>
      <c r="I52" s="701">
        <v>2785.9993128900005</v>
      </c>
      <c r="J52" s="701">
        <v>0</v>
      </c>
      <c r="K52" s="701">
        <v>0</v>
      </c>
      <c r="L52" s="701">
        <v>0</v>
      </c>
      <c r="M52" s="701">
        <v>0</v>
      </c>
      <c r="N52" s="701">
        <v>0</v>
      </c>
      <c r="O52" s="701">
        <v>0</v>
      </c>
      <c r="P52" s="701">
        <v>0</v>
      </c>
      <c r="Q52" s="701">
        <v>0</v>
      </c>
      <c r="R52" s="701">
        <v>0</v>
      </c>
      <c r="S52" s="701">
        <v>0</v>
      </c>
      <c r="T52" s="881">
        <f t="shared" si="0"/>
        <v>7189.8782128900002</v>
      </c>
    </row>
    <row r="53" spans="1:20" ht="25.5" x14ac:dyDescent="0.3">
      <c r="A53" s="698" t="s">
        <v>2045</v>
      </c>
      <c r="B53" s="698" t="s">
        <v>2038</v>
      </c>
      <c r="C53" s="700" t="s">
        <v>2267</v>
      </c>
      <c r="D53" s="700" t="s">
        <v>2268</v>
      </c>
      <c r="E53" s="701">
        <v>386.00700000000001</v>
      </c>
      <c r="F53" s="701">
        <v>646.99664399999995</v>
      </c>
      <c r="G53" s="701">
        <v>0</v>
      </c>
      <c r="H53" s="701">
        <v>0</v>
      </c>
      <c r="I53" s="701">
        <v>187.28478200000001</v>
      </c>
      <c r="J53" s="701">
        <v>0</v>
      </c>
      <c r="K53" s="701">
        <v>0</v>
      </c>
      <c r="L53" s="701">
        <v>0</v>
      </c>
      <c r="M53" s="701">
        <v>0</v>
      </c>
      <c r="N53" s="701">
        <v>0</v>
      </c>
      <c r="O53" s="701">
        <v>0</v>
      </c>
      <c r="P53" s="701">
        <v>0</v>
      </c>
      <c r="Q53" s="701">
        <v>0</v>
      </c>
      <c r="R53" s="701">
        <v>0</v>
      </c>
      <c r="S53" s="701">
        <v>0</v>
      </c>
      <c r="T53" s="881">
        <f t="shared" si="0"/>
        <v>1220.2884259999998</v>
      </c>
    </row>
    <row r="54" spans="1:20" ht="25.5" x14ac:dyDescent="0.3">
      <c r="A54" s="698" t="s">
        <v>2045</v>
      </c>
      <c r="B54" s="698" t="s">
        <v>2038</v>
      </c>
      <c r="C54" s="700" t="s">
        <v>2269</v>
      </c>
      <c r="D54" s="700" t="s">
        <v>2270</v>
      </c>
      <c r="E54" s="701">
        <v>1001.595</v>
      </c>
      <c r="F54" s="701">
        <v>236.974872</v>
      </c>
      <c r="G54" s="701">
        <v>0</v>
      </c>
      <c r="H54" s="701">
        <v>0</v>
      </c>
      <c r="I54" s="701">
        <v>2598.7145308900003</v>
      </c>
      <c r="J54" s="701">
        <v>0</v>
      </c>
      <c r="K54" s="701">
        <v>0</v>
      </c>
      <c r="L54" s="701">
        <v>0</v>
      </c>
      <c r="M54" s="701">
        <v>0</v>
      </c>
      <c r="N54" s="701">
        <v>0</v>
      </c>
      <c r="O54" s="701">
        <v>0</v>
      </c>
      <c r="P54" s="701">
        <v>0</v>
      </c>
      <c r="Q54" s="701">
        <v>0</v>
      </c>
      <c r="R54" s="701">
        <v>0</v>
      </c>
      <c r="S54" s="701">
        <v>0</v>
      </c>
      <c r="T54" s="881">
        <f t="shared" si="0"/>
        <v>3837.2844028900004</v>
      </c>
    </row>
    <row r="55" spans="1:20" s="725" customFormat="1" x14ac:dyDescent="0.3">
      <c r="A55" s="726" t="s">
        <v>2037</v>
      </c>
      <c r="B55" s="727" t="s">
        <v>2038</v>
      </c>
      <c r="C55" s="733" t="s">
        <v>2276</v>
      </c>
      <c r="D55" s="733" t="s">
        <v>2277</v>
      </c>
      <c r="E55" s="734">
        <v>305387.06399999995</v>
      </c>
      <c r="F55" s="734">
        <v>324761.145739</v>
      </c>
      <c r="G55" s="734">
        <v>364176.79576693999</v>
      </c>
      <c r="H55" s="734">
        <v>329827</v>
      </c>
      <c r="I55" s="734">
        <v>418805.92443896004</v>
      </c>
      <c r="J55" s="734">
        <v>364300</v>
      </c>
      <c r="K55" s="734">
        <v>375241.62</v>
      </c>
      <c r="L55" s="734">
        <v>386498.55859999999</v>
      </c>
      <c r="M55" s="734">
        <v>398094.31790125958</v>
      </c>
      <c r="N55" s="734">
        <v>410036.51361873996</v>
      </c>
      <c r="O55" s="734">
        <v>422338.3090273022</v>
      </c>
      <c r="P55" s="734">
        <v>435007.99829812127</v>
      </c>
      <c r="Q55" s="734">
        <v>448058.22824706486</v>
      </c>
      <c r="R55" s="734">
        <v>461499.96509447694</v>
      </c>
      <c r="S55" s="734">
        <v>475345.50404731114</v>
      </c>
      <c r="T55" s="881">
        <f t="shared" si="0"/>
        <v>5919378.9447791763</v>
      </c>
    </row>
  </sheetData>
  <autoFilter ref="T1:T127" xr:uid="{00000000-0009-0000-0000-000011000000}">
    <filterColumn colId="0">
      <filters blank="1">
        <filter val="1,140"/>
        <filter val="1,220"/>
        <filter val="1,937"/>
        <filter val="103,467"/>
        <filter val="115,012"/>
        <filter val="12,666"/>
        <filter val="13,554"/>
        <filter val="136,273"/>
        <filter val="155,112"/>
        <filter val="155,691"/>
        <filter val="169,209"/>
        <filter val="17,755"/>
        <filter val="190,328"/>
        <filter val="2,999,444"/>
        <filter val="20,453"/>
        <filter val="211,925"/>
        <filter val="232,971"/>
        <filter val="253,424"/>
        <filter val="275"/>
        <filter val="3,837"/>
        <filter val="34,784"/>
        <filter val="37,786"/>
        <filter val="372,282"/>
        <filter val="4,132,974"/>
        <filter val="428,750"/>
        <filter val="5,919,379"/>
        <filter val="51,535"/>
        <filter val="615,091"/>
        <filter val="62,342"/>
        <filter val="-65,128"/>
        <filter val="7,190"/>
        <filter val="761,247"/>
        <filter val="78,682"/>
        <filter val="8,152"/>
      </filters>
    </filterColumn>
  </autoFilter>
  <mergeCells count="3">
    <mergeCell ref="C1:D1"/>
    <mergeCell ref="C2:D2"/>
    <mergeCell ref="C3:D3"/>
  </mergeCells>
  <dataValidations count="1">
    <dataValidation allowBlank="1" showInputMessage="1" showErrorMessage="1" errorTitle="Error" error="Valor No Permitido" sqref="G1" xr:uid="{00000000-0002-0000-1100-000000000000}"/>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
  <sheetViews>
    <sheetView workbookViewId="0"/>
  </sheetViews>
  <sheetFormatPr baseColWidth="10" defaultColWidth="11.42578125"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tint="4.9989318521683403E-2"/>
  </sheetPr>
  <dimension ref="A1:P14"/>
  <sheetViews>
    <sheetView workbookViewId="0"/>
  </sheetViews>
  <sheetFormatPr baseColWidth="10" defaultColWidth="11.42578125" defaultRowHeight="16.5" x14ac:dyDescent="0.25"/>
  <cols>
    <col min="1" max="1" width="47" style="715" bestFit="1" customWidth="1"/>
    <col min="2" max="14" width="12.140625" style="715" customWidth="1"/>
    <col min="15" max="16384" width="11.42578125" style="715"/>
  </cols>
  <sheetData>
    <row r="1" spans="1:16" x14ac:dyDescent="0.25">
      <c r="A1" s="713" t="s">
        <v>2031</v>
      </c>
      <c r="B1" s="713"/>
      <c r="C1" s="714"/>
      <c r="D1" s="714"/>
      <c r="E1" s="714"/>
      <c r="F1" s="714"/>
      <c r="G1" s="714"/>
      <c r="H1" s="714"/>
      <c r="I1" s="714"/>
      <c r="J1" s="714"/>
      <c r="K1" s="714"/>
      <c r="L1" s="714"/>
      <c r="M1" s="714"/>
    </row>
    <row r="2" spans="1:16" x14ac:dyDescent="0.25">
      <c r="A2" s="713" t="s">
        <v>2280</v>
      </c>
      <c r="B2" s="713"/>
      <c r="C2" s="713"/>
      <c r="D2" s="714"/>
      <c r="E2" s="714"/>
      <c r="F2" s="714"/>
      <c r="G2" s="714"/>
      <c r="H2" s="714"/>
      <c r="I2" s="714"/>
      <c r="J2" s="714"/>
      <c r="K2" s="714"/>
      <c r="L2" s="714"/>
      <c r="M2" s="714"/>
    </row>
    <row r="3" spans="1:16" x14ac:dyDescent="0.25">
      <c r="A3" s="713" t="s">
        <v>2281</v>
      </c>
      <c r="B3" s="713"/>
      <c r="C3" s="713"/>
      <c r="D3" s="716"/>
      <c r="E3" s="716"/>
      <c r="F3" s="716"/>
      <c r="G3" s="716"/>
      <c r="H3" s="716"/>
      <c r="I3" s="716"/>
      <c r="J3" s="716"/>
      <c r="K3" s="716"/>
      <c r="L3" s="716"/>
      <c r="M3" s="716"/>
    </row>
    <row r="4" spans="1:16" s="724" customFormat="1" x14ac:dyDescent="0.25">
      <c r="A4" s="664" t="s">
        <v>2282</v>
      </c>
      <c r="B4" s="664">
        <v>2017</v>
      </c>
      <c r="C4" s="664">
        <v>2018</v>
      </c>
      <c r="D4" s="664">
        <v>2019</v>
      </c>
      <c r="E4" s="664">
        <v>2020</v>
      </c>
      <c r="F4" s="664">
        <v>2021</v>
      </c>
      <c r="G4" s="664">
        <v>2022</v>
      </c>
      <c r="H4" s="664">
        <v>2023</v>
      </c>
      <c r="I4" s="664">
        <v>2024</v>
      </c>
      <c r="J4" s="664">
        <v>2025</v>
      </c>
      <c r="K4" s="664">
        <v>2026</v>
      </c>
      <c r="L4" s="664">
        <v>2027</v>
      </c>
      <c r="M4" s="664">
        <v>2028</v>
      </c>
      <c r="N4" s="664">
        <v>2029</v>
      </c>
      <c r="O4" s="664">
        <v>2030</v>
      </c>
      <c r="P4" s="664">
        <v>2031</v>
      </c>
    </row>
    <row r="5" spans="1:16" x14ac:dyDescent="0.25">
      <c r="A5" s="677" t="s">
        <v>950</v>
      </c>
      <c r="B5" s="677">
        <v>286727.81700000004</v>
      </c>
      <c r="C5" s="677">
        <v>303699.02398599999</v>
      </c>
      <c r="D5" s="677">
        <v>329992.30693887989</v>
      </c>
      <c r="E5" s="677">
        <v>328942</v>
      </c>
      <c r="F5" s="677">
        <v>362890.32392879983</v>
      </c>
      <c r="G5" s="677">
        <v>354282.40085805347</v>
      </c>
      <c r="H5" s="677">
        <v>364910.87288379518</v>
      </c>
      <c r="I5" s="677">
        <v>375858.199070309</v>
      </c>
      <c r="J5" s="677">
        <v>387133.94504241826</v>
      </c>
      <c r="K5" s="677">
        <v>398747.96339369088</v>
      </c>
      <c r="L5" s="677">
        <v>410710.40229550155</v>
      </c>
      <c r="M5" s="677">
        <v>423031.71436436661</v>
      </c>
      <c r="N5" s="677">
        <v>435722.66579529759</v>
      </c>
      <c r="O5" s="677">
        <v>448794.34576915659</v>
      </c>
      <c r="P5" s="677">
        <v>462258.17614223127</v>
      </c>
    </row>
    <row r="6" spans="1:16" x14ac:dyDescent="0.25">
      <c r="A6" s="677" t="s">
        <v>954</v>
      </c>
      <c r="B6" s="677">
        <v>63150.324000000001</v>
      </c>
      <c r="C6" s="677">
        <v>53599.675655999992</v>
      </c>
      <c r="D6" s="677">
        <v>65296.55941000997</v>
      </c>
      <c r="E6" s="677">
        <v>49753</v>
      </c>
      <c r="F6" s="677">
        <v>53129.60119727</v>
      </c>
      <c r="G6" s="677">
        <v>10017.37866351</v>
      </c>
      <c r="H6" s="677">
        <v>10317.900023415301</v>
      </c>
      <c r="I6" s="677">
        <v>10627.43702411776</v>
      </c>
      <c r="J6" s="677">
        <v>10946.260134841294</v>
      </c>
      <c r="K6" s="677">
        <v>11274.647938886534</v>
      </c>
      <c r="L6" s="677">
        <v>11612.887377053128</v>
      </c>
      <c r="M6" s="677">
        <v>11961.273998364723</v>
      </c>
      <c r="N6" s="677">
        <v>12320.112218315664</v>
      </c>
      <c r="O6" s="677">
        <v>12689.715584865135</v>
      </c>
      <c r="P6" s="677">
        <v>13070.407052411088</v>
      </c>
    </row>
    <row r="7" spans="1:16" x14ac:dyDescent="0.25">
      <c r="A7" s="677" t="s">
        <v>2127</v>
      </c>
      <c r="B7" s="677">
        <v>75782.722999999998</v>
      </c>
      <c r="C7" s="677">
        <v>78829.30113800001</v>
      </c>
      <c r="D7" s="677">
        <v>79934.438266700003</v>
      </c>
      <c r="E7" s="677">
        <v>76698</v>
      </c>
      <c r="F7" s="677">
        <v>108192.02991642999</v>
      </c>
      <c r="G7" s="677">
        <v>84612</v>
      </c>
      <c r="H7" s="677">
        <v>87150.36</v>
      </c>
      <c r="I7" s="677">
        <v>89764.87079999999</v>
      </c>
      <c r="J7" s="677">
        <v>92457.816923999999</v>
      </c>
      <c r="K7" s="677">
        <v>95231.551431720014</v>
      </c>
      <c r="L7" s="677">
        <v>98088.497974671627</v>
      </c>
      <c r="M7" s="677">
        <v>101031.15291391176</v>
      </c>
      <c r="N7" s="677">
        <v>104062.08750132912</v>
      </c>
      <c r="O7" s="677">
        <v>107183.950126369</v>
      </c>
      <c r="P7" s="677">
        <v>110399.46863016007</v>
      </c>
    </row>
    <row r="8" spans="1:16" x14ac:dyDescent="0.25">
      <c r="A8" s="677" t="s">
        <v>2162</v>
      </c>
      <c r="B8" s="677">
        <v>221148.609</v>
      </c>
      <c r="C8" s="677">
        <v>237191.65945500002</v>
      </c>
      <c r="D8" s="677">
        <v>271764.64189256995</v>
      </c>
      <c r="E8" s="677">
        <v>246484</v>
      </c>
      <c r="F8" s="677">
        <v>297857.40639764006</v>
      </c>
      <c r="G8" s="677">
        <v>267492</v>
      </c>
      <c r="H8" s="677">
        <v>274424.89999999997</v>
      </c>
      <c r="I8" s="677">
        <v>284969.95699999999</v>
      </c>
      <c r="J8" s="677">
        <v>294974.38825325959</v>
      </c>
      <c r="K8" s="677">
        <v>305120.05990085739</v>
      </c>
      <c r="L8" s="677">
        <v>315538.79169788311</v>
      </c>
      <c r="M8" s="677">
        <v>326454.83544881956</v>
      </c>
      <c r="N8" s="677">
        <v>338135.69051228411</v>
      </c>
      <c r="O8" s="677">
        <v>350956.1112276527</v>
      </c>
      <c r="P8" s="677">
        <v>362030.1145644823</v>
      </c>
    </row>
    <row r="9" spans="1:16" s="724" customFormat="1" x14ac:dyDescent="0.25">
      <c r="A9" s="733" t="s">
        <v>2283</v>
      </c>
      <c r="B9" s="735">
        <v>52946.809000000067</v>
      </c>
      <c r="C9" s="735">
        <v>41277.739048999909</v>
      </c>
      <c r="D9" s="735">
        <v>43589.786189619917</v>
      </c>
      <c r="E9" s="735">
        <v>55513</v>
      </c>
      <c r="F9" s="735">
        <v>9970.488811999734</v>
      </c>
      <c r="G9" s="735">
        <v>12195.779521563498</v>
      </c>
      <c r="H9" s="735">
        <v>13653.512907210505</v>
      </c>
      <c r="I9" s="735">
        <v>11750.808294426766</v>
      </c>
      <c r="J9" s="735">
        <v>10648</v>
      </c>
      <c r="K9" s="735">
        <v>9671</v>
      </c>
      <c r="L9" s="735">
        <v>8695.9999999999418</v>
      </c>
      <c r="M9" s="735">
        <v>7507</v>
      </c>
      <c r="N9" s="735">
        <v>5845</v>
      </c>
      <c r="O9" s="735">
        <v>3344</v>
      </c>
      <c r="P9" s="735">
        <v>2899</v>
      </c>
    </row>
    <row r="10" spans="1:16" x14ac:dyDescent="0.25">
      <c r="A10" s="1792" t="s">
        <v>2284</v>
      </c>
      <c r="B10" s="717">
        <v>17.470602249108538</v>
      </c>
      <c r="C10" s="717">
        <v>18.241924152275274</v>
      </c>
      <c r="D10" s="717">
        <v>21.210111308827678</v>
      </c>
      <c r="E10" s="717">
        <v>64.251157407407405</v>
      </c>
      <c r="F10" s="717">
        <v>3.7364250437691773</v>
      </c>
      <c r="G10" s="717">
        <v>2.4121399370180967</v>
      </c>
      <c r="H10" s="717">
        <v>1.7252353938855831</v>
      </c>
      <c r="I10" s="717">
        <v>1.7367437621085968</v>
      </c>
      <c r="J10" s="717">
        <v>1.8457271624198301</v>
      </c>
      <c r="K10" s="717">
        <v>2.0177341957020656</v>
      </c>
      <c r="L10" s="717">
        <v>2.2776322682032326</v>
      </c>
      <c r="M10" s="717">
        <v>2.6414496833216043</v>
      </c>
      <c r="N10" s="717">
        <v>3.0618124672603457</v>
      </c>
      <c r="O10" s="717">
        <v>2.9803921568627452</v>
      </c>
      <c r="P10" s="717">
        <v>4.2821270310192023</v>
      </c>
    </row>
    <row r="11" spans="1:16" s="720" customFormat="1" ht="12.75" x14ac:dyDescent="0.25">
      <c r="A11" s="1793"/>
      <c r="B11" s="718" t="s">
        <v>2285</v>
      </c>
      <c r="C11" s="718" t="s">
        <v>2285</v>
      </c>
      <c r="D11" s="718" t="s">
        <v>2285</v>
      </c>
      <c r="E11" s="718" t="s">
        <v>2285</v>
      </c>
      <c r="F11" s="718" t="s">
        <v>2285</v>
      </c>
      <c r="G11" s="718" t="s">
        <v>2285</v>
      </c>
      <c r="H11" s="718" t="s">
        <v>2285</v>
      </c>
      <c r="I11" s="718" t="s">
        <v>2285</v>
      </c>
      <c r="J11" s="718" t="s">
        <v>2285</v>
      </c>
      <c r="K11" s="718" t="s">
        <v>2285</v>
      </c>
      <c r="L11" s="718" t="s">
        <v>2285</v>
      </c>
      <c r="M11" s="718" t="s">
        <v>2285</v>
      </c>
      <c r="N11" s="718" t="s">
        <v>2285</v>
      </c>
      <c r="O11" s="719" t="s">
        <v>2285</v>
      </c>
      <c r="P11" s="719" t="s">
        <v>2285</v>
      </c>
    </row>
    <row r="12" spans="1:16" x14ac:dyDescent="0.25">
      <c r="A12" s="677" t="s">
        <v>2286</v>
      </c>
      <c r="B12" s="721"/>
      <c r="C12" s="721"/>
      <c r="D12" s="721"/>
      <c r="E12" s="721"/>
      <c r="F12" s="721"/>
      <c r="G12" s="721"/>
      <c r="H12" s="721"/>
      <c r="I12" s="721"/>
      <c r="J12" s="721"/>
      <c r="K12" s="721"/>
      <c r="L12" s="721"/>
      <c r="M12" s="721"/>
      <c r="N12" s="721"/>
      <c r="O12" s="722"/>
      <c r="P12" s="722"/>
    </row>
    <row r="13" spans="1:16" s="724" customFormat="1" x14ac:dyDescent="0.25">
      <c r="A13" s="664" t="s">
        <v>2287</v>
      </c>
      <c r="B13" s="664">
        <v>2017</v>
      </c>
      <c r="C13" s="664">
        <v>2018</v>
      </c>
      <c r="D13" s="664">
        <v>2019</v>
      </c>
      <c r="E13" s="664">
        <v>2020</v>
      </c>
      <c r="F13" s="664">
        <v>2021</v>
      </c>
      <c r="G13" s="664">
        <v>2022</v>
      </c>
      <c r="H13" s="664">
        <v>2023</v>
      </c>
      <c r="I13" s="664">
        <v>2024</v>
      </c>
      <c r="J13" s="664">
        <v>2025</v>
      </c>
      <c r="K13" s="664">
        <v>2026</v>
      </c>
      <c r="L13" s="664">
        <v>2027</v>
      </c>
      <c r="M13" s="664">
        <v>2028</v>
      </c>
      <c r="N13" s="664">
        <v>2029</v>
      </c>
      <c r="O13" s="664">
        <v>2030</v>
      </c>
      <c r="P13" s="664">
        <v>2031</v>
      </c>
    </row>
    <row r="14" spans="1:16" s="723" customFormat="1" x14ac:dyDescent="0.25">
      <c r="A14" s="678" t="s">
        <v>2288</v>
      </c>
      <c r="B14" s="678">
        <v>3030.623</v>
      </c>
      <c r="C14" s="678">
        <v>2262.795235</v>
      </c>
      <c r="D14" s="678">
        <v>2055.1417932200002</v>
      </c>
      <c r="E14" s="678">
        <v>864</v>
      </c>
      <c r="F14" s="678">
        <v>2668.456799</v>
      </c>
      <c r="G14" s="678">
        <v>5056</v>
      </c>
      <c r="H14" s="678">
        <v>7914</v>
      </c>
      <c r="I14" s="678">
        <v>6766</v>
      </c>
      <c r="J14" s="678">
        <v>5769</v>
      </c>
      <c r="K14" s="678">
        <v>4793</v>
      </c>
      <c r="L14" s="678">
        <v>3818</v>
      </c>
      <c r="M14" s="678">
        <v>2842</v>
      </c>
      <c r="N14" s="678">
        <v>1909</v>
      </c>
      <c r="O14" s="678">
        <v>1122</v>
      </c>
      <c r="P14" s="678">
        <v>677</v>
      </c>
    </row>
  </sheetData>
  <mergeCells count="1">
    <mergeCell ref="A10:A1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0.89999084444715716"/>
  </sheetPr>
  <dimension ref="A1:P14"/>
  <sheetViews>
    <sheetView workbookViewId="0"/>
  </sheetViews>
  <sheetFormatPr baseColWidth="10" defaultColWidth="11.42578125" defaultRowHeight="16.5" x14ac:dyDescent="0.3"/>
  <cols>
    <col min="1" max="1" width="40.42578125" style="870" customWidth="1"/>
    <col min="2" max="14" width="12.140625" style="870" customWidth="1"/>
    <col min="15" max="16384" width="11.42578125" style="870"/>
  </cols>
  <sheetData>
    <row r="1" spans="1:16" x14ac:dyDescent="0.3">
      <c r="A1" s="713" t="str">
        <f>[6]Entidad!B10</f>
        <v>DEPARTAMENTO DEL QUINDIO</v>
      </c>
      <c r="B1" s="713"/>
      <c r="C1" s="714"/>
      <c r="D1" s="714"/>
      <c r="E1" s="714"/>
      <c r="F1" s="714"/>
      <c r="G1" s="714"/>
      <c r="H1" s="714"/>
      <c r="I1" s="714"/>
      <c r="J1" s="714"/>
      <c r="K1" s="714"/>
      <c r="L1" s="714"/>
      <c r="M1" s="714"/>
      <c r="N1" s="715"/>
      <c r="O1" s="715"/>
      <c r="P1" s="715"/>
    </row>
    <row r="2" spans="1:16" x14ac:dyDescent="0.3">
      <c r="A2" s="713" t="s">
        <v>2280</v>
      </c>
      <c r="B2" s="713"/>
      <c r="C2" s="713"/>
      <c r="D2" s="714"/>
      <c r="E2" s="714"/>
      <c r="F2" s="714"/>
      <c r="G2" s="714"/>
      <c r="H2" s="714"/>
      <c r="I2" s="714"/>
      <c r="J2" s="714"/>
      <c r="K2" s="714"/>
      <c r="L2" s="714"/>
      <c r="M2" s="714"/>
      <c r="N2" s="715"/>
      <c r="O2" s="715"/>
      <c r="P2" s="715"/>
    </row>
    <row r="3" spans="1:16" x14ac:dyDescent="0.3">
      <c r="A3" s="713" t="s">
        <v>2281</v>
      </c>
      <c r="B3" s="713"/>
      <c r="C3" s="713"/>
      <c r="D3" s="716"/>
      <c r="E3" s="716"/>
      <c r="F3" s="716"/>
      <c r="G3" s="716"/>
      <c r="H3" s="716"/>
      <c r="I3" s="716"/>
      <c r="J3" s="716"/>
      <c r="K3" s="716"/>
      <c r="L3" s="716"/>
      <c r="M3" s="716"/>
      <c r="N3" s="715"/>
      <c r="O3" s="715"/>
      <c r="P3" s="715"/>
    </row>
    <row r="4" spans="1:16" x14ac:dyDescent="0.3">
      <c r="A4" s="664" t="s">
        <v>2282</v>
      </c>
      <c r="B4" s="664">
        <f>+'[6]Plan Financiero'!E4</f>
        <v>2017</v>
      </c>
      <c r="C4" s="664">
        <f>+'[6]Plan Financiero'!F4</f>
        <v>2018</v>
      </c>
      <c r="D4" s="664">
        <f>+'[6]Plan Financiero'!G4</f>
        <v>2019</v>
      </c>
      <c r="E4" s="664">
        <f>+'[6]Plan Financiero'!H4</f>
        <v>2020</v>
      </c>
      <c r="F4" s="664">
        <f>+'[6]Plan Financiero'!I4</f>
        <v>2021</v>
      </c>
      <c r="G4" s="664">
        <f>+'[6]Plan Financiero'!J4</f>
        <v>2022</v>
      </c>
      <c r="H4" s="664">
        <f>+'[6]Plan Financiero'!K4</f>
        <v>2023</v>
      </c>
      <c r="I4" s="664">
        <f>+'[6]Plan Financiero'!L4</f>
        <v>2024</v>
      </c>
      <c r="J4" s="664">
        <f>+'[6]Plan Financiero'!M4</f>
        <v>2025</v>
      </c>
      <c r="K4" s="664">
        <f>+'[6]Plan Financiero'!N4</f>
        <v>2026</v>
      </c>
      <c r="L4" s="664">
        <f>+'[6]Plan Financiero'!O4</f>
        <v>2027</v>
      </c>
      <c r="M4" s="664">
        <f>+'[6]Plan Financiero'!P4</f>
        <v>2028</v>
      </c>
      <c r="N4" s="664">
        <f>+'[6]Plan Financiero'!Q4</f>
        <v>2029</v>
      </c>
      <c r="O4" s="664">
        <f>+'[6]Plan Financiero'!R4</f>
        <v>2030</v>
      </c>
      <c r="P4" s="664">
        <f>+'[6]Plan Financiero'!S4</f>
        <v>2031</v>
      </c>
    </row>
    <row r="5" spans="1:16" x14ac:dyDescent="0.3">
      <c r="A5" s="677" t="s">
        <v>950</v>
      </c>
      <c r="B5" s="677">
        <f>+'[6]Plan Financiero'!E6</f>
        <v>286727.81700000004</v>
      </c>
      <c r="C5" s="677">
        <f>+'[6]Plan Financiero'!F6</f>
        <v>303699.02398599999</v>
      </c>
      <c r="D5" s="677">
        <f>+'[6]Plan Financiero'!G6</f>
        <v>329992.30693887989</v>
      </c>
      <c r="E5" s="677">
        <f>+'[6]Plan Financiero'!H6</f>
        <v>328942</v>
      </c>
      <c r="F5" s="677">
        <f>+'[6]Plan Financiero'!I6</f>
        <v>362890.32392879983</v>
      </c>
      <c r="G5" s="677">
        <f>+'[6]Plan Financiero'!J6</f>
        <v>354282.40085805347</v>
      </c>
      <c r="H5" s="677">
        <f>+'[6]Plan Financiero'!K6</f>
        <v>364910.87288379518</v>
      </c>
      <c r="I5" s="677">
        <f>+'[6]Plan Financiero'!L6</f>
        <v>375858.199070309</v>
      </c>
      <c r="J5" s="677">
        <f>+'[6]Plan Financiero'!M6</f>
        <v>387133.94504241826</v>
      </c>
      <c r="K5" s="677">
        <f>+'[6]Plan Financiero'!N6</f>
        <v>398747.96339369088</v>
      </c>
      <c r="L5" s="677">
        <f>+'[6]Plan Financiero'!O6</f>
        <v>410710.40229550155</v>
      </c>
      <c r="M5" s="677">
        <f>+'[6]Plan Financiero'!P6</f>
        <v>423031.71436436661</v>
      </c>
      <c r="N5" s="677">
        <f>+'[6]Plan Financiero'!Q6</f>
        <v>435722.66579529759</v>
      </c>
      <c r="O5" s="677">
        <f>+'[6]Plan Financiero'!R6</f>
        <v>448794.34576915659</v>
      </c>
      <c r="P5" s="677">
        <f>+'[6]Plan Financiero'!S6</f>
        <v>462258.17614223127</v>
      </c>
    </row>
    <row r="6" spans="1:16" x14ac:dyDescent="0.3">
      <c r="A6" s="677" t="s">
        <v>954</v>
      </c>
      <c r="B6" s="677">
        <f>+'[6]Plan Financiero'!E75+'[6]Plan Financiero'!E106</f>
        <v>63150.324000000001</v>
      </c>
      <c r="C6" s="677">
        <f>+'[6]Plan Financiero'!F75+'[6]Plan Financiero'!F106</f>
        <v>53599.675655999992</v>
      </c>
      <c r="D6" s="677">
        <f>+'[6]Plan Financiero'!G75+'[6]Plan Financiero'!G106</f>
        <v>65296.55941000997</v>
      </c>
      <c r="E6" s="677">
        <f>+'[6]Plan Financiero'!H75+'[6]Plan Financiero'!H106</f>
        <v>49753</v>
      </c>
      <c r="F6" s="677">
        <f>+'[6]Plan Financiero'!I75+'[6]Plan Financiero'!I106</f>
        <v>53129.60119727</v>
      </c>
      <c r="G6" s="677">
        <f>+'[6]Plan Financiero'!J75+'[6]Plan Financiero'!J106</f>
        <v>10017.37866351</v>
      </c>
      <c r="H6" s="677">
        <f>+'[6]Plan Financiero'!K75+'[6]Plan Financiero'!K106</f>
        <v>10330.900023415301</v>
      </c>
      <c r="I6" s="677">
        <f>+'[6]Plan Financiero'!L75+'[6]Plan Financiero'!L106</f>
        <v>10640.82702411776</v>
      </c>
      <c r="J6" s="677">
        <f>+'[6]Plan Financiero'!M75+'[6]Plan Financiero'!M106</f>
        <v>10960.051834841293</v>
      </c>
      <c r="K6" s="677">
        <f>+'[6]Plan Financiero'!N75+'[6]Plan Financiero'!N106</f>
        <v>11288.853389886532</v>
      </c>
      <c r="L6" s="677">
        <f>+'[6]Plan Financiero'!O75+'[6]Plan Financiero'!O106</f>
        <v>11627.518991583129</v>
      </c>
      <c r="M6" s="677">
        <f>+'[6]Plan Financiero'!P75+'[6]Plan Financiero'!P106</f>
        <v>11976.344561330623</v>
      </c>
      <c r="N6" s="677">
        <f>+'[6]Plan Financiero'!Q75+'[6]Plan Financiero'!Q106</f>
        <v>12335.634898170543</v>
      </c>
      <c r="O6" s="677">
        <f>+'[6]Plan Financiero'!R75+'[6]Plan Financiero'!R106</f>
        <v>12705.70394511566</v>
      </c>
      <c r="P6" s="677">
        <f>+'[6]Plan Financiero'!S75+'[6]Plan Financiero'!S106</f>
        <v>13086.87506346913</v>
      </c>
    </row>
    <row r="7" spans="1:16" x14ac:dyDescent="0.3">
      <c r="A7" s="677" t="s">
        <v>2127</v>
      </c>
      <c r="B7" s="677">
        <f>+'[6]Plan Financiero'!E49</f>
        <v>75782.722999999998</v>
      </c>
      <c r="C7" s="677">
        <f>+'[6]Plan Financiero'!F49</f>
        <v>78829.30113800001</v>
      </c>
      <c r="D7" s="677">
        <f>+'[6]Plan Financiero'!G49</f>
        <v>79934.438266700003</v>
      </c>
      <c r="E7" s="677">
        <f>+'[6]Plan Financiero'!H49</f>
        <v>76698</v>
      </c>
      <c r="F7" s="677">
        <f>+'[6]Plan Financiero'!I49</f>
        <v>108192.02991642999</v>
      </c>
      <c r="G7" s="677">
        <f>+'[6]Plan Financiero'!J49</f>
        <v>84624</v>
      </c>
      <c r="H7" s="677">
        <f>+'[6]Plan Financiero'!K49</f>
        <v>87162.72</v>
      </c>
      <c r="I7" s="677">
        <f>+'[6]Plan Financiero'!L49</f>
        <v>89777.601599999995</v>
      </c>
      <c r="J7" s="677">
        <f>+'[6]Plan Financiero'!M49</f>
        <v>92470.929648000005</v>
      </c>
      <c r="K7" s="677">
        <f>+'[6]Plan Financiero'!N49</f>
        <v>95245.057537440007</v>
      </c>
      <c r="L7" s="677">
        <f>+'[6]Plan Financiero'!O49</f>
        <v>98102.409263563226</v>
      </c>
      <c r="M7" s="677">
        <f>+'[6]Plan Financiero'!P49</f>
        <v>101045.4815414701</v>
      </c>
      <c r="N7" s="677">
        <f>+'[6]Plan Financiero'!Q49</f>
        <v>104076.84598771422</v>
      </c>
      <c r="O7" s="677">
        <f>+'[6]Plan Financiero'!R49</f>
        <v>107199.15136734565</v>
      </c>
      <c r="P7" s="677">
        <f>+'[6]Plan Financiero'!S49</f>
        <v>110415.12590836601</v>
      </c>
    </row>
    <row r="8" spans="1:16" x14ac:dyDescent="0.3">
      <c r="A8" s="677" t="s">
        <v>2162</v>
      </c>
      <c r="B8" s="677">
        <f>+'[6]Plan Financiero'!E65+'[6]Plan Financiero'!E87+SUM('[6]Plan Financiero'!E63:E64)</f>
        <v>221148.609</v>
      </c>
      <c r="C8" s="677">
        <f>+'[6]Plan Financiero'!F65+'[6]Plan Financiero'!F87+SUM('[6]Plan Financiero'!F63:F64)</f>
        <v>237191.65945500002</v>
      </c>
      <c r="D8" s="677">
        <f>+'[6]Plan Financiero'!G65+'[6]Plan Financiero'!G87+SUM('[6]Plan Financiero'!G63:G64)</f>
        <v>271764.64189256995</v>
      </c>
      <c r="E8" s="677">
        <f>+'[6]Plan Financiero'!H65+'[6]Plan Financiero'!H87+SUM('[6]Plan Financiero'!H63:H64)</f>
        <v>246484</v>
      </c>
      <c r="F8" s="677">
        <f>+'[6]Plan Financiero'!I65+'[6]Plan Financiero'!I87+SUM('[6]Plan Financiero'!I63:I64)</f>
        <v>297857.40639764006</v>
      </c>
      <c r="G8" s="677">
        <f>+'[6]Plan Financiero'!J65+'[6]Plan Financiero'!J87+SUM('[6]Plan Financiero'!J63:J64)</f>
        <v>267492</v>
      </c>
      <c r="H8" s="677">
        <f>+'[6]Plan Financiero'!K65+'[6]Plan Financiero'!K87+SUM('[6]Plan Financiero'!K63:K64)</f>
        <v>274424.89999999997</v>
      </c>
      <c r="I8" s="677">
        <f>+'[6]Plan Financiero'!L65+'[6]Plan Financiero'!L87+SUM('[6]Plan Financiero'!L63:L64)</f>
        <v>284969.95699999999</v>
      </c>
      <c r="J8" s="677">
        <f>+'[6]Plan Financiero'!M65+'[6]Plan Financiero'!M87+SUM('[6]Plan Financiero'!M63:M64)</f>
        <v>294975.38825325959</v>
      </c>
      <c r="K8" s="677">
        <f>+'[6]Plan Financiero'!N65+'[6]Plan Financiero'!N87+SUM('[6]Plan Financiero'!N63:N64)</f>
        <v>305120.45608129998</v>
      </c>
      <c r="L8" s="677">
        <f>+'[6]Plan Financiero'!O65+'[6]Plan Financiero'!O87+SUM('[6]Plan Financiero'!O63:O64)</f>
        <v>315539.89976373897</v>
      </c>
      <c r="M8" s="677">
        <f>+'[6]Plan Financiero'!P65+'[6]Plan Financiero'!P87+SUM('[6]Plan Financiero'!P63:P64)</f>
        <v>326455.51675665117</v>
      </c>
      <c r="N8" s="677">
        <f>+'[6]Plan Financiero'!Q65+'[6]Plan Financiero'!Q87+SUM('[6]Plan Financiero'!Q63:Q64)</f>
        <v>338136.38225935068</v>
      </c>
      <c r="O8" s="677">
        <f>+'[6]Plan Financiero'!R65+'[6]Plan Financiero'!R87+SUM('[6]Plan Financiero'!R63:R64)</f>
        <v>350956.81372713129</v>
      </c>
      <c r="P8" s="677">
        <f>+'[6]Plan Financiero'!S65+'[6]Plan Financiero'!S87+SUM('[6]Plan Financiero'!S63:S64)</f>
        <v>362031.37813894515</v>
      </c>
    </row>
    <row r="9" spans="1:16" x14ac:dyDescent="0.3">
      <c r="A9" s="733" t="s">
        <v>2283</v>
      </c>
      <c r="B9" s="735">
        <f t="shared" ref="B9:P9" si="0">+B5+B6-B7-B8</f>
        <v>52946.809000000067</v>
      </c>
      <c r="C9" s="735">
        <f t="shared" si="0"/>
        <v>41277.739048999909</v>
      </c>
      <c r="D9" s="735">
        <f t="shared" si="0"/>
        <v>43589.786189619917</v>
      </c>
      <c r="E9" s="735">
        <f t="shared" si="0"/>
        <v>55513</v>
      </c>
      <c r="F9" s="735">
        <f t="shared" si="0"/>
        <v>9970.488811999734</v>
      </c>
      <c r="G9" s="735">
        <f t="shared" si="0"/>
        <v>12183.779521563498</v>
      </c>
      <c r="H9" s="735">
        <f t="shared" si="0"/>
        <v>13654.15290721046</v>
      </c>
      <c r="I9" s="735">
        <f t="shared" si="0"/>
        <v>11751.467494426761</v>
      </c>
      <c r="J9" s="735">
        <f t="shared" si="0"/>
        <v>10647.678975999996</v>
      </c>
      <c r="K9" s="735">
        <f t="shared" si="0"/>
        <v>9671.3031648374745</v>
      </c>
      <c r="L9" s="735">
        <f t="shared" si="0"/>
        <v>8695.6122597825015</v>
      </c>
      <c r="M9" s="735">
        <f t="shared" si="0"/>
        <v>7507.0606275759637</v>
      </c>
      <c r="N9" s="735">
        <f t="shared" si="0"/>
        <v>5845.0724464032683</v>
      </c>
      <c r="O9" s="735">
        <f t="shared" si="0"/>
        <v>3344.0846197953215</v>
      </c>
      <c r="P9" s="735">
        <f t="shared" si="0"/>
        <v>2898.5471583892358</v>
      </c>
    </row>
    <row r="10" spans="1:16" x14ac:dyDescent="0.3">
      <c r="A10" s="1792" t="s">
        <v>2284</v>
      </c>
      <c r="B10" s="717">
        <f>IF(B14&lt;&gt;0,B9/(B14),IF(AND(B14=0,B9&lt;0),0,0))</f>
        <v>17.470602249108538</v>
      </c>
      <c r="C10" s="717">
        <f t="shared" ref="C10:P10" si="1">IF(C14&lt;&gt;0,C9/(C14),IF(AND(C14=0,C9&lt;0),0,0))</f>
        <v>18.241924152275274</v>
      </c>
      <c r="D10" s="717">
        <f t="shared" si="1"/>
        <v>21.210111308827678</v>
      </c>
      <c r="E10" s="717">
        <f t="shared" si="1"/>
        <v>64.251157407407405</v>
      </c>
      <c r="F10" s="717">
        <f t="shared" si="1"/>
        <v>3.7364250437691773</v>
      </c>
      <c r="G10" s="717">
        <f t="shared" si="1"/>
        <v>2.4154995086366968</v>
      </c>
      <c r="H10" s="717">
        <f t="shared" si="1"/>
        <v>1.7253162632310413</v>
      </c>
      <c r="I10" s="717">
        <f t="shared" si="1"/>
        <v>1.736841190426657</v>
      </c>
      <c r="J10" s="717">
        <f t="shared" si="1"/>
        <v>1.8456715160339738</v>
      </c>
      <c r="K10" s="717">
        <f t="shared" si="1"/>
        <v>2.0177974472850981</v>
      </c>
      <c r="L10" s="717">
        <f t="shared" si="1"/>
        <v>2.2775307123579105</v>
      </c>
      <c r="M10" s="717">
        <f t="shared" si="1"/>
        <v>2.6414710160365811</v>
      </c>
      <c r="N10" s="717">
        <f t="shared" si="1"/>
        <v>3.0618504171834826</v>
      </c>
      <c r="O10" s="717">
        <f t="shared" si="1"/>
        <v>2.9804675755751528</v>
      </c>
      <c r="P10" s="717">
        <f t="shared" si="1"/>
        <v>4.2814581364685909</v>
      </c>
    </row>
    <row r="11" spans="1:16" s="877" customFormat="1" ht="12.75" x14ac:dyDescent="0.25">
      <c r="A11" s="1793"/>
      <c r="B11" s="875" t="str">
        <f>IF(B14=0,"",IF(B10&lt;100%,"INSOSTENIBLE","SOSTENIBLE"))</f>
        <v>SOSTENIBLE</v>
      </c>
      <c r="C11" s="875" t="str">
        <f t="shared" ref="C11:P11" si="2">IF(C14=0,"",IF(C10&lt;100%,"INSOSTENIBLE","SOSTENIBLE"))</f>
        <v>SOSTENIBLE</v>
      </c>
      <c r="D11" s="875" t="str">
        <f t="shared" si="2"/>
        <v>SOSTENIBLE</v>
      </c>
      <c r="E11" s="875" t="str">
        <f t="shared" si="2"/>
        <v>SOSTENIBLE</v>
      </c>
      <c r="F11" s="875" t="str">
        <f t="shared" si="2"/>
        <v>SOSTENIBLE</v>
      </c>
      <c r="G11" s="875" t="str">
        <f t="shared" si="2"/>
        <v>SOSTENIBLE</v>
      </c>
      <c r="H11" s="875" t="str">
        <f t="shared" si="2"/>
        <v>SOSTENIBLE</v>
      </c>
      <c r="I11" s="875" t="str">
        <f t="shared" si="2"/>
        <v>SOSTENIBLE</v>
      </c>
      <c r="J11" s="875" t="str">
        <f t="shared" si="2"/>
        <v>SOSTENIBLE</v>
      </c>
      <c r="K11" s="875" t="str">
        <f t="shared" si="2"/>
        <v>SOSTENIBLE</v>
      </c>
      <c r="L11" s="875" t="str">
        <f t="shared" si="2"/>
        <v>SOSTENIBLE</v>
      </c>
      <c r="M11" s="875" t="str">
        <f t="shared" si="2"/>
        <v>SOSTENIBLE</v>
      </c>
      <c r="N11" s="875" t="str">
        <f t="shared" si="2"/>
        <v>SOSTENIBLE</v>
      </c>
      <c r="O11" s="876" t="str">
        <f t="shared" si="2"/>
        <v>SOSTENIBLE</v>
      </c>
      <c r="P11" s="876" t="str">
        <f t="shared" si="2"/>
        <v>SOSTENIBLE</v>
      </c>
    </row>
    <row r="12" spans="1:16" x14ac:dyDescent="0.3">
      <c r="A12" s="677" t="s">
        <v>2286</v>
      </c>
      <c r="B12" s="721"/>
      <c r="C12" s="721"/>
      <c r="D12" s="721"/>
      <c r="E12" s="721"/>
      <c r="F12" s="721"/>
      <c r="G12" s="721"/>
      <c r="H12" s="721"/>
      <c r="I12" s="721"/>
      <c r="J12" s="721"/>
      <c r="K12" s="721"/>
      <c r="L12" s="721"/>
      <c r="M12" s="721"/>
      <c r="N12" s="721"/>
      <c r="O12" s="722"/>
      <c r="P12" s="722"/>
    </row>
    <row r="13" spans="1:16" x14ac:dyDescent="0.3">
      <c r="A13" s="664" t="s">
        <v>2287</v>
      </c>
      <c r="B13" s="664">
        <f>+B4</f>
        <v>2017</v>
      </c>
      <c r="C13" s="664">
        <f>+C4</f>
        <v>2018</v>
      </c>
      <c r="D13" s="664">
        <f t="shared" ref="D13:P13" si="3">+D4</f>
        <v>2019</v>
      </c>
      <c r="E13" s="664">
        <f t="shared" si="3"/>
        <v>2020</v>
      </c>
      <c r="F13" s="664">
        <f t="shared" si="3"/>
        <v>2021</v>
      </c>
      <c r="G13" s="664">
        <f t="shared" si="3"/>
        <v>2022</v>
      </c>
      <c r="H13" s="664">
        <f t="shared" si="3"/>
        <v>2023</v>
      </c>
      <c r="I13" s="664">
        <f t="shared" si="3"/>
        <v>2024</v>
      </c>
      <c r="J13" s="664">
        <f t="shared" si="3"/>
        <v>2025</v>
      </c>
      <c r="K13" s="664">
        <f t="shared" si="3"/>
        <v>2026</v>
      </c>
      <c r="L13" s="664">
        <f t="shared" si="3"/>
        <v>2027</v>
      </c>
      <c r="M13" s="664">
        <f t="shared" si="3"/>
        <v>2028</v>
      </c>
      <c r="N13" s="664">
        <f t="shared" si="3"/>
        <v>2029</v>
      </c>
      <c r="O13" s="664">
        <f t="shared" si="3"/>
        <v>2030</v>
      </c>
      <c r="P13" s="664">
        <f t="shared" si="3"/>
        <v>2031</v>
      </c>
    </row>
    <row r="14" spans="1:16" x14ac:dyDescent="0.3">
      <c r="A14" s="678" t="s">
        <v>2288</v>
      </c>
      <c r="B14" s="678">
        <f>+'[6]Plan Financiero'!E71</f>
        <v>3030.623</v>
      </c>
      <c r="C14" s="678">
        <f>+'[6]Plan Financiero'!F71</f>
        <v>2262.795235</v>
      </c>
      <c r="D14" s="678">
        <f>+'[6]Plan Financiero'!G71</f>
        <v>2055.1417932200002</v>
      </c>
      <c r="E14" s="678">
        <f>+'[6]Plan Financiero'!H71</f>
        <v>864</v>
      </c>
      <c r="F14" s="678">
        <f>+'[6]Plan Financiero'!I71</f>
        <v>2668.456799</v>
      </c>
      <c r="G14" s="678">
        <f>+'[6]Plan Financiero'!J71</f>
        <v>5044</v>
      </c>
      <c r="H14" s="678">
        <f>+'[6]Plan Financiero'!K71</f>
        <v>7914</v>
      </c>
      <c r="I14" s="678">
        <f>+'[6]Plan Financiero'!L71</f>
        <v>6766</v>
      </c>
      <c r="J14" s="678">
        <f>+'[6]Plan Financiero'!M71</f>
        <v>5769</v>
      </c>
      <c r="K14" s="678">
        <f>+'[6]Plan Financiero'!N71</f>
        <v>4793</v>
      </c>
      <c r="L14" s="678">
        <f>+'[6]Plan Financiero'!O71</f>
        <v>3818</v>
      </c>
      <c r="M14" s="678">
        <f>+'[6]Plan Financiero'!P71</f>
        <v>2842</v>
      </c>
      <c r="N14" s="678">
        <f>+'[6]Plan Financiero'!Q71</f>
        <v>1909</v>
      </c>
      <c r="O14" s="678">
        <f>+'[6]Plan Financiero'!R71</f>
        <v>1122</v>
      </c>
      <c r="P14" s="678">
        <f>+'[6]Plan Financiero'!S71</f>
        <v>677</v>
      </c>
    </row>
  </sheetData>
  <mergeCells count="1">
    <mergeCell ref="A10:A1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0.89999084444715716"/>
  </sheetPr>
  <dimension ref="A1:M52"/>
  <sheetViews>
    <sheetView topLeftCell="B1" zoomScale="85" zoomScaleNormal="85" workbookViewId="0">
      <selection activeCell="C26" sqref="C26"/>
    </sheetView>
  </sheetViews>
  <sheetFormatPr baseColWidth="10" defaultColWidth="11.42578125" defaultRowHeight="16.5" x14ac:dyDescent="0.3"/>
  <cols>
    <col min="1" max="1" width="10.140625" style="667" hidden="1" customWidth="1"/>
    <col min="2" max="2" width="72.5703125" style="679" customWidth="1"/>
    <col min="3" max="16384" width="11.42578125" style="667"/>
  </cols>
  <sheetData>
    <row r="1" spans="1:13" x14ac:dyDescent="0.3">
      <c r="B1" s="786" t="s">
        <v>2289</v>
      </c>
      <c r="C1" s="668"/>
      <c r="D1" s="669"/>
      <c r="E1" s="670"/>
      <c r="F1" s="670"/>
      <c r="G1" s="670"/>
      <c r="H1" s="670"/>
      <c r="I1" s="670"/>
      <c r="J1" s="670"/>
      <c r="K1" s="670"/>
      <c r="L1" s="670"/>
      <c r="M1" s="671"/>
    </row>
    <row r="2" spans="1:13" x14ac:dyDescent="0.3">
      <c r="B2" s="785" t="s">
        <v>2031</v>
      </c>
      <c r="C2" s="672"/>
      <c r="D2" s="673">
        <v>0.03</v>
      </c>
      <c r="E2" s="673">
        <v>0.03</v>
      </c>
      <c r="F2" s="673">
        <v>0.03</v>
      </c>
      <c r="G2" s="673">
        <v>0.03</v>
      </c>
      <c r="H2" s="673">
        <v>0.03</v>
      </c>
      <c r="I2" s="673">
        <v>0.03</v>
      </c>
      <c r="J2" s="673">
        <v>0.03</v>
      </c>
      <c r="K2" s="673">
        <v>0.03</v>
      </c>
      <c r="L2" s="673">
        <v>0.03</v>
      </c>
      <c r="M2" s="674">
        <v>0</v>
      </c>
    </row>
    <row r="3" spans="1:13" ht="16.5" customHeight="1" x14ac:dyDescent="0.3">
      <c r="B3" s="785" t="s">
        <v>2032</v>
      </c>
      <c r="C3" s="1794"/>
      <c r="D3" s="1795"/>
      <c r="E3" s="1795"/>
      <c r="F3" s="1795"/>
      <c r="G3" s="1795"/>
      <c r="H3" s="1795"/>
      <c r="I3" s="1795"/>
      <c r="J3" s="1795"/>
      <c r="K3" s="1795"/>
      <c r="L3" s="1795"/>
      <c r="M3" s="1795"/>
    </row>
    <row r="4" spans="1:13" s="736" customFormat="1" ht="99" x14ac:dyDescent="0.3">
      <c r="B4" s="664" t="s">
        <v>2290</v>
      </c>
      <c r="C4" s="665" t="s">
        <v>2291</v>
      </c>
      <c r="D4" s="665">
        <v>2022</v>
      </c>
      <c r="E4" s="665">
        <v>2023</v>
      </c>
      <c r="F4" s="665">
        <v>2024</v>
      </c>
      <c r="G4" s="665">
        <v>2025</v>
      </c>
      <c r="H4" s="665">
        <v>2026</v>
      </c>
      <c r="I4" s="665">
        <v>2027</v>
      </c>
      <c r="J4" s="665">
        <v>2028</v>
      </c>
      <c r="K4" s="665">
        <v>2029</v>
      </c>
      <c r="L4" s="665">
        <v>2030</v>
      </c>
      <c r="M4" s="665">
        <v>2031</v>
      </c>
    </row>
    <row r="5" spans="1:13" x14ac:dyDescent="0.3">
      <c r="A5" s="675"/>
      <c r="B5" s="676" t="s">
        <v>2292</v>
      </c>
      <c r="C5" s="680">
        <v>179316.46469025323</v>
      </c>
      <c r="D5" s="680">
        <v>184695.95863096081</v>
      </c>
      <c r="E5" s="680">
        <v>190236.83738988964</v>
      </c>
      <c r="F5" s="680">
        <v>195943.94251158633</v>
      </c>
      <c r="G5" s="680">
        <v>201822.26078693391</v>
      </c>
      <c r="H5" s="680">
        <v>207876.92861054195</v>
      </c>
      <c r="I5" s="680">
        <v>214113.2364688582</v>
      </c>
      <c r="J5" s="680">
        <v>220536.63356292396</v>
      </c>
      <c r="K5" s="680">
        <v>227152.73256981169</v>
      </c>
      <c r="L5" s="680">
        <v>233967.31454690604</v>
      </c>
      <c r="M5" s="680">
        <v>233967.31454690604</v>
      </c>
    </row>
    <row r="6" spans="1:13" x14ac:dyDescent="0.3">
      <c r="A6" s="675" t="s">
        <v>2293</v>
      </c>
      <c r="B6" s="677" t="s">
        <v>2294</v>
      </c>
      <c r="C6" s="677">
        <v>179316.46469025323</v>
      </c>
      <c r="D6" s="677">
        <v>184695.95863096081</v>
      </c>
      <c r="E6" s="677">
        <v>190236.83738988964</v>
      </c>
      <c r="F6" s="677">
        <v>195943.94251158633</v>
      </c>
      <c r="G6" s="677">
        <v>201822.26078693391</v>
      </c>
      <c r="H6" s="677">
        <v>207876.92861054195</v>
      </c>
      <c r="I6" s="677">
        <v>214113.2364688582</v>
      </c>
      <c r="J6" s="677">
        <v>220536.63356292396</v>
      </c>
      <c r="K6" s="677">
        <v>227152.73256981169</v>
      </c>
      <c r="L6" s="677">
        <v>233967.31454690604</v>
      </c>
      <c r="M6" s="677">
        <v>233967.31454690604</v>
      </c>
    </row>
    <row r="7" spans="1:13" x14ac:dyDescent="0.3">
      <c r="A7" s="675" t="s">
        <v>2295</v>
      </c>
      <c r="B7" s="677" t="s">
        <v>2296</v>
      </c>
      <c r="C7" s="677"/>
      <c r="D7" s="677"/>
      <c r="E7" s="677"/>
      <c r="F7" s="677"/>
      <c r="G7" s="677"/>
      <c r="H7" s="677"/>
      <c r="I7" s="677"/>
      <c r="J7" s="677"/>
      <c r="K7" s="677"/>
      <c r="L7" s="677"/>
      <c r="M7" s="677"/>
    </row>
    <row r="8" spans="1:13" x14ac:dyDescent="0.3">
      <c r="A8" s="675" t="s">
        <v>2297</v>
      </c>
      <c r="B8" s="676" t="s">
        <v>2298</v>
      </c>
      <c r="C8" s="680">
        <v>62619.950588629501</v>
      </c>
      <c r="D8" s="680">
        <v>64498.549106288388</v>
      </c>
      <c r="E8" s="680">
        <v>66433.505579477045</v>
      </c>
      <c r="F8" s="680">
        <v>68426.510746861357</v>
      </c>
      <c r="G8" s="680">
        <v>70479.306069267201</v>
      </c>
      <c r="H8" s="680">
        <v>72593.685251345218</v>
      </c>
      <c r="I8" s="680">
        <v>74771.495808885578</v>
      </c>
      <c r="J8" s="680">
        <v>77014.640683152145</v>
      </c>
      <c r="K8" s="680">
        <v>79325.079903646707</v>
      </c>
      <c r="L8" s="680">
        <v>81704.832300756112</v>
      </c>
      <c r="M8" s="680">
        <v>81704.832300756112</v>
      </c>
    </row>
    <row r="9" spans="1:13" x14ac:dyDescent="0.3">
      <c r="A9" s="675"/>
      <c r="B9" s="676" t="s">
        <v>2299</v>
      </c>
      <c r="C9" s="680">
        <v>116696.51410162373</v>
      </c>
      <c r="D9" s="680">
        <v>120197.40952467243</v>
      </c>
      <c r="E9" s="680">
        <v>123803.33181041259</v>
      </c>
      <c r="F9" s="680">
        <v>127517.43176472497</v>
      </c>
      <c r="G9" s="680">
        <v>131342.95471766673</v>
      </c>
      <c r="H9" s="680">
        <v>135283.24335919673</v>
      </c>
      <c r="I9" s="680">
        <v>139341.74065997262</v>
      </c>
      <c r="J9" s="680">
        <v>143521.9928797718</v>
      </c>
      <c r="K9" s="680">
        <v>147827.65266616497</v>
      </c>
      <c r="L9" s="680">
        <v>152262.48224614991</v>
      </c>
      <c r="M9" s="680">
        <v>152262.48224614991</v>
      </c>
    </row>
    <row r="10" spans="1:13" x14ac:dyDescent="0.3">
      <c r="A10" s="675"/>
      <c r="B10" s="676" t="s">
        <v>2300</v>
      </c>
      <c r="C10" s="680">
        <v>23892.804172670007</v>
      </c>
      <c r="D10" s="680">
        <v>16772.804172670007</v>
      </c>
      <c r="E10" s="680">
        <v>12320.804172670007</v>
      </c>
      <c r="F10" s="680">
        <v>9605.8041726700067</v>
      </c>
      <c r="G10" s="680">
        <v>6948.8041726700067</v>
      </c>
      <c r="H10" s="680">
        <v>4291.8041726700067</v>
      </c>
      <c r="I10" s="680">
        <v>1728.8041726700067</v>
      </c>
      <c r="J10" s="680">
        <v>-0.1958273299933353</v>
      </c>
      <c r="K10" s="680">
        <v>-0.1958273299933353</v>
      </c>
      <c r="L10" s="680">
        <v>-0.1958273299933353</v>
      </c>
      <c r="M10" s="680">
        <v>-0.1958273299933353</v>
      </c>
    </row>
    <row r="11" spans="1:13" x14ac:dyDescent="0.3">
      <c r="A11" s="675"/>
      <c r="B11" s="677" t="s">
        <v>2301</v>
      </c>
      <c r="C11" s="677">
        <v>31194.836185950007</v>
      </c>
      <c r="D11" s="677">
        <v>23892.804172670007</v>
      </c>
      <c r="E11" s="677">
        <v>16772.804172670007</v>
      </c>
      <c r="F11" s="677">
        <v>12320.804172670007</v>
      </c>
      <c r="G11" s="677">
        <v>9605.8041726700067</v>
      </c>
      <c r="H11" s="677">
        <v>6948.8041726700067</v>
      </c>
      <c r="I11" s="677">
        <v>4291.8041726700067</v>
      </c>
      <c r="J11" s="677">
        <v>1728.8041726700067</v>
      </c>
      <c r="K11" s="677">
        <v>-0.1958273299933353</v>
      </c>
      <c r="L11" s="677">
        <v>-0.1958273299933353</v>
      </c>
      <c r="M11" s="677">
        <v>-0.1958273299933353</v>
      </c>
    </row>
    <row r="12" spans="1:13" x14ac:dyDescent="0.3">
      <c r="A12" s="675" t="s">
        <v>2302</v>
      </c>
      <c r="B12" s="677" t="s">
        <v>2303</v>
      </c>
      <c r="C12" s="677">
        <v>31194.836185950007</v>
      </c>
      <c r="D12" s="677">
        <v>23892.804172670007</v>
      </c>
      <c r="E12" s="677">
        <v>16772.804172670007</v>
      </c>
      <c r="F12" s="677">
        <v>12320.804172670007</v>
      </c>
      <c r="G12" s="677">
        <v>9605.8041726700067</v>
      </c>
      <c r="H12" s="677">
        <v>6948.8041726700067</v>
      </c>
      <c r="I12" s="677">
        <v>4291.8041726700067</v>
      </c>
      <c r="J12" s="677">
        <v>1728.8041726700067</v>
      </c>
      <c r="K12" s="677">
        <v>-0.1958273299933353</v>
      </c>
      <c r="L12" s="677">
        <v>-0.1958273299933353</v>
      </c>
      <c r="M12" s="677">
        <v>-0.1958273299933353</v>
      </c>
    </row>
    <row r="13" spans="1:13" x14ac:dyDescent="0.3">
      <c r="A13" s="675" t="s">
        <v>2304</v>
      </c>
      <c r="B13" s="677" t="s">
        <v>2305</v>
      </c>
      <c r="C13" s="677"/>
      <c r="D13" s="677"/>
      <c r="E13" s="677"/>
      <c r="F13" s="677"/>
      <c r="G13" s="677"/>
      <c r="H13" s="677"/>
      <c r="I13" s="677"/>
      <c r="J13" s="677"/>
      <c r="K13" s="677"/>
      <c r="L13" s="677"/>
      <c r="M13" s="677"/>
    </row>
    <row r="14" spans="1:13" x14ac:dyDescent="0.3">
      <c r="A14" s="675"/>
      <c r="B14" s="677" t="s">
        <v>2306</v>
      </c>
      <c r="C14" s="677"/>
      <c r="D14" s="677"/>
      <c r="E14" s="677"/>
      <c r="F14" s="677"/>
      <c r="G14" s="677"/>
      <c r="H14" s="677"/>
      <c r="I14" s="677"/>
      <c r="J14" s="677"/>
      <c r="K14" s="677"/>
      <c r="L14" s="677"/>
      <c r="M14" s="677"/>
    </row>
    <row r="15" spans="1:13" x14ac:dyDescent="0.3">
      <c r="A15" s="675"/>
      <c r="B15" s="677" t="s">
        <v>2307</v>
      </c>
      <c r="C15" s="677"/>
      <c r="D15" s="677"/>
      <c r="E15" s="677"/>
      <c r="F15" s="677"/>
      <c r="G15" s="677"/>
      <c r="H15" s="677"/>
      <c r="I15" s="677"/>
      <c r="J15" s="677"/>
      <c r="K15" s="677"/>
      <c r="L15" s="677"/>
      <c r="M15" s="677"/>
    </row>
    <row r="16" spans="1:13" x14ac:dyDescent="0.3">
      <c r="A16" s="675"/>
      <c r="B16" s="677" t="s">
        <v>2308</v>
      </c>
      <c r="C16" s="677">
        <v>7302.0320132799998</v>
      </c>
      <c r="D16" s="677">
        <v>7120</v>
      </c>
      <c r="E16" s="677">
        <v>4452</v>
      </c>
      <c r="F16" s="677">
        <v>2715</v>
      </c>
      <c r="G16" s="677">
        <v>2657</v>
      </c>
      <c r="H16" s="677">
        <v>2657</v>
      </c>
      <c r="I16" s="677">
        <v>2563</v>
      </c>
      <c r="J16" s="677">
        <v>1729</v>
      </c>
      <c r="K16" s="677">
        <v>0</v>
      </c>
      <c r="L16" s="677">
        <v>0</v>
      </c>
      <c r="M16" s="677">
        <v>0</v>
      </c>
    </row>
    <row r="17" spans="1:13" x14ac:dyDescent="0.3">
      <c r="A17" s="675" t="s">
        <v>2309</v>
      </c>
      <c r="B17" s="677" t="s">
        <v>2310</v>
      </c>
      <c r="C17" s="677">
        <v>7302.0320132799998</v>
      </c>
      <c r="D17" s="677">
        <v>7120</v>
      </c>
      <c r="E17" s="677">
        <v>4452</v>
      </c>
      <c r="F17" s="677">
        <v>2715</v>
      </c>
      <c r="G17" s="677">
        <v>2657</v>
      </c>
      <c r="H17" s="677">
        <v>2657</v>
      </c>
      <c r="I17" s="677">
        <v>2563</v>
      </c>
      <c r="J17" s="677">
        <v>1729</v>
      </c>
      <c r="K17" s="677"/>
      <c r="L17" s="677"/>
      <c r="M17" s="677"/>
    </row>
    <row r="18" spans="1:13" x14ac:dyDescent="0.3">
      <c r="A18" s="675" t="s">
        <v>2311</v>
      </c>
      <c r="B18" s="677" t="s">
        <v>2312</v>
      </c>
      <c r="C18" s="677"/>
      <c r="D18" s="677"/>
      <c r="E18" s="677"/>
      <c r="F18" s="677"/>
      <c r="G18" s="677"/>
      <c r="H18" s="677"/>
      <c r="I18" s="677"/>
      <c r="J18" s="677"/>
      <c r="K18" s="677"/>
      <c r="L18" s="677"/>
      <c r="M18" s="677"/>
    </row>
    <row r="19" spans="1:13" x14ac:dyDescent="0.3">
      <c r="A19" s="675"/>
      <c r="B19" s="677" t="s">
        <v>2313</v>
      </c>
      <c r="C19" s="677"/>
      <c r="D19" s="677"/>
      <c r="E19" s="677"/>
      <c r="F19" s="677"/>
      <c r="G19" s="677"/>
      <c r="H19" s="677"/>
      <c r="I19" s="677"/>
      <c r="J19" s="677"/>
      <c r="K19" s="677"/>
      <c r="L19" s="677"/>
      <c r="M19" s="677"/>
    </row>
    <row r="20" spans="1:13" x14ac:dyDescent="0.3">
      <c r="A20" s="675" t="s">
        <v>2314</v>
      </c>
      <c r="B20" s="677" t="s">
        <v>2315</v>
      </c>
      <c r="C20" s="677"/>
      <c r="D20" s="677"/>
      <c r="E20" s="677"/>
      <c r="F20" s="677"/>
      <c r="G20" s="677"/>
      <c r="H20" s="677"/>
      <c r="I20" s="677"/>
      <c r="J20" s="677"/>
      <c r="K20" s="677"/>
      <c r="L20" s="677"/>
      <c r="M20" s="677"/>
    </row>
    <row r="21" spans="1:13" x14ac:dyDescent="0.3">
      <c r="A21" s="675" t="s">
        <v>2316</v>
      </c>
      <c r="B21" s="677" t="s">
        <v>2317</v>
      </c>
      <c r="C21" s="677"/>
      <c r="D21" s="677"/>
      <c r="E21" s="677"/>
      <c r="F21" s="677"/>
      <c r="G21" s="677"/>
      <c r="H21" s="677"/>
      <c r="I21" s="677"/>
      <c r="J21" s="677"/>
      <c r="K21" s="677"/>
      <c r="L21" s="677"/>
      <c r="M21" s="677"/>
    </row>
    <row r="22" spans="1:13" x14ac:dyDescent="0.3">
      <c r="A22" s="675"/>
      <c r="B22" s="676" t="s">
        <v>2318</v>
      </c>
      <c r="C22" s="680">
        <v>2668.4567991100002</v>
      </c>
      <c r="D22" s="680">
        <v>1353</v>
      </c>
      <c r="E22" s="680">
        <v>846</v>
      </c>
      <c r="F22" s="680">
        <v>516</v>
      </c>
      <c r="G22" s="680">
        <v>505</v>
      </c>
      <c r="H22" s="680">
        <v>505</v>
      </c>
      <c r="I22" s="680">
        <v>487</v>
      </c>
      <c r="J22" s="680">
        <v>434</v>
      </c>
      <c r="K22" s="680">
        <v>0</v>
      </c>
      <c r="L22" s="680">
        <v>0</v>
      </c>
      <c r="M22" s="680">
        <v>0</v>
      </c>
    </row>
    <row r="23" spans="1:13" x14ac:dyDescent="0.3">
      <c r="A23" s="675" t="s">
        <v>2319</v>
      </c>
      <c r="B23" s="677" t="s">
        <v>2320</v>
      </c>
      <c r="C23" s="677">
        <v>2668.4567991100002</v>
      </c>
      <c r="D23" s="677">
        <v>1353</v>
      </c>
      <c r="E23" s="677">
        <v>846</v>
      </c>
      <c r="F23" s="677">
        <v>516</v>
      </c>
      <c r="G23" s="677">
        <v>505</v>
      </c>
      <c r="H23" s="677">
        <v>505</v>
      </c>
      <c r="I23" s="677">
        <v>487</v>
      </c>
      <c r="J23" s="677">
        <v>434</v>
      </c>
      <c r="K23" s="677"/>
      <c r="L23" s="677"/>
      <c r="M23" s="677"/>
    </row>
    <row r="24" spans="1:13" x14ac:dyDescent="0.3">
      <c r="A24" s="675" t="s">
        <v>2321</v>
      </c>
      <c r="B24" s="677" t="s">
        <v>2322</v>
      </c>
      <c r="C24" s="677"/>
      <c r="D24" s="677"/>
      <c r="E24" s="677"/>
      <c r="F24" s="677"/>
      <c r="G24" s="677"/>
      <c r="H24" s="677"/>
      <c r="I24" s="677"/>
      <c r="J24" s="677"/>
      <c r="K24" s="677"/>
      <c r="L24" s="677"/>
      <c r="M24" s="677"/>
    </row>
    <row r="25" spans="1:13" x14ac:dyDescent="0.3">
      <c r="A25" s="675"/>
      <c r="B25" s="677" t="s">
        <v>2323</v>
      </c>
      <c r="C25" s="677"/>
      <c r="D25" s="677"/>
      <c r="E25" s="677"/>
      <c r="F25" s="677"/>
      <c r="G25" s="677"/>
      <c r="H25" s="677"/>
      <c r="I25" s="677"/>
      <c r="J25" s="677"/>
      <c r="K25" s="677"/>
      <c r="L25" s="677"/>
      <c r="M25" s="677"/>
    </row>
    <row r="26" spans="1:13" x14ac:dyDescent="0.3">
      <c r="A26" s="675"/>
      <c r="B26" s="678" t="s">
        <v>2324</v>
      </c>
      <c r="C26" s="678">
        <v>2.2866636759913902E-2</v>
      </c>
      <c r="D26" s="678">
        <v>1.125648219333941E-2</v>
      </c>
      <c r="E26" s="678">
        <v>6.8334186780653859E-3</v>
      </c>
      <c r="F26" s="678">
        <v>4.0465055864051724E-3</v>
      </c>
      <c r="G26" s="678">
        <v>3.844895990695063E-3</v>
      </c>
      <c r="H26" s="678">
        <v>3.7329087288301582E-3</v>
      </c>
      <c r="I26" s="678">
        <v>3.4950044236091264E-3</v>
      </c>
      <c r="J26" s="678">
        <v>3.0239267954114968E-3</v>
      </c>
      <c r="K26" s="678">
        <v>0</v>
      </c>
      <c r="L26" s="678">
        <v>0</v>
      </c>
      <c r="M26" s="678">
        <v>0</v>
      </c>
    </row>
    <row r="27" spans="1:13" x14ac:dyDescent="0.3">
      <c r="A27" s="675"/>
      <c r="B27" s="678" t="s">
        <v>2325</v>
      </c>
      <c r="C27" s="678">
        <v>0.13324378335219714</v>
      </c>
      <c r="D27" s="678">
        <v>9.0813054584391761E-2</v>
      </c>
      <c r="E27" s="678">
        <v>6.4765606607612838E-2</v>
      </c>
      <c r="F27" s="678">
        <v>4.9023225977511437E-2</v>
      </c>
      <c r="G27" s="678">
        <v>3.4430315791606055E-2</v>
      </c>
      <c r="H27" s="678">
        <v>2.0645889860681534E-2</v>
      </c>
      <c r="I27" s="678">
        <v>8.0742517425888023E-3</v>
      </c>
      <c r="J27" s="678">
        <v>-8.8795828080626544E-7</v>
      </c>
      <c r="K27" s="678">
        <v>-8.6209541825851009E-7</v>
      </c>
      <c r="L27" s="678">
        <v>-8.3698584296942729E-7</v>
      </c>
      <c r="M27" s="678">
        <v>-8.3698584296942729E-7</v>
      </c>
    </row>
    <row r="28" spans="1:13" x14ac:dyDescent="0.3">
      <c r="A28" s="675"/>
      <c r="B28" s="678" t="s">
        <v>2326</v>
      </c>
      <c r="C28" s="692" t="s">
        <v>2327</v>
      </c>
      <c r="D28" s="692" t="s">
        <v>2327</v>
      </c>
      <c r="E28" s="692" t="s">
        <v>2327</v>
      </c>
      <c r="F28" s="692" t="s">
        <v>2327</v>
      </c>
      <c r="G28" s="692" t="s">
        <v>2327</v>
      </c>
      <c r="H28" s="692" t="s">
        <v>2327</v>
      </c>
      <c r="I28" s="692" t="s">
        <v>2327</v>
      </c>
      <c r="J28" s="692" t="s">
        <v>2327</v>
      </c>
      <c r="K28" s="692" t="s">
        <v>2327</v>
      </c>
      <c r="L28" s="692" t="s">
        <v>2327</v>
      </c>
      <c r="M28" s="692" t="s">
        <v>2327</v>
      </c>
    </row>
    <row r="29" spans="1:13" x14ac:dyDescent="0.3">
      <c r="A29" s="681"/>
      <c r="B29" s="682" t="s">
        <v>2326</v>
      </c>
      <c r="C29" s="683">
        <v>1</v>
      </c>
      <c r="D29" s="683">
        <v>1</v>
      </c>
      <c r="E29" s="683">
        <v>1</v>
      </c>
      <c r="F29" s="683">
        <v>1</v>
      </c>
      <c r="G29" s="683">
        <v>1</v>
      </c>
      <c r="H29" s="683">
        <v>1</v>
      </c>
      <c r="I29" s="683">
        <v>1</v>
      </c>
      <c r="J29" s="683">
        <v>1</v>
      </c>
      <c r="K29" s="683">
        <v>1</v>
      </c>
      <c r="L29" s="683">
        <v>1</v>
      </c>
      <c r="M29" s="683">
        <v>1</v>
      </c>
    </row>
    <row r="30" spans="1:13" ht="6" customHeight="1" x14ac:dyDescent="0.3">
      <c r="C30" s="685"/>
      <c r="D30" s="685"/>
      <c r="E30" s="685"/>
      <c r="F30" s="685"/>
      <c r="G30" s="685"/>
      <c r="H30" s="685"/>
      <c r="I30" s="685"/>
      <c r="J30" s="685"/>
      <c r="K30" s="685"/>
      <c r="L30" s="685"/>
      <c r="M30" s="685"/>
    </row>
    <row r="31" spans="1:13" x14ac:dyDescent="0.3">
      <c r="B31" s="684" t="s">
        <v>2328</v>
      </c>
      <c r="C31" s="684">
        <v>3.9810814599010098E-2</v>
      </c>
      <c r="D31" s="684">
        <v>1.9597535498603911E-2</v>
      </c>
      <c r="E31" s="684">
        <v>1.1896981918511837E-2</v>
      </c>
      <c r="F31" s="684">
        <v>7.0449662259314053E-3</v>
      </c>
      <c r="G31" s="684">
        <v>6.6939639198001048E-3</v>
      </c>
      <c r="H31" s="684">
        <v>6.4989940968933069E-3</v>
      </c>
      <c r="I31" s="684">
        <v>6.0848027015034901E-3</v>
      </c>
      <c r="J31" s="684">
        <v>5.2646565508114159E-3</v>
      </c>
      <c r="K31" s="684">
        <v>0</v>
      </c>
      <c r="L31" s="684">
        <v>0</v>
      </c>
      <c r="M31" s="684">
        <v>0</v>
      </c>
    </row>
    <row r="32" spans="1:13" x14ac:dyDescent="0.3">
      <c r="B32" s="682" t="s">
        <v>2329</v>
      </c>
      <c r="C32" s="682">
        <v>0.17396526437120644</v>
      </c>
      <c r="D32" s="682">
        <v>0.12936289645844382</v>
      </c>
      <c r="E32" s="682">
        <v>8.8168014159603653E-2</v>
      </c>
      <c r="F32" s="682">
        <v>6.287922971612897E-2</v>
      </c>
      <c r="G32" s="682">
        <v>4.7595365026710135E-2</v>
      </c>
      <c r="H32" s="682">
        <v>3.3428433094751811E-2</v>
      </c>
      <c r="I32" s="682">
        <v>2.0045467859826836E-2</v>
      </c>
      <c r="J32" s="682">
        <v>7.8399673200175071E-3</v>
      </c>
      <c r="K32" s="682">
        <v>0</v>
      </c>
      <c r="L32" s="682">
        <v>0</v>
      </c>
      <c r="M32" s="682">
        <v>0</v>
      </c>
    </row>
    <row r="33" spans="2:13" ht="6" customHeight="1" x14ac:dyDescent="0.3">
      <c r="C33" s="685"/>
      <c r="D33" s="685"/>
      <c r="E33" s="685"/>
      <c r="F33" s="685"/>
      <c r="G33" s="685"/>
      <c r="H33" s="685"/>
      <c r="I33" s="685"/>
      <c r="J33" s="685"/>
      <c r="K33" s="685"/>
      <c r="L33" s="685"/>
      <c r="M33" s="685"/>
    </row>
    <row r="34" spans="2:13" s="736" customFormat="1" x14ac:dyDescent="0.3">
      <c r="B34" s="737" t="s">
        <v>2330</v>
      </c>
      <c r="C34" s="738">
        <v>2021</v>
      </c>
      <c r="D34" s="738">
        <v>2022</v>
      </c>
      <c r="E34" s="738">
        <v>2023</v>
      </c>
      <c r="F34" s="738">
        <v>2024</v>
      </c>
      <c r="G34" s="738">
        <v>2025</v>
      </c>
      <c r="H34" s="738">
        <v>2026</v>
      </c>
      <c r="I34" s="738">
        <v>2027</v>
      </c>
      <c r="J34" s="738">
        <v>2028</v>
      </c>
      <c r="K34" s="738">
        <v>2029</v>
      </c>
      <c r="L34" s="738">
        <v>2030</v>
      </c>
      <c r="M34" s="738">
        <v>2031</v>
      </c>
    </row>
    <row r="35" spans="2:13" x14ac:dyDescent="0.3">
      <c r="B35" s="676" t="s">
        <v>2331</v>
      </c>
      <c r="C35" s="680">
        <v>8.5541619234784094E-2</v>
      </c>
      <c r="D35" s="680">
        <v>5.6627928234042987E-2</v>
      </c>
      <c r="E35" s="680">
        <v>5.0438793137434462E-2</v>
      </c>
      <c r="F35" s="680">
        <v>4.1880383193216443E-2</v>
      </c>
      <c r="G35" s="680">
        <v>5.257238133552658E-2</v>
      </c>
      <c r="H35" s="680">
        <v>7.2674374964571631E-2</v>
      </c>
      <c r="I35" s="680">
        <v>0.11347209248296825</v>
      </c>
      <c r="J35" s="680">
        <v>0.25104057871963598</v>
      </c>
      <c r="K35" s="680">
        <v>0</v>
      </c>
      <c r="L35" s="680">
        <v>0</v>
      </c>
      <c r="M35" s="680">
        <v>0</v>
      </c>
    </row>
    <row r="36" spans="2:13" x14ac:dyDescent="0.3">
      <c r="B36" s="676" t="s">
        <v>2332</v>
      </c>
      <c r="C36" s="680">
        <v>0.74099999999999999</v>
      </c>
      <c r="D36" s="680">
        <v>0.74099999999999999</v>
      </c>
      <c r="E36" s="680">
        <v>0.74099999999999999</v>
      </c>
      <c r="F36" s="680">
        <v>0.74099999999999999</v>
      </c>
      <c r="G36" s="680">
        <v>0.74099999999999999</v>
      </c>
      <c r="H36" s="680">
        <v>0.74099999999999999</v>
      </c>
      <c r="I36" s="680">
        <v>0.74099999999999999</v>
      </c>
      <c r="J36" s="680">
        <v>0.74099999999999999</v>
      </c>
      <c r="K36" s="680">
        <v>0.74099999999999999</v>
      </c>
      <c r="L36" s="680">
        <v>0.74099999999999999</v>
      </c>
      <c r="M36" s="680">
        <v>0.74099999999999999</v>
      </c>
    </row>
    <row r="37" spans="2:13" x14ac:dyDescent="0.3">
      <c r="B37" s="676" t="s">
        <v>2333</v>
      </c>
      <c r="C37" s="680">
        <v>0.1489279590877591</v>
      </c>
      <c r="D37" s="680">
        <v>9.8589223055468841E-2</v>
      </c>
      <c r="E37" s="680">
        <v>8.7813938852273399E-2</v>
      </c>
      <c r="F37" s="680">
        <v>7.2913747139389834E-2</v>
      </c>
      <c r="G37" s="680">
        <v>9.1528515905151778E-2</v>
      </c>
      <c r="H37" s="680">
        <v>0.12652608681331923</v>
      </c>
      <c r="I37" s="680">
        <v>0.19755491301284772</v>
      </c>
      <c r="J37" s="680">
        <v>0.43706164755088628</v>
      </c>
      <c r="K37" s="680">
        <v>0</v>
      </c>
      <c r="L37" s="680">
        <v>0</v>
      </c>
      <c r="M37" s="680">
        <v>0</v>
      </c>
    </row>
    <row r="38" spans="2:13" x14ac:dyDescent="0.3">
      <c r="B38" s="686" t="s">
        <v>2334</v>
      </c>
      <c r="C38" s="687">
        <v>4645.7832872505096</v>
      </c>
      <c r="D38" s="687">
        <v>2355.5729999999999</v>
      </c>
      <c r="E38" s="687">
        <v>1472.886</v>
      </c>
      <c r="F38" s="687">
        <v>898.35599999999999</v>
      </c>
      <c r="G38" s="687">
        <v>879.20500000000004</v>
      </c>
      <c r="H38" s="687">
        <v>879.20500000000015</v>
      </c>
      <c r="I38" s="687">
        <v>847.86700000000008</v>
      </c>
      <c r="J38" s="687">
        <v>755.59400000000005</v>
      </c>
      <c r="K38" s="687">
        <v>0</v>
      </c>
      <c r="L38" s="687">
        <v>0</v>
      </c>
      <c r="M38" s="687">
        <v>0</v>
      </c>
    </row>
    <row r="39" spans="2:13" ht="6" customHeight="1" x14ac:dyDescent="0.3">
      <c r="C39" s="685"/>
      <c r="D39" s="685"/>
      <c r="E39" s="685"/>
      <c r="F39" s="685"/>
      <c r="G39" s="685"/>
      <c r="H39" s="685"/>
      <c r="I39" s="685"/>
      <c r="J39" s="685"/>
      <c r="K39" s="685"/>
      <c r="L39" s="685"/>
      <c r="M39" s="685"/>
    </row>
    <row r="40" spans="2:13" ht="6" customHeight="1" x14ac:dyDescent="0.3">
      <c r="C40" s="685"/>
      <c r="D40" s="685"/>
      <c r="E40" s="685"/>
      <c r="F40" s="685"/>
      <c r="G40" s="685"/>
      <c r="H40" s="685"/>
      <c r="I40" s="685"/>
      <c r="J40" s="685"/>
      <c r="K40" s="685"/>
      <c r="L40" s="685"/>
      <c r="M40" s="685"/>
    </row>
    <row r="41" spans="2:13" ht="33" x14ac:dyDescent="0.3">
      <c r="B41" s="690" t="s">
        <v>2335</v>
      </c>
      <c r="C41" s="691">
        <v>3200.7047513062962</v>
      </c>
      <c r="D41" s="691">
        <v>3252.8630774877843</v>
      </c>
      <c r="E41" s="691">
        <v>3276.6722053382218</v>
      </c>
      <c r="F41" s="691">
        <v>3334.1782358523114</v>
      </c>
      <c r="G41" s="691">
        <v>3403.5695180035191</v>
      </c>
      <c r="H41" s="691">
        <v>3457.0430731646848</v>
      </c>
      <c r="I41" s="691">
        <v>3510.9912439916625</v>
      </c>
      <c r="J41" s="691">
        <v>3565.3413440536046</v>
      </c>
      <c r="K41" s="691">
        <v>3625.8443198127311</v>
      </c>
      <c r="L41" s="691">
        <v>3686.992098648328</v>
      </c>
      <c r="M41" s="691">
        <v>0</v>
      </c>
    </row>
    <row r="42" spans="2:13" ht="6" customHeight="1" x14ac:dyDescent="0.3">
      <c r="C42" s="685"/>
      <c r="D42" s="685"/>
      <c r="E42" s="685"/>
      <c r="F42" s="685"/>
      <c r="G42" s="685"/>
      <c r="H42" s="685"/>
      <c r="I42" s="685"/>
      <c r="J42" s="685"/>
      <c r="K42" s="685"/>
      <c r="L42" s="685"/>
      <c r="M42" s="685"/>
    </row>
    <row r="43" spans="2:13" ht="33" x14ac:dyDescent="0.3">
      <c r="B43" s="688" t="s">
        <v>2336</v>
      </c>
      <c r="C43" s="689"/>
      <c r="D43" s="689"/>
      <c r="E43" s="689"/>
      <c r="F43" s="689"/>
      <c r="G43" s="689"/>
      <c r="H43" s="689"/>
      <c r="I43" s="689"/>
      <c r="J43" s="689"/>
      <c r="K43" s="689"/>
      <c r="L43" s="689"/>
      <c r="M43" s="689"/>
    </row>
    <row r="44" spans="2:13" x14ac:dyDescent="0.3">
      <c r="B44" s="676" t="s">
        <v>2337</v>
      </c>
      <c r="C44" s="680">
        <v>31194.836185950007</v>
      </c>
      <c r="D44" s="680">
        <v>23892.804172670007</v>
      </c>
      <c r="E44" s="680">
        <v>16772.804172670007</v>
      </c>
      <c r="F44" s="680">
        <v>12320.804172670007</v>
      </c>
      <c r="G44" s="680">
        <v>9605.8041726700067</v>
      </c>
      <c r="H44" s="680">
        <v>6949</v>
      </c>
      <c r="I44" s="680">
        <v>4292</v>
      </c>
      <c r="J44" s="680">
        <v>1729</v>
      </c>
      <c r="K44" s="680">
        <v>0</v>
      </c>
      <c r="L44" s="680">
        <v>0</v>
      </c>
      <c r="M44" s="680">
        <v>0</v>
      </c>
    </row>
    <row r="45" spans="2:13" x14ac:dyDescent="0.3">
      <c r="B45" s="676" t="s">
        <v>2338</v>
      </c>
      <c r="C45" s="680">
        <v>31194.836185950007</v>
      </c>
      <c r="D45" s="680">
        <v>23892.804172670007</v>
      </c>
      <c r="E45" s="680">
        <v>16772.804172670007</v>
      </c>
      <c r="F45" s="680">
        <v>12320.804172670007</v>
      </c>
      <c r="G45" s="680">
        <v>9605.8041726700067</v>
      </c>
      <c r="H45" s="680">
        <v>6949</v>
      </c>
      <c r="I45" s="680">
        <v>4292</v>
      </c>
      <c r="J45" s="680">
        <v>1729</v>
      </c>
      <c r="K45" s="680">
        <v>0</v>
      </c>
      <c r="L45" s="680">
        <v>0</v>
      </c>
      <c r="M45" s="680">
        <v>0</v>
      </c>
    </row>
    <row r="46" spans="2:13" ht="33" x14ac:dyDescent="0.3">
      <c r="B46" s="686" t="s">
        <v>2339</v>
      </c>
      <c r="C46" s="687">
        <v>0</v>
      </c>
      <c r="D46" s="687">
        <v>0</v>
      </c>
      <c r="E46" s="687">
        <v>0</v>
      </c>
      <c r="F46" s="687">
        <v>0</v>
      </c>
      <c r="G46" s="687">
        <v>0</v>
      </c>
      <c r="H46" s="687">
        <v>-0.1958273299933353</v>
      </c>
      <c r="I46" s="687">
        <v>-0.1958273299933353</v>
      </c>
      <c r="J46" s="687">
        <v>-0.1958273299933353</v>
      </c>
      <c r="K46" s="687">
        <v>-0.1958273299933353</v>
      </c>
      <c r="L46" s="687">
        <v>-0.1958273299933353</v>
      </c>
      <c r="M46" s="687">
        <v>-0.1958273299933353</v>
      </c>
    </row>
    <row r="47" spans="2:13" ht="6" customHeight="1" x14ac:dyDescent="0.3">
      <c r="C47" s="685"/>
      <c r="D47" s="685"/>
      <c r="E47" s="685"/>
      <c r="F47" s="685"/>
      <c r="G47" s="685"/>
      <c r="H47" s="685"/>
      <c r="I47" s="685"/>
      <c r="J47" s="685"/>
      <c r="K47" s="685"/>
      <c r="L47" s="685"/>
      <c r="M47" s="685"/>
    </row>
    <row r="48" spans="2:13" x14ac:dyDescent="0.3">
      <c r="B48" s="688" t="s">
        <v>2340</v>
      </c>
      <c r="C48" s="689">
        <v>0.14094999999999999</v>
      </c>
      <c r="D48" s="689">
        <v>0.14094999999999999</v>
      </c>
      <c r="E48" s="689">
        <v>0.14094999999999999</v>
      </c>
      <c r="F48" s="689">
        <v>0.14094999999999999</v>
      </c>
      <c r="G48" s="689">
        <v>0.14094999999999999</v>
      </c>
      <c r="H48" s="689">
        <v>0.14094999999999999</v>
      </c>
      <c r="I48" s="689">
        <v>0.14094999999999999</v>
      </c>
      <c r="J48" s="689">
        <v>0.14094999999999999</v>
      </c>
      <c r="K48" s="689">
        <v>0.14094999999999999</v>
      </c>
      <c r="L48" s="689">
        <v>0.14094999999999999</v>
      </c>
      <c r="M48" s="689">
        <v>0.14094999999999999</v>
      </c>
    </row>
    <row r="49" spans="2:13" x14ac:dyDescent="0.3">
      <c r="B49" s="676" t="s">
        <v>2341</v>
      </c>
      <c r="C49" s="680">
        <v>3651.8440860029182</v>
      </c>
      <c r="D49" s="680">
        <v>3711.3541282596871</v>
      </c>
      <c r="E49" s="680">
        <v>3738.5191526806439</v>
      </c>
      <c r="F49" s="680">
        <v>3804.1306581956947</v>
      </c>
      <c r="G49" s="680">
        <v>3883.3026415661147</v>
      </c>
      <c r="H49" s="680">
        <v>3944.3132943272467</v>
      </c>
      <c r="I49" s="680">
        <v>4005.8654598322869</v>
      </c>
      <c r="J49" s="680">
        <v>4067.8762064979601</v>
      </c>
      <c r="K49" s="680">
        <v>4136.9070766903351</v>
      </c>
      <c r="L49" s="680">
        <v>4206.6736349528092</v>
      </c>
      <c r="M49" s="680">
        <v>0</v>
      </c>
    </row>
    <row r="50" spans="2:13" ht="33" x14ac:dyDescent="0.3">
      <c r="B50" s="676" t="s">
        <v>2342</v>
      </c>
      <c r="C50" s="680">
        <v>0</v>
      </c>
      <c r="D50" s="680">
        <v>0</v>
      </c>
      <c r="E50" s="680">
        <v>0</v>
      </c>
      <c r="F50" s="680">
        <v>0</v>
      </c>
      <c r="G50" s="680">
        <v>0</v>
      </c>
      <c r="H50" s="680">
        <v>0</v>
      </c>
      <c r="I50" s="680">
        <v>0</v>
      </c>
      <c r="J50" s="680">
        <v>0</v>
      </c>
      <c r="K50" s="680">
        <v>0</v>
      </c>
      <c r="L50" s="680">
        <v>0</v>
      </c>
      <c r="M50" s="680">
        <v>0</v>
      </c>
    </row>
    <row r="51" spans="2:13" ht="33" x14ac:dyDescent="0.3">
      <c r="B51" s="676" t="s">
        <v>2343</v>
      </c>
      <c r="C51" s="680">
        <v>31194.836185950007</v>
      </c>
      <c r="D51" s="680">
        <v>23892.804172670007</v>
      </c>
      <c r="E51" s="680">
        <v>16772.804172670007</v>
      </c>
      <c r="F51" s="680">
        <v>12320.804172670007</v>
      </c>
      <c r="G51" s="680">
        <v>9605.8041726700067</v>
      </c>
      <c r="H51" s="680">
        <v>6949</v>
      </c>
      <c r="I51" s="680">
        <v>4292</v>
      </c>
      <c r="J51" s="680">
        <v>1729</v>
      </c>
      <c r="K51" s="680">
        <v>0</v>
      </c>
      <c r="L51" s="680">
        <v>0</v>
      </c>
      <c r="M51" s="680">
        <v>0</v>
      </c>
    </row>
    <row r="52" spans="2:13" x14ac:dyDescent="0.3">
      <c r="B52" s="676" t="s">
        <v>2344</v>
      </c>
      <c r="C52" s="680">
        <v>0</v>
      </c>
      <c r="D52" s="680">
        <v>0</v>
      </c>
      <c r="E52" s="680">
        <v>0</v>
      </c>
      <c r="F52" s="680">
        <v>0</v>
      </c>
      <c r="G52" s="680">
        <v>0</v>
      </c>
      <c r="H52" s="680">
        <v>0</v>
      </c>
      <c r="I52" s="680">
        <v>0</v>
      </c>
      <c r="J52" s="680">
        <v>0</v>
      </c>
      <c r="K52" s="680">
        <v>0</v>
      </c>
      <c r="L52" s="680">
        <v>0</v>
      </c>
      <c r="M52" s="680">
        <v>0</v>
      </c>
    </row>
  </sheetData>
  <mergeCells count="1">
    <mergeCell ref="C3:M3"/>
  </mergeCells>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0.89999084444715716"/>
  </sheetPr>
  <dimension ref="A1:O53"/>
  <sheetViews>
    <sheetView topLeftCell="B1" workbookViewId="0"/>
  </sheetViews>
  <sheetFormatPr baseColWidth="10" defaultColWidth="11.42578125" defaultRowHeight="16.5" x14ac:dyDescent="0.3"/>
  <cols>
    <col min="1" max="1" width="10.140625" style="870" hidden="1" customWidth="1"/>
    <col min="2" max="3" width="16" style="874" customWidth="1"/>
    <col min="4" max="16384" width="11.42578125" style="870"/>
  </cols>
  <sheetData>
    <row r="1" spans="1:15" x14ac:dyDescent="0.3">
      <c r="B1" s="667" t="s">
        <v>2289</v>
      </c>
      <c r="C1" s="1796"/>
      <c r="D1" s="1796" t="s">
        <v>2345</v>
      </c>
      <c r="E1" s="668"/>
      <c r="F1" s="668"/>
      <c r="G1" s="669"/>
      <c r="H1" s="670"/>
      <c r="I1" s="670"/>
      <c r="J1" s="670"/>
      <c r="K1" s="670"/>
      <c r="L1" s="670"/>
      <c r="M1" s="670"/>
      <c r="N1" s="670"/>
      <c r="O1" s="670"/>
    </row>
    <row r="2" spans="1:15" x14ac:dyDescent="0.3">
      <c r="B2" s="667" t="str">
        <f>[6]Entidad!B10</f>
        <v>DEPARTAMENTO DEL QUINDIO</v>
      </c>
      <c r="C2" s="1791"/>
      <c r="D2" s="1791">
        <f>+'[6]Supuestos Macro Nación'!Z9/100</f>
        <v>0.03</v>
      </c>
      <c r="E2" s="672">
        <f>+'[6]Supuestos Macro Nación'!AA9/100</f>
        <v>0.03</v>
      </c>
      <c r="F2" s="672">
        <f>+'[6]Supuestos Macro Nación'!AB9/100</f>
        <v>0.03</v>
      </c>
      <c r="G2" s="673">
        <f>+'[6]Supuestos Macro Nación'!AC9/100</f>
        <v>0.03</v>
      </c>
      <c r="H2" s="673">
        <f>+'[6]Supuestos Macro Nación'!AD9/100</f>
        <v>0.03</v>
      </c>
      <c r="I2" s="673">
        <f>+'[6]Supuestos Macro Nación'!AE9/100</f>
        <v>0.03</v>
      </c>
      <c r="J2" s="673">
        <f>+'[6]Supuestos Macro Nación'!AF9/100</f>
        <v>0.03</v>
      </c>
      <c r="K2" s="673">
        <f>+'[6]Supuestos Macro Nación'!AG9/100</f>
        <v>0.03</v>
      </c>
      <c r="L2" s="673">
        <f>+'[6]Supuestos Macro Nación'!AH9/100</f>
        <v>0.03</v>
      </c>
      <c r="M2" s="673">
        <f>+'[6]Supuestos Macro Nación'!AI9/100</f>
        <v>0.03</v>
      </c>
      <c r="N2" s="673">
        <f>+'[6]Supuestos Macro Nación'!AJ9/100</f>
        <v>0.03</v>
      </c>
      <c r="O2" s="673">
        <f>+'[6]Supuestos Macro Nación'!AK9/100</f>
        <v>0</v>
      </c>
    </row>
    <row r="3" spans="1:15" ht="16.5" customHeight="1" x14ac:dyDescent="0.3">
      <c r="B3" s="667" t="s">
        <v>2032</v>
      </c>
      <c r="C3" s="1791"/>
      <c r="D3" s="1791" t="s">
        <v>2346</v>
      </c>
      <c r="E3" s="1797"/>
      <c r="F3" s="1798"/>
      <c r="G3" s="1798"/>
      <c r="H3" s="1798"/>
      <c r="I3" s="1798"/>
      <c r="J3" s="1798"/>
      <c r="K3" s="1798"/>
      <c r="L3" s="1798"/>
      <c r="M3" s="1798"/>
      <c r="N3" s="1798"/>
      <c r="O3" s="1799"/>
    </row>
    <row r="4" spans="1:15" ht="61.5" customHeight="1" x14ac:dyDescent="0.3">
      <c r="B4" s="665" t="s">
        <v>2290</v>
      </c>
      <c r="C4" s="665" t="str">
        <f>"Capacidad de endeudamiento (Ley 358/97)       "&amp;[6]Entidad!B14</f>
        <v>Capacidad de endeudamiento (Ley 358/97)       2019</v>
      </c>
      <c r="D4" s="665">
        <f>+[6]Entidad!B14+1</f>
        <v>2020</v>
      </c>
      <c r="E4" s="665">
        <f>+D4+1</f>
        <v>2021</v>
      </c>
      <c r="F4" s="665">
        <f t="shared" ref="F4:O4" si="0">+E4+1</f>
        <v>2022</v>
      </c>
      <c r="G4" s="665">
        <f t="shared" si="0"/>
        <v>2023</v>
      </c>
      <c r="H4" s="665">
        <f t="shared" si="0"/>
        <v>2024</v>
      </c>
      <c r="I4" s="665">
        <f t="shared" si="0"/>
        <v>2025</v>
      </c>
      <c r="J4" s="665">
        <f t="shared" si="0"/>
        <v>2026</v>
      </c>
      <c r="K4" s="665">
        <f t="shared" si="0"/>
        <v>2027</v>
      </c>
      <c r="L4" s="665">
        <f t="shared" si="0"/>
        <v>2028</v>
      </c>
      <c r="M4" s="665">
        <f t="shared" si="0"/>
        <v>2029</v>
      </c>
      <c r="N4" s="665">
        <f t="shared" si="0"/>
        <v>2030</v>
      </c>
      <c r="O4" s="665">
        <f t="shared" si="0"/>
        <v>2031</v>
      </c>
    </row>
    <row r="5" spans="1:15" ht="66" x14ac:dyDescent="0.3">
      <c r="A5" s="871"/>
      <c r="B5" s="680" t="s">
        <v>2292</v>
      </c>
      <c r="C5" s="680">
        <f>C6-C7</f>
        <v>169022.96605736</v>
      </c>
      <c r="D5" s="872">
        <f t="shared" ref="D5:O5" si="1">D6-D7</f>
        <v>174093.6550390808</v>
      </c>
      <c r="E5" s="680">
        <f t="shared" si="1"/>
        <v>179316.46469025323</v>
      </c>
      <c r="F5" s="680">
        <f t="shared" si="1"/>
        <v>184695.95863096081</v>
      </c>
      <c r="G5" s="680">
        <f t="shared" si="1"/>
        <v>190236.83738988964</v>
      </c>
      <c r="H5" s="680">
        <f t="shared" si="1"/>
        <v>195943.94251158633</v>
      </c>
      <c r="I5" s="680">
        <f t="shared" si="1"/>
        <v>201822.26078693391</v>
      </c>
      <c r="J5" s="680">
        <f t="shared" si="1"/>
        <v>207876.92861054195</v>
      </c>
      <c r="K5" s="680">
        <f t="shared" si="1"/>
        <v>214113.2364688582</v>
      </c>
      <c r="L5" s="680">
        <f t="shared" si="1"/>
        <v>220536.63356292396</v>
      </c>
      <c r="M5" s="680">
        <f t="shared" si="1"/>
        <v>227152.73256981169</v>
      </c>
      <c r="N5" s="680">
        <f t="shared" si="1"/>
        <v>233967.31454690604</v>
      </c>
      <c r="O5" s="680">
        <f t="shared" si="1"/>
        <v>233967.31454690604</v>
      </c>
    </row>
    <row r="6" spans="1:15" ht="51" x14ac:dyDescent="0.3">
      <c r="A6" s="871" t="s">
        <v>2293</v>
      </c>
      <c r="B6" s="677" t="s">
        <v>2294</v>
      </c>
      <c r="C6" s="677">
        <f>IFERROR(VLOOKUP([6]Entidad!$B$12&amp;"-"&amp;'[6]Capacidad de Endeudamiento'!$A6,[6]DAF_Ley358!$A$2:$G$62,7,FALSE),0)</f>
        <v>169022.96605736</v>
      </c>
      <c r="D6" s="677">
        <f>+C6*(1+D2)</f>
        <v>174093.6550390808</v>
      </c>
      <c r="E6" s="677">
        <f t="shared" ref="E6:O6" si="2">+D6*(1+E2)</f>
        <v>179316.46469025323</v>
      </c>
      <c r="F6" s="677">
        <f t="shared" si="2"/>
        <v>184695.95863096081</v>
      </c>
      <c r="G6" s="677">
        <f t="shared" si="2"/>
        <v>190236.83738988964</v>
      </c>
      <c r="H6" s="677">
        <f t="shared" si="2"/>
        <v>195943.94251158633</v>
      </c>
      <c r="I6" s="677">
        <f t="shared" si="2"/>
        <v>201822.26078693391</v>
      </c>
      <c r="J6" s="677">
        <f t="shared" si="2"/>
        <v>207876.92861054195</v>
      </c>
      <c r="K6" s="677">
        <f t="shared" si="2"/>
        <v>214113.2364688582</v>
      </c>
      <c r="L6" s="677">
        <f t="shared" si="2"/>
        <v>220536.63356292396</v>
      </c>
      <c r="M6" s="677">
        <f t="shared" si="2"/>
        <v>227152.73256981169</v>
      </c>
      <c r="N6" s="677">
        <f t="shared" si="2"/>
        <v>233967.31454690604</v>
      </c>
      <c r="O6" s="677">
        <f t="shared" si="2"/>
        <v>233967.31454690604</v>
      </c>
    </row>
    <row r="7" spans="1:15" ht="25.5" x14ac:dyDescent="0.3">
      <c r="A7" s="871" t="s">
        <v>2295</v>
      </c>
      <c r="B7" s="677" t="s">
        <v>2296</v>
      </c>
      <c r="C7" s="677">
        <f>IFERROR(VLOOKUP([6]Entidad!$B$12&amp;"-"&amp;'[6]Capacidad de Endeudamiento'!$A7,[6]DAF_Ley358!$A$2:$G$62,7,FALSE),0)</f>
        <v>0</v>
      </c>
      <c r="D7" s="677"/>
      <c r="E7" s="677"/>
      <c r="F7" s="677"/>
      <c r="G7" s="677"/>
      <c r="H7" s="677"/>
      <c r="I7" s="677"/>
      <c r="J7" s="677"/>
      <c r="K7" s="677"/>
      <c r="L7" s="677"/>
      <c r="M7" s="677"/>
      <c r="N7" s="677"/>
      <c r="O7" s="677"/>
    </row>
    <row r="8" spans="1:15" ht="33" x14ac:dyDescent="0.3">
      <c r="A8" s="871" t="s">
        <v>2297</v>
      </c>
      <c r="B8" s="680" t="s">
        <v>2298</v>
      </c>
      <c r="C8" s="680">
        <f>IFERROR(VLOOKUP([6]Entidad!$B$12&amp;"-"&amp;'[6]Capacidad de Endeudamiento'!$A8,[6]DAF_Ley358!$A$2:$G$62,7,FALSE),0)</f>
        <v>59025.309255</v>
      </c>
      <c r="D8" s="680">
        <f>+C8*(1+D2)</f>
        <v>60796.068532650002</v>
      </c>
      <c r="E8" s="680">
        <f t="shared" ref="E8:O8" si="3">+D8*(1+E2)</f>
        <v>62619.950588629501</v>
      </c>
      <c r="F8" s="680">
        <f t="shared" si="3"/>
        <v>64498.549106288388</v>
      </c>
      <c r="G8" s="680">
        <f t="shared" si="3"/>
        <v>66433.505579477045</v>
      </c>
      <c r="H8" s="680">
        <f t="shared" si="3"/>
        <v>68426.510746861357</v>
      </c>
      <c r="I8" s="680">
        <f t="shared" si="3"/>
        <v>70479.306069267201</v>
      </c>
      <c r="J8" s="680">
        <f t="shared" si="3"/>
        <v>72593.685251345218</v>
      </c>
      <c r="K8" s="680">
        <f t="shared" si="3"/>
        <v>74771.495808885578</v>
      </c>
      <c r="L8" s="680">
        <f t="shared" si="3"/>
        <v>77014.640683152145</v>
      </c>
      <c r="M8" s="680">
        <f t="shared" si="3"/>
        <v>79325.079903646707</v>
      </c>
      <c r="N8" s="680">
        <f t="shared" si="3"/>
        <v>81704.832300756112</v>
      </c>
      <c r="O8" s="680">
        <f t="shared" si="3"/>
        <v>81704.832300756112</v>
      </c>
    </row>
    <row r="9" spans="1:15" ht="33" x14ac:dyDescent="0.3">
      <c r="A9" s="871"/>
      <c r="B9" s="680" t="s">
        <v>2299</v>
      </c>
      <c r="C9" s="680">
        <f>C5-C8</f>
        <v>109997.65680236</v>
      </c>
      <c r="D9" s="680">
        <f t="shared" ref="D9:O9" si="4">D5-D8</f>
        <v>113297.58650643079</v>
      </c>
      <c r="E9" s="680">
        <f t="shared" si="4"/>
        <v>116696.51410162373</v>
      </c>
      <c r="F9" s="680">
        <f t="shared" si="4"/>
        <v>120197.40952467243</v>
      </c>
      <c r="G9" s="680">
        <f t="shared" si="4"/>
        <v>123803.33181041259</v>
      </c>
      <c r="H9" s="680">
        <f t="shared" si="4"/>
        <v>127517.43176472497</v>
      </c>
      <c r="I9" s="680">
        <f t="shared" si="4"/>
        <v>131342.95471766673</v>
      </c>
      <c r="J9" s="680">
        <f t="shared" si="4"/>
        <v>135283.24335919673</v>
      </c>
      <c r="K9" s="680">
        <f t="shared" si="4"/>
        <v>139341.74065997262</v>
      </c>
      <c r="L9" s="680">
        <f t="shared" si="4"/>
        <v>143521.9928797718</v>
      </c>
      <c r="M9" s="680">
        <f t="shared" si="4"/>
        <v>147827.65266616497</v>
      </c>
      <c r="N9" s="680">
        <f t="shared" si="4"/>
        <v>152262.48224614991</v>
      </c>
      <c r="O9" s="680">
        <f t="shared" si="4"/>
        <v>152262.48224614991</v>
      </c>
    </row>
    <row r="10" spans="1:15" ht="66" x14ac:dyDescent="0.3">
      <c r="A10" s="871"/>
      <c r="B10" s="680" t="s">
        <v>2300</v>
      </c>
      <c r="C10" s="680">
        <f t="shared" ref="C10:O10" si="5">C11-C16-C20+C21</f>
        <v>36903.460033500007</v>
      </c>
      <c r="D10" s="680">
        <f t="shared" si="5"/>
        <v>31194.836185950007</v>
      </c>
      <c r="E10" s="680">
        <f t="shared" si="5"/>
        <v>23892.804172670007</v>
      </c>
      <c r="F10" s="680">
        <f t="shared" si="5"/>
        <v>16772.804172670007</v>
      </c>
      <c r="G10" s="680">
        <f t="shared" si="5"/>
        <v>12320.804172670007</v>
      </c>
      <c r="H10" s="680">
        <f t="shared" si="5"/>
        <v>9605.8041726700067</v>
      </c>
      <c r="I10" s="680">
        <f t="shared" si="5"/>
        <v>6948.8041726700067</v>
      </c>
      <c r="J10" s="680">
        <f t="shared" si="5"/>
        <v>4291.8041726700067</v>
      </c>
      <c r="K10" s="680">
        <f t="shared" si="5"/>
        <v>1728.8041726700067</v>
      </c>
      <c r="L10" s="680">
        <f t="shared" si="5"/>
        <v>-0.1958273299933353</v>
      </c>
      <c r="M10" s="680">
        <f t="shared" si="5"/>
        <v>-0.1958273299933353</v>
      </c>
      <c r="N10" s="680">
        <f t="shared" si="5"/>
        <v>-0.1958273299933353</v>
      </c>
      <c r="O10" s="680">
        <f t="shared" si="5"/>
        <v>-0.1958273299933353</v>
      </c>
    </row>
    <row r="11" spans="1:15" ht="51" x14ac:dyDescent="0.3">
      <c r="A11" s="871"/>
      <c r="B11" s="677" t="s">
        <v>2301</v>
      </c>
      <c r="C11" s="677">
        <f>C12-C13+C14+C15</f>
        <v>45122.814033500006</v>
      </c>
      <c r="D11" s="677">
        <f t="shared" ref="D11:O11" si="6">D12-D13+D14+D15</f>
        <v>36903.460033500007</v>
      </c>
      <c r="E11" s="677">
        <f t="shared" si="6"/>
        <v>31194.836185950007</v>
      </c>
      <c r="F11" s="677">
        <f t="shared" si="6"/>
        <v>23892.804172670007</v>
      </c>
      <c r="G11" s="677">
        <f t="shared" si="6"/>
        <v>16772.804172670007</v>
      </c>
      <c r="H11" s="677">
        <f t="shared" si="6"/>
        <v>12320.804172670007</v>
      </c>
      <c r="I11" s="677">
        <f t="shared" si="6"/>
        <v>9605.8041726700067</v>
      </c>
      <c r="J11" s="677">
        <f t="shared" si="6"/>
        <v>6948.8041726700067</v>
      </c>
      <c r="K11" s="677">
        <f t="shared" si="6"/>
        <v>4291.8041726700067</v>
      </c>
      <c r="L11" s="677">
        <f t="shared" si="6"/>
        <v>1728.8041726700067</v>
      </c>
      <c r="M11" s="677">
        <f t="shared" si="6"/>
        <v>-0.1958273299933353</v>
      </c>
      <c r="N11" s="677">
        <f t="shared" si="6"/>
        <v>-0.1958273299933353</v>
      </c>
      <c r="O11" s="677">
        <f t="shared" si="6"/>
        <v>-0.1958273299933353</v>
      </c>
    </row>
    <row r="12" spans="1:15" ht="51" x14ac:dyDescent="0.3">
      <c r="A12" s="871" t="s">
        <v>2302</v>
      </c>
      <c r="B12" s="677" t="s">
        <v>2303</v>
      </c>
      <c r="C12" s="677">
        <f>IFERROR(VLOOKUP([6]Entidad!$B$12&amp;"-"&amp;'[6]Capacidad de Endeudamiento'!$A12,[6]DAF_Ley358!$A$2:$G$62,7,FALSE),0)</f>
        <v>35169.156000000003</v>
      </c>
      <c r="D12" s="677">
        <f>+C10</f>
        <v>36903.460033500007</v>
      </c>
      <c r="E12" s="677">
        <f t="shared" ref="E12:O12" si="7">+D10</f>
        <v>31194.836185950007</v>
      </c>
      <c r="F12" s="677">
        <f t="shared" si="7"/>
        <v>23892.804172670007</v>
      </c>
      <c r="G12" s="677">
        <f t="shared" si="7"/>
        <v>16772.804172670007</v>
      </c>
      <c r="H12" s="677">
        <f t="shared" si="7"/>
        <v>12320.804172670007</v>
      </c>
      <c r="I12" s="677">
        <f t="shared" si="7"/>
        <v>9605.8041726700067</v>
      </c>
      <c r="J12" s="677">
        <f t="shared" si="7"/>
        <v>6948.8041726700067</v>
      </c>
      <c r="K12" s="677">
        <f t="shared" si="7"/>
        <v>4291.8041726700067</v>
      </c>
      <c r="L12" s="677">
        <f t="shared" si="7"/>
        <v>1728.8041726700067</v>
      </c>
      <c r="M12" s="677">
        <f t="shared" si="7"/>
        <v>-0.1958273299933353</v>
      </c>
      <c r="N12" s="677">
        <f t="shared" si="7"/>
        <v>-0.1958273299933353</v>
      </c>
      <c r="O12" s="677">
        <f t="shared" si="7"/>
        <v>-0.1958273299933353</v>
      </c>
    </row>
    <row r="13" spans="1:15" ht="76.5" x14ac:dyDescent="0.3">
      <c r="A13" s="871" t="s">
        <v>2304</v>
      </c>
      <c r="B13" s="677" t="s">
        <v>2305</v>
      </c>
      <c r="C13" s="677">
        <f>IFERROR(VLOOKUP([6]Entidad!$B$12&amp;"-"&amp;'[6]Capacidad de Endeudamiento'!$A13,[6]DAF_Ley358!$A$2:$G$62,7,FALSE),0)</f>
        <v>0</v>
      </c>
      <c r="D13" s="677"/>
      <c r="E13" s="677"/>
      <c r="F13" s="677"/>
      <c r="G13" s="677"/>
      <c r="H13" s="677"/>
      <c r="I13" s="677"/>
      <c r="J13" s="677"/>
      <c r="K13" s="677"/>
      <c r="L13" s="677"/>
      <c r="M13" s="677"/>
      <c r="N13" s="677"/>
      <c r="O13" s="677"/>
    </row>
    <row r="14" spans="1:15" ht="51" x14ac:dyDescent="0.3">
      <c r="A14" s="871"/>
      <c r="B14" s="677" t="s">
        <v>2306</v>
      </c>
      <c r="C14" s="677"/>
      <c r="D14" s="677"/>
      <c r="E14" s="677"/>
      <c r="F14" s="677"/>
      <c r="G14" s="677"/>
      <c r="H14" s="677"/>
      <c r="I14" s="677"/>
      <c r="J14" s="677"/>
      <c r="K14" s="677"/>
      <c r="L14" s="677"/>
      <c r="M14" s="677"/>
      <c r="N14" s="677"/>
      <c r="O14" s="677"/>
    </row>
    <row r="15" spans="1:15" ht="51" x14ac:dyDescent="0.3">
      <c r="A15" s="871"/>
      <c r="B15" s="677" t="s">
        <v>2307</v>
      </c>
      <c r="C15" s="677">
        <f>+'[6]Plan Financiero'!G101</f>
        <v>9953.6580334999999</v>
      </c>
      <c r="D15" s="677"/>
      <c r="E15" s="677"/>
      <c r="F15" s="677"/>
      <c r="G15" s="677"/>
      <c r="H15" s="677"/>
      <c r="I15" s="677"/>
      <c r="J15" s="677"/>
      <c r="K15" s="677"/>
      <c r="L15" s="677"/>
      <c r="M15" s="677"/>
      <c r="N15" s="677"/>
      <c r="O15" s="677"/>
    </row>
    <row r="16" spans="1:15" ht="38.25" x14ac:dyDescent="0.3">
      <c r="A16" s="871"/>
      <c r="B16" s="677" t="s">
        <v>2308</v>
      </c>
      <c r="C16" s="677">
        <f>C17-C18+C19</f>
        <v>8219.3539999999994</v>
      </c>
      <c r="D16" s="677">
        <f t="shared" ref="D16:O16" si="8">D17-D18+D19</f>
        <v>5708.6238475499995</v>
      </c>
      <c r="E16" s="677">
        <f t="shared" si="8"/>
        <v>7302.0320132799998</v>
      </c>
      <c r="F16" s="677">
        <f t="shared" si="8"/>
        <v>7120</v>
      </c>
      <c r="G16" s="677">
        <f t="shared" si="8"/>
        <v>4452</v>
      </c>
      <c r="H16" s="677">
        <f t="shared" si="8"/>
        <v>2715</v>
      </c>
      <c r="I16" s="677">
        <f t="shared" si="8"/>
        <v>2657</v>
      </c>
      <c r="J16" s="677">
        <f t="shared" si="8"/>
        <v>2657</v>
      </c>
      <c r="K16" s="677">
        <f t="shared" si="8"/>
        <v>2563</v>
      </c>
      <c r="L16" s="677">
        <f t="shared" si="8"/>
        <v>1729</v>
      </c>
      <c r="M16" s="677">
        <f t="shared" si="8"/>
        <v>0</v>
      </c>
      <c r="N16" s="677">
        <f t="shared" si="8"/>
        <v>0</v>
      </c>
      <c r="O16" s="677">
        <f t="shared" si="8"/>
        <v>0</v>
      </c>
    </row>
    <row r="17" spans="1:15" ht="51" x14ac:dyDescent="0.3">
      <c r="A17" s="871" t="s">
        <v>2309</v>
      </c>
      <c r="B17" s="677" t="s">
        <v>2310</v>
      </c>
      <c r="C17" s="677">
        <f>IFERROR(VLOOKUP([6]Entidad!$B$12&amp;"-"&amp;'[6]Capacidad de Endeudamiento'!$A17,[6]DAF_Ley358!$A$2:$G$62,7,FALSE),0)</f>
        <v>8219.3539999999994</v>
      </c>
      <c r="D17" s="677">
        <v>5708.6238475499995</v>
      </c>
      <c r="E17" s="677">
        <v>7302.0320132799998</v>
      </c>
      <c r="F17" s="677">
        <v>7120</v>
      </c>
      <c r="G17" s="677">
        <v>4452</v>
      </c>
      <c r="H17" s="677">
        <v>2715</v>
      </c>
      <c r="I17" s="677">
        <v>2657</v>
      </c>
      <c r="J17" s="677">
        <v>2657</v>
      </c>
      <c r="K17" s="677">
        <v>2563</v>
      </c>
      <c r="L17" s="677">
        <f>2285-556</f>
        <v>1729</v>
      </c>
      <c r="M17" s="677"/>
      <c r="N17" s="677"/>
      <c r="O17" s="677"/>
    </row>
    <row r="18" spans="1:15" ht="51" x14ac:dyDescent="0.3">
      <c r="A18" s="871" t="s">
        <v>2311</v>
      </c>
      <c r="B18" s="677" t="s">
        <v>2312</v>
      </c>
      <c r="C18" s="677">
        <f>IFERROR(VLOOKUP([6]Entidad!$B$12&amp;"-"&amp;'[6]Capacidad de Endeudamiento'!$A18,[6]DAF_Ley358!$A$2:$G$62,7,FALSE),0)</f>
        <v>0</v>
      </c>
      <c r="D18" s="677"/>
      <c r="E18" s="677"/>
      <c r="F18" s="677"/>
      <c r="G18" s="677"/>
      <c r="H18" s="677"/>
      <c r="I18" s="677"/>
      <c r="J18" s="677"/>
      <c r="K18" s="677"/>
      <c r="L18" s="677"/>
      <c r="M18" s="677"/>
      <c r="N18" s="677"/>
      <c r="O18" s="677"/>
    </row>
    <row r="19" spans="1:15" ht="38.25" x14ac:dyDescent="0.3">
      <c r="A19" s="871"/>
      <c r="B19" s="677" t="s">
        <v>2313</v>
      </c>
      <c r="C19" s="677"/>
      <c r="D19" s="677"/>
      <c r="E19" s="677"/>
      <c r="F19" s="677"/>
      <c r="G19" s="677"/>
      <c r="H19" s="677"/>
      <c r="I19" s="677"/>
      <c r="J19" s="677"/>
      <c r="K19" s="677"/>
      <c r="L19" s="677"/>
      <c r="M19" s="677"/>
      <c r="N19" s="677"/>
      <c r="O19" s="677"/>
    </row>
    <row r="20" spans="1:15" ht="25.5" x14ac:dyDescent="0.3">
      <c r="A20" s="871" t="s">
        <v>2314</v>
      </c>
      <c r="B20" s="677" t="s">
        <v>2315</v>
      </c>
      <c r="C20" s="677">
        <f>IFERROR(VLOOKUP([6]Entidad!$B$12&amp;"-"&amp;'[6]Capacidad de Endeudamiento'!$A20,[6]DAF_Ley358!$A$2:$G$62,7,FALSE),0)</f>
        <v>0</v>
      </c>
      <c r="D20" s="677"/>
      <c r="E20" s="677"/>
      <c r="F20" s="677"/>
      <c r="G20" s="677"/>
      <c r="H20" s="677"/>
      <c r="I20" s="677"/>
      <c r="J20" s="677"/>
      <c r="K20" s="677"/>
      <c r="L20" s="677"/>
      <c r="M20" s="677"/>
      <c r="N20" s="677"/>
      <c r="O20" s="677"/>
    </row>
    <row r="21" spans="1:15" ht="38.25" x14ac:dyDescent="0.3">
      <c r="A21" s="871" t="s">
        <v>2316</v>
      </c>
      <c r="B21" s="677" t="s">
        <v>2317</v>
      </c>
      <c r="C21" s="677">
        <f>IFERROR(VLOOKUP([6]Entidad!$B$12&amp;"-"&amp;'[6]Capacidad de Endeudamiento'!$A21,[6]DAF_Ley358!$A$2:$G$62,7,FALSE),0)</f>
        <v>0</v>
      </c>
      <c r="D21" s="677"/>
      <c r="E21" s="677"/>
      <c r="F21" s="677"/>
      <c r="G21" s="677"/>
      <c r="H21" s="677"/>
      <c r="I21" s="677"/>
      <c r="J21" s="677"/>
      <c r="K21" s="677"/>
      <c r="L21" s="677"/>
      <c r="M21" s="677"/>
      <c r="N21" s="677"/>
      <c r="O21" s="677"/>
    </row>
    <row r="22" spans="1:15" ht="49.5" x14ac:dyDescent="0.3">
      <c r="A22" s="871"/>
      <c r="B22" s="680" t="s">
        <v>2318</v>
      </c>
      <c r="C22" s="680">
        <f>C23-C24+C25</f>
        <v>2917.7489999999998</v>
      </c>
      <c r="D22" s="680">
        <f t="shared" ref="D22:O22" si="9">D23-D24+D25</f>
        <v>1398.2770912400001</v>
      </c>
      <c r="E22" s="680">
        <f t="shared" si="9"/>
        <v>2668.4567991100002</v>
      </c>
      <c r="F22" s="680">
        <f t="shared" si="9"/>
        <v>1353</v>
      </c>
      <c r="G22" s="680">
        <f t="shared" si="9"/>
        <v>846</v>
      </c>
      <c r="H22" s="680">
        <f t="shared" si="9"/>
        <v>516</v>
      </c>
      <c r="I22" s="680">
        <f t="shared" si="9"/>
        <v>505</v>
      </c>
      <c r="J22" s="680">
        <f t="shared" si="9"/>
        <v>505</v>
      </c>
      <c r="K22" s="680">
        <f t="shared" si="9"/>
        <v>487</v>
      </c>
      <c r="L22" s="680">
        <f t="shared" si="9"/>
        <v>434</v>
      </c>
      <c r="M22" s="680">
        <f t="shared" si="9"/>
        <v>0</v>
      </c>
      <c r="N22" s="680">
        <f t="shared" si="9"/>
        <v>0</v>
      </c>
      <c r="O22" s="680">
        <f t="shared" si="9"/>
        <v>0</v>
      </c>
    </row>
    <row r="23" spans="1:15" ht="25.5" x14ac:dyDescent="0.3">
      <c r="A23" s="871" t="s">
        <v>2319</v>
      </c>
      <c r="B23" s="677" t="s">
        <v>2320</v>
      </c>
      <c r="C23" s="677">
        <f>IFERROR(VLOOKUP([6]Entidad!$B$12&amp;"-"&amp;'[6]Capacidad de Endeudamiento'!$A23,[6]DAF_Ley358!$A$2:$G$62,7,FALSE),0)</f>
        <v>2917.7489999999998</v>
      </c>
      <c r="D23" s="677">
        <v>1398.2770912400001</v>
      </c>
      <c r="E23" s="677">
        <v>2668.4567991100002</v>
      </c>
      <c r="F23" s="677">
        <v>1353</v>
      </c>
      <c r="G23" s="677">
        <v>846</v>
      </c>
      <c r="H23" s="677">
        <v>516</v>
      </c>
      <c r="I23" s="677">
        <v>505</v>
      </c>
      <c r="J23" s="677">
        <v>505</v>
      </c>
      <c r="K23" s="677">
        <v>487</v>
      </c>
      <c r="L23" s="677">
        <v>434</v>
      </c>
      <c r="M23" s="677"/>
      <c r="N23" s="677"/>
      <c r="O23" s="677"/>
    </row>
    <row r="24" spans="1:15" ht="38.25" x14ac:dyDescent="0.3">
      <c r="A24" s="871" t="s">
        <v>2321</v>
      </c>
      <c r="B24" s="677" t="s">
        <v>2322</v>
      </c>
      <c r="C24" s="677">
        <f>IFERROR(VLOOKUP([6]Entidad!$B$12&amp;"-"&amp;'[6]Capacidad de Endeudamiento'!$A24,[6]DAF_Ley358!$A$2:$G$62,7,FALSE),0)</f>
        <v>0</v>
      </c>
      <c r="D24" s="677"/>
      <c r="E24" s="677"/>
      <c r="F24" s="677"/>
      <c r="G24" s="677"/>
      <c r="H24" s="677"/>
      <c r="I24" s="677"/>
      <c r="J24" s="677"/>
      <c r="K24" s="677"/>
      <c r="L24" s="677"/>
      <c r="M24" s="677"/>
      <c r="N24" s="677"/>
      <c r="O24" s="677"/>
    </row>
    <row r="25" spans="1:15" ht="25.5" x14ac:dyDescent="0.3">
      <c r="A25" s="871"/>
      <c r="B25" s="677" t="s">
        <v>2323</v>
      </c>
      <c r="C25" s="677"/>
      <c r="D25" s="677"/>
      <c r="E25" s="677"/>
      <c r="F25" s="677"/>
      <c r="G25" s="677"/>
      <c r="H25" s="677"/>
      <c r="I25" s="677"/>
      <c r="J25" s="677"/>
      <c r="K25" s="677"/>
      <c r="L25" s="677"/>
      <c r="M25" s="677"/>
      <c r="N25" s="677"/>
      <c r="O25" s="677"/>
    </row>
    <row r="26" spans="1:15" ht="63.75" x14ac:dyDescent="0.3">
      <c r="A26" s="871"/>
      <c r="B26" s="678" t="s">
        <v>2324</v>
      </c>
      <c r="C26" s="678">
        <f>(C22/C9)</f>
        <v>2.6525555951091857E-2</v>
      </c>
      <c r="D26" s="678">
        <f t="shared" ref="D26:O26" si="10">D22/D9</f>
        <v>1.2341631753652878E-2</v>
      </c>
      <c r="E26" s="678">
        <f t="shared" si="10"/>
        <v>2.2866636759913902E-2</v>
      </c>
      <c r="F26" s="678">
        <f t="shared" si="10"/>
        <v>1.125648219333941E-2</v>
      </c>
      <c r="G26" s="678">
        <f t="shared" si="10"/>
        <v>6.8334186780653859E-3</v>
      </c>
      <c r="H26" s="678">
        <f t="shared" si="10"/>
        <v>4.0465055864051724E-3</v>
      </c>
      <c r="I26" s="678">
        <f t="shared" si="10"/>
        <v>3.844895990695063E-3</v>
      </c>
      <c r="J26" s="678">
        <f t="shared" si="10"/>
        <v>3.7329087288301582E-3</v>
      </c>
      <c r="K26" s="678">
        <f t="shared" si="10"/>
        <v>3.4950044236091264E-3</v>
      </c>
      <c r="L26" s="678">
        <f t="shared" si="10"/>
        <v>3.0239267954114968E-3</v>
      </c>
      <c r="M26" s="678">
        <f t="shared" si="10"/>
        <v>0</v>
      </c>
      <c r="N26" s="678">
        <f t="shared" si="10"/>
        <v>0</v>
      </c>
      <c r="O26" s="678">
        <f t="shared" si="10"/>
        <v>0</v>
      </c>
    </row>
    <row r="27" spans="1:15" ht="63.75" x14ac:dyDescent="0.3">
      <c r="A27" s="871"/>
      <c r="B27" s="678" t="s">
        <v>2325</v>
      </c>
      <c r="C27" s="678">
        <f>C10/C5</f>
        <v>0.21833399859387373</v>
      </c>
      <c r="D27" s="678">
        <f t="shared" ref="D27:O27" si="11">D10/D5</f>
        <v>0.17918422230234263</v>
      </c>
      <c r="E27" s="678">
        <f t="shared" si="11"/>
        <v>0.13324378335219714</v>
      </c>
      <c r="F27" s="678">
        <f t="shared" si="11"/>
        <v>9.0813054584391761E-2</v>
      </c>
      <c r="G27" s="678">
        <f t="shared" si="11"/>
        <v>6.4765606607612838E-2</v>
      </c>
      <c r="H27" s="678">
        <f t="shared" si="11"/>
        <v>4.9023225977511437E-2</v>
      </c>
      <c r="I27" s="678">
        <f t="shared" si="11"/>
        <v>3.4430315791606055E-2</v>
      </c>
      <c r="J27" s="678">
        <f t="shared" si="11"/>
        <v>2.0645889860681534E-2</v>
      </c>
      <c r="K27" s="678">
        <f t="shared" si="11"/>
        <v>8.0742517425888023E-3</v>
      </c>
      <c r="L27" s="678">
        <f t="shared" si="11"/>
        <v>-8.8795828080626544E-7</v>
      </c>
      <c r="M27" s="678">
        <f t="shared" si="11"/>
        <v>-8.6209541825851009E-7</v>
      </c>
      <c r="N27" s="678">
        <f t="shared" si="11"/>
        <v>-8.3698584296942729E-7</v>
      </c>
      <c r="O27" s="678">
        <f t="shared" si="11"/>
        <v>-8.3698584296942729E-7</v>
      </c>
    </row>
    <row r="28" spans="1:15" ht="38.25" x14ac:dyDescent="0.3">
      <c r="A28" s="871"/>
      <c r="B28" s="678" t="s">
        <v>2326</v>
      </c>
      <c r="C28" s="678" t="str">
        <f>IF(C9&lt;0,"AHORRO NEGATIVO",IF(C27&gt;0.8,"ROJO",IF(C26&gt;0.4,"ROJO","VERDE")))</f>
        <v>VERDE</v>
      </c>
      <c r="D28" s="692" t="str">
        <f t="shared" ref="D28:O28" si="12">IF(D9&lt;0,"AHORRO NEGATIVO",IF(D27&gt;0.8,"ROJO",IF(D26&gt;0.4,"ROJO","VERDE")))</f>
        <v>VERDE</v>
      </c>
      <c r="E28" s="692" t="str">
        <f t="shared" si="12"/>
        <v>VERDE</v>
      </c>
      <c r="F28" s="692" t="str">
        <f t="shared" si="12"/>
        <v>VERDE</v>
      </c>
      <c r="G28" s="692" t="str">
        <f t="shared" si="12"/>
        <v>VERDE</v>
      </c>
      <c r="H28" s="692" t="str">
        <f t="shared" si="12"/>
        <v>VERDE</v>
      </c>
      <c r="I28" s="692" t="str">
        <f t="shared" si="12"/>
        <v>VERDE</v>
      </c>
      <c r="J28" s="692" t="str">
        <f t="shared" si="12"/>
        <v>VERDE</v>
      </c>
      <c r="K28" s="692" t="str">
        <f t="shared" si="12"/>
        <v>VERDE</v>
      </c>
      <c r="L28" s="692" t="str">
        <f t="shared" si="12"/>
        <v>VERDE</v>
      </c>
      <c r="M28" s="692" t="str">
        <f t="shared" si="12"/>
        <v>VERDE</v>
      </c>
      <c r="N28" s="692" t="str">
        <f t="shared" si="12"/>
        <v>VERDE</v>
      </c>
      <c r="O28" s="692" t="str">
        <f t="shared" si="12"/>
        <v>VERDE</v>
      </c>
    </row>
    <row r="29" spans="1:15" ht="38.25" x14ac:dyDescent="0.3">
      <c r="A29" s="871"/>
      <c r="B29" s="682" t="s">
        <v>2326</v>
      </c>
      <c r="C29" s="682">
        <f>IF(C28="VERDE",1,0)</f>
        <v>1</v>
      </c>
      <c r="D29" s="683">
        <f t="shared" ref="D29:O29" si="13">IF(D28="VERDE",1,0)</f>
        <v>1</v>
      </c>
      <c r="E29" s="683">
        <f t="shared" si="13"/>
        <v>1</v>
      </c>
      <c r="F29" s="683">
        <f t="shared" si="13"/>
        <v>1</v>
      </c>
      <c r="G29" s="683">
        <f t="shared" si="13"/>
        <v>1</v>
      </c>
      <c r="H29" s="683">
        <f t="shared" si="13"/>
        <v>1</v>
      </c>
      <c r="I29" s="683">
        <f t="shared" si="13"/>
        <v>1</v>
      </c>
      <c r="J29" s="683">
        <f t="shared" si="13"/>
        <v>1</v>
      </c>
      <c r="K29" s="683">
        <f t="shared" si="13"/>
        <v>1</v>
      </c>
      <c r="L29" s="683">
        <f t="shared" si="13"/>
        <v>1</v>
      </c>
      <c r="M29" s="683">
        <f t="shared" si="13"/>
        <v>1</v>
      </c>
      <c r="N29" s="683">
        <f t="shared" si="13"/>
        <v>1</v>
      </c>
      <c r="O29" s="683">
        <f t="shared" si="13"/>
        <v>1</v>
      </c>
    </row>
    <row r="30" spans="1:15" ht="6" customHeight="1" x14ac:dyDescent="0.3">
      <c r="B30" s="685"/>
      <c r="C30" s="685"/>
      <c r="D30" s="685"/>
      <c r="E30" s="685"/>
      <c r="F30" s="685"/>
      <c r="G30" s="685"/>
      <c r="H30" s="685"/>
      <c r="I30" s="685"/>
      <c r="J30" s="685"/>
      <c r="K30" s="685"/>
      <c r="L30" s="685"/>
      <c r="M30" s="685"/>
      <c r="N30" s="685"/>
      <c r="O30" s="685"/>
    </row>
    <row r="31" spans="1:15" ht="63.75" x14ac:dyDescent="0.3">
      <c r="B31" s="684" t="s">
        <v>2328</v>
      </c>
      <c r="C31" s="684">
        <f t="shared" ref="C31:O31" si="14">+C38/C9</f>
        <v>4.618099291085092E-2</v>
      </c>
      <c r="D31" s="684">
        <f t="shared" si="14"/>
        <v>2.1486780883109666E-2</v>
      </c>
      <c r="E31" s="684">
        <f t="shared" si="14"/>
        <v>3.9810814599010098E-2</v>
      </c>
      <c r="F31" s="684">
        <f t="shared" si="14"/>
        <v>1.9597535498603911E-2</v>
      </c>
      <c r="G31" s="684">
        <f t="shared" si="14"/>
        <v>1.1896981918511837E-2</v>
      </c>
      <c r="H31" s="684">
        <f t="shared" si="14"/>
        <v>7.0449662259314053E-3</v>
      </c>
      <c r="I31" s="684">
        <f t="shared" si="14"/>
        <v>6.6939639198001048E-3</v>
      </c>
      <c r="J31" s="684">
        <f t="shared" si="14"/>
        <v>6.4989940968933069E-3</v>
      </c>
      <c r="K31" s="684">
        <f t="shared" si="14"/>
        <v>6.0848027015034901E-3</v>
      </c>
      <c r="L31" s="684">
        <f t="shared" si="14"/>
        <v>5.2646565508114159E-3</v>
      </c>
      <c r="M31" s="684">
        <f t="shared" si="14"/>
        <v>0</v>
      </c>
      <c r="N31" s="684">
        <f t="shared" si="14"/>
        <v>0</v>
      </c>
      <c r="O31" s="684">
        <f t="shared" si="14"/>
        <v>0</v>
      </c>
    </row>
    <row r="32" spans="1:15" ht="63.75" x14ac:dyDescent="0.3">
      <c r="B32" s="682" t="s">
        <v>2329</v>
      </c>
      <c r="C32" s="682">
        <f t="shared" ref="C32:O32" si="15">+C51/C5</f>
        <v>0.20807231597193113</v>
      </c>
      <c r="D32" s="682">
        <f t="shared" si="15"/>
        <v>0.21197475591638226</v>
      </c>
      <c r="E32" s="682">
        <f t="shared" si="15"/>
        <v>0.17396526437120644</v>
      </c>
      <c r="F32" s="682">
        <f t="shared" si="15"/>
        <v>0.12936289645844382</v>
      </c>
      <c r="G32" s="682">
        <f t="shared" si="15"/>
        <v>8.8168014159603653E-2</v>
      </c>
      <c r="H32" s="682">
        <f t="shared" si="15"/>
        <v>6.287922971612897E-2</v>
      </c>
      <c r="I32" s="682">
        <f t="shared" si="15"/>
        <v>4.7595365026710135E-2</v>
      </c>
      <c r="J32" s="682">
        <f t="shared" si="15"/>
        <v>3.3428433094751811E-2</v>
      </c>
      <c r="K32" s="682">
        <f t="shared" si="15"/>
        <v>2.0045467859826836E-2</v>
      </c>
      <c r="L32" s="682">
        <f t="shared" si="15"/>
        <v>7.8399673200175071E-3</v>
      </c>
      <c r="M32" s="682">
        <f t="shared" si="15"/>
        <v>0</v>
      </c>
      <c r="N32" s="682">
        <f t="shared" si="15"/>
        <v>0</v>
      </c>
      <c r="O32" s="682">
        <f t="shared" si="15"/>
        <v>0</v>
      </c>
    </row>
    <row r="33" spans="2:15" ht="6" customHeight="1" x14ac:dyDescent="0.3">
      <c r="B33" s="685"/>
      <c r="C33" s="685"/>
      <c r="D33" s="685"/>
      <c r="E33" s="685"/>
      <c r="F33" s="685"/>
      <c r="G33" s="685"/>
      <c r="H33" s="685"/>
      <c r="I33" s="685"/>
      <c r="J33" s="685"/>
      <c r="K33" s="685"/>
      <c r="L33" s="685"/>
      <c r="M33" s="685"/>
      <c r="N33" s="685"/>
      <c r="O33" s="685"/>
    </row>
    <row r="34" spans="2:15" ht="76.5" customHeight="1" x14ac:dyDescent="0.3">
      <c r="B34" s="738" t="s">
        <v>2330</v>
      </c>
      <c r="C34" s="738">
        <f>+[6]Entidad!B14</f>
        <v>2019</v>
      </c>
      <c r="D34" s="738">
        <f>+[6]Entidad!B14+1</f>
        <v>2020</v>
      </c>
      <c r="E34" s="738">
        <f>+D34+1</f>
        <v>2021</v>
      </c>
      <c r="F34" s="738">
        <f t="shared" ref="F34:O34" si="16">+E34+1</f>
        <v>2022</v>
      </c>
      <c r="G34" s="738">
        <f t="shared" si="16"/>
        <v>2023</v>
      </c>
      <c r="H34" s="738">
        <f t="shared" si="16"/>
        <v>2024</v>
      </c>
      <c r="I34" s="738">
        <f t="shared" si="16"/>
        <v>2025</v>
      </c>
      <c r="J34" s="738">
        <f t="shared" si="16"/>
        <v>2026</v>
      </c>
      <c r="K34" s="738">
        <f t="shared" si="16"/>
        <v>2027</v>
      </c>
      <c r="L34" s="738">
        <f t="shared" si="16"/>
        <v>2028</v>
      </c>
      <c r="M34" s="738">
        <f t="shared" si="16"/>
        <v>2029</v>
      </c>
      <c r="N34" s="738">
        <f t="shared" si="16"/>
        <v>2030</v>
      </c>
      <c r="O34" s="738">
        <f t="shared" si="16"/>
        <v>2031</v>
      </c>
    </row>
    <row r="35" spans="2:15" ht="66" x14ac:dyDescent="0.3">
      <c r="B35" s="680" t="s">
        <v>2331</v>
      </c>
      <c r="C35" s="680">
        <f>+C22/IFERROR(VLOOKUP([6]Entidad!$B$12,[6]DAF_SaldoDeuda!$B$2:$D$717,3,FALSE),0)</f>
        <v>8.2963293176555042E-2</v>
      </c>
      <c r="D35" s="680">
        <f>+D22/C10</f>
        <v>3.7890135233137501E-2</v>
      </c>
      <c r="E35" s="680">
        <f t="shared" ref="E35:O35" si="17">+E22/D10</f>
        <v>8.5541619234784094E-2</v>
      </c>
      <c r="F35" s="680">
        <f t="shared" si="17"/>
        <v>5.6627928234042987E-2</v>
      </c>
      <c r="G35" s="680">
        <f t="shared" si="17"/>
        <v>5.0438793137434462E-2</v>
      </c>
      <c r="H35" s="680">
        <f t="shared" si="17"/>
        <v>4.1880383193216443E-2</v>
      </c>
      <c r="I35" s="680">
        <f t="shared" si="17"/>
        <v>5.257238133552658E-2</v>
      </c>
      <c r="J35" s="680">
        <f t="shared" si="17"/>
        <v>7.2674374964571631E-2</v>
      </c>
      <c r="K35" s="680">
        <f t="shared" si="17"/>
        <v>0.11347209248296825</v>
      </c>
      <c r="L35" s="680">
        <f t="shared" si="17"/>
        <v>0.25104057871963598</v>
      </c>
      <c r="M35" s="680">
        <f t="shared" si="17"/>
        <v>0</v>
      </c>
      <c r="N35" s="680">
        <f t="shared" si="17"/>
        <v>0</v>
      </c>
      <c r="O35" s="680">
        <f t="shared" si="17"/>
        <v>0</v>
      </c>
    </row>
    <row r="36" spans="2:15" ht="66" x14ac:dyDescent="0.3">
      <c r="B36" s="680" t="s">
        <v>2332</v>
      </c>
      <c r="C36" s="680">
        <v>0.74099999999999999</v>
      </c>
      <c r="D36" s="680">
        <v>0.74099999999999999</v>
      </c>
      <c r="E36" s="680">
        <v>0.74099999999999999</v>
      </c>
      <c r="F36" s="680">
        <v>0.74099999999999999</v>
      </c>
      <c r="G36" s="680">
        <v>0.74099999999999999</v>
      </c>
      <c r="H36" s="680">
        <v>0.74099999999999999</v>
      </c>
      <c r="I36" s="680">
        <v>0.74099999999999999</v>
      </c>
      <c r="J36" s="680">
        <v>0.74099999999999999</v>
      </c>
      <c r="K36" s="680">
        <v>0.74099999999999999</v>
      </c>
      <c r="L36" s="680">
        <v>0.74099999999999999</v>
      </c>
      <c r="M36" s="680">
        <v>0.74099999999999999</v>
      </c>
      <c r="N36" s="680">
        <v>0.74099999999999999</v>
      </c>
      <c r="O36" s="680">
        <v>0.74099999999999999</v>
      </c>
    </row>
    <row r="37" spans="2:15" ht="66" x14ac:dyDescent="0.3">
      <c r="B37" s="680" t="s">
        <v>2333</v>
      </c>
      <c r="C37" s="680">
        <f>C35*(1+C36)</f>
        <v>0.14443909342038233</v>
      </c>
      <c r="D37" s="680">
        <f t="shared" ref="D37:O37" si="18">D35*(1+D36)</f>
        <v>6.5966725440892396E-2</v>
      </c>
      <c r="E37" s="680">
        <f t="shared" si="18"/>
        <v>0.1489279590877591</v>
      </c>
      <c r="F37" s="680">
        <f t="shared" si="18"/>
        <v>9.8589223055468841E-2</v>
      </c>
      <c r="G37" s="680">
        <f t="shared" si="18"/>
        <v>8.7813938852273399E-2</v>
      </c>
      <c r="H37" s="680">
        <f t="shared" si="18"/>
        <v>7.2913747139389834E-2</v>
      </c>
      <c r="I37" s="680">
        <f t="shared" si="18"/>
        <v>9.1528515905151778E-2</v>
      </c>
      <c r="J37" s="680">
        <f t="shared" si="18"/>
        <v>0.12652608681331923</v>
      </c>
      <c r="K37" s="680">
        <f t="shared" si="18"/>
        <v>0.19755491301284772</v>
      </c>
      <c r="L37" s="680">
        <f t="shared" si="18"/>
        <v>0.43706164755088628</v>
      </c>
      <c r="M37" s="680">
        <f t="shared" si="18"/>
        <v>0</v>
      </c>
      <c r="N37" s="680">
        <f t="shared" si="18"/>
        <v>0</v>
      </c>
      <c r="O37" s="680">
        <f t="shared" si="18"/>
        <v>0</v>
      </c>
    </row>
    <row r="38" spans="2:15" ht="82.5" x14ac:dyDescent="0.3">
      <c r="B38" s="687" t="s">
        <v>2334</v>
      </c>
      <c r="C38" s="687">
        <f>IFERROR(VLOOKUP([6]Entidad!$B$12,[6]DAF_SaldoDeuda!$B$2:$D$717,3,FALSE),0)*'[6]Capacidad de Endeudamiento'!C37</f>
        <v>5079.8010089999998</v>
      </c>
      <c r="D38" s="687">
        <f>+C10*D37</f>
        <v>2434.4004158488406</v>
      </c>
      <c r="E38" s="687">
        <f t="shared" ref="E38:O38" si="19">+D10*E37</f>
        <v>4645.7832872505096</v>
      </c>
      <c r="F38" s="687">
        <f t="shared" si="19"/>
        <v>2355.5729999999999</v>
      </c>
      <c r="G38" s="687">
        <f t="shared" si="19"/>
        <v>1472.886</v>
      </c>
      <c r="H38" s="687">
        <f t="shared" si="19"/>
        <v>898.35599999999999</v>
      </c>
      <c r="I38" s="687">
        <f t="shared" si="19"/>
        <v>879.20500000000004</v>
      </c>
      <c r="J38" s="687">
        <f t="shared" si="19"/>
        <v>879.20500000000015</v>
      </c>
      <c r="K38" s="687">
        <f t="shared" si="19"/>
        <v>847.86700000000008</v>
      </c>
      <c r="L38" s="687">
        <f t="shared" si="19"/>
        <v>755.59400000000005</v>
      </c>
      <c r="M38" s="687">
        <f t="shared" si="19"/>
        <v>0</v>
      </c>
      <c r="N38" s="687">
        <f t="shared" si="19"/>
        <v>0</v>
      </c>
      <c r="O38" s="687">
        <f t="shared" si="19"/>
        <v>0</v>
      </c>
    </row>
    <row r="39" spans="2:15" ht="6" customHeight="1" x14ac:dyDescent="0.3">
      <c r="B39" s="685"/>
      <c r="C39" s="685"/>
      <c r="D39" s="685"/>
      <c r="E39" s="685"/>
      <c r="F39" s="685"/>
      <c r="G39" s="685"/>
      <c r="H39" s="685"/>
      <c r="I39" s="685"/>
      <c r="J39" s="685"/>
      <c r="K39" s="685"/>
      <c r="L39" s="685"/>
      <c r="M39" s="685"/>
      <c r="N39" s="685"/>
      <c r="O39" s="685"/>
    </row>
    <row r="40" spans="2:15" ht="6" customHeight="1" x14ac:dyDescent="0.3">
      <c r="B40" s="685"/>
      <c r="C40" s="685"/>
      <c r="D40" s="685"/>
      <c r="E40" s="685"/>
      <c r="F40" s="685"/>
      <c r="G40" s="685"/>
      <c r="H40" s="685"/>
      <c r="I40" s="685"/>
      <c r="J40" s="685"/>
      <c r="K40" s="685"/>
      <c r="L40" s="685"/>
      <c r="M40" s="685"/>
      <c r="N40" s="685"/>
      <c r="O40" s="685"/>
    </row>
    <row r="41" spans="2:15" ht="99" x14ac:dyDescent="0.3">
      <c r="B41" s="691" t="s">
        <v>2335</v>
      </c>
      <c r="C41" s="691">
        <f>'[6]Supuestos Macro Nación'!Y17</f>
        <v>3238</v>
      </c>
      <c r="D41" s="691">
        <f>'[6]Supuestos Macro Nación'!Z17</f>
        <v>3149.3880195260049</v>
      </c>
      <c r="E41" s="691">
        <f>'[6]Supuestos Macro Nación'!AA17</f>
        <v>3200.7047513062962</v>
      </c>
      <c r="F41" s="691">
        <f>'[6]Supuestos Macro Nación'!AB17</f>
        <v>3252.8630774877843</v>
      </c>
      <c r="G41" s="691">
        <f>'[6]Supuestos Macro Nación'!AC17</f>
        <v>3276.6722053382218</v>
      </c>
      <c r="H41" s="691">
        <f>'[6]Supuestos Macro Nación'!AD17</f>
        <v>3334.1782358523114</v>
      </c>
      <c r="I41" s="691">
        <f>'[6]Supuestos Macro Nación'!AE17</f>
        <v>3403.5695180035191</v>
      </c>
      <c r="J41" s="691">
        <f>'[6]Supuestos Macro Nación'!AF17</f>
        <v>3457.0430731646848</v>
      </c>
      <c r="K41" s="691">
        <f>'[6]Supuestos Macro Nación'!AG17</f>
        <v>3510.9912439916625</v>
      </c>
      <c r="L41" s="691">
        <f>'[6]Supuestos Macro Nación'!AH17</f>
        <v>3565.3413440536046</v>
      </c>
      <c r="M41" s="691">
        <f>'[6]Supuestos Macro Nación'!AI17</f>
        <v>3625.8443198127311</v>
      </c>
      <c r="N41" s="691">
        <f>'[6]Supuestos Macro Nación'!AJ17</f>
        <v>3686.992098648328</v>
      </c>
      <c r="O41" s="691">
        <f>'[6]Supuestos Macro Nación'!AK17</f>
        <v>0</v>
      </c>
    </row>
    <row r="42" spans="2:15" ht="6" customHeight="1" x14ac:dyDescent="0.3">
      <c r="B42" s="685"/>
      <c r="C42" s="685"/>
      <c r="D42" s="685"/>
      <c r="E42" s="685"/>
      <c r="F42" s="685"/>
      <c r="G42" s="685"/>
      <c r="H42" s="685"/>
      <c r="I42" s="685"/>
      <c r="J42" s="685"/>
      <c r="K42" s="685"/>
      <c r="L42" s="685"/>
      <c r="M42" s="685"/>
      <c r="N42" s="685"/>
      <c r="O42" s="685"/>
    </row>
    <row r="43" spans="2:15" ht="132" x14ac:dyDescent="0.3">
      <c r="B43" s="689" t="s">
        <v>2336</v>
      </c>
      <c r="C43" s="689"/>
      <c r="D43" s="689"/>
      <c r="E43" s="689"/>
      <c r="F43" s="689"/>
      <c r="G43" s="689"/>
      <c r="H43" s="689"/>
      <c r="I43" s="689"/>
      <c r="J43" s="689"/>
      <c r="K43" s="689"/>
      <c r="L43" s="689"/>
      <c r="M43" s="689"/>
      <c r="N43" s="689"/>
      <c r="O43" s="689"/>
    </row>
    <row r="44" spans="2:15" ht="66" x14ac:dyDescent="0.3">
      <c r="B44" s="680" t="s">
        <v>2337</v>
      </c>
      <c r="C44" s="680">
        <v>35169</v>
      </c>
      <c r="D44" s="680">
        <v>36903.460033500007</v>
      </c>
      <c r="E44" s="680">
        <v>31194.836185950007</v>
      </c>
      <c r="F44" s="680">
        <v>23892.804172670007</v>
      </c>
      <c r="G44" s="680">
        <v>16772.804172670007</v>
      </c>
      <c r="H44" s="680">
        <v>12320.804172670007</v>
      </c>
      <c r="I44" s="680">
        <v>9605.8041726700067</v>
      </c>
      <c r="J44" s="680">
        <v>6949</v>
      </c>
      <c r="K44" s="680">
        <v>4292</v>
      </c>
      <c r="L44" s="680">
        <v>1729</v>
      </c>
      <c r="M44" s="680">
        <v>0</v>
      </c>
      <c r="N44" s="680">
        <v>0</v>
      </c>
      <c r="O44" s="680">
        <v>0</v>
      </c>
    </row>
    <row r="45" spans="2:15" ht="66" x14ac:dyDescent="0.3">
      <c r="B45" s="680" t="s">
        <v>2338</v>
      </c>
      <c r="C45" s="680">
        <f>+C43+C44</f>
        <v>35169</v>
      </c>
      <c r="D45" s="680">
        <f t="shared" ref="D45:O45" si="20">+D43+D44</f>
        <v>36903.460033500007</v>
      </c>
      <c r="E45" s="680">
        <f t="shared" si="20"/>
        <v>31194.836185950007</v>
      </c>
      <c r="F45" s="680">
        <f t="shared" si="20"/>
        <v>23892.804172670007</v>
      </c>
      <c r="G45" s="680">
        <f t="shared" si="20"/>
        <v>16772.804172670007</v>
      </c>
      <c r="H45" s="680">
        <f t="shared" si="20"/>
        <v>12320.804172670007</v>
      </c>
      <c r="I45" s="680">
        <f t="shared" si="20"/>
        <v>9605.8041726700067</v>
      </c>
      <c r="J45" s="680">
        <f t="shared" si="20"/>
        <v>6949</v>
      </c>
      <c r="K45" s="680">
        <f t="shared" si="20"/>
        <v>4292</v>
      </c>
      <c r="L45" s="680">
        <f t="shared" si="20"/>
        <v>1729</v>
      </c>
      <c r="M45" s="680">
        <f t="shared" si="20"/>
        <v>0</v>
      </c>
      <c r="N45" s="680">
        <f t="shared" si="20"/>
        <v>0</v>
      </c>
      <c r="O45" s="680">
        <f t="shared" si="20"/>
        <v>0</v>
      </c>
    </row>
    <row r="46" spans="2:15" ht="115.5" x14ac:dyDescent="0.3">
      <c r="B46" s="687" t="s">
        <v>2339</v>
      </c>
      <c r="C46" s="687">
        <f t="shared" ref="C46:O46" si="21">+C11-C45</f>
        <v>9953.8140335000062</v>
      </c>
      <c r="D46" s="687">
        <f t="shared" si="21"/>
        <v>0</v>
      </c>
      <c r="E46" s="687">
        <f t="shared" si="21"/>
        <v>0</v>
      </c>
      <c r="F46" s="687">
        <f t="shared" si="21"/>
        <v>0</v>
      </c>
      <c r="G46" s="687">
        <f t="shared" si="21"/>
        <v>0</v>
      </c>
      <c r="H46" s="687">
        <f t="shared" si="21"/>
        <v>0</v>
      </c>
      <c r="I46" s="687">
        <f t="shared" si="21"/>
        <v>0</v>
      </c>
      <c r="J46" s="687">
        <f t="shared" si="21"/>
        <v>-0.1958273299933353</v>
      </c>
      <c r="K46" s="687">
        <f t="shared" si="21"/>
        <v>-0.1958273299933353</v>
      </c>
      <c r="L46" s="687">
        <f t="shared" si="21"/>
        <v>-0.1958273299933353</v>
      </c>
      <c r="M46" s="687">
        <f t="shared" si="21"/>
        <v>-0.1958273299933353</v>
      </c>
      <c r="N46" s="687">
        <f t="shared" si="21"/>
        <v>-0.1958273299933353</v>
      </c>
      <c r="O46" s="687">
        <f t="shared" si="21"/>
        <v>-0.1958273299933353</v>
      </c>
    </row>
    <row r="47" spans="2:15" ht="6" customHeight="1" x14ac:dyDescent="0.3">
      <c r="B47" s="685"/>
      <c r="C47" s="685"/>
      <c r="D47" s="685"/>
      <c r="E47" s="685"/>
      <c r="F47" s="685"/>
      <c r="G47" s="685"/>
      <c r="H47" s="685"/>
      <c r="I47" s="685"/>
      <c r="J47" s="685"/>
      <c r="K47" s="685"/>
      <c r="L47" s="685"/>
      <c r="M47" s="685"/>
      <c r="N47" s="685"/>
      <c r="O47" s="685"/>
    </row>
    <row r="48" spans="2:15" ht="82.5" x14ac:dyDescent="0.3">
      <c r="B48" s="689" t="s">
        <v>2340</v>
      </c>
      <c r="C48" s="689">
        <v>0.14094999999999999</v>
      </c>
      <c r="D48" s="689">
        <v>0.14094999999999999</v>
      </c>
      <c r="E48" s="689">
        <v>0.14094999999999999</v>
      </c>
      <c r="F48" s="689">
        <v>0.14094999999999999</v>
      </c>
      <c r="G48" s="689">
        <v>0.14094999999999999</v>
      </c>
      <c r="H48" s="689">
        <v>0.14094999999999999</v>
      </c>
      <c r="I48" s="689">
        <v>0.14094999999999999</v>
      </c>
      <c r="J48" s="689">
        <v>0.14094999999999999</v>
      </c>
      <c r="K48" s="689">
        <v>0.14094999999999999</v>
      </c>
      <c r="L48" s="689">
        <v>0.14094999999999999</v>
      </c>
      <c r="M48" s="689">
        <v>0.14094999999999999</v>
      </c>
      <c r="N48" s="689">
        <v>0.14094999999999999</v>
      </c>
      <c r="O48" s="689">
        <v>0.14094999999999999</v>
      </c>
    </row>
    <row r="49" spans="2:15" ht="66" x14ac:dyDescent="0.3">
      <c r="B49" s="680" t="s">
        <v>2341</v>
      </c>
      <c r="C49" s="680">
        <f>C41*(1+C48)</f>
        <v>3694.3960999999995</v>
      </c>
      <c r="D49" s="680">
        <f t="shared" ref="D49:O49" si="22">D41*(1+D48)</f>
        <v>3593.294260878195</v>
      </c>
      <c r="E49" s="680">
        <f t="shared" si="22"/>
        <v>3651.8440860029182</v>
      </c>
      <c r="F49" s="680">
        <f t="shared" si="22"/>
        <v>3711.3541282596871</v>
      </c>
      <c r="G49" s="680">
        <f t="shared" si="22"/>
        <v>3738.5191526806439</v>
      </c>
      <c r="H49" s="680">
        <f t="shared" si="22"/>
        <v>3804.1306581956947</v>
      </c>
      <c r="I49" s="680">
        <f t="shared" si="22"/>
        <v>3883.3026415661147</v>
      </c>
      <c r="J49" s="680">
        <f t="shared" si="22"/>
        <v>3944.3132943272467</v>
      </c>
      <c r="K49" s="680">
        <f t="shared" si="22"/>
        <v>4005.8654598322869</v>
      </c>
      <c r="L49" s="680">
        <f t="shared" si="22"/>
        <v>4067.8762064979601</v>
      </c>
      <c r="M49" s="680">
        <f t="shared" si="22"/>
        <v>4136.9070766903351</v>
      </c>
      <c r="N49" s="680">
        <f t="shared" si="22"/>
        <v>4206.6736349528092</v>
      </c>
      <c r="O49" s="680">
        <f t="shared" si="22"/>
        <v>0</v>
      </c>
    </row>
    <row r="50" spans="2:15" ht="115.5" x14ac:dyDescent="0.3">
      <c r="B50" s="680" t="s">
        <v>2342</v>
      </c>
      <c r="C50" s="680">
        <f>(+C43/C41)*C49</f>
        <v>0</v>
      </c>
      <c r="D50" s="680">
        <f t="shared" ref="D50:N50" si="23">(+D43/D41)*D49</f>
        <v>0</v>
      </c>
      <c r="E50" s="680">
        <f t="shared" si="23"/>
        <v>0</v>
      </c>
      <c r="F50" s="680">
        <f t="shared" si="23"/>
        <v>0</v>
      </c>
      <c r="G50" s="680">
        <f t="shared" si="23"/>
        <v>0</v>
      </c>
      <c r="H50" s="680">
        <f t="shared" si="23"/>
        <v>0</v>
      </c>
      <c r="I50" s="680">
        <f t="shared" si="23"/>
        <v>0</v>
      </c>
      <c r="J50" s="680">
        <f t="shared" si="23"/>
        <v>0</v>
      </c>
      <c r="K50" s="680">
        <f t="shared" si="23"/>
        <v>0</v>
      </c>
      <c r="L50" s="680">
        <f t="shared" si="23"/>
        <v>0</v>
      </c>
      <c r="M50" s="680">
        <f t="shared" si="23"/>
        <v>0</v>
      </c>
      <c r="N50" s="680">
        <f t="shared" si="23"/>
        <v>0</v>
      </c>
      <c r="O50" s="680">
        <v>0</v>
      </c>
    </row>
    <row r="51" spans="2:15" ht="115.5" x14ac:dyDescent="0.3">
      <c r="B51" s="680" t="s">
        <v>2343</v>
      </c>
      <c r="C51" s="680">
        <f>+C44+C50</f>
        <v>35169</v>
      </c>
      <c r="D51" s="680">
        <f t="shared" ref="D51:N51" si="24">+D44+D50</f>
        <v>36903.460033500007</v>
      </c>
      <c r="E51" s="680">
        <f t="shared" si="24"/>
        <v>31194.836185950007</v>
      </c>
      <c r="F51" s="680">
        <f t="shared" si="24"/>
        <v>23892.804172670007</v>
      </c>
      <c r="G51" s="680">
        <f t="shared" si="24"/>
        <v>16772.804172670007</v>
      </c>
      <c r="H51" s="680">
        <f t="shared" si="24"/>
        <v>12320.804172670007</v>
      </c>
      <c r="I51" s="680">
        <f t="shared" si="24"/>
        <v>9605.8041726700067</v>
      </c>
      <c r="J51" s="680">
        <f t="shared" si="24"/>
        <v>6949</v>
      </c>
      <c r="K51" s="680">
        <f t="shared" si="24"/>
        <v>4292</v>
      </c>
      <c r="L51" s="680">
        <f t="shared" si="24"/>
        <v>1729</v>
      </c>
      <c r="M51" s="680">
        <f t="shared" si="24"/>
        <v>0</v>
      </c>
      <c r="N51" s="680">
        <f t="shared" si="24"/>
        <v>0</v>
      </c>
      <c r="O51" s="680">
        <v>0</v>
      </c>
    </row>
    <row r="52" spans="2:15" ht="49.5" x14ac:dyDescent="0.3">
      <c r="B52" s="680" t="s">
        <v>2344</v>
      </c>
      <c r="C52" s="680">
        <f>+C51-C45</f>
        <v>0</v>
      </c>
      <c r="D52" s="680">
        <f t="shared" ref="D52:N52" si="25">+D51-D45</f>
        <v>0</v>
      </c>
      <c r="E52" s="680">
        <f t="shared" si="25"/>
        <v>0</v>
      </c>
      <c r="F52" s="680">
        <f t="shared" si="25"/>
        <v>0</v>
      </c>
      <c r="G52" s="680">
        <f t="shared" si="25"/>
        <v>0</v>
      </c>
      <c r="H52" s="680">
        <f t="shared" si="25"/>
        <v>0</v>
      </c>
      <c r="I52" s="680">
        <f t="shared" si="25"/>
        <v>0</v>
      </c>
      <c r="J52" s="680">
        <f t="shared" si="25"/>
        <v>0</v>
      </c>
      <c r="K52" s="680">
        <f t="shared" si="25"/>
        <v>0</v>
      </c>
      <c r="L52" s="680">
        <f t="shared" si="25"/>
        <v>0</v>
      </c>
      <c r="M52" s="680">
        <f t="shared" si="25"/>
        <v>0</v>
      </c>
      <c r="N52" s="680">
        <f t="shared" si="25"/>
        <v>0</v>
      </c>
      <c r="O52" s="680">
        <v>0</v>
      </c>
    </row>
    <row r="53" spans="2:15" x14ac:dyDescent="0.3">
      <c r="B53" s="873"/>
      <c r="C53" s="873"/>
      <c r="D53" s="667"/>
      <c r="E53" s="667"/>
      <c r="F53" s="667"/>
      <c r="G53" s="667"/>
      <c r="H53" s="667"/>
      <c r="I53" s="667"/>
      <c r="J53" s="667"/>
      <c r="K53" s="667"/>
      <c r="L53" s="667"/>
      <c r="M53" s="667"/>
      <c r="N53" s="667"/>
      <c r="O53" s="667"/>
    </row>
  </sheetData>
  <mergeCells count="4">
    <mergeCell ref="C1:D1"/>
    <mergeCell ref="C2:D2"/>
    <mergeCell ref="C3:D3"/>
    <mergeCell ref="E3:O3"/>
  </mergeCells>
  <conditionalFormatting sqref="B29:O29">
    <cfRule type="cellIs" dxfId="1" priority="1" stopIfTrue="1" operator="equal">
      <formula>1</formula>
    </cfRule>
    <cfRule type="cellIs" dxfId="0" priority="2" stopIfTrue="1" operator="equal">
      <formula>0</formula>
    </cfRule>
  </conditionalFormatting>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C34"/>
  <sheetViews>
    <sheetView workbookViewId="0">
      <selection sqref="A1:C1"/>
    </sheetView>
  </sheetViews>
  <sheetFormatPr baseColWidth="10" defaultColWidth="11.42578125" defaultRowHeight="12.75" x14ac:dyDescent="0.25"/>
  <cols>
    <col min="1" max="1" width="11.42578125" style="169"/>
    <col min="2" max="2" width="35.5703125" style="601" customWidth="1"/>
    <col min="3" max="3" width="18.140625" style="42" customWidth="1"/>
    <col min="4" max="4" width="14.5703125" style="42" bestFit="1" customWidth="1"/>
    <col min="5" max="5" width="13.7109375" style="42" bestFit="1" customWidth="1"/>
    <col min="6" max="253" width="11.42578125" style="42"/>
    <col min="254" max="254" width="30.42578125" style="42" customWidth="1"/>
    <col min="255" max="255" width="23.28515625" style="42" bestFit="1" customWidth="1"/>
    <col min="256" max="256" width="18.140625" style="42" bestFit="1" customWidth="1"/>
    <col min="257" max="257" width="15.85546875" style="42" bestFit="1" customWidth="1"/>
    <col min="258" max="509" width="11.42578125" style="42"/>
    <col min="510" max="510" width="30.42578125" style="42" customWidth="1"/>
    <col min="511" max="511" width="23.28515625" style="42" bestFit="1" customWidth="1"/>
    <col min="512" max="512" width="18.140625" style="42" bestFit="1" customWidth="1"/>
    <col min="513" max="513" width="15.85546875" style="42" bestFit="1" customWidth="1"/>
    <col min="514" max="765" width="11.42578125" style="42"/>
    <col min="766" max="766" width="30.42578125" style="42" customWidth="1"/>
    <col min="767" max="767" width="23.28515625" style="42" bestFit="1" customWidth="1"/>
    <col min="768" max="768" width="18.140625" style="42" bestFit="1" customWidth="1"/>
    <col min="769" max="769" width="15.85546875" style="42" bestFit="1" customWidth="1"/>
    <col min="770" max="1021" width="11.42578125" style="42"/>
    <col min="1022" max="1022" width="30.42578125" style="42" customWidth="1"/>
    <col min="1023" max="1023" width="23.28515625" style="42" bestFit="1" customWidth="1"/>
    <col min="1024" max="1024" width="18.140625" style="42" bestFit="1" customWidth="1"/>
    <col min="1025" max="1025" width="15.85546875" style="42" bestFit="1" customWidth="1"/>
    <col min="1026" max="1277" width="11.42578125" style="42"/>
    <col min="1278" max="1278" width="30.42578125" style="42" customWidth="1"/>
    <col min="1279" max="1279" width="23.28515625" style="42" bestFit="1" customWidth="1"/>
    <col min="1280" max="1280" width="18.140625" style="42" bestFit="1" customWidth="1"/>
    <col min="1281" max="1281" width="15.85546875" style="42" bestFit="1" customWidth="1"/>
    <col min="1282" max="1533" width="11.42578125" style="42"/>
    <col min="1534" max="1534" width="30.42578125" style="42" customWidth="1"/>
    <col min="1535" max="1535" width="23.28515625" style="42" bestFit="1" customWidth="1"/>
    <col min="1536" max="1536" width="18.140625" style="42" bestFit="1" customWidth="1"/>
    <col min="1537" max="1537" width="15.85546875" style="42" bestFit="1" customWidth="1"/>
    <col min="1538" max="1789" width="11.42578125" style="42"/>
    <col min="1790" max="1790" width="30.42578125" style="42" customWidth="1"/>
    <col min="1791" max="1791" width="23.28515625" style="42" bestFit="1" customWidth="1"/>
    <col min="1792" max="1792" width="18.140625" style="42" bestFit="1" customWidth="1"/>
    <col min="1793" max="1793" width="15.85546875" style="42" bestFit="1" customWidth="1"/>
    <col min="1794" max="2045" width="11.42578125" style="42"/>
    <col min="2046" max="2046" width="30.42578125" style="42" customWidth="1"/>
    <col min="2047" max="2047" width="23.28515625" style="42" bestFit="1" customWidth="1"/>
    <col min="2048" max="2048" width="18.140625" style="42" bestFit="1" customWidth="1"/>
    <col min="2049" max="2049" width="15.85546875" style="42" bestFit="1" customWidth="1"/>
    <col min="2050" max="2301" width="11.42578125" style="42"/>
    <col min="2302" max="2302" width="30.42578125" style="42" customWidth="1"/>
    <col min="2303" max="2303" width="23.28515625" style="42" bestFit="1" customWidth="1"/>
    <col min="2304" max="2304" width="18.140625" style="42" bestFit="1" customWidth="1"/>
    <col min="2305" max="2305" width="15.85546875" style="42" bestFit="1" customWidth="1"/>
    <col min="2306" max="2557" width="11.42578125" style="42"/>
    <col min="2558" max="2558" width="30.42578125" style="42" customWidth="1"/>
    <col min="2559" max="2559" width="23.28515625" style="42" bestFit="1" customWidth="1"/>
    <col min="2560" max="2560" width="18.140625" style="42" bestFit="1" customWidth="1"/>
    <col min="2561" max="2561" width="15.85546875" style="42" bestFit="1" customWidth="1"/>
    <col min="2562" max="2813" width="11.42578125" style="42"/>
    <col min="2814" max="2814" width="30.42578125" style="42" customWidth="1"/>
    <col min="2815" max="2815" width="23.28515625" style="42" bestFit="1" customWidth="1"/>
    <col min="2816" max="2816" width="18.140625" style="42" bestFit="1" customWidth="1"/>
    <col min="2817" max="2817" width="15.85546875" style="42" bestFit="1" customWidth="1"/>
    <col min="2818" max="3069" width="11.42578125" style="42"/>
    <col min="3070" max="3070" width="30.42578125" style="42" customWidth="1"/>
    <col min="3071" max="3071" width="23.28515625" style="42" bestFit="1" customWidth="1"/>
    <col min="3072" max="3072" width="18.140625" style="42" bestFit="1" customWidth="1"/>
    <col min="3073" max="3073" width="15.85546875" style="42" bestFit="1" customWidth="1"/>
    <col min="3074" max="3325" width="11.42578125" style="42"/>
    <col min="3326" max="3326" width="30.42578125" style="42" customWidth="1"/>
    <col min="3327" max="3327" width="23.28515625" style="42" bestFit="1" customWidth="1"/>
    <col min="3328" max="3328" width="18.140625" style="42" bestFit="1" customWidth="1"/>
    <col min="3329" max="3329" width="15.85546875" style="42" bestFit="1" customWidth="1"/>
    <col min="3330" max="3581" width="11.42578125" style="42"/>
    <col min="3582" max="3582" width="30.42578125" style="42" customWidth="1"/>
    <col min="3583" max="3583" width="23.28515625" style="42" bestFit="1" customWidth="1"/>
    <col min="3584" max="3584" width="18.140625" style="42" bestFit="1" customWidth="1"/>
    <col min="3585" max="3585" width="15.85546875" style="42" bestFit="1" customWidth="1"/>
    <col min="3586" max="3837" width="11.42578125" style="42"/>
    <col min="3838" max="3838" width="30.42578125" style="42" customWidth="1"/>
    <col min="3839" max="3839" width="23.28515625" style="42" bestFit="1" customWidth="1"/>
    <col min="3840" max="3840" width="18.140625" style="42" bestFit="1" customWidth="1"/>
    <col min="3841" max="3841" width="15.85546875" style="42" bestFit="1" customWidth="1"/>
    <col min="3842" max="4093" width="11.42578125" style="42"/>
    <col min="4094" max="4094" width="30.42578125" style="42" customWidth="1"/>
    <col min="4095" max="4095" width="23.28515625" style="42" bestFit="1" customWidth="1"/>
    <col min="4096" max="4096" width="18.140625" style="42" bestFit="1" customWidth="1"/>
    <col min="4097" max="4097" width="15.85546875" style="42" bestFit="1" customWidth="1"/>
    <col min="4098" max="4349" width="11.42578125" style="42"/>
    <col min="4350" max="4350" width="30.42578125" style="42" customWidth="1"/>
    <col min="4351" max="4351" width="23.28515625" style="42" bestFit="1" customWidth="1"/>
    <col min="4352" max="4352" width="18.140625" style="42" bestFit="1" customWidth="1"/>
    <col min="4353" max="4353" width="15.85546875" style="42" bestFit="1" customWidth="1"/>
    <col min="4354" max="4605" width="11.42578125" style="42"/>
    <col min="4606" max="4606" width="30.42578125" style="42" customWidth="1"/>
    <col min="4607" max="4607" width="23.28515625" style="42" bestFit="1" customWidth="1"/>
    <col min="4608" max="4608" width="18.140625" style="42" bestFit="1" customWidth="1"/>
    <col min="4609" max="4609" width="15.85546875" style="42" bestFit="1" customWidth="1"/>
    <col min="4610" max="4861" width="11.42578125" style="42"/>
    <col min="4862" max="4862" width="30.42578125" style="42" customWidth="1"/>
    <col min="4863" max="4863" width="23.28515625" style="42" bestFit="1" customWidth="1"/>
    <col min="4864" max="4864" width="18.140625" style="42" bestFit="1" customWidth="1"/>
    <col min="4865" max="4865" width="15.85546875" style="42" bestFit="1" customWidth="1"/>
    <col min="4866" max="5117" width="11.42578125" style="42"/>
    <col min="5118" max="5118" width="30.42578125" style="42" customWidth="1"/>
    <col min="5119" max="5119" width="23.28515625" style="42" bestFit="1" customWidth="1"/>
    <col min="5120" max="5120" width="18.140625" style="42" bestFit="1" customWidth="1"/>
    <col min="5121" max="5121" width="15.85546875" style="42" bestFit="1" customWidth="1"/>
    <col min="5122" max="5373" width="11.42578125" style="42"/>
    <col min="5374" max="5374" width="30.42578125" style="42" customWidth="1"/>
    <col min="5375" max="5375" width="23.28515625" style="42" bestFit="1" customWidth="1"/>
    <col min="5376" max="5376" width="18.140625" style="42" bestFit="1" customWidth="1"/>
    <col min="5377" max="5377" width="15.85546875" style="42" bestFit="1" customWidth="1"/>
    <col min="5378" max="5629" width="11.42578125" style="42"/>
    <col min="5630" max="5630" width="30.42578125" style="42" customWidth="1"/>
    <col min="5631" max="5631" width="23.28515625" style="42" bestFit="1" customWidth="1"/>
    <col min="5632" max="5632" width="18.140625" style="42" bestFit="1" customWidth="1"/>
    <col min="5633" max="5633" width="15.85546875" style="42" bestFit="1" customWidth="1"/>
    <col min="5634" max="5885" width="11.42578125" style="42"/>
    <col min="5886" max="5886" width="30.42578125" style="42" customWidth="1"/>
    <col min="5887" max="5887" width="23.28515625" style="42" bestFit="1" customWidth="1"/>
    <col min="5888" max="5888" width="18.140625" style="42" bestFit="1" customWidth="1"/>
    <col min="5889" max="5889" width="15.85546875" style="42" bestFit="1" customWidth="1"/>
    <col min="5890" max="6141" width="11.42578125" style="42"/>
    <col min="6142" max="6142" width="30.42578125" style="42" customWidth="1"/>
    <col min="6143" max="6143" width="23.28515625" style="42" bestFit="1" customWidth="1"/>
    <col min="6144" max="6144" width="18.140625" style="42" bestFit="1" customWidth="1"/>
    <col min="6145" max="6145" width="15.85546875" style="42" bestFit="1" customWidth="1"/>
    <col min="6146" max="6397" width="11.42578125" style="42"/>
    <col min="6398" max="6398" width="30.42578125" style="42" customWidth="1"/>
    <col min="6399" max="6399" width="23.28515625" style="42" bestFit="1" customWidth="1"/>
    <col min="6400" max="6400" width="18.140625" style="42" bestFit="1" customWidth="1"/>
    <col min="6401" max="6401" width="15.85546875" style="42" bestFit="1" customWidth="1"/>
    <col min="6402" max="6653" width="11.42578125" style="42"/>
    <col min="6654" max="6654" width="30.42578125" style="42" customWidth="1"/>
    <col min="6655" max="6655" width="23.28515625" style="42" bestFit="1" customWidth="1"/>
    <col min="6656" max="6656" width="18.140625" style="42" bestFit="1" customWidth="1"/>
    <col min="6657" max="6657" width="15.85546875" style="42" bestFit="1" customWidth="1"/>
    <col min="6658" max="6909" width="11.42578125" style="42"/>
    <col min="6910" max="6910" width="30.42578125" style="42" customWidth="1"/>
    <col min="6911" max="6911" width="23.28515625" style="42" bestFit="1" customWidth="1"/>
    <col min="6912" max="6912" width="18.140625" style="42" bestFit="1" customWidth="1"/>
    <col min="6913" max="6913" width="15.85546875" style="42" bestFit="1" customWidth="1"/>
    <col min="6914" max="7165" width="11.42578125" style="42"/>
    <col min="7166" max="7166" width="30.42578125" style="42" customWidth="1"/>
    <col min="7167" max="7167" width="23.28515625" style="42" bestFit="1" customWidth="1"/>
    <col min="7168" max="7168" width="18.140625" style="42" bestFit="1" customWidth="1"/>
    <col min="7169" max="7169" width="15.85546875" style="42" bestFit="1" customWidth="1"/>
    <col min="7170" max="7421" width="11.42578125" style="42"/>
    <col min="7422" max="7422" width="30.42578125" style="42" customWidth="1"/>
    <col min="7423" max="7423" width="23.28515625" style="42" bestFit="1" customWidth="1"/>
    <col min="7424" max="7424" width="18.140625" style="42" bestFit="1" customWidth="1"/>
    <col min="7425" max="7425" width="15.85546875" style="42" bestFit="1" customWidth="1"/>
    <col min="7426" max="7677" width="11.42578125" style="42"/>
    <col min="7678" max="7678" width="30.42578125" style="42" customWidth="1"/>
    <col min="7679" max="7679" width="23.28515625" style="42" bestFit="1" customWidth="1"/>
    <col min="7680" max="7680" width="18.140625" style="42" bestFit="1" customWidth="1"/>
    <col min="7681" max="7681" width="15.85546875" style="42" bestFit="1" customWidth="1"/>
    <col min="7682" max="7933" width="11.42578125" style="42"/>
    <col min="7934" max="7934" width="30.42578125" style="42" customWidth="1"/>
    <col min="7935" max="7935" width="23.28515625" style="42" bestFit="1" customWidth="1"/>
    <col min="7936" max="7936" width="18.140625" style="42" bestFit="1" customWidth="1"/>
    <col min="7937" max="7937" width="15.85546875" style="42" bestFit="1" customWidth="1"/>
    <col min="7938" max="8189" width="11.42578125" style="42"/>
    <col min="8190" max="8190" width="30.42578125" style="42" customWidth="1"/>
    <col min="8191" max="8191" width="23.28515625" style="42" bestFit="1" customWidth="1"/>
    <col min="8192" max="8192" width="18.140625" style="42" bestFit="1" customWidth="1"/>
    <col min="8193" max="8193" width="15.85546875" style="42" bestFit="1" customWidth="1"/>
    <col min="8194" max="8445" width="11.42578125" style="42"/>
    <col min="8446" max="8446" width="30.42578125" style="42" customWidth="1"/>
    <col min="8447" max="8447" width="23.28515625" style="42" bestFit="1" customWidth="1"/>
    <col min="8448" max="8448" width="18.140625" style="42" bestFit="1" customWidth="1"/>
    <col min="8449" max="8449" width="15.85546875" style="42" bestFit="1" customWidth="1"/>
    <col min="8450" max="8701" width="11.42578125" style="42"/>
    <col min="8702" max="8702" width="30.42578125" style="42" customWidth="1"/>
    <col min="8703" max="8703" width="23.28515625" style="42" bestFit="1" customWidth="1"/>
    <col min="8704" max="8704" width="18.140625" style="42" bestFit="1" customWidth="1"/>
    <col min="8705" max="8705" width="15.85546875" style="42" bestFit="1" customWidth="1"/>
    <col min="8706" max="8957" width="11.42578125" style="42"/>
    <col min="8958" max="8958" width="30.42578125" style="42" customWidth="1"/>
    <col min="8959" max="8959" width="23.28515625" style="42" bestFit="1" customWidth="1"/>
    <col min="8960" max="8960" width="18.140625" style="42" bestFit="1" customWidth="1"/>
    <col min="8961" max="8961" width="15.85546875" style="42" bestFit="1" customWidth="1"/>
    <col min="8962" max="9213" width="11.42578125" style="42"/>
    <col min="9214" max="9214" width="30.42578125" style="42" customWidth="1"/>
    <col min="9215" max="9215" width="23.28515625" style="42" bestFit="1" customWidth="1"/>
    <col min="9216" max="9216" width="18.140625" style="42" bestFit="1" customWidth="1"/>
    <col min="9217" max="9217" width="15.85546875" style="42" bestFit="1" customWidth="1"/>
    <col min="9218" max="9469" width="11.42578125" style="42"/>
    <col min="9470" max="9470" width="30.42578125" style="42" customWidth="1"/>
    <col min="9471" max="9471" width="23.28515625" style="42" bestFit="1" customWidth="1"/>
    <col min="9472" max="9472" width="18.140625" style="42" bestFit="1" customWidth="1"/>
    <col min="9473" max="9473" width="15.85546875" style="42" bestFit="1" customWidth="1"/>
    <col min="9474" max="9725" width="11.42578125" style="42"/>
    <col min="9726" max="9726" width="30.42578125" style="42" customWidth="1"/>
    <col min="9727" max="9727" width="23.28515625" style="42" bestFit="1" customWidth="1"/>
    <col min="9728" max="9728" width="18.140625" style="42" bestFit="1" customWidth="1"/>
    <col min="9729" max="9729" width="15.85546875" style="42" bestFit="1" customWidth="1"/>
    <col min="9730" max="9981" width="11.42578125" style="42"/>
    <col min="9982" max="9982" width="30.42578125" style="42" customWidth="1"/>
    <col min="9983" max="9983" width="23.28515625" style="42" bestFit="1" customWidth="1"/>
    <col min="9984" max="9984" width="18.140625" style="42" bestFit="1" customWidth="1"/>
    <col min="9985" max="9985" width="15.85546875" style="42" bestFit="1" customWidth="1"/>
    <col min="9986" max="10237" width="11.42578125" style="42"/>
    <col min="10238" max="10238" width="30.42578125" style="42" customWidth="1"/>
    <col min="10239" max="10239" width="23.28515625" style="42" bestFit="1" customWidth="1"/>
    <col min="10240" max="10240" width="18.140625" style="42" bestFit="1" customWidth="1"/>
    <col min="10241" max="10241" width="15.85546875" style="42" bestFit="1" customWidth="1"/>
    <col min="10242" max="10493" width="11.42578125" style="42"/>
    <col min="10494" max="10494" width="30.42578125" style="42" customWidth="1"/>
    <col min="10495" max="10495" width="23.28515625" style="42" bestFit="1" customWidth="1"/>
    <col min="10496" max="10496" width="18.140625" style="42" bestFit="1" customWidth="1"/>
    <col min="10497" max="10497" width="15.85546875" style="42" bestFit="1" customWidth="1"/>
    <col min="10498" max="10749" width="11.42578125" style="42"/>
    <col min="10750" max="10750" width="30.42578125" style="42" customWidth="1"/>
    <col min="10751" max="10751" width="23.28515625" style="42" bestFit="1" customWidth="1"/>
    <col min="10752" max="10752" width="18.140625" style="42" bestFit="1" customWidth="1"/>
    <col min="10753" max="10753" width="15.85546875" style="42" bestFit="1" customWidth="1"/>
    <col min="10754" max="11005" width="11.42578125" style="42"/>
    <col min="11006" max="11006" width="30.42578125" style="42" customWidth="1"/>
    <col min="11007" max="11007" width="23.28515625" style="42" bestFit="1" customWidth="1"/>
    <col min="11008" max="11008" width="18.140625" style="42" bestFit="1" customWidth="1"/>
    <col min="11009" max="11009" width="15.85546875" style="42" bestFit="1" customWidth="1"/>
    <col min="11010" max="11261" width="11.42578125" style="42"/>
    <col min="11262" max="11262" width="30.42578125" style="42" customWidth="1"/>
    <col min="11263" max="11263" width="23.28515625" style="42" bestFit="1" customWidth="1"/>
    <col min="11264" max="11264" width="18.140625" style="42" bestFit="1" customWidth="1"/>
    <col min="11265" max="11265" width="15.85546875" style="42" bestFit="1" customWidth="1"/>
    <col min="11266" max="11517" width="11.42578125" style="42"/>
    <col min="11518" max="11518" width="30.42578125" style="42" customWidth="1"/>
    <col min="11519" max="11519" width="23.28515625" style="42" bestFit="1" customWidth="1"/>
    <col min="11520" max="11520" width="18.140625" style="42" bestFit="1" customWidth="1"/>
    <col min="11521" max="11521" width="15.85546875" style="42" bestFit="1" customWidth="1"/>
    <col min="11522" max="11773" width="11.42578125" style="42"/>
    <col min="11774" max="11774" width="30.42578125" style="42" customWidth="1"/>
    <col min="11775" max="11775" width="23.28515625" style="42" bestFit="1" customWidth="1"/>
    <col min="11776" max="11776" width="18.140625" style="42" bestFit="1" customWidth="1"/>
    <col min="11777" max="11777" width="15.85546875" style="42" bestFit="1" customWidth="1"/>
    <col min="11778" max="12029" width="11.42578125" style="42"/>
    <col min="12030" max="12030" width="30.42578125" style="42" customWidth="1"/>
    <col min="12031" max="12031" width="23.28515625" style="42" bestFit="1" customWidth="1"/>
    <col min="12032" max="12032" width="18.140625" style="42" bestFit="1" customWidth="1"/>
    <col min="12033" max="12033" width="15.85546875" style="42" bestFit="1" customWidth="1"/>
    <col min="12034" max="12285" width="11.42578125" style="42"/>
    <col min="12286" max="12286" width="30.42578125" style="42" customWidth="1"/>
    <col min="12287" max="12287" width="23.28515625" style="42" bestFit="1" customWidth="1"/>
    <col min="12288" max="12288" width="18.140625" style="42" bestFit="1" customWidth="1"/>
    <col min="12289" max="12289" width="15.85546875" style="42" bestFit="1" customWidth="1"/>
    <col min="12290" max="12541" width="11.42578125" style="42"/>
    <col min="12542" max="12542" width="30.42578125" style="42" customWidth="1"/>
    <col min="12543" max="12543" width="23.28515625" style="42" bestFit="1" customWidth="1"/>
    <col min="12544" max="12544" width="18.140625" style="42" bestFit="1" customWidth="1"/>
    <col min="12545" max="12545" width="15.85546875" style="42" bestFit="1" customWidth="1"/>
    <col min="12546" max="12797" width="11.42578125" style="42"/>
    <col min="12798" max="12798" width="30.42578125" style="42" customWidth="1"/>
    <col min="12799" max="12799" width="23.28515625" style="42" bestFit="1" customWidth="1"/>
    <col min="12800" max="12800" width="18.140625" style="42" bestFit="1" customWidth="1"/>
    <col min="12801" max="12801" width="15.85546875" style="42" bestFit="1" customWidth="1"/>
    <col min="12802" max="13053" width="11.42578125" style="42"/>
    <col min="13054" max="13054" width="30.42578125" style="42" customWidth="1"/>
    <col min="13055" max="13055" width="23.28515625" style="42" bestFit="1" customWidth="1"/>
    <col min="13056" max="13056" width="18.140625" style="42" bestFit="1" customWidth="1"/>
    <col min="13057" max="13057" width="15.85546875" style="42" bestFit="1" customWidth="1"/>
    <col min="13058" max="13309" width="11.42578125" style="42"/>
    <col min="13310" max="13310" width="30.42578125" style="42" customWidth="1"/>
    <col min="13311" max="13311" width="23.28515625" style="42" bestFit="1" customWidth="1"/>
    <col min="13312" max="13312" width="18.140625" style="42" bestFit="1" customWidth="1"/>
    <col min="13313" max="13313" width="15.85546875" style="42" bestFit="1" customWidth="1"/>
    <col min="13314" max="13565" width="11.42578125" style="42"/>
    <col min="13566" max="13566" width="30.42578125" style="42" customWidth="1"/>
    <col min="13567" max="13567" width="23.28515625" style="42" bestFit="1" customWidth="1"/>
    <col min="13568" max="13568" width="18.140625" style="42" bestFit="1" customWidth="1"/>
    <col min="13569" max="13569" width="15.85546875" style="42" bestFit="1" customWidth="1"/>
    <col min="13570" max="13821" width="11.42578125" style="42"/>
    <col min="13822" max="13822" width="30.42578125" style="42" customWidth="1"/>
    <col min="13823" max="13823" width="23.28515625" style="42" bestFit="1" customWidth="1"/>
    <col min="13824" max="13824" width="18.140625" style="42" bestFit="1" customWidth="1"/>
    <col min="13825" max="13825" width="15.85546875" style="42" bestFit="1" customWidth="1"/>
    <col min="13826" max="14077" width="11.42578125" style="42"/>
    <col min="14078" max="14078" width="30.42578125" style="42" customWidth="1"/>
    <col min="14079" max="14079" width="23.28515625" style="42" bestFit="1" customWidth="1"/>
    <col min="14080" max="14080" width="18.140625" style="42" bestFit="1" customWidth="1"/>
    <col min="14081" max="14081" width="15.85546875" style="42" bestFit="1" customWidth="1"/>
    <col min="14082" max="14333" width="11.42578125" style="42"/>
    <col min="14334" max="14334" width="30.42578125" style="42" customWidth="1"/>
    <col min="14335" max="14335" width="23.28515625" style="42" bestFit="1" customWidth="1"/>
    <col min="14336" max="14336" width="18.140625" style="42" bestFit="1" customWidth="1"/>
    <col min="14337" max="14337" width="15.85546875" style="42" bestFit="1" customWidth="1"/>
    <col min="14338" max="14589" width="11.42578125" style="42"/>
    <col min="14590" max="14590" width="30.42578125" style="42" customWidth="1"/>
    <col min="14591" max="14591" width="23.28515625" style="42" bestFit="1" customWidth="1"/>
    <col min="14592" max="14592" width="18.140625" style="42" bestFit="1" customWidth="1"/>
    <col min="14593" max="14593" width="15.85546875" style="42" bestFit="1" customWidth="1"/>
    <col min="14594" max="14845" width="11.42578125" style="42"/>
    <col min="14846" max="14846" width="30.42578125" style="42" customWidth="1"/>
    <col min="14847" max="14847" width="23.28515625" style="42" bestFit="1" customWidth="1"/>
    <col min="14848" max="14848" width="18.140625" style="42" bestFit="1" customWidth="1"/>
    <col min="14849" max="14849" width="15.85546875" style="42" bestFit="1" customWidth="1"/>
    <col min="14850" max="15101" width="11.42578125" style="42"/>
    <col min="15102" max="15102" width="30.42578125" style="42" customWidth="1"/>
    <col min="15103" max="15103" width="23.28515625" style="42" bestFit="1" customWidth="1"/>
    <col min="15104" max="15104" width="18.140625" style="42" bestFit="1" customWidth="1"/>
    <col min="15105" max="15105" width="15.85546875" style="42" bestFit="1" customWidth="1"/>
    <col min="15106" max="15357" width="11.42578125" style="42"/>
    <col min="15358" max="15358" width="30.42578125" style="42" customWidth="1"/>
    <col min="15359" max="15359" width="23.28515625" style="42" bestFit="1" customWidth="1"/>
    <col min="15360" max="15360" width="18.140625" style="42" bestFit="1" customWidth="1"/>
    <col min="15361" max="15361" width="15.85546875" style="42" bestFit="1" customWidth="1"/>
    <col min="15362" max="15613" width="11.42578125" style="42"/>
    <col min="15614" max="15614" width="30.42578125" style="42" customWidth="1"/>
    <col min="15615" max="15615" width="23.28515625" style="42" bestFit="1" customWidth="1"/>
    <col min="15616" max="15616" width="18.140625" style="42" bestFit="1" customWidth="1"/>
    <col min="15617" max="15617" width="15.85546875" style="42" bestFit="1" customWidth="1"/>
    <col min="15618" max="15869" width="11.42578125" style="42"/>
    <col min="15870" max="15870" width="30.42578125" style="42" customWidth="1"/>
    <col min="15871" max="15871" width="23.28515625" style="42" bestFit="1" customWidth="1"/>
    <col min="15872" max="15872" width="18.140625" style="42" bestFit="1" customWidth="1"/>
    <col min="15873" max="15873" width="15.85546875" style="42" bestFit="1" customWidth="1"/>
    <col min="15874" max="16125" width="11.42578125" style="42"/>
    <col min="16126" max="16126" width="30.42578125" style="42" customWidth="1"/>
    <col min="16127" max="16127" width="23.28515625" style="42" bestFit="1" customWidth="1"/>
    <col min="16128" max="16128" width="18.140625" style="42" bestFit="1" customWidth="1"/>
    <col min="16129" max="16129" width="15.85546875" style="42" bestFit="1" customWidth="1"/>
    <col min="16130" max="16384" width="11.42578125" style="42"/>
  </cols>
  <sheetData>
    <row r="1" spans="1:3" ht="15" customHeight="1" x14ac:dyDescent="0.25">
      <c r="A1" s="1800" t="s">
        <v>1767</v>
      </c>
      <c r="B1" s="1801"/>
      <c r="C1" s="1802"/>
    </row>
    <row r="2" spans="1:3" ht="12.75" customHeight="1" x14ac:dyDescent="0.25">
      <c r="A2" s="1803" t="s">
        <v>2347</v>
      </c>
      <c r="B2" s="1804"/>
      <c r="C2" s="1805"/>
    </row>
    <row r="3" spans="1:3" ht="12.75" customHeight="1" x14ac:dyDescent="0.25">
      <c r="A3" s="1803" t="s">
        <v>1769</v>
      </c>
      <c r="B3" s="1804"/>
      <c r="C3" s="1805"/>
    </row>
    <row r="4" spans="1:3" ht="12.75" customHeight="1" x14ac:dyDescent="0.25">
      <c r="A4" s="1803" t="s">
        <v>2348</v>
      </c>
      <c r="B4" s="1804"/>
      <c r="C4" s="1805"/>
    </row>
    <row r="5" spans="1:3" s="95" customFormat="1" ht="26.25" customHeight="1" x14ac:dyDescent="0.25">
      <c r="A5" s="738" t="s">
        <v>1771</v>
      </c>
      <c r="B5" s="738" t="s">
        <v>1772</v>
      </c>
      <c r="C5" s="738" t="s">
        <v>1978</v>
      </c>
    </row>
    <row r="6" spans="1:3" x14ac:dyDescent="0.25">
      <c r="A6" s="878">
        <v>1</v>
      </c>
      <c r="B6" s="878" t="s">
        <v>1780</v>
      </c>
      <c r="C6" s="878">
        <f>+'F y U 2022 Incremento Salarial'!E9</f>
        <v>3526815135</v>
      </c>
    </row>
    <row r="7" spans="1:3" x14ac:dyDescent="0.25">
      <c r="A7" s="878">
        <v>53</v>
      </c>
      <c r="B7" s="878" t="s">
        <v>1029</v>
      </c>
      <c r="C7" s="878">
        <f>+'F y U 2022 Incremento Salarial'!E11</f>
        <v>1058044541</v>
      </c>
    </row>
    <row r="8" spans="1:3" ht="25.5" x14ac:dyDescent="0.25">
      <c r="A8" s="878">
        <v>13</v>
      </c>
      <c r="B8" s="878" t="s">
        <v>1030</v>
      </c>
      <c r="C8" s="878">
        <f>+'F y U 2022 Incremento Salarial'!E12</f>
        <v>1763407568</v>
      </c>
    </row>
    <row r="9" spans="1:3" ht="25.5" x14ac:dyDescent="0.25">
      <c r="A9" s="878">
        <v>145</v>
      </c>
      <c r="B9" s="878" t="s">
        <v>1782</v>
      </c>
      <c r="C9" s="878">
        <f>+'F y U 2022 Incremento Salarial'!E13</f>
        <v>149729169</v>
      </c>
    </row>
    <row r="10" spans="1:3" ht="25.5" x14ac:dyDescent="0.25">
      <c r="A10" s="878">
        <v>145</v>
      </c>
      <c r="B10" s="878" t="s">
        <v>1036</v>
      </c>
      <c r="C10" s="878">
        <f>+'F y U 2022 Incremento Salarial'!E16</f>
        <v>116259628</v>
      </c>
    </row>
    <row r="11" spans="1:3" x14ac:dyDescent="0.25">
      <c r="A11" s="878">
        <v>176</v>
      </c>
      <c r="B11" s="878" t="s">
        <v>1051</v>
      </c>
      <c r="C11" s="878">
        <f>+'F y U 2022 Incremento Salarial'!E23</f>
        <v>1411339981</v>
      </c>
    </row>
    <row r="12" spans="1:3" ht="25.5" x14ac:dyDescent="0.25">
      <c r="A12" s="878">
        <v>177</v>
      </c>
      <c r="B12" s="878" t="s">
        <v>1052</v>
      </c>
      <c r="C12" s="878">
        <f>+'F y U 2022 Incremento Salarial'!E24</f>
        <v>2117009971</v>
      </c>
    </row>
    <row r="13" spans="1:3" x14ac:dyDescent="0.25">
      <c r="A13" s="878">
        <v>5</v>
      </c>
      <c r="B13" s="878" t="s">
        <v>1054</v>
      </c>
      <c r="C13" s="878">
        <f>+'F y U 2022 Incremento Salarial'!E25</f>
        <v>348635239</v>
      </c>
    </row>
    <row r="14" spans="1:3" x14ac:dyDescent="0.25">
      <c r="A14" s="878">
        <v>178</v>
      </c>
      <c r="B14" s="878" t="s">
        <v>1061</v>
      </c>
      <c r="C14" s="878">
        <f>+'F y U 2022 Incremento Salarial'!E31</f>
        <v>848279741</v>
      </c>
    </row>
    <row r="15" spans="1:3" x14ac:dyDescent="0.25">
      <c r="A15" s="878">
        <v>135</v>
      </c>
      <c r="B15" s="878" t="s">
        <v>1803</v>
      </c>
      <c r="C15" s="878">
        <f>+'F y U 2022 Incremento Salarial'!E35</f>
        <v>7263266657</v>
      </c>
    </row>
    <row r="16" spans="1:3" s="54" customFormat="1" x14ac:dyDescent="0.25">
      <c r="A16" s="878">
        <v>179</v>
      </c>
      <c r="B16" s="878" t="s">
        <v>1797</v>
      </c>
      <c r="C16" s="878">
        <f>+'F y U 2022 Incremento Salarial'!E41</f>
        <v>637161630</v>
      </c>
    </row>
    <row r="17" spans="1:3" ht="25.5" x14ac:dyDescent="0.25">
      <c r="A17" s="878">
        <v>176</v>
      </c>
      <c r="B17" s="878" t="s">
        <v>1806</v>
      </c>
      <c r="C17" s="878">
        <f>+'F y U 2022 Incremento Salarial'!E58</f>
        <v>481528</v>
      </c>
    </row>
    <row r="18" spans="1:3" ht="25.5" x14ac:dyDescent="0.25">
      <c r="A18" s="878">
        <v>5</v>
      </c>
      <c r="B18" s="878" t="s">
        <v>1807</v>
      </c>
      <c r="C18" s="878">
        <f>+'F y U 2022 Incremento Salarial'!E59</f>
        <v>316121</v>
      </c>
    </row>
    <row r="19" spans="1:3" ht="25.5" x14ac:dyDescent="0.25">
      <c r="A19" s="878">
        <v>178</v>
      </c>
      <c r="B19" s="878" t="s">
        <v>1813</v>
      </c>
      <c r="C19" s="878">
        <f>+'F y U 2022 Incremento Salarial'!E65</f>
        <v>325004</v>
      </c>
    </row>
    <row r="20" spans="1:3" x14ac:dyDescent="0.25">
      <c r="A20" s="878">
        <v>136</v>
      </c>
      <c r="B20" s="878" t="s">
        <v>1816</v>
      </c>
      <c r="C20" s="878">
        <f>+'F y U 2022 Incremento Salarial'!E68</f>
        <v>39724450</v>
      </c>
    </row>
    <row r="21" spans="1:3" ht="15" customHeight="1" x14ac:dyDescent="0.25">
      <c r="A21" s="1769" t="s">
        <v>1773</v>
      </c>
      <c r="B21" s="1770"/>
      <c r="C21" s="879">
        <f>SUM(C6:C20)</f>
        <v>19280796363</v>
      </c>
    </row>
    <row r="23" spans="1:3" ht="33" x14ac:dyDescent="0.25">
      <c r="A23" s="738" t="s">
        <v>1771</v>
      </c>
      <c r="B23" s="738" t="s">
        <v>2349</v>
      </c>
      <c r="C23" s="738" t="s">
        <v>971</v>
      </c>
    </row>
    <row r="24" spans="1:3" x14ac:dyDescent="0.25">
      <c r="A24" s="878">
        <v>20</v>
      </c>
      <c r="B24" s="878" t="str">
        <f>+'F y U 2022 Incremento Salarial'!B111</f>
        <v xml:space="preserve">     Indeportes  1% I.C.L.D.</v>
      </c>
      <c r="C24" s="878">
        <f>+'F y U 2022 Incremento Salarial'!C111</f>
        <v>869292204</v>
      </c>
    </row>
    <row r="25" spans="1:3" x14ac:dyDescent="0.25">
      <c r="A25" s="878">
        <v>20</v>
      </c>
      <c r="B25" s="878" t="str">
        <f>+'F y U 2022 Incremento Salarial'!B113</f>
        <v xml:space="preserve">     RAP región Administrativa de Planificación</v>
      </c>
      <c r="C25" s="878">
        <f>+'F y U 2022 Incremento Salarial'!C113</f>
        <v>608504542</v>
      </c>
    </row>
    <row r="26" spans="1:3" x14ac:dyDescent="0.25">
      <c r="A26" s="878">
        <v>20</v>
      </c>
      <c r="B26" s="878" t="str">
        <f>+'F y U 2022 Incremento Salarial'!B114</f>
        <v xml:space="preserve">     Trasferencia Promotora de Vivienda</v>
      </c>
      <c r="C26" s="878">
        <f>+'F y U 2022 Incremento Salarial'!C114</f>
        <v>1150000000</v>
      </c>
    </row>
    <row r="27" spans="1:3" x14ac:dyDescent="0.25">
      <c r="A27" s="878">
        <v>20</v>
      </c>
      <c r="B27" s="878" t="str">
        <f>+'F y U 2022 Incremento Salarial'!B115</f>
        <v xml:space="preserve">     Transferencia del 10%</v>
      </c>
      <c r="C27" s="878">
        <f>+'F y U 2022 Incremento Salarial'!C115</f>
        <v>8210602649</v>
      </c>
    </row>
    <row r="28" spans="1:3" ht="15" customHeight="1" x14ac:dyDescent="0.25">
      <c r="A28" s="1769" t="s">
        <v>1773</v>
      </c>
      <c r="B28" s="1770"/>
      <c r="C28" s="879">
        <f>SUM(C24:C27)</f>
        <v>10838399395</v>
      </c>
    </row>
    <row r="30" spans="1:3" ht="32.25" customHeight="1" x14ac:dyDescent="0.25">
      <c r="A30" s="738" t="s">
        <v>1771</v>
      </c>
      <c r="B30" s="738" t="s">
        <v>2350</v>
      </c>
      <c r="C30" s="738" t="s">
        <v>971</v>
      </c>
    </row>
    <row r="31" spans="1:3" ht="25.5" x14ac:dyDescent="0.25">
      <c r="A31" s="878">
        <v>20</v>
      </c>
      <c r="B31" s="878" t="str">
        <f>+'F y U 2022 Incremento Salarial'!B134</f>
        <v xml:space="preserve">  Funcionamiento Gobernación Administracion Central RO</v>
      </c>
      <c r="C31" s="878">
        <f>+'F y U 2022 Incremento Salarial'!C134</f>
        <v>40179225582</v>
      </c>
    </row>
    <row r="32" spans="1:3" x14ac:dyDescent="0.25">
      <c r="A32" s="878">
        <v>20</v>
      </c>
      <c r="B32" s="878" t="str">
        <f>+'F y U 2022 Incremento Salarial'!B135</f>
        <v xml:space="preserve"> Funcionamiento Salud RO</v>
      </c>
      <c r="C32" s="878">
        <f>+'F y U 2022 Incremento Salarial'!C135</f>
        <v>1000000000</v>
      </c>
    </row>
    <row r="33" spans="1:3" x14ac:dyDescent="0.25">
      <c r="A33" s="878"/>
      <c r="B33" s="878" t="str">
        <f>+'F y U 2022 Incremento Salarial'!B136</f>
        <v xml:space="preserve"> Funcionamiento Salud Destinado</v>
      </c>
      <c r="C33" s="878">
        <f>+'F y U 2022 Incremento Salarial'!C136</f>
        <v>7448431839</v>
      </c>
    </row>
    <row r="34" spans="1:3" ht="15" customHeight="1" x14ac:dyDescent="0.25">
      <c r="A34" s="1769" t="s">
        <v>1773</v>
      </c>
      <c r="B34" s="1770"/>
      <c r="C34" s="879">
        <f>SUM(C31:C33)</f>
        <v>48627657421</v>
      </c>
    </row>
  </sheetData>
  <mergeCells count="7">
    <mergeCell ref="A28:B28"/>
    <mergeCell ref="A34:B34"/>
    <mergeCell ref="A1:C1"/>
    <mergeCell ref="A2:C2"/>
    <mergeCell ref="A3:C3"/>
    <mergeCell ref="A4:C4"/>
    <mergeCell ref="A21:B21"/>
  </mergeCells>
  <pageMargins left="0.7" right="0.7" top="0.75" bottom="0.75" header="0.3" footer="0.3"/>
  <pageSetup paperSize="9" orientation="portrait" horizontalDpi="0"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N45"/>
  <sheetViews>
    <sheetView topLeftCell="A31" workbookViewId="0"/>
  </sheetViews>
  <sheetFormatPr baseColWidth="10" defaultColWidth="11.42578125" defaultRowHeight="14.25" x14ac:dyDescent="0.2"/>
  <cols>
    <col min="1" max="1" width="60.28515625" style="391" bestFit="1" customWidth="1"/>
    <col min="2" max="2" width="21" style="391" bestFit="1" customWidth="1"/>
    <col min="3" max="3" width="20.7109375" style="390" bestFit="1" customWidth="1"/>
    <col min="4" max="4" width="18.85546875" style="391" hidden="1" customWidth="1"/>
    <col min="5" max="5" width="17.85546875" style="390" hidden="1" customWidth="1"/>
    <col min="6" max="6" width="17.85546875" style="391" hidden="1" customWidth="1"/>
    <col min="7" max="7" width="18.140625" style="391" hidden="1" customWidth="1"/>
    <col min="8" max="8" width="37.42578125" style="391" hidden="1" customWidth="1"/>
    <col min="9" max="9" width="0" style="391" hidden="1" customWidth="1"/>
    <col min="10" max="10" width="17.85546875" style="390" hidden="1" customWidth="1"/>
    <col min="11" max="11" width="20.85546875" style="410" hidden="1" customWidth="1"/>
    <col min="12" max="12" width="19.7109375" style="391" hidden="1" customWidth="1"/>
    <col min="13" max="13" width="15.5703125" style="391" bestFit="1" customWidth="1"/>
    <col min="14" max="14" width="12.7109375" style="391" bestFit="1" customWidth="1"/>
    <col min="15" max="255" width="11.42578125" style="391"/>
    <col min="256" max="256" width="60.28515625" style="391" bestFit="1" customWidth="1"/>
    <col min="257" max="258" width="21" style="391" bestFit="1" customWidth="1"/>
    <col min="259" max="259" width="20.7109375" style="391" bestFit="1" customWidth="1"/>
    <col min="260" max="266" width="0" style="391" hidden="1" customWidth="1"/>
    <col min="267" max="268" width="18.85546875" style="391" bestFit="1" customWidth="1"/>
    <col min="269" max="269" width="15.140625" style="391" bestFit="1" customWidth="1"/>
    <col min="270" max="511" width="11.42578125" style="391"/>
    <col min="512" max="512" width="60.28515625" style="391" bestFit="1" customWidth="1"/>
    <col min="513" max="514" width="21" style="391" bestFit="1" customWidth="1"/>
    <col min="515" max="515" width="20.7109375" style="391" bestFit="1" customWidth="1"/>
    <col min="516" max="522" width="0" style="391" hidden="1" customWidth="1"/>
    <col min="523" max="524" width="18.85546875" style="391" bestFit="1" customWidth="1"/>
    <col min="525" max="525" width="15.140625" style="391" bestFit="1" customWidth="1"/>
    <col min="526" max="767" width="11.42578125" style="391"/>
    <col min="768" max="768" width="60.28515625" style="391" bestFit="1" customWidth="1"/>
    <col min="769" max="770" width="21" style="391" bestFit="1" customWidth="1"/>
    <col min="771" max="771" width="20.7109375" style="391" bestFit="1" customWidth="1"/>
    <col min="772" max="778" width="0" style="391" hidden="1" customWidth="1"/>
    <col min="779" max="780" width="18.85546875" style="391" bestFit="1" customWidth="1"/>
    <col min="781" max="781" width="15.140625" style="391" bestFit="1" customWidth="1"/>
    <col min="782" max="1023" width="11.42578125" style="391"/>
    <col min="1024" max="1024" width="60.28515625" style="391" bestFit="1" customWidth="1"/>
    <col min="1025" max="1026" width="21" style="391" bestFit="1" customWidth="1"/>
    <col min="1027" max="1027" width="20.7109375" style="391" bestFit="1" customWidth="1"/>
    <col min="1028" max="1034" width="0" style="391" hidden="1" customWidth="1"/>
    <col min="1035" max="1036" width="18.85546875" style="391" bestFit="1" customWidth="1"/>
    <col min="1037" max="1037" width="15.140625" style="391" bestFit="1" customWidth="1"/>
    <col min="1038" max="1279" width="11.42578125" style="391"/>
    <col min="1280" max="1280" width="60.28515625" style="391" bestFit="1" customWidth="1"/>
    <col min="1281" max="1282" width="21" style="391" bestFit="1" customWidth="1"/>
    <col min="1283" max="1283" width="20.7109375" style="391" bestFit="1" customWidth="1"/>
    <col min="1284" max="1290" width="0" style="391" hidden="1" customWidth="1"/>
    <col min="1291" max="1292" width="18.85546875" style="391" bestFit="1" customWidth="1"/>
    <col min="1293" max="1293" width="15.140625" style="391" bestFit="1" customWidth="1"/>
    <col min="1294" max="1535" width="11.42578125" style="391"/>
    <col min="1536" max="1536" width="60.28515625" style="391" bestFit="1" customWidth="1"/>
    <col min="1537" max="1538" width="21" style="391" bestFit="1" customWidth="1"/>
    <col min="1539" max="1539" width="20.7109375" style="391" bestFit="1" customWidth="1"/>
    <col min="1540" max="1546" width="0" style="391" hidden="1" customWidth="1"/>
    <col min="1547" max="1548" width="18.85546875" style="391" bestFit="1" customWidth="1"/>
    <col min="1549" max="1549" width="15.140625" style="391" bestFit="1" customWidth="1"/>
    <col min="1550" max="1791" width="11.42578125" style="391"/>
    <col min="1792" max="1792" width="60.28515625" style="391" bestFit="1" customWidth="1"/>
    <col min="1793" max="1794" width="21" style="391" bestFit="1" customWidth="1"/>
    <col min="1795" max="1795" width="20.7109375" style="391" bestFit="1" customWidth="1"/>
    <col min="1796" max="1802" width="0" style="391" hidden="1" customWidth="1"/>
    <col min="1803" max="1804" width="18.85546875" style="391" bestFit="1" customWidth="1"/>
    <col min="1805" max="1805" width="15.140625" style="391" bestFit="1" customWidth="1"/>
    <col min="1806" max="2047" width="11.42578125" style="391"/>
    <col min="2048" max="2048" width="60.28515625" style="391" bestFit="1" customWidth="1"/>
    <col min="2049" max="2050" width="21" style="391" bestFit="1" customWidth="1"/>
    <col min="2051" max="2051" width="20.7109375" style="391" bestFit="1" customWidth="1"/>
    <col min="2052" max="2058" width="0" style="391" hidden="1" customWidth="1"/>
    <col min="2059" max="2060" width="18.85546875" style="391" bestFit="1" customWidth="1"/>
    <col min="2061" max="2061" width="15.140625" style="391" bestFit="1" customWidth="1"/>
    <col min="2062" max="2303" width="11.42578125" style="391"/>
    <col min="2304" max="2304" width="60.28515625" style="391" bestFit="1" customWidth="1"/>
    <col min="2305" max="2306" width="21" style="391" bestFit="1" customWidth="1"/>
    <col min="2307" max="2307" width="20.7109375" style="391" bestFit="1" customWidth="1"/>
    <col min="2308" max="2314" width="0" style="391" hidden="1" customWidth="1"/>
    <col min="2315" max="2316" width="18.85546875" style="391" bestFit="1" customWidth="1"/>
    <col min="2317" max="2317" width="15.140625" style="391" bestFit="1" customWidth="1"/>
    <col min="2318" max="2559" width="11.42578125" style="391"/>
    <col min="2560" max="2560" width="60.28515625" style="391" bestFit="1" customWidth="1"/>
    <col min="2561" max="2562" width="21" style="391" bestFit="1" customWidth="1"/>
    <col min="2563" max="2563" width="20.7109375" style="391" bestFit="1" customWidth="1"/>
    <col min="2564" max="2570" width="0" style="391" hidden="1" customWidth="1"/>
    <col min="2571" max="2572" width="18.85546875" style="391" bestFit="1" customWidth="1"/>
    <col min="2573" max="2573" width="15.140625" style="391" bestFit="1" customWidth="1"/>
    <col min="2574" max="2815" width="11.42578125" style="391"/>
    <col min="2816" max="2816" width="60.28515625" style="391" bestFit="1" customWidth="1"/>
    <col min="2817" max="2818" width="21" style="391" bestFit="1" customWidth="1"/>
    <col min="2819" max="2819" width="20.7109375" style="391" bestFit="1" customWidth="1"/>
    <col min="2820" max="2826" width="0" style="391" hidden="1" customWidth="1"/>
    <col min="2827" max="2828" width="18.85546875" style="391" bestFit="1" customWidth="1"/>
    <col min="2829" max="2829" width="15.140625" style="391" bestFit="1" customWidth="1"/>
    <col min="2830" max="3071" width="11.42578125" style="391"/>
    <col min="3072" max="3072" width="60.28515625" style="391" bestFit="1" customWidth="1"/>
    <col min="3073" max="3074" width="21" style="391" bestFit="1" customWidth="1"/>
    <col min="3075" max="3075" width="20.7109375" style="391" bestFit="1" customWidth="1"/>
    <col min="3076" max="3082" width="0" style="391" hidden="1" customWidth="1"/>
    <col min="3083" max="3084" width="18.85546875" style="391" bestFit="1" customWidth="1"/>
    <col min="3085" max="3085" width="15.140625" style="391" bestFit="1" customWidth="1"/>
    <col min="3086" max="3327" width="11.42578125" style="391"/>
    <col min="3328" max="3328" width="60.28515625" style="391" bestFit="1" customWidth="1"/>
    <col min="3329" max="3330" width="21" style="391" bestFit="1" customWidth="1"/>
    <col min="3331" max="3331" width="20.7109375" style="391" bestFit="1" customWidth="1"/>
    <col min="3332" max="3338" width="0" style="391" hidden="1" customWidth="1"/>
    <col min="3339" max="3340" width="18.85546875" style="391" bestFit="1" customWidth="1"/>
    <col min="3341" max="3341" width="15.140625" style="391" bestFit="1" customWidth="1"/>
    <col min="3342" max="3583" width="11.42578125" style="391"/>
    <col min="3584" max="3584" width="60.28515625" style="391" bestFit="1" customWidth="1"/>
    <col min="3585" max="3586" width="21" style="391" bestFit="1" customWidth="1"/>
    <col min="3587" max="3587" width="20.7109375" style="391" bestFit="1" customWidth="1"/>
    <col min="3588" max="3594" width="0" style="391" hidden="1" customWidth="1"/>
    <col min="3595" max="3596" width="18.85546875" style="391" bestFit="1" customWidth="1"/>
    <col min="3597" max="3597" width="15.140625" style="391" bestFit="1" customWidth="1"/>
    <col min="3598" max="3839" width="11.42578125" style="391"/>
    <col min="3840" max="3840" width="60.28515625" style="391" bestFit="1" customWidth="1"/>
    <col min="3841" max="3842" width="21" style="391" bestFit="1" customWidth="1"/>
    <col min="3843" max="3843" width="20.7109375" style="391" bestFit="1" customWidth="1"/>
    <col min="3844" max="3850" width="0" style="391" hidden="1" customWidth="1"/>
    <col min="3851" max="3852" width="18.85546875" style="391" bestFit="1" customWidth="1"/>
    <col min="3853" max="3853" width="15.140625" style="391" bestFit="1" customWidth="1"/>
    <col min="3854" max="4095" width="11.42578125" style="391"/>
    <col min="4096" max="4096" width="60.28515625" style="391" bestFit="1" customWidth="1"/>
    <col min="4097" max="4098" width="21" style="391" bestFit="1" customWidth="1"/>
    <col min="4099" max="4099" width="20.7109375" style="391" bestFit="1" customWidth="1"/>
    <col min="4100" max="4106" width="0" style="391" hidden="1" customWidth="1"/>
    <col min="4107" max="4108" width="18.85546875" style="391" bestFit="1" customWidth="1"/>
    <col min="4109" max="4109" width="15.140625" style="391" bestFit="1" customWidth="1"/>
    <col min="4110" max="4351" width="11.42578125" style="391"/>
    <col min="4352" max="4352" width="60.28515625" style="391" bestFit="1" customWidth="1"/>
    <col min="4353" max="4354" width="21" style="391" bestFit="1" customWidth="1"/>
    <col min="4355" max="4355" width="20.7109375" style="391" bestFit="1" customWidth="1"/>
    <col min="4356" max="4362" width="0" style="391" hidden="1" customWidth="1"/>
    <col min="4363" max="4364" width="18.85546875" style="391" bestFit="1" customWidth="1"/>
    <col min="4365" max="4365" width="15.140625" style="391" bestFit="1" customWidth="1"/>
    <col min="4366" max="4607" width="11.42578125" style="391"/>
    <col min="4608" max="4608" width="60.28515625" style="391" bestFit="1" customWidth="1"/>
    <col min="4609" max="4610" width="21" style="391" bestFit="1" customWidth="1"/>
    <col min="4611" max="4611" width="20.7109375" style="391" bestFit="1" customWidth="1"/>
    <col min="4612" max="4618" width="0" style="391" hidden="1" customWidth="1"/>
    <col min="4619" max="4620" width="18.85546875" style="391" bestFit="1" customWidth="1"/>
    <col min="4621" max="4621" width="15.140625" style="391" bestFit="1" customWidth="1"/>
    <col min="4622" max="4863" width="11.42578125" style="391"/>
    <col min="4864" max="4864" width="60.28515625" style="391" bestFit="1" customWidth="1"/>
    <col min="4865" max="4866" width="21" style="391" bestFit="1" customWidth="1"/>
    <col min="4867" max="4867" width="20.7109375" style="391" bestFit="1" customWidth="1"/>
    <col min="4868" max="4874" width="0" style="391" hidden="1" customWidth="1"/>
    <col min="4875" max="4876" width="18.85546875" style="391" bestFit="1" customWidth="1"/>
    <col min="4877" max="4877" width="15.140625" style="391" bestFit="1" customWidth="1"/>
    <col min="4878" max="5119" width="11.42578125" style="391"/>
    <col min="5120" max="5120" width="60.28515625" style="391" bestFit="1" customWidth="1"/>
    <col min="5121" max="5122" width="21" style="391" bestFit="1" customWidth="1"/>
    <col min="5123" max="5123" width="20.7109375" style="391" bestFit="1" customWidth="1"/>
    <col min="5124" max="5130" width="0" style="391" hidden="1" customWidth="1"/>
    <col min="5131" max="5132" width="18.85546875" style="391" bestFit="1" customWidth="1"/>
    <col min="5133" max="5133" width="15.140625" style="391" bestFit="1" customWidth="1"/>
    <col min="5134" max="5375" width="11.42578125" style="391"/>
    <col min="5376" max="5376" width="60.28515625" style="391" bestFit="1" customWidth="1"/>
    <col min="5377" max="5378" width="21" style="391" bestFit="1" customWidth="1"/>
    <col min="5379" max="5379" width="20.7109375" style="391" bestFit="1" customWidth="1"/>
    <col min="5380" max="5386" width="0" style="391" hidden="1" customWidth="1"/>
    <col min="5387" max="5388" width="18.85546875" style="391" bestFit="1" customWidth="1"/>
    <col min="5389" max="5389" width="15.140625" style="391" bestFit="1" customWidth="1"/>
    <col min="5390" max="5631" width="11.42578125" style="391"/>
    <col min="5632" max="5632" width="60.28515625" style="391" bestFit="1" customWidth="1"/>
    <col min="5633" max="5634" width="21" style="391" bestFit="1" customWidth="1"/>
    <col min="5635" max="5635" width="20.7109375" style="391" bestFit="1" customWidth="1"/>
    <col min="5636" max="5642" width="0" style="391" hidden="1" customWidth="1"/>
    <col min="5643" max="5644" width="18.85546875" style="391" bestFit="1" customWidth="1"/>
    <col min="5645" max="5645" width="15.140625" style="391" bestFit="1" customWidth="1"/>
    <col min="5646" max="5887" width="11.42578125" style="391"/>
    <col min="5888" max="5888" width="60.28515625" style="391" bestFit="1" customWidth="1"/>
    <col min="5889" max="5890" width="21" style="391" bestFit="1" customWidth="1"/>
    <col min="5891" max="5891" width="20.7109375" style="391" bestFit="1" customWidth="1"/>
    <col min="5892" max="5898" width="0" style="391" hidden="1" customWidth="1"/>
    <col min="5899" max="5900" width="18.85546875" style="391" bestFit="1" customWidth="1"/>
    <col min="5901" max="5901" width="15.140625" style="391" bestFit="1" customWidth="1"/>
    <col min="5902" max="6143" width="11.42578125" style="391"/>
    <col min="6144" max="6144" width="60.28515625" style="391" bestFit="1" customWidth="1"/>
    <col min="6145" max="6146" width="21" style="391" bestFit="1" customWidth="1"/>
    <col min="6147" max="6147" width="20.7109375" style="391" bestFit="1" customWidth="1"/>
    <col min="6148" max="6154" width="0" style="391" hidden="1" customWidth="1"/>
    <col min="6155" max="6156" width="18.85546875" style="391" bestFit="1" customWidth="1"/>
    <col min="6157" max="6157" width="15.140625" style="391" bestFit="1" customWidth="1"/>
    <col min="6158" max="6399" width="11.42578125" style="391"/>
    <col min="6400" max="6400" width="60.28515625" style="391" bestFit="1" customWidth="1"/>
    <col min="6401" max="6402" width="21" style="391" bestFit="1" customWidth="1"/>
    <col min="6403" max="6403" width="20.7109375" style="391" bestFit="1" customWidth="1"/>
    <col min="6404" max="6410" width="0" style="391" hidden="1" customWidth="1"/>
    <col min="6411" max="6412" width="18.85546875" style="391" bestFit="1" customWidth="1"/>
    <col min="6413" max="6413" width="15.140625" style="391" bestFit="1" customWidth="1"/>
    <col min="6414" max="6655" width="11.42578125" style="391"/>
    <col min="6656" max="6656" width="60.28515625" style="391" bestFit="1" customWidth="1"/>
    <col min="6657" max="6658" width="21" style="391" bestFit="1" customWidth="1"/>
    <col min="6659" max="6659" width="20.7109375" style="391" bestFit="1" customWidth="1"/>
    <col min="6660" max="6666" width="0" style="391" hidden="1" customWidth="1"/>
    <col min="6667" max="6668" width="18.85546875" style="391" bestFit="1" customWidth="1"/>
    <col min="6669" max="6669" width="15.140625" style="391" bestFit="1" customWidth="1"/>
    <col min="6670" max="6911" width="11.42578125" style="391"/>
    <col min="6912" max="6912" width="60.28515625" style="391" bestFit="1" customWidth="1"/>
    <col min="6913" max="6914" width="21" style="391" bestFit="1" customWidth="1"/>
    <col min="6915" max="6915" width="20.7109375" style="391" bestFit="1" customWidth="1"/>
    <col min="6916" max="6922" width="0" style="391" hidden="1" customWidth="1"/>
    <col min="6923" max="6924" width="18.85546875" style="391" bestFit="1" customWidth="1"/>
    <col min="6925" max="6925" width="15.140625" style="391" bestFit="1" customWidth="1"/>
    <col min="6926" max="7167" width="11.42578125" style="391"/>
    <col min="7168" max="7168" width="60.28515625" style="391" bestFit="1" customWidth="1"/>
    <col min="7169" max="7170" width="21" style="391" bestFit="1" customWidth="1"/>
    <col min="7171" max="7171" width="20.7109375" style="391" bestFit="1" customWidth="1"/>
    <col min="7172" max="7178" width="0" style="391" hidden="1" customWidth="1"/>
    <col min="7179" max="7180" width="18.85546875" style="391" bestFit="1" customWidth="1"/>
    <col min="7181" max="7181" width="15.140625" style="391" bestFit="1" customWidth="1"/>
    <col min="7182" max="7423" width="11.42578125" style="391"/>
    <col min="7424" max="7424" width="60.28515625" style="391" bestFit="1" customWidth="1"/>
    <col min="7425" max="7426" width="21" style="391" bestFit="1" customWidth="1"/>
    <col min="7427" max="7427" width="20.7109375" style="391" bestFit="1" customWidth="1"/>
    <col min="7428" max="7434" width="0" style="391" hidden="1" customWidth="1"/>
    <col min="7435" max="7436" width="18.85546875" style="391" bestFit="1" customWidth="1"/>
    <col min="7437" max="7437" width="15.140625" style="391" bestFit="1" customWidth="1"/>
    <col min="7438" max="7679" width="11.42578125" style="391"/>
    <col min="7680" max="7680" width="60.28515625" style="391" bestFit="1" customWidth="1"/>
    <col min="7681" max="7682" width="21" style="391" bestFit="1" customWidth="1"/>
    <col min="7683" max="7683" width="20.7109375" style="391" bestFit="1" customWidth="1"/>
    <col min="7684" max="7690" width="0" style="391" hidden="1" customWidth="1"/>
    <col min="7691" max="7692" width="18.85546875" style="391" bestFit="1" customWidth="1"/>
    <col min="7693" max="7693" width="15.140625" style="391" bestFit="1" customWidth="1"/>
    <col min="7694" max="7935" width="11.42578125" style="391"/>
    <col min="7936" max="7936" width="60.28515625" style="391" bestFit="1" customWidth="1"/>
    <col min="7937" max="7938" width="21" style="391" bestFit="1" customWidth="1"/>
    <col min="7939" max="7939" width="20.7109375" style="391" bestFit="1" customWidth="1"/>
    <col min="7940" max="7946" width="0" style="391" hidden="1" customWidth="1"/>
    <col min="7947" max="7948" width="18.85546875" style="391" bestFit="1" customWidth="1"/>
    <col min="7949" max="7949" width="15.140625" style="391" bestFit="1" customWidth="1"/>
    <col min="7950" max="8191" width="11.42578125" style="391"/>
    <col min="8192" max="8192" width="60.28515625" style="391" bestFit="1" customWidth="1"/>
    <col min="8193" max="8194" width="21" style="391" bestFit="1" customWidth="1"/>
    <col min="8195" max="8195" width="20.7109375" style="391" bestFit="1" customWidth="1"/>
    <col min="8196" max="8202" width="0" style="391" hidden="1" customWidth="1"/>
    <col min="8203" max="8204" width="18.85546875" style="391" bestFit="1" customWidth="1"/>
    <col min="8205" max="8205" width="15.140625" style="391" bestFit="1" customWidth="1"/>
    <col min="8206" max="8447" width="11.42578125" style="391"/>
    <col min="8448" max="8448" width="60.28515625" style="391" bestFit="1" customWidth="1"/>
    <col min="8449" max="8450" width="21" style="391" bestFit="1" customWidth="1"/>
    <col min="8451" max="8451" width="20.7109375" style="391" bestFit="1" customWidth="1"/>
    <col min="8452" max="8458" width="0" style="391" hidden="1" customWidth="1"/>
    <col min="8459" max="8460" width="18.85546875" style="391" bestFit="1" customWidth="1"/>
    <col min="8461" max="8461" width="15.140625" style="391" bestFit="1" customWidth="1"/>
    <col min="8462" max="8703" width="11.42578125" style="391"/>
    <col min="8704" max="8704" width="60.28515625" style="391" bestFit="1" customWidth="1"/>
    <col min="8705" max="8706" width="21" style="391" bestFit="1" customWidth="1"/>
    <col min="8707" max="8707" width="20.7109375" style="391" bestFit="1" customWidth="1"/>
    <col min="8708" max="8714" width="0" style="391" hidden="1" customWidth="1"/>
    <col min="8715" max="8716" width="18.85546875" style="391" bestFit="1" customWidth="1"/>
    <col min="8717" max="8717" width="15.140625" style="391" bestFit="1" customWidth="1"/>
    <col min="8718" max="8959" width="11.42578125" style="391"/>
    <col min="8960" max="8960" width="60.28515625" style="391" bestFit="1" customWidth="1"/>
    <col min="8961" max="8962" width="21" style="391" bestFit="1" customWidth="1"/>
    <col min="8963" max="8963" width="20.7109375" style="391" bestFit="1" customWidth="1"/>
    <col min="8964" max="8970" width="0" style="391" hidden="1" customWidth="1"/>
    <col min="8971" max="8972" width="18.85546875" style="391" bestFit="1" customWidth="1"/>
    <col min="8973" max="8973" width="15.140625" style="391" bestFit="1" customWidth="1"/>
    <col min="8974" max="9215" width="11.42578125" style="391"/>
    <col min="9216" max="9216" width="60.28515625" style="391" bestFit="1" customWidth="1"/>
    <col min="9217" max="9218" width="21" style="391" bestFit="1" customWidth="1"/>
    <col min="9219" max="9219" width="20.7109375" style="391" bestFit="1" customWidth="1"/>
    <col min="9220" max="9226" width="0" style="391" hidden="1" customWidth="1"/>
    <col min="9227" max="9228" width="18.85546875" style="391" bestFit="1" customWidth="1"/>
    <col min="9229" max="9229" width="15.140625" style="391" bestFit="1" customWidth="1"/>
    <col min="9230" max="9471" width="11.42578125" style="391"/>
    <col min="9472" max="9472" width="60.28515625" style="391" bestFit="1" customWidth="1"/>
    <col min="9473" max="9474" width="21" style="391" bestFit="1" customWidth="1"/>
    <col min="9475" max="9475" width="20.7109375" style="391" bestFit="1" customWidth="1"/>
    <col min="9476" max="9482" width="0" style="391" hidden="1" customWidth="1"/>
    <col min="9483" max="9484" width="18.85546875" style="391" bestFit="1" customWidth="1"/>
    <col min="9485" max="9485" width="15.140625" style="391" bestFit="1" customWidth="1"/>
    <col min="9486" max="9727" width="11.42578125" style="391"/>
    <col min="9728" max="9728" width="60.28515625" style="391" bestFit="1" customWidth="1"/>
    <col min="9729" max="9730" width="21" style="391" bestFit="1" customWidth="1"/>
    <col min="9731" max="9731" width="20.7109375" style="391" bestFit="1" customWidth="1"/>
    <col min="9732" max="9738" width="0" style="391" hidden="1" customWidth="1"/>
    <col min="9739" max="9740" width="18.85546875" style="391" bestFit="1" customWidth="1"/>
    <col min="9741" max="9741" width="15.140625" style="391" bestFit="1" customWidth="1"/>
    <col min="9742" max="9983" width="11.42578125" style="391"/>
    <col min="9984" max="9984" width="60.28515625" style="391" bestFit="1" customWidth="1"/>
    <col min="9985" max="9986" width="21" style="391" bestFit="1" customWidth="1"/>
    <col min="9987" max="9987" width="20.7109375" style="391" bestFit="1" customWidth="1"/>
    <col min="9988" max="9994" width="0" style="391" hidden="1" customWidth="1"/>
    <col min="9995" max="9996" width="18.85546875" style="391" bestFit="1" customWidth="1"/>
    <col min="9997" max="9997" width="15.140625" style="391" bestFit="1" customWidth="1"/>
    <col min="9998" max="10239" width="11.42578125" style="391"/>
    <col min="10240" max="10240" width="60.28515625" style="391" bestFit="1" customWidth="1"/>
    <col min="10241" max="10242" width="21" style="391" bestFit="1" customWidth="1"/>
    <col min="10243" max="10243" width="20.7109375" style="391" bestFit="1" customWidth="1"/>
    <col min="10244" max="10250" width="0" style="391" hidden="1" customWidth="1"/>
    <col min="10251" max="10252" width="18.85546875" style="391" bestFit="1" customWidth="1"/>
    <col min="10253" max="10253" width="15.140625" style="391" bestFit="1" customWidth="1"/>
    <col min="10254" max="10495" width="11.42578125" style="391"/>
    <col min="10496" max="10496" width="60.28515625" style="391" bestFit="1" customWidth="1"/>
    <col min="10497" max="10498" width="21" style="391" bestFit="1" customWidth="1"/>
    <col min="10499" max="10499" width="20.7109375" style="391" bestFit="1" customWidth="1"/>
    <col min="10500" max="10506" width="0" style="391" hidden="1" customWidth="1"/>
    <col min="10507" max="10508" width="18.85546875" style="391" bestFit="1" customWidth="1"/>
    <col min="10509" max="10509" width="15.140625" style="391" bestFit="1" customWidth="1"/>
    <col min="10510" max="10751" width="11.42578125" style="391"/>
    <col min="10752" max="10752" width="60.28515625" style="391" bestFit="1" customWidth="1"/>
    <col min="10753" max="10754" width="21" style="391" bestFit="1" customWidth="1"/>
    <col min="10755" max="10755" width="20.7109375" style="391" bestFit="1" customWidth="1"/>
    <col min="10756" max="10762" width="0" style="391" hidden="1" customWidth="1"/>
    <col min="10763" max="10764" width="18.85546875" style="391" bestFit="1" customWidth="1"/>
    <col min="10765" max="10765" width="15.140625" style="391" bestFit="1" customWidth="1"/>
    <col min="10766" max="11007" width="11.42578125" style="391"/>
    <col min="11008" max="11008" width="60.28515625" style="391" bestFit="1" customWidth="1"/>
    <col min="11009" max="11010" width="21" style="391" bestFit="1" customWidth="1"/>
    <col min="11011" max="11011" width="20.7109375" style="391" bestFit="1" customWidth="1"/>
    <col min="11012" max="11018" width="0" style="391" hidden="1" customWidth="1"/>
    <col min="11019" max="11020" width="18.85546875" style="391" bestFit="1" customWidth="1"/>
    <col min="11021" max="11021" width="15.140625" style="391" bestFit="1" customWidth="1"/>
    <col min="11022" max="11263" width="11.42578125" style="391"/>
    <col min="11264" max="11264" width="60.28515625" style="391" bestFit="1" customWidth="1"/>
    <col min="11265" max="11266" width="21" style="391" bestFit="1" customWidth="1"/>
    <col min="11267" max="11267" width="20.7109375" style="391" bestFit="1" customWidth="1"/>
    <col min="11268" max="11274" width="0" style="391" hidden="1" customWidth="1"/>
    <col min="11275" max="11276" width="18.85546875" style="391" bestFit="1" customWidth="1"/>
    <col min="11277" max="11277" width="15.140625" style="391" bestFit="1" customWidth="1"/>
    <col min="11278" max="11519" width="11.42578125" style="391"/>
    <col min="11520" max="11520" width="60.28515625" style="391" bestFit="1" customWidth="1"/>
    <col min="11521" max="11522" width="21" style="391" bestFit="1" customWidth="1"/>
    <col min="11523" max="11523" width="20.7109375" style="391" bestFit="1" customWidth="1"/>
    <col min="11524" max="11530" width="0" style="391" hidden="1" customWidth="1"/>
    <col min="11531" max="11532" width="18.85546875" style="391" bestFit="1" customWidth="1"/>
    <col min="11533" max="11533" width="15.140625" style="391" bestFit="1" customWidth="1"/>
    <col min="11534" max="11775" width="11.42578125" style="391"/>
    <col min="11776" max="11776" width="60.28515625" style="391" bestFit="1" customWidth="1"/>
    <col min="11777" max="11778" width="21" style="391" bestFit="1" customWidth="1"/>
    <col min="11779" max="11779" width="20.7109375" style="391" bestFit="1" customWidth="1"/>
    <col min="11780" max="11786" width="0" style="391" hidden="1" customWidth="1"/>
    <col min="11787" max="11788" width="18.85546875" style="391" bestFit="1" customWidth="1"/>
    <col min="11789" max="11789" width="15.140625" style="391" bestFit="1" customWidth="1"/>
    <col min="11790" max="12031" width="11.42578125" style="391"/>
    <col min="12032" max="12032" width="60.28515625" style="391" bestFit="1" customWidth="1"/>
    <col min="12033" max="12034" width="21" style="391" bestFit="1" customWidth="1"/>
    <col min="12035" max="12035" width="20.7109375" style="391" bestFit="1" customWidth="1"/>
    <col min="12036" max="12042" width="0" style="391" hidden="1" customWidth="1"/>
    <col min="12043" max="12044" width="18.85546875" style="391" bestFit="1" customWidth="1"/>
    <col min="12045" max="12045" width="15.140625" style="391" bestFit="1" customWidth="1"/>
    <col min="12046" max="12287" width="11.42578125" style="391"/>
    <col min="12288" max="12288" width="60.28515625" style="391" bestFit="1" customWidth="1"/>
    <col min="12289" max="12290" width="21" style="391" bestFit="1" customWidth="1"/>
    <col min="12291" max="12291" width="20.7109375" style="391" bestFit="1" customWidth="1"/>
    <col min="12292" max="12298" width="0" style="391" hidden="1" customWidth="1"/>
    <col min="12299" max="12300" width="18.85546875" style="391" bestFit="1" customWidth="1"/>
    <col min="12301" max="12301" width="15.140625" style="391" bestFit="1" customWidth="1"/>
    <col min="12302" max="12543" width="11.42578125" style="391"/>
    <col min="12544" max="12544" width="60.28515625" style="391" bestFit="1" customWidth="1"/>
    <col min="12545" max="12546" width="21" style="391" bestFit="1" customWidth="1"/>
    <col min="12547" max="12547" width="20.7109375" style="391" bestFit="1" customWidth="1"/>
    <col min="12548" max="12554" width="0" style="391" hidden="1" customWidth="1"/>
    <col min="12555" max="12556" width="18.85546875" style="391" bestFit="1" customWidth="1"/>
    <col min="12557" max="12557" width="15.140625" style="391" bestFit="1" customWidth="1"/>
    <col min="12558" max="12799" width="11.42578125" style="391"/>
    <col min="12800" max="12800" width="60.28515625" style="391" bestFit="1" customWidth="1"/>
    <col min="12801" max="12802" width="21" style="391" bestFit="1" customWidth="1"/>
    <col min="12803" max="12803" width="20.7109375" style="391" bestFit="1" customWidth="1"/>
    <col min="12804" max="12810" width="0" style="391" hidden="1" customWidth="1"/>
    <col min="12811" max="12812" width="18.85546875" style="391" bestFit="1" customWidth="1"/>
    <col min="12813" max="12813" width="15.140625" style="391" bestFit="1" customWidth="1"/>
    <col min="12814" max="13055" width="11.42578125" style="391"/>
    <col min="13056" max="13056" width="60.28515625" style="391" bestFit="1" customWidth="1"/>
    <col min="13057" max="13058" width="21" style="391" bestFit="1" customWidth="1"/>
    <col min="13059" max="13059" width="20.7109375" style="391" bestFit="1" customWidth="1"/>
    <col min="13060" max="13066" width="0" style="391" hidden="1" customWidth="1"/>
    <col min="13067" max="13068" width="18.85546875" style="391" bestFit="1" customWidth="1"/>
    <col min="13069" max="13069" width="15.140625" style="391" bestFit="1" customWidth="1"/>
    <col min="13070" max="13311" width="11.42578125" style="391"/>
    <col min="13312" max="13312" width="60.28515625" style="391" bestFit="1" customWidth="1"/>
    <col min="13313" max="13314" width="21" style="391" bestFit="1" customWidth="1"/>
    <col min="13315" max="13315" width="20.7109375" style="391" bestFit="1" customWidth="1"/>
    <col min="13316" max="13322" width="0" style="391" hidden="1" customWidth="1"/>
    <col min="13323" max="13324" width="18.85546875" style="391" bestFit="1" customWidth="1"/>
    <col min="13325" max="13325" width="15.140625" style="391" bestFit="1" customWidth="1"/>
    <col min="13326" max="13567" width="11.42578125" style="391"/>
    <col min="13568" max="13568" width="60.28515625" style="391" bestFit="1" customWidth="1"/>
    <col min="13569" max="13570" width="21" style="391" bestFit="1" customWidth="1"/>
    <col min="13571" max="13571" width="20.7109375" style="391" bestFit="1" customWidth="1"/>
    <col min="13572" max="13578" width="0" style="391" hidden="1" customWidth="1"/>
    <col min="13579" max="13580" width="18.85546875" style="391" bestFit="1" customWidth="1"/>
    <col min="13581" max="13581" width="15.140625" style="391" bestFit="1" customWidth="1"/>
    <col min="13582" max="13823" width="11.42578125" style="391"/>
    <col min="13824" max="13824" width="60.28515625" style="391" bestFit="1" customWidth="1"/>
    <col min="13825" max="13826" width="21" style="391" bestFit="1" customWidth="1"/>
    <col min="13827" max="13827" width="20.7109375" style="391" bestFit="1" customWidth="1"/>
    <col min="13828" max="13834" width="0" style="391" hidden="1" customWidth="1"/>
    <col min="13835" max="13836" width="18.85546875" style="391" bestFit="1" customWidth="1"/>
    <col min="13837" max="13837" width="15.140625" style="391" bestFit="1" customWidth="1"/>
    <col min="13838" max="14079" width="11.42578125" style="391"/>
    <col min="14080" max="14080" width="60.28515625" style="391" bestFit="1" customWidth="1"/>
    <col min="14081" max="14082" width="21" style="391" bestFit="1" customWidth="1"/>
    <col min="14083" max="14083" width="20.7109375" style="391" bestFit="1" customWidth="1"/>
    <col min="14084" max="14090" width="0" style="391" hidden="1" customWidth="1"/>
    <col min="14091" max="14092" width="18.85546875" style="391" bestFit="1" customWidth="1"/>
    <col min="14093" max="14093" width="15.140625" style="391" bestFit="1" customWidth="1"/>
    <col min="14094" max="14335" width="11.42578125" style="391"/>
    <col min="14336" max="14336" width="60.28515625" style="391" bestFit="1" customWidth="1"/>
    <col min="14337" max="14338" width="21" style="391" bestFit="1" customWidth="1"/>
    <col min="14339" max="14339" width="20.7109375" style="391" bestFit="1" customWidth="1"/>
    <col min="14340" max="14346" width="0" style="391" hidden="1" customWidth="1"/>
    <col min="14347" max="14348" width="18.85546875" style="391" bestFit="1" customWidth="1"/>
    <col min="14349" max="14349" width="15.140625" style="391" bestFit="1" customWidth="1"/>
    <col min="14350" max="14591" width="11.42578125" style="391"/>
    <col min="14592" max="14592" width="60.28515625" style="391" bestFit="1" customWidth="1"/>
    <col min="14593" max="14594" width="21" style="391" bestFit="1" customWidth="1"/>
    <col min="14595" max="14595" width="20.7109375" style="391" bestFit="1" customWidth="1"/>
    <col min="14596" max="14602" width="0" style="391" hidden="1" customWidth="1"/>
    <col min="14603" max="14604" width="18.85546875" style="391" bestFit="1" customWidth="1"/>
    <col min="14605" max="14605" width="15.140625" style="391" bestFit="1" customWidth="1"/>
    <col min="14606" max="14847" width="11.42578125" style="391"/>
    <col min="14848" max="14848" width="60.28515625" style="391" bestFit="1" customWidth="1"/>
    <col min="14849" max="14850" width="21" style="391" bestFit="1" customWidth="1"/>
    <col min="14851" max="14851" width="20.7109375" style="391" bestFit="1" customWidth="1"/>
    <col min="14852" max="14858" width="0" style="391" hidden="1" customWidth="1"/>
    <col min="14859" max="14860" width="18.85546875" style="391" bestFit="1" customWidth="1"/>
    <col min="14861" max="14861" width="15.140625" style="391" bestFit="1" customWidth="1"/>
    <col min="14862" max="15103" width="11.42578125" style="391"/>
    <col min="15104" max="15104" width="60.28515625" style="391" bestFit="1" customWidth="1"/>
    <col min="15105" max="15106" width="21" style="391" bestFit="1" customWidth="1"/>
    <col min="15107" max="15107" width="20.7109375" style="391" bestFit="1" customWidth="1"/>
    <col min="15108" max="15114" width="0" style="391" hidden="1" customWidth="1"/>
    <col min="15115" max="15116" width="18.85546875" style="391" bestFit="1" customWidth="1"/>
    <col min="15117" max="15117" width="15.140625" style="391" bestFit="1" customWidth="1"/>
    <col min="15118" max="15359" width="11.42578125" style="391"/>
    <col min="15360" max="15360" width="60.28515625" style="391" bestFit="1" customWidth="1"/>
    <col min="15361" max="15362" width="21" style="391" bestFit="1" customWidth="1"/>
    <col min="15363" max="15363" width="20.7109375" style="391" bestFit="1" customWidth="1"/>
    <col min="15364" max="15370" width="0" style="391" hidden="1" customWidth="1"/>
    <col min="15371" max="15372" width="18.85546875" style="391" bestFit="1" customWidth="1"/>
    <col min="15373" max="15373" width="15.140625" style="391" bestFit="1" customWidth="1"/>
    <col min="15374" max="15615" width="11.42578125" style="391"/>
    <col min="15616" max="15616" width="60.28515625" style="391" bestFit="1" customWidth="1"/>
    <col min="15617" max="15618" width="21" style="391" bestFit="1" customWidth="1"/>
    <col min="15619" max="15619" width="20.7109375" style="391" bestFit="1" customWidth="1"/>
    <col min="15620" max="15626" width="0" style="391" hidden="1" customWidth="1"/>
    <col min="15627" max="15628" width="18.85546875" style="391" bestFit="1" customWidth="1"/>
    <col min="15629" max="15629" width="15.140625" style="391" bestFit="1" customWidth="1"/>
    <col min="15630" max="15871" width="11.42578125" style="391"/>
    <col min="15872" max="15872" width="60.28515625" style="391" bestFit="1" customWidth="1"/>
    <col min="15873" max="15874" width="21" style="391" bestFit="1" customWidth="1"/>
    <col min="15875" max="15875" width="20.7109375" style="391" bestFit="1" customWidth="1"/>
    <col min="15876" max="15882" width="0" style="391" hidden="1" customWidth="1"/>
    <col min="15883" max="15884" width="18.85546875" style="391" bestFit="1" customWidth="1"/>
    <col min="15885" max="15885" width="15.140625" style="391" bestFit="1" customWidth="1"/>
    <col min="15886" max="16127" width="11.42578125" style="391"/>
    <col min="16128" max="16128" width="60.28515625" style="391" bestFit="1" customWidth="1"/>
    <col min="16129" max="16130" width="21" style="391" bestFit="1" customWidth="1"/>
    <col min="16131" max="16131" width="20.7109375" style="391" bestFit="1" customWidth="1"/>
    <col min="16132" max="16138" width="0" style="391" hidden="1" customWidth="1"/>
    <col min="16139" max="16140" width="18.85546875" style="391" bestFit="1" customWidth="1"/>
    <col min="16141" max="16141" width="15.140625" style="391" bestFit="1" customWidth="1"/>
    <col min="16142" max="16384" width="11.42578125" style="391"/>
  </cols>
  <sheetData>
    <row r="1" spans="1:13" ht="78" x14ac:dyDescent="0.2">
      <c r="A1" s="412" t="s">
        <v>1929</v>
      </c>
      <c r="B1" s="412">
        <v>2021</v>
      </c>
      <c r="C1" s="412">
        <v>2022</v>
      </c>
    </row>
    <row r="2" spans="1:13" ht="19.5" x14ac:dyDescent="0.2">
      <c r="A2" s="1727"/>
      <c r="B2" s="1728"/>
    </row>
    <row r="3" spans="1:13" ht="15" x14ac:dyDescent="0.2">
      <c r="A3" s="392" t="s">
        <v>1843</v>
      </c>
      <c r="B3" s="392">
        <v>3162607596</v>
      </c>
      <c r="C3" s="390">
        <f>+'F y U 2022 Presupuesto'!C129</f>
        <v>3756194244</v>
      </c>
      <c r="K3" s="410">
        <f>+'F y U 2022 Incremento Salarial'!C131</f>
        <v>3769319014</v>
      </c>
    </row>
    <row r="4" spans="1:13" ht="15" x14ac:dyDescent="0.2">
      <c r="A4" s="392" t="s">
        <v>1930</v>
      </c>
      <c r="B4" s="392">
        <v>3094984325.7410383</v>
      </c>
      <c r="C4" s="390">
        <f>+'F y U 2022 Presupuesto'!C130</f>
        <v>2783196563.915071</v>
      </c>
      <c r="K4" s="410">
        <f>+'F y U 2022 Incremento Salarial'!C132</f>
        <v>2783196563.8610001</v>
      </c>
    </row>
    <row r="5" spans="1:13" ht="15" x14ac:dyDescent="0.2">
      <c r="A5" s="392" t="s">
        <v>1931</v>
      </c>
      <c r="B5" s="392">
        <v>561606231</v>
      </c>
      <c r="C5" s="390">
        <f>+'F y U 2022 Presupuesto'!C131</f>
        <v>580088442</v>
      </c>
      <c r="K5" s="410">
        <f>+'F y U 2022 Incremento Salarial'!C133</f>
        <v>580088442</v>
      </c>
    </row>
    <row r="6" spans="1:13" ht="15" x14ac:dyDescent="0.2">
      <c r="A6" s="392" t="s">
        <v>1932</v>
      </c>
      <c r="B6" s="392">
        <v>49806517044.222534</v>
      </c>
      <c r="C6" s="390">
        <f>+'F y U 2022 Presupuesto'!C132+2</f>
        <v>40179225584</v>
      </c>
      <c r="K6" s="410">
        <f>+'F y U 2022 Incremento Salarial'!C134</f>
        <v>40179225582</v>
      </c>
    </row>
    <row r="7" spans="1:13" x14ac:dyDescent="0.2">
      <c r="A7" s="393" t="s">
        <v>1933</v>
      </c>
      <c r="B7" s="394">
        <f>+B6+B5+B4+B3</f>
        <v>56625715196.96357</v>
      </c>
      <c r="C7" s="394">
        <f>+C6+C5+C4+C3</f>
        <v>47298704833.91507</v>
      </c>
      <c r="F7" s="395"/>
    </row>
    <row r="8" spans="1:13" ht="15" x14ac:dyDescent="0.2">
      <c r="A8" s="396" t="s">
        <v>1934</v>
      </c>
      <c r="B8" s="396">
        <v>1375178644.6444929</v>
      </c>
      <c r="C8" s="618">
        <f>+'F y U 2022 Presupuesto'!E23+'F y U 2022 Presupuesto'!E55</f>
        <v>1411821508.6000001</v>
      </c>
      <c r="F8" s="390"/>
      <c r="K8" s="410">
        <f>+'F y U 2022 Incremento Salarial'!E23+'F y U 2022 Incremento Salarial'!E58</f>
        <v>1411821509</v>
      </c>
    </row>
    <row r="9" spans="1:13" ht="15" x14ac:dyDescent="0.2">
      <c r="A9" s="396" t="s">
        <v>1935</v>
      </c>
      <c r="B9" s="396">
        <v>367964989.9518804</v>
      </c>
      <c r="C9" s="618">
        <f>+'F y U 2022 Presupuesto'!E25+'F y U 2022 Presupuesto'!E56</f>
        <v>348951359.91000003</v>
      </c>
      <c r="K9" s="410">
        <f>+'F y U 2022 Incremento Salarial'!E25+'F y U 2022 Incremento Salarial'!E59</f>
        <v>348951360</v>
      </c>
      <c r="L9" s="410"/>
      <c r="M9" s="398"/>
    </row>
    <row r="10" spans="1:13" ht="15" x14ac:dyDescent="0.2">
      <c r="A10" s="396" t="s">
        <v>1936</v>
      </c>
      <c r="B10" s="396">
        <v>881634893.373667</v>
      </c>
      <c r="C10" s="618">
        <f>+'F y U 2022 Presupuesto'!E31+'F y U 2022 Presupuesto'!E62</f>
        <v>848604744.59452009</v>
      </c>
      <c r="K10" s="410">
        <f>+'F y U 2022 Incremento Salarial'!E31+'F y U 2022 Incremento Salarial'!E65</f>
        <v>848604745</v>
      </c>
    </row>
    <row r="11" spans="1:13" ht="15" x14ac:dyDescent="0.2">
      <c r="A11" s="396" t="s">
        <v>1937</v>
      </c>
      <c r="B11" s="396">
        <v>7051715200.7532034</v>
      </c>
      <c r="C11" s="618">
        <f>+'F y U 2022 Presupuesto'!E35+'F y U 2022 Presupuesto'!E65</f>
        <v>7302991107</v>
      </c>
      <c r="K11" s="410">
        <f>+'F y U 2022 Incremento Salarial'!E35+'F y U 2022 Incremento Salarial'!E68</f>
        <v>7302991107</v>
      </c>
    </row>
    <row r="12" spans="1:13" ht="15" x14ac:dyDescent="0.2">
      <c r="A12" s="396" t="s">
        <v>1938</v>
      </c>
      <c r="B12" s="396"/>
      <c r="C12" s="618">
        <f>+'F y U 2022 Presupuesto'!C134</f>
        <v>7607566839</v>
      </c>
      <c r="K12" s="410">
        <f>+'F y U 2022 Incremento Salarial'!C136</f>
        <v>7448431839</v>
      </c>
    </row>
    <row r="13" spans="1:13" ht="15" x14ac:dyDescent="0.2">
      <c r="A13" s="396" t="s">
        <v>1939</v>
      </c>
      <c r="B13" s="396"/>
      <c r="C13" s="618">
        <f>+'F y U 2022 Incremento Salarial'!C135</f>
        <v>1000000000</v>
      </c>
    </row>
    <row r="14" spans="1:13" ht="15" x14ac:dyDescent="0.2">
      <c r="A14" s="396" t="s">
        <v>1940</v>
      </c>
      <c r="B14" s="396">
        <v>2227322217.5984659</v>
      </c>
      <c r="C14" s="618">
        <f>+'F y U 2022 Presupuesto'!E9</f>
        <v>3526815135.1260004</v>
      </c>
      <c r="D14" s="395">
        <v>63248193730.109245</v>
      </c>
      <c r="F14" s="397">
        <v>6257591921.7410383</v>
      </c>
      <c r="G14" s="398" t="e">
        <v>#REF!</v>
      </c>
      <c r="K14" s="410">
        <f>+'F y U 2022 Incremento Salarial'!E9</f>
        <v>3526815135</v>
      </c>
    </row>
    <row r="15" spans="1:13" ht="15" x14ac:dyDescent="0.2">
      <c r="A15" s="396" t="s">
        <v>1941</v>
      </c>
      <c r="B15" s="396">
        <v>1662180759.4018402</v>
      </c>
      <c r="C15" s="618">
        <f>+'F y U 2022 Presupuesto'!E12</f>
        <v>1763407567.5630002</v>
      </c>
      <c r="D15" s="399" t="e">
        <v>#REF!</v>
      </c>
      <c r="E15" s="390" t="e">
        <v>#REF!</v>
      </c>
      <c r="F15" s="390" t="e">
        <v>#REF!</v>
      </c>
      <c r="K15" s="410">
        <f>+'F y U 2022 Incremento Salarial'!E12</f>
        <v>1763407568</v>
      </c>
    </row>
    <row r="16" spans="1:13" ht="15" x14ac:dyDescent="0.2">
      <c r="A16" s="396" t="s">
        <v>1942</v>
      </c>
      <c r="B16" s="396">
        <v>5730162847.5923834</v>
      </c>
      <c r="C16" s="618">
        <f>+'F y U 2022 Presupuesto'!C113</f>
        <v>8210602648.5533085</v>
      </c>
      <c r="D16" s="399">
        <v>18468875427.882301</v>
      </c>
      <c r="K16" s="410">
        <f>+'F y U 2022 Incremento Salarial'!C115</f>
        <v>8210602649</v>
      </c>
    </row>
    <row r="17" spans="1:13" ht="15" x14ac:dyDescent="0.2">
      <c r="A17" s="396" t="s">
        <v>1943</v>
      </c>
      <c r="B17" s="396">
        <v>10000000000</v>
      </c>
      <c r="C17" s="618">
        <f>+'F y U 2022 Presupuesto'!E32</f>
        <v>0</v>
      </c>
      <c r="D17" s="390" t="e">
        <v>#REF!</v>
      </c>
      <c r="F17" s="395">
        <v>7184084764.1456738</v>
      </c>
      <c r="J17" s="390" t="e">
        <v>#REF!</v>
      </c>
    </row>
    <row r="18" spans="1:13" ht="15" x14ac:dyDescent="0.2">
      <c r="A18" s="396" t="s">
        <v>1944</v>
      </c>
      <c r="B18" s="396">
        <v>598673730.34547281</v>
      </c>
      <c r="C18" s="618">
        <f>+'F y U 2022 Presupuesto'!C111</f>
        <v>608504542.4677316</v>
      </c>
      <c r="E18" s="390" t="e">
        <v>#REF!</v>
      </c>
      <c r="F18" s="395" t="e">
        <v>#REF!</v>
      </c>
      <c r="H18" s="395">
        <v>56064108965.96357</v>
      </c>
    </row>
    <row r="19" spans="1:13" ht="15" x14ac:dyDescent="0.2">
      <c r="A19" s="396" t="s">
        <v>1945</v>
      </c>
      <c r="B19" s="396">
        <v>863361084.91110301</v>
      </c>
      <c r="C19" s="618">
        <f>+'F y U 2022 Presupuesto'!E13+'F y U 2022 Presupuesto'!E16+'F y U 2022 Presupuesto'!E41+'F y U 2022 Presupuesto'!E34</f>
        <v>903150426.75185156</v>
      </c>
      <c r="D19" s="397">
        <v>0</v>
      </c>
      <c r="E19" s="390" t="e">
        <v>#REF!</v>
      </c>
      <c r="F19" s="398"/>
      <c r="H19" s="395" t="e">
        <v>#REF!</v>
      </c>
    </row>
    <row r="20" spans="1:13" ht="15" x14ac:dyDescent="0.2">
      <c r="A20" s="396" t="s">
        <v>1946</v>
      </c>
      <c r="B20" s="396">
        <v>855248186.20781827</v>
      </c>
      <c r="C20" s="618">
        <f>+'F y U 2022 Presupuesto'!C109</f>
        <v>869292203.52533078</v>
      </c>
      <c r="E20" s="390" t="e">
        <v>#REF!</v>
      </c>
    </row>
    <row r="21" spans="1:13" ht="15" x14ac:dyDescent="0.2">
      <c r="A21" s="396" t="s">
        <v>1947</v>
      </c>
      <c r="B21" s="396">
        <v>997308455.64110398</v>
      </c>
      <c r="C21" s="618">
        <f>+'F y U 2022 Presupuesto'!E11</f>
        <v>1058044540.5378001</v>
      </c>
      <c r="E21" s="390" t="e">
        <v>#REF!</v>
      </c>
    </row>
    <row r="22" spans="1:13" ht="15" x14ac:dyDescent="0.2">
      <c r="A22" s="396" t="s">
        <v>1948</v>
      </c>
      <c r="B22" s="396"/>
      <c r="C22" s="618">
        <v>1150000000</v>
      </c>
    </row>
    <row r="23" spans="1:13" ht="15" x14ac:dyDescent="0.2">
      <c r="A23" s="396" t="s">
        <v>1949</v>
      </c>
      <c r="B23" s="396">
        <v>1031383983.486022</v>
      </c>
      <c r="C23" s="618">
        <f>+'F y U 2022 Presupuesto'!E24</f>
        <v>2117009970.8999999</v>
      </c>
      <c r="D23" s="390"/>
      <c r="E23" s="390" t="e">
        <v>#REF!</v>
      </c>
      <c r="M23" s="395"/>
    </row>
    <row r="24" spans="1:13" x14ac:dyDescent="0.2">
      <c r="A24" s="393" t="s">
        <v>1933</v>
      </c>
      <c r="B24" s="394">
        <f>SUM(B8:B23)</f>
        <v>33642134993.907455</v>
      </c>
      <c r="C24" s="394">
        <f>SUM(C8:C23)</f>
        <v>38726762594.529549</v>
      </c>
      <c r="E24" s="390" t="e">
        <v>#REF!</v>
      </c>
      <c r="G24" s="391" t="s">
        <v>1950</v>
      </c>
      <c r="H24" s="391" t="s">
        <v>1951</v>
      </c>
      <c r="I24" s="391" t="s">
        <v>1952</v>
      </c>
      <c r="J24" s="390">
        <v>2066384000</v>
      </c>
    </row>
    <row r="25" spans="1:13" x14ac:dyDescent="0.2">
      <c r="A25" s="400" t="s">
        <v>1953</v>
      </c>
      <c r="B25" s="400">
        <f>+B24+B7</f>
        <v>90267850190.871033</v>
      </c>
      <c r="C25" s="400">
        <f>+C24+C7</f>
        <v>86025467428.444611</v>
      </c>
      <c r="K25" s="410">
        <f>+'F y U 2022 Incremento Salarial'!C140</f>
        <v>85879457198.860992</v>
      </c>
      <c r="L25" s="398">
        <f>+K25-C25</f>
        <v>-146010229.58361816</v>
      </c>
    </row>
    <row r="26" spans="1:13" ht="15" x14ac:dyDescent="0.2">
      <c r="A26" s="1729"/>
      <c r="B26" s="1730"/>
    </row>
    <row r="27" spans="1:13" x14ac:dyDescent="0.2">
      <c r="A27" s="400" t="s">
        <v>1854</v>
      </c>
      <c r="B27" s="400">
        <v>9970488812.3899994</v>
      </c>
      <c r="C27" s="400">
        <f>+'F y U 2022 Presupuesto'!C140-2</f>
        <v>-29660382</v>
      </c>
      <c r="D27" s="395"/>
      <c r="K27" s="410">
        <f>+'F y U 2022 Presupuesto'!C140</f>
        <v>-29660380</v>
      </c>
    </row>
    <row r="28" spans="1:13" ht="15" x14ac:dyDescent="0.2">
      <c r="A28" s="1729"/>
      <c r="B28" s="1730"/>
      <c r="D28" s="395"/>
      <c r="E28" s="390" t="e">
        <v>#REF!</v>
      </c>
      <c r="G28" s="391" t="s">
        <v>1954</v>
      </c>
      <c r="H28" s="391" t="s">
        <v>1955</v>
      </c>
      <c r="I28" s="391" t="s">
        <v>1952</v>
      </c>
      <c r="J28" s="390">
        <v>1455200000</v>
      </c>
    </row>
    <row r="29" spans="1:13" x14ac:dyDescent="0.2">
      <c r="A29" s="400" t="s">
        <v>1861</v>
      </c>
      <c r="B29" s="400">
        <f>+B30+B31+B32</f>
        <v>268057030249.5173</v>
      </c>
      <c r="C29" s="400">
        <f>+C30+C31+C32</f>
        <v>266748691820.76724</v>
      </c>
      <c r="G29" s="391" t="s">
        <v>1956</v>
      </c>
      <c r="H29" s="391" t="s">
        <v>1957</v>
      </c>
      <c r="I29" s="391" t="s">
        <v>1952</v>
      </c>
      <c r="J29" s="390">
        <v>368957800</v>
      </c>
      <c r="K29" s="410">
        <f>+'F y U 2022 Presupuesto'!C145</f>
        <v>266748691820.76724</v>
      </c>
    </row>
    <row r="30" spans="1:13" ht="15.75" x14ac:dyDescent="0.25">
      <c r="A30" s="401" t="s">
        <v>1958</v>
      </c>
      <c r="B30" s="396">
        <v>18468875427.882301</v>
      </c>
      <c r="C30" s="390">
        <f>+'F y U 2022 Presupuesto'!C142</f>
        <v>16846584293.719999</v>
      </c>
      <c r="D30" s="402"/>
      <c r="E30" s="402"/>
      <c r="F30" s="403"/>
      <c r="G30" s="403" t="s">
        <v>1959</v>
      </c>
      <c r="H30" s="403" t="s">
        <v>1960</v>
      </c>
      <c r="I30" s="403" t="s">
        <v>1952</v>
      </c>
      <c r="J30" s="402">
        <v>950380000</v>
      </c>
    </row>
    <row r="31" spans="1:13" ht="15.75" x14ac:dyDescent="0.25">
      <c r="A31" s="401" t="s">
        <v>1859</v>
      </c>
      <c r="B31" s="396">
        <v>16827812010.539795</v>
      </c>
      <c r="C31" s="390">
        <f>+'F y U 2022 Presupuesto'!C143</f>
        <v>15388343202.830254</v>
      </c>
      <c r="G31" s="391" t="s">
        <v>1961</v>
      </c>
      <c r="H31" s="391" t="s">
        <v>1962</v>
      </c>
      <c r="I31" s="391" t="s">
        <v>1952</v>
      </c>
      <c r="J31" s="390">
        <v>17046870586</v>
      </c>
    </row>
    <row r="32" spans="1:13" ht="15.75" x14ac:dyDescent="0.25">
      <c r="A32" s="401" t="s">
        <v>1860</v>
      </c>
      <c r="B32" s="396">
        <v>232760342811.09521</v>
      </c>
      <c r="C32" s="390">
        <f>+'F y U 2022 Presupuesto'!C144</f>
        <v>234513764324.21698</v>
      </c>
      <c r="D32" s="397"/>
      <c r="G32" s="391" t="s">
        <v>1963</v>
      </c>
      <c r="H32" s="391" t="s">
        <v>1964</v>
      </c>
      <c r="I32" s="391" t="s">
        <v>1952</v>
      </c>
      <c r="J32" s="390">
        <v>1241900115</v>
      </c>
    </row>
    <row r="33" spans="1:14" ht="15" x14ac:dyDescent="0.2">
      <c r="A33" s="1806"/>
      <c r="B33" s="1806"/>
      <c r="G33" s="391" t="s">
        <v>2351</v>
      </c>
      <c r="H33" s="391" t="s">
        <v>2352</v>
      </c>
      <c r="I33" s="391" t="s">
        <v>1952</v>
      </c>
      <c r="J33" s="390">
        <v>10000000000</v>
      </c>
    </row>
    <row r="34" spans="1:14" ht="47.25" x14ac:dyDescent="0.2">
      <c r="A34" s="404" t="s">
        <v>1968</v>
      </c>
      <c r="B34" s="404">
        <f>+B29+B27+B25</f>
        <v>368295369252.77832</v>
      </c>
      <c r="C34" s="404">
        <f>+C29+C27+C25</f>
        <v>352744498867.21185</v>
      </c>
      <c r="D34" s="398"/>
      <c r="K34" s="410">
        <f>+'F y U 2022 Incremento Salarial'!C109</f>
        <v>364299779522.3606</v>
      </c>
      <c r="M34" s="410"/>
      <c r="N34" s="410"/>
    </row>
    <row r="35" spans="1:14" ht="15" x14ac:dyDescent="0.2">
      <c r="A35" s="405"/>
      <c r="B35" s="405"/>
      <c r="G35" s="391" t="s">
        <v>1969</v>
      </c>
      <c r="H35" s="391" t="s">
        <v>1970</v>
      </c>
      <c r="I35" s="391" t="s">
        <v>1952</v>
      </c>
      <c r="J35" s="390">
        <v>557045010</v>
      </c>
    </row>
    <row r="36" spans="1:14" ht="23.25" x14ac:dyDescent="0.35">
      <c r="A36" s="406" t="s">
        <v>2353</v>
      </c>
      <c r="B36" s="600">
        <f>+B29/B34</f>
        <v>0.72783166074927552</v>
      </c>
      <c r="C36" s="600">
        <f>+C29/C34</f>
        <v>0.75620936025194507</v>
      </c>
      <c r="D36" s="407" t="e">
        <f t="shared" ref="D36:J36" si="0">+D29/D34</f>
        <v>#DIV/0!</v>
      </c>
      <c r="E36" s="407" t="e">
        <f t="shared" si="0"/>
        <v>#DIV/0!</v>
      </c>
      <c r="F36" s="407" t="e">
        <f t="shared" si="0"/>
        <v>#DIV/0!</v>
      </c>
      <c r="G36" s="407" t="e">
        <f t="shared" si="0"/>
        <v>#VALUE!</v>
      </c>
      <c r="H36" s="407" t="e">
        <f t="shared" si="0"/>
        <v>#VALUE!</v>
      </c>
      <c r="I36" s="407" t="e">
        <f t="shared" si="0"/>
        <v>#VALUE!</v>
      </c>
      <c r="J36" s="407" t="e">
        <f t="shared" si="0"/>
        <v>#DIV/0!</v>
      </c>
    </row>
    <row r="37" spans="1:14" x14ac:dyDescent="0.2">
      <c r="A37" s="1807" t="s">
        <v>2354</v>
      </c>
      <c r="B37" s="1807"/>
    </row>
    <row r="38" spans="1:14" ht="30.75" customHeight="1" x14ac:dyDescent="0.2">
      <c r="A38" s="1807"/>
      <c r="B38" s="1807"/>
    </row>
    <row r="39" spans="1:14" ht="15" x14ac:dyDescent="0.2">
      <c r="A39" s="405"/>
      <c r="B39" s="405"/>
    </row>
    <row r="40" spans="1:14" ht="15" x14ac:dyDescent="0.2">
      <c r="A40" s="405"/>
      <c r="B40" s="405"/>
    </row>
    <row r="41" spans="1:14" ht="15" x14ac:dyDescent="0.2">
      <c r="A41" s="405"/>
      <c r="B41" s="405"/>
    </row>
    <row r="42" spans="1:14" ht="15" x14ac:dyDescent="0.2">
      <c r="A42" s="405"/>
      <c r="B42" s="405"/>
    </row>
    <row r="43" spans="1:14" ht="15" x14ac:dyDescent="0.2">
      <c r="A43" s="405"/>
      <c r="B43" s="405"/>
    </row>
    <row r="44" spans="1:14" ht="15" x14ac:dyDescent="0.2">
      <c r="A44" s="405"/>
      <c r="B44" s="405"/>
    </row>
    <row r="45" spans="1:14" ht="15" x14ac:dyDescent="0.2">
      <c r="A45" s="405"/>
      <c r="B45" s="405"/>
    </row>
  </sheetData>
  <mergeCells count="5">
    <mergeCell ref="A2:B2"/>
    <mergeCell ref="A26:B26"/>
    <mergeCell ref="A28:B28"/>
    <mergeCell ref="A33:B33"/>
    <mergeCell ref="A37:B3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sheetPr>
  <dimension ref="A1:E42"/>
  <sheetViews>
    <sheetView workbookViewId="0"/>
  </sheetViews>
  <sheetFormatPr baseColWidth="10" defaultColWidth="9.140625" defaultRowHeight="15" x14ac:dyDescent="0.25"/>
  <cols>
    <col min="1" max="1" width="0.42578125" customWidth="1"/>
    <col min="2" max="2" width="51.42578125" style="581" customWidth="1"/>
    <col min="3" max="3" width="19.28515625" style="571" customWidth="1"/>
    <col min="4" max="4" width="19.28515625" style="582" customWidth="1"/>
    <col min="5" max="5" width="17.28515625" style="571" customWidth="1"/>
    <col min="6" max="256" width="9.140625" style="575"/>
    <col min="257" max="257" width="0.42578125" style="575" customWidth="1"/>
    <col min="258" max="258" width="51.42578125" style="575" customWidth="1"/>
    <col min="259" max="260" width="19.28515625" style="575" customWidth="1"/>
    <col min="261" max="261" width="17.28515625" style="575" customWidth="1"/>
    <col min="262" max="512" width="9.140625" style="575"/>
    <col min="513" max="513" width="0.42578125" style="575" customWidth="1"/>
    <col min="514" max="514" width="51.42578125" style="575" customWidth="1"/>
    <col min="515" max="516" width="19.28515625" style="575" customWidth="1"/>
    <col min="517" max="517" width="17.28515625" style="575" customWidth="1"/>
    <col min="518" max="768" width="9.140625" style="575"/>
    <col min="769" max="769" width="0.42578125" style="575" customWidth="1"/>
    <col min="770" max="770" width="51.42578125" style="575" customWidth="1"/>
    <col min="771" max="772" width="19.28515625" style="575" customWidth="1"/>
    <col min="773" max="773" width="17.28515625" style="575" customWidth="1"/>
    <col min="774" max="1024" width="9.140625" style="575"/>
    <col min="1025" max="1025" width="0.42578125" style="575" customWidth="1"/>
    <col min="1026" max="1026" width="51.42578125" style="575" customWidth="1"/>
    <col min="1027" max="1028" width="19.28515625" style="575" customWidth="1"/>
    <col min="1029" max="1029" width="17.28515625" style="575" customWidth="1"/>
    <col min="1030" max="1280" width="9.140625" style="575"/>
    <col min="1281" max="1281" width="0.42578125" style="575" customWidth="1"/>
    <col min="1282" max="1282" width="51.42578125" style="575" customWidth="1"/>
    <col min="1283" max="1284" width="19.28515625" style="575" customWidth="1"/>
    <col min="1285" max="1285" width="17.28515625" style="575" customWidth="1"/>
    <col min="1286" max="1536" width="9.140625" style="575"/>
    <col min="1537" max="1537" width="0.42578125" style="575" customWidth="1"/>
    <col min="1538" max="1538" width="51.42578125" style="575" customWidth="1"/>
    <col min="1539" max="1540" width="19.28515625" style="575" customWidth="1"/>
    <col min="1541" max="1541" width="17.28515625" style="575" customWidth="1"/>
    <col min="1542" max="1792" width="9.140625" style="575"/>
    <col min="1793" max="1793" width="0.42578125" style="575" customWidth="1"/>
    <col min="1794" max="1794" width="51.42578125" style="575" customWidth="1"/>
    <col min="1795" max="1796" width="19.28515625" style="575" customWidth="1"/>
    <col min="1797" max="1797" width="17.28515625" style="575" customWidth="1"/>
    <col min="1798" max="2048" width="9.140625" style="575"/>
    <col min="2049" max="2049" width="0.42578125" style="575" customWidth="1"/>
    <col min="2050" max="2050" width="51.42578125" style="575" customWidth="1"/>
    <col min="2051" max="2052" width="19.28515625" style="575" customWidth="1"/>
    <col min="2053" max="2053" width="17.28515625" style="575" customWidth="1"/>
    <col min="2054" max="2304" width="9.140625" style="575"/>
    <col min="2305" max="2305" width="0.42578125" style="575" customWidth="1"/>
    <col min="2306" max="2306" width="51.42578125" style="575" customWidth="1"/>
    <col min="2307" max="2308" width="19.28515625" style="575" customWidth="1"/>
    <col min="2309" max="2309" width="17.28515625" style="575" customWidth="1"/>
    <col min="2310" max="2560" width="9.140625" style="575"/>
    <col min="2561" max="2561" width="0.42578125" style="575" customWidth="1"/>
    <col min="2562" max="2562" width="51.42578125" style="575" customWidth="1"/>
    <col min="2563" max="2564" width="19.28515625" style="575" customWidth="1"/>
    <col min="2565" max="2565" width="17.28515625" style="575" customWidth="1"/>
    <col min="2566" max="2816" width="9.140625" style="575"/>
    <col min="2817" max="2817" width="0.42578125" style="575" customWidth="1"/>
    <col min="2818" max="2818" width="51.42578125" style="575" customWidth="1"/>
    <col min="2819" max="2820" width="19.28515625" style="575" customWidth="1"/>
    <col min="2821" max="2821" width="17.28515625" style="575" customWidth="1"/>
    <col min="2822" max="3072" width="9.140625" style="575"/>
    <col min="3073" max="3073" width="0.42578125" style="575" customWidth="1"/>
    <col min="3074" max="3074" width="51.42578125" style="575" customWidth="1"/>
    <col min="3075" max="3076" width="19.28515625" style="575" customWidth="1"/>
    <col min="3077" max="3077" width="17.28515625" style="575" customWidth="1"/>
    <col min="3078" max="3328" width="9.140625" style="575"/>
    <col min="3329" max="3329" width="0.42578125" style="575" customWidth="1"/>
    <col min="3330" max="3330" width="51.42578125" style="575" customWidth="1"/>
    <col min="3331" max="3332" width="19.28515625" style="575" customWidth="1"/>
    <col min="3333" max="3333" width="17.28515625" style="575" customWidth="1"/>
    <col min="3334" max="3584" width="9.140625" style="575"/>
    <col min="3585" max="3585" width="0.42578125" style="575" customWidth="1"/>
    <col min="3586" max="3586" width="51.42578125" style="575" customWidth="1"/>
    <col min="3587" max="3588" width="19.28515625" style="575" customWidth="1"/>
    <col min="3589" max="3589" width="17.28515625" style="575" customWidth="1"/>
    <col min="3590" max="3840" width="9.140625" style="575"/>
    <col min="3841" max="3841" width="0.42578125" style="575" customWidth="1"/>
    <col min="3842" max="3842" width="51.42578125" style="575" customWidth="1"/>
    <col min="3843" max="3844" width="19.28515625" style="575" customWidth="1"/>
    <col min="3845" max="3845" width="17.28515625" style="575" customWidth="1"/>
    <col min="3846" max="4096" width="9.140625" style="575"/>
    <col min="4097" max="4097" width="0.42578125" style="575" customWidth="1"/>
    <col min="4098" max="4098" width="51.42578125" style="575" customWidth="1"/>
    <col min="4099" max="4100" width="19.28515625" style="575" customWidth="1"/>
    <col min="4101" max="4101" width="17.28515625" style="575" customWidth="1"/>
    <col min="4102" max="4352" width="9.140625" style="575"/>
    <col min="4353" max="4353" width="0.42578125" style="575" customWidth="1"/>
    <col min="4354" max="4354" width="51.42578125" style="575" customWidth="1"/>
    <col min="4355" max="4356" width="19.28515625" style="575" customWidth="1"/>
    <col min="4357" max="4357" width="17.28515625" style="575" customWidth="1"/>
    <col min="4358" max="4608" width="9.140625" style="575"/>
    <col min="4609" max="4609" width="0.42578125" style="575" customWidth="1"/>
    <col min="4610" max="4610" width="51.42578125" style="575" customWidth="1"/>
    <col min="4611" max="4612" width="19.28515625" style="575" customWidth="1"/>
    <col min="4613" max="4613" width="17.28515625" style="575" customWidth="1"/>
    <col min="4614" max="4864" width="9.140625" style="575"/>
    <col min="4865" max="4865" width="0.42578125" style="575" customWidth="1"/>
    <col min="4866" max="4866" width="51.42578125" style="575" customWidth="1"/>
    <col min="4867" max="4868" width="19.28515625" style="575" customWidth="1"/>
    <col min="4869" max="4869" width="17.28515625" style="575" customWidth="1"/>
    <col min="4870" max="5120" width="9.140625" style="575"/>
    <col min="5121" max="5121" width="0.42578125" style="575" customWidth="1"/>
    <col min="5122" max="5122" width="51.42578125" style="575" customWidth="1"/>
    <col min="5123" max="5124" width="19.28515625" style="575" customWidth="1"/>
    <col min="5125" max="5125" width="17.28515625" style="575" customWidth="1"/>
    <col min="5126" max="5376" width="9.140625" style="575"/>
    <col min="5377" max="5377" width="0.42578125" style="575" customWidth="1"/>
    <col min="5378" max="5378" width="51.42578125" style="575" customWidth="1"/>
    <col min="5379" max="5380" width="19.28515625" style="575" customWidth="1"/>
    <col min="5381" max="5381" width="17.28515625" style="575" customWidth="1"/>
    <col min="5382" max="5632" width="9.140625" style="575"/>
    <col min="5633" max="5633" width="0.42578125" style="575" customWidth="1"/>
    <col min="5634" max="5634" width="51.42578125" style="575" customWidth="1"/>
    <col min="5635" max="5636" width="19.28515625" style="575" customWidth="1"/>
    <col min="5637" max="5637" width="17.28515625" style="575" customWidth="1"/>
    <col min="5638" max="5888" width="9.140625" style="575"/>
    <col min="5889" max="5889" width="0.42578125" style="575" customWidth="1"/>
    <col min="5890" max="5890" width="51.42578125" style="575" customWidth="1"/>
    <col min="5891" max="5892" width="19.28515625" style="575" customWidth="1"/>
    <col min="5893" max="5893" width="17.28515625" style="575" customWidth="1"/>
    <col min="5894" max="6144" width="9.140625" style="575"/>
    <col min="6145" max="6145" width="0.42578125" style="575" customWidth="1"/>
    <col min="6146" max="6146" width="51.42578125" style="575" customWidth="1"/>
    <col min="6147" max="6148" width="19.28515625" style="575" customWidth="1"/>
    <col min="6149" max="6149" width="17.28515625" style="575" customWidth="1"/>
    <col min="6150" max="6400" width="9.140625" style="575"/>
    <col min="6401" max="6401" width="0.42578125" style="575" customWidth="1"/>
    <col min="6402" max="6402" width="51.42578125" style="575" customWidth="1"/>
    <col min="6403" max="6404" width="19.28515625" style="575" customWidth="1"/>
    <col min="6405" max="6405" width="17.28515625" style="575" customWidth="1"/>
    <col min="6406" max="6656" width="9.140625" style="575"/>
    <col min="6657" max="6657" width="0.42578125" style="575" customWidth="1"/>
    <col min="6658" max="6658" width="51.42578125" style="575" customWidth="1"/>
    <col min="6659" max="6660" width="19.28515625" style="575" customWidth="1"/>
    <col min="6661" max="6661" width="17.28515625" style="575" customWidth="1"/>
    <col min="6662" max="6912" width="9.140625" style="575"/>
    <col min="6913" max="6913" width="0.42578125" style="575" customWidth="1"/>
    <col min="6914" max="6914" width="51.42578125" style="575" customWidth="1"/>
    <col min="6915" max="6916" width="19.28515625" style="575" customWidth="1"/>
    <col min="6917" max="6917" width="17.28515625" style="575" customWidth="1"/>
    <col min="6918" max="7168" width="9.140625" style="575"/>
    <col min="7169" max="7169" width="0.42578125" style="575" customWidth="1"/>
    <col min="7170" max="7170" width="51.42578125" style="575" customWidth="1"/>
    <col min="7171" max="7172" width="19.28515625" style="575" customWidth="1"/>
    <col min="7173" max="7173" width="17.28515625" style="575" customWidth="1"/>
    <col min="7174" max="7424" width="9.140625" style="575"/>
    <col min="7425" max="7425" width="0.42578125" style="575" customWidth="1"/>
    <col min="7426" max="7426" width="51.42578125" style="575" customWidth="1"/>
    <col min="7427" max="7428" width="19.28515625" style="575" customWidth="1"/>
    <col min="7429" max="7429" width="17.28515625" style="575" customWidth="1"/>
    <col min="7430" max="7680" width="9.140625" style="575"/>
    <col min="7681" max="7681" width="0.42578125" style="575" customWidth="1"/>
    <col min="7682" max="7682" width="51.42578125" style="575" customWidth="1"/>
    <col min="7683" max="7684" width="19.28515625" style="575" customWidth="1"/>
    <col min="7685" max="7685" width="17.28515625" style="575" customWidth="1"/>
    <col min="7686" max="7936" width="9.140625" style="575"/>
    <col min="7937" max="7937" width="0.42578125" style="575" customWidth="1"/>
    <col min="7938" max="7938" width="51.42578125" style="575" customWidth="1"/>
    <col min="7939" max="7940" width="19.28515625" style="575" customWidth="1"/>
    <col min="7941" max="7941" width="17.28515625" style="575" customWidth="1"/>
    <col min="7942" max="8192" width="9.140625" style="575"/>
    <col min="8193" max="8193" width="0.42578125" style="575" customWidth="1"/>
    <col min="8194" max="8194" width="51.42578125" style="575" customWidth="1"/>
    <col min="8195" max="8196" width="19.28515625" style="575" customWidth="1"/>
    <col min="8197" max="8197" width="17.28515625" style="575" customWidth="1"/>
    <col min="8198" max="8448" width="9.140625" style="575"/>
    <col min="8449" max="8449" width="0.42578125" style="575" customWidth="1"/>
    <col min="8450" max="8450" width="51.42578125" style="575" customWidth="1"/>
    <col min="8451" max="8452" width="19.28515625" style="575" customWidth="1"/>
    <col min="8453" max="8453" width="17.28515625" style="575" customWidth="1"/>
    <col min="8454" max="8704" width="9.140625" style="575"/>
    <col min="8705" max="8705" width="0.42578125" style="575" customWidth="1"/>
    <col min="8706" max="8706" width="51.42578125" style="575" customWidth="1"/>
    <col min="8707" max="8708" width="19.28515625" style="575" customWidth="1"/>
    <col min="8709" max="8709" width="17.28515625" style="575" customWidth="1"/>
    <col min="8710" max="8960" width="9.140625" style="575"/>
    <col min="8961" max="8961" width="0.42578125" style="575" customWidth="1"/>
    <col min="8962" max="8962" width="51.42578125" style="575" customWidth="1"/>
    <col min="8963" max="8964" width="19.28515625" style="575" customWidth="1"/>
    <col min="8965" max="8965" width="17.28515625" style="575" customWidth="1"/>
    <col min="8966" max="9216" width="9.140625" style="575"/>
    <col min="9217" max="9217" width="0.42578125" style="575" customWidth="1"/>
    <col min="9218" max="9218" width="51.42578125" style="575" customWidth="1"/>
    <col min="9219" max="9220" width="19.28515625" style="575" customWidth="1"/>
    <col min="9221" max="9221" width="17.28515625" style="575" customWidth="1"/>
    <col min="9222" max="9472" width="9.140625" style="575"/>
    <col min="9473" max="9473" width="0.42578125" style="575" customWidth="1"/>
    <col min="9474" max="9474" width="51.42578125" style="575" customWidth="1"/>
    <col min="9475" max="9476" width="19.28515625" style="575" customWidth="1"/>
    <col min="9477" max="9477" width="17.28515625" style="575" customWidth="1"/>
    <col min="9478" max="9728" width="9.140625" style="575"/>
    <col min="9729" max="9729" width="0.42578125" style="575" customWidth="1"/>
    <col min="9730" max="9730" width="51.42578125" style="575" customWidth="1"/>
    <col min="9731" max="9732" width="19.28515625" style="575" customWidth="1"/>
    <col min="9733" max="9733" width="17.28515625" style="575" customWidth="1"/>
    <col min="9734" max="9984" width="9.140625" style="575"/>
    <col min="9985" max="9985" width="0.42578125" style="575" customWidth="1"/>
    <col min="9986" max="9986" width="51.42578125" style="575" customWidth="1"/>
    <col min="9987" max="9988" width="19.28515625" style="575" customWidth="1"/>
    <col min="9989" max="9989" width="17.28515625" style="575" customWidth="1"/>
    <col min="9990" max="10240" width="9.140625" style="575"/>
    <col min="10241" max="10241" width="0.42578125" style="575" customWidth="1"/>
    <col min="10242" max="10242" width="51.42578125" style="575" customWidth="1"/>
    <col min="10243" max="10244" width="19.28515625" style="575" customWidth="1"/>
    <col min="10245" max="10245" width="17.28515625" style="575" customWidth="1"/>
    <col min="10246" max="10496" width="9.140625" style="575"/>
    <col min="10497" max="10497" width="0.42578125" style="575" customWidth="1"/>
    <col min="10498" max="10498" width="51.42578125" style="575" customWidth="1"/>
    <col min="10499" max="10500" width="19.28515625" style="575" customWidth="1"/>
    <col min="10501" max="10501" width="17.28515625" style="575" customWidth="1"/>
    <col min="10502" max="10752" width="9.140625" style="575"/>
    <col min="10753" max="10753" width="0.42578125" style="575" customWidth="1"/>
    <col min="10754" max="10754" width="51.42578125" style="575" customWidth="1"/>
    <col min="10755" max="10756" width="19.28515625" style="575" customWidth="1"/>
    <col min="10757" max="10757" width="17.28515625" style="575" customWidth="1"/>
    <col min="10758" max="11008" width="9.140625" style="575"/>
    <col min="11009" max="11009" width="0.42578125" style="575" customWidth="1"/>
    <col min="11010" max="11010" width="51.42578125" style="575" customWidth="1"/>
    <col min="11011" max="11012" width="19.28515625" style="575" customWidth="1"/>
    <col min="11013" max="11013" width="17.28515625" style="575" customWidth="1"/>
    <col min="11014" max="11264" width="9.140625" style="575"/>
    <col min="11265" max="11265" width="0.42578125" style="575" customWidth="1"/>
    <col min="11266" max="11266" width="51.42578125" style="575" customWidth="1"/>
    <col min="11267" max="11268" width="19.28515625" style="575" customWidth="1"/>
    <col min="11269" max="11269" width="17.28515625" style="575" customWidth="1"/>
    <col min="11270" max="11520" width="9.140625" style="575"/>
    <col min="11521" max="11521" width="0.42578125" style="575" customWidth="1"/>
    <col min="11522" max="11522" width="51.42578125" style="575" customWidth="1"/>
    <col min="11523" max="11524" width="19.28515625" style="575" customWidth="1"/>
    <col min="11525" max="11525" width="17.28515625" style="575" customWidth="1"/>
    <col min="11526" max="11776" width="9.140625" style="575"/>
    <col min="11777" max="11777" width="0.42578125" style="575" customWidth="1"/>
    <col min="11778" max="11778" width="51.42578125" style="575" customWidth="1"/>
    <col min="11779" max="11780" width="19.28515625" style="575" customWidth="1"/>
    <col min="11781" max="11781" width="17.28515625" style="575" customWidth="1"/>
    <col min="11782" max="12032" width="9.140625" style="575"/>
    <col min="12033" max="12033" width="0.42578125" style="575" customWidth="1"/>
    <col min="12034" max="12034" width="51.42578125" style="575" customWidth="1"/>
    <col min="12035" max="12036" width="19.28515625" style="575" customWidth="1"/>
    <col min="12037" max="12037" width="17.28515625" style="575" customWidth="1"/>
    <col min="12038" max="12288" width="9.140625" style="575"/>
    <col min="12289" max="12289" width="0.42578125" style="575" customWidth="1"/>
    <col min="12290" max="12290" width="51.42578125" style="575" customWidth="1"/>
    <col min="12291" max="12292" width="19.28515625" style="575" customWidth="1"/>
    <col min="12293" max="12293" width="17.28515625" style="575" customWidth="1"/>
    <col min="12294" max="12544" width="9.140625" style="575"/>
    <col min="12545" max="12545" width="0.42578125" style="575" customWidth="1"/>
    <col min="12546" max="12546" width="51.42578125" style="575" customWidth="1"/>
    <col min="12547" max="12548" width="19.28515625" style="575" customWidth="1"/>
    <col min="12549" max="12549" width="17.28515625" style="575" customWidth="1"/>
    <col min="12550" max="12800" width="9.140625" style="575"/>
    <col min="12801" max="12801" width="0.42578125" style="575" customWidth="1"/>
    <col min="12802" max="12802" width="51.42578125" style="575" customWidth="1"/>
    <col min="12803" max="12804" width="19.28515625" style="575" customWidth="1"/>
    <col min="12805" max="12805" width="17.28515625" style="575" customWidth="1"/>
    <col min="12806" max="13056" width="9.140625" style="575"/>
    <col min="13057" max="13057" width="0.42578125" style="575" customWidth="1"/>
    <col min="13058" max="13058" width="51.42578125" style="575" customWidth="1"/>
    <col min="13059" max="13060" width="19.28515625" style="575" customWidth="1"/>
    <col min="13061" max="13061" width="17.28515625" style="575" customWidth="1"/>
    <col min="13062" max="13312" width="9.140625" style="575"/>
    <col min="13313" max="13313" width="0.42578125" style="575" customWidth="1"/>
    <col min="13314" max="13314" width="51.42578125" style="575" customWidth="1"/>
    <col min="13315" max="13316" width="19.28515625" style="575" customWidth="1"/>
    <col min="13317" max="13317" width="17.28515625" style="575" customWidth="1"/>
    <col min="13318" max="13568" width="9.140625" style="575"/>
    <col min="13569" max="13569" width="0.42578125" style="575" customWidth="1"/>
    <col min="13570" max="13570" width="51.42578125" style="575" customWidth="1"/>
    <col min="13571" max="13572" width="19.28515625" style="575" customWidth="1"/>
    <col min="13573" max="13573" width="17.28515625" style="575" customWidth="1"/>
    <col min="13574" max="13824" width="9.140625" style="575"/>
    <col min="13825" max="13825" width="0.42578125" style="575" customWidth="1"/>
    <col min="13826" max="13826" width="51.42578125" style="575" customWidth="1"/>
    <col min="13827" max="13828" width="19.28515625" style="575" customWidth="1"/>
    <col min="13829" max="13829" width="17.28515625" style="575" customWidth="1"/>
    <col min="13830" max="14080" width="9.140625" style="575"/>
    <col min="14081" max="14081" width="0.42578125" style="575" customWidth="1"/>
    <col min="14082" max="14082" width="51.42578125" style="575" customWidth="1"/>
    <col min="14083" max="14084" width="19.28515625" style="575" customWidth="1"/>
    <col min="14085" max="14085" width="17.28515625" style="575" customWidth="1"/>
    <col min="14086" max="14336" width="9.140625" style="575"/>
    <col min="14337" max="14337" width="0.42578125" style="575" customWidth="1"/>
    <col min="14338" max="14338" width="51.42578125" style="575" customWidth="1"/>
    <col min="14339" max="14340" width="19.28515625" style="575" customWidth="1"/>
    <col min="14341" max="14341" width="17.28515625" style="575" customWidth="1"/>
    <col min="14342" max="14592" width="9.140625" style="575"/>
    <col min="14593" max="14593" width="0.42578125" style="575" customWidth="1"/>
    <col min="14594" max="14594" width="51.42578125" style="575" customWidth="1"/>
    <col min="14595" max="14596" width="19.28515625" style="575" customWidth="1"/>
    <col min="14597" max="14597" width="17.28515625" style="575" customWidth="1"/>
    <col min="14598" max="14848" width="9.140625" style="575"/>
    <col min="14849" max="14849" width="0.42578125" style="575" customWidth="1"/>
    <col min="14850" max="14850" width="51.42578125" style="575" customWidth="1"/>
    <col min="14851" max="14852" width="19.28515625" style="575" customWidth="1"/>
    <col min="14853" max="14853" width="17.28515625" style="575" customWidth="1"/>
    <col min="14854" max="15104" width="9.140625" style="575"/>
    <col min="15105" max="15105" width="0.42578125" style="575" customWidth="1"/>
    <col min="15106" max="15106" width="51.42578125" style="575" customWidth="1"/>
    <col min="15107" max="15108" width="19.28515625" style="575" customWidth="1"/>
    <col min="15109" max="15109" width="17.28515625" style="575" customWidth="1"/>
    <col min="15110" max="15360" width="9.140625" style="575"/>
    <col min="15361" max="15361" width="0.42578125" style="575" customWidth="1"/>
    <col min="15362" max="15362" width="51.42578125" style="575" customWidth="1"/>
    <col min="15363" max="15364" width="19.28515625" style="575" customWidth="1"/>
    <col min="15365" max="15365" width="17.28515625" style="575" customWidth="1"/>
    <col min="15366" max="15616" width="9.140625" style="575"/>
    <col min="15617" max="15617" width="0.42578125" style="575" customWidth="1"/>
    <col min="15618" max="15618" width="51.42578125" style="575" customWidth="1"/>
    <col min="15619" max="15620" width="19.28515625" style="575" customWidth="1"/>
    <col min="15621" max="15621" width="17.28515625" style="575" customWidth="1"/>
    <col min="15622" max="15872" width="9.140625" style="575"/>
    <col min="15873" max="15873" width="0.42578125" style="575" customWidth="1"/>
    <col min="15874" max="15874" width="51.42578125" style="575" customWidth="1"/>
    <col min="15875" max="15876" width="19.28515625" style="575" customWidth="1"/>
    <col min="15877" max="15877" width="17.28515625" style="575" customWidth="1"/>
    <col min="15878" max="16128" width="9.140625" style="575"/>
    <col min="16129" max="16129" width="0.42578125" style="575" customWidth="1"/>
    <col min="16130" max="16130" width="51.42578125" style="575" customWidth="1"/>
    <col min="16131" max="16132" width="19.28515625" style="575" customWidth="1"/>
    <col min="16133" max="16133" width="17.28515625" style="575" customWidth="1"/>
    <col min="16134" max="16384" width="9.140625" style="575"/>
  </cols>
  <sheetData>
    <row r="1" spans="2:5" customFormat="1" x14ac:dyDescent="0.25"/>
    <row r="2" spans="2:5" customFormat="1" x14ac:dyDescent="0.25"/>
    <row r="3" spans="2:5" customFormat="1" x14ac:dyDescent="0.25">
      <c r="C3" s="1808" t="s">
        <v>2355</v>
      </c>
      <c r="D3" s="1809"/>
      <c r="E3" s="1809"/>
    </row>
    <row r="4" spans="2:5" customFormat="1" x14ac:dyDescent="0.25">
      <c r="C4" s="565" t="s">
        <v>2356</v>
      </c>
    </row>
    <row r="5" spans="2:5" customFormat="1" x14ac:dyDescent="0.25"/>
    <row r="6" spans="2:5" customFormat="1" x14ac:dyDescent="0.25">
      <c r="C6" s="1808" t="s">
        <v>2357</v>
      </c>
      <c r="D6" s="1809"/>
      <c r="E6" s="1809"/>
    </row>
    <row r="7" spans="2:5" customFormat="1" x14ac:dyDescent="0.25"/>
    <row r="8" spans="2:5" customFormat="1" x14ac:dyDescent="0.25">
      <c r="B8" s="566" t="s">
        <v>2358</v>
      </c>
    </row>
    <row r="9" spans="2:5" customFormat="1" x14ac:dyDescent="0.25">
      <c r="B9" s="567">
        <f ca="1">NOW()</f>
        <v>45370.477334606483</v>
      </c>
    </row>
    <row r="10" spans="2:5" customFormat="1" x14ac:dyDescent="0.25">
      <c r="B10" s="568" t="s">
        <v>2359</v>
      </c>
    </row>
    <row r="11" spans="2:5" customFormat="1" x14ac:dyDescent="0.25">
      <c r="B11" s="569" t="s">
        <v>2360</v>
      </c>
    </row>
    <row r="12" spans="2:5" customFormat="1" x14ac:dyDescent="0.25">
      <c r="B12" s="568" t="s">
        <v>2361</v>
      </c>
    </row>
    <row r="13" spans="2:5" customFormat="1" x14ac:dyDescent="0.25">
      <c r="B13" s="147" t="s">
        <v>2362</v>
      </c>
      <c r="E13" s="570" t="s">
        <v>2363</v>
      </c>
    </row>
    <row r="14" spans="2:5" customFormat="1" x14ac:dyDescent="0.25">
      <c r="B14" s="566"/>
      <c r="C14" s="566"/>
      <c r="D14" s="566"/>
      <c r="E14" s="571"/>
    </row>
    <row r="15" spans="2:5" s="572" customFormat="1" ht="12" x14ac:dyDescent="0.2">
      <c r="B15" s="568" t="s">
        <v>2290</v>
      </c>
      <c r="C15" s="568" t="s">
        <v>2364</v>
      </c>
      <c r="D15" s="568" t="s">
        <v>2365</v>
      </c>
      <c r="E15" s="568" t="s">
        <v>2366</v>
      </c>
    </row>
    <row r="16" spans="2:5" x14ac:dyDescent="0.25">
      <c r="B16" s="573" t="s">
        <v>2367</v>
      </c>
      <c r="C16" s="574">
        <v>0</v>
      </c>
      <c r="D16" s="574">
        <v>148116376926</v>
      </c>
      <c r="E16" s="574">
        <v>148116376926</v>
      </c>
    </row>
    <row r="17" spans="2:5" x14ac:dyDescent="0.25">
      <c r="B17" s="576" t="s">
        <v>2368</v>
      </c>
      <c r="C17" s="577">
        <v>0</v>
      </c>
      <c r="D17" s="577">
        <v>148116376926</v>
      </c>
      <c r="E17" s="577">
        <v>148116376926</v>
      </c>
    </row>
    <row r="18" spans="2:5" x14ac:dyDescent="0.25">
      <c r="B18" s="576" t="s">
        <v>2369</v>
      </c>
      <c r="C18" s="577">
        <v>0</v>
      </c>
      <c r="D18" s="577">
        <v>0</v>
      </c>
      <c r="E18" s="577">
        <v>0</v>
      </c>
    </row>
    <row r="19" spans="2:5" x14ac:dyDescent="0.25">
      <c r="B19" s="578" t="s">
        <v>2370</v>
      </c>
      <c r="C19" s="579">
        <v>0</v>
      </c>
      <c r="D19" s="579">
        <v>0</v>
      </c>
      <c r="E19" s="579">
        <v>0</v>
      </c>
    </row>
    <row r="20" spans="2:5" x14ac:dyDescent="0.25">
      <c r="B20" s="578" t="s">
        <v>2371</v>
      </c>
      <c r="C20" s="579">
        <v>0</v>
      </c>
      <c r="D20" s="579">
        <v>0</v>
      </c>
      <c r="E20" s="579">
        <v>0</v>
      </c>
    </row>
    <row r="21" spans="2:5" x14ac:dyDescent="0.25">
      <c r="B21" s="573" t="s">
        <v>2372</v>
      </c>
      <c r="C21" s="574">
        <v>473400646</v>
      </c>
      <c r="D21" s="574">
        <v>5525840245</v>
      </c>
      <c r="E21" s="574">
        <v>5999240891</v>
      </c>
    </row>
    <row r="22" spans="2:5" x14ac:dyDescent="0.25">
      <c r="B22" s="576" t="s">
        <v>2373</v>
      </c>
      <c r="C22" s="577">
        <v>0</v>
      </c>
      <c r="D22" s="577">
        <v>0</v>
      </c>
      <c r="E22" s="577">
        <v>0</v>
      </c>
    </row>
    <row r="23" spans="2:5" x14ac:dyDescent="0.25">
      <c r="B23" s="576" t="s">
        <v>2374</v>
      </c>
      <c r="C23" s="577">
        <v>332729952</v>
      </c>
      <c r="D23" s="577">
        <v>3942117645</v>
      </c>
      <c r="E23" s="577">
        <v>4274847597</v>
      </c>
    </row>
    <row r="24" spans="2:5" x14ac:dyDescent="0.25">
      <c r="B24" s="576" t="s">
        <v>2375</v>
      </c>
      <c r="C24" s="577">
        <v>140670694</v>
      </c>
      <c r="D24" s="577">
        <v>1583722600</v>
      </c>
      <c r="E24" s="577">
        <v>1724393294</v>
      </c>
    </row>
    <row r="25" spans="2:5" x14ac:dyDescent="0.25">
      <c r="B25" s="573" t="s">
        <v>2376</v>
      </c>
      <c r="C25" s="574">
        <v>259541512</v>
      </c>
      <c r="D25" s="574">
        <v>2617188574</v>
      </c>
      <c r="E25" s="574">
        <v>2876730086</v>
      </c>
    </row>
    <row r="26" spans="2:5" x14ac:dyDescent="0.25">
      <c r="B26" s="573" t="s">
        <v>2377</v>
      </c>
      <c r="C26" s="574">
        <v>0</v>
      </c>
      <c r="D26" s="574">
        <v>0</v>
      </c>
      <c r="E26" s="574">
        <v>0</v>
      </c>
    </row>
    <row r="27" spans="2:5" x14ac:dyDescent="0.25">
      <c r="B27" s="576" t="s">
        <v>2378</v>
      </c>
      <c r="C27" s="577">
        <v>0</v>
      </c>
      <c r="D27" s="577">
        <v>0</v>
      </c>
      <c r="E27" s="577">
        <v>0</v>
      </c>
    </row>
    <row r="28" spans="2:5" x14ac:dyDescent="0.25">
      <c r="B28" s="576" t="s">
        <v>2379</v>
      </c>
      <c r="C28" s="577">
        <v>0</v>
      </c>
      <c r="D28" s="577">
        <v>0</v>
      </c>
      <c r="E28" s="577">
        <v>0</v>
      </c>
    </row>
    <row r="29" spans="2:5" x14ac:dyDescent="0.25">
      <c r="B29" s="576" t="s">
        <v>2380</v>
      </c>
      <c r="C29" s="577">
        <v>0</v>
      </c>
      <c r="D29" s="577">
        <v>0</v>
      </c>
      <c r="E29" s="577">
        <v>0</v>
      </c>
    </row>
    <row r="30" spans="2:5" x14ac:dyDescent="0.25">
      <c r="B30" s="576" t="s">
        <v>2381</v>
      </c>
      <c r="C30" s="577">
        <v>0</v>
      </c>
      <c r="D30" s="577">
        <v>0</v>
      </c>
      <c r="E30" s="577">
        <v>0</v>
      </c>
    </row>
    <row r="31" spans="2:5" x14ac:dyDescent="0.25">
      <c r="B31" s="576" t="s">
        <v>2382</v>
      </c>
      <c r="C31" s="577">
        <v>0</v>
      </c>
      <c r="D31" s="577">
        <v>0</v>
      </c>
      <c r="E31" s="577">
        <v>0</v>
      </c>
    </row>
    <row r="32" spans="2:5" x14ac:dyDescent="0.25">
      <c r="B32" s="573" t="s">
        <v>2383</v>
      </c>
      <c r="C32" s="574">
        <v>0</v>
      </c>
      <c r="D32" s="574">
        <v>0</v>
      </c>
      <c r="E32" s="574">
        <v>0</v>
      </c>
    </row>
    <row r="33" spans="2:5" x14ac:dyDescent="0.25">
      <c r="B33" s="573" t="s">
        <v>2384</v>
      </c>
      <c r="C33" s="574">
        <v>0</v>
      </c>
      <c r="D33" s="574">
        <v>0</v>
      </c>
      <c r="E33" s="574">
        <v>0</v>
      </c>
    </row>
    <row r="34" spans="2:5" x14ac:dyDescent="0.25">
      <c r="B34" s="573" t="s">
        <v>2385</v>
      </c>
      <c r="C34" s="574">
        <v>0</v>
      </c>
      <c r="D34" s="574">
        <v>0</v>
      </c>
      <c r="E34" s="574">
        <v>0</v>
      </c>
    </row>
    <row r="35" spans="2:5" x14ac:dyDescent="0.25">
      <c r="B35" s="573" t="s">
        <v>2386</v>
      </c>
      <c r="C35" s="574">
        <v>697746131</v>
      </c>
      <c r="D35" s="574">
        <v>0</v>
      </c>
      <c r="E35" s="574">
        <v>697746131</v>
      </c>
    </row>
    <row r="36" spans="2:5" x14ac:dyDescent="0.25">
      <c r="B36" s="573" t="s">
        <v>2387</v>
      </c>
      <c r="C36" s="574">
        <v>0</v>
      </c>
      <c r="D36" s="574">
        <v>0</v>
      </c>
      <c r="E36" s="574">
        <v>0</v>
      </c>
    </row>
    <row r="37" spans="2:5" x14ac:dyDescent="0.25">
      <c r="B37" s="580" t="s">
        <v>2388</v>
      </c>
      <c r="C37" s="574">
        <v>1430688289</v>
      </c>
      <c r="D37" s="574">
        <v>156259405745</v>
      </c>
      <c r="E37" s="574">
        <v>157690094034</v>
      </c>
    </row>
    <row r="38" spans="2:5" x14ac:dyDescent="0.25">
      <c r="B38" s="581" t="s">
        <v>2389</v>
      </c>
    </row>
    <row r="39" spans="2:5" x14ac:dyDescent="0.25">
      <c r="B39" s="581" t="s">
        <v>2389</v>
      </c>
    </row>
    <row r="40" spans="2:5" x14ac:dyDescent="0.25">
      <c r="B40" s="1810" t="s">
        <v>2390</v>
      </c>
      <c r="C40" s="1810"/>
      <c r="D40" s="1810"/>
      <c r="E40" s="1810"/>
    </row>
    <row r="41" spans="2:5" x14ac:dyDescent="0.25">
      <c r="B41" s="1810" t="s">
        <v>2389</v>
      </c>
      <c r="C41" s="1810"/>
      <c r="D41" s="1810"/>
      <c r="E41" s="1810"/>
    </row>
    <row r="42" spans="2:5" x14ac:dyDescent="0.25">
      <c r="B42" s="581" t="s">
        <v>2389</v>
      </c>
    </row>
  </sheetData>
  <mergeCells count="4">
    <mergeCell ref="C3:E3"/>
    <mergeCell ref="C6:E6"/>
    <mergeCell ref="B40:E40"/>
    <mergeCell ref="B41:E4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AA200"/>
  <sheetViews>
    <sheetView workbookViewId="0">
      <pane xSplit="1" ySplit="2" topLeftCell="S14" activePane="bottomRight" state="frozen"/>
      <selection pane="topRight" activeCell="B1" sqref="B1"/>
      <selection pane="bottomLeft" activeCell="A3" sqref="A3"/>
      <selection pane="bottomRight" activeCell="V24" sqref="V24"/>
    </sheetView>
  </sheetViews>
  <sheetFormatPr baseColWidth="10" defaultColWidth="11.42578125" defaultRowHeight="12.75" x14ac:dyDescent="0.25"/>
  <cols>
    <col min="1" max="1" width="54.140625" style="601" bestFit="1" customWidth="1"/>
    <col min="2" max="3" width="17.7109375" style="1132" customWidth="1"/>
    <col min="4" max="4" width="17.7109375" style="1133" customWidth="1"/>
    <col min="5" max="5" width="17.7109375" style="1132" customWidth="1"/>
    <col min="6" max="6" width="17.7109375" style="1133" customWidth="1"/>
    <col min="7" max="7" width="17.7109375" style="1132" customWidth="1"/>
    <col min="8" max="8" width="17.7109375" style="1133" customWidth="1"/>
    <col min="9" max="9" width="17.7109375" style="1132" customWidth="1"/>
    <col min="10" max="10" width="17.7109375" style="1133" customWidth="1"/>
    <col min="11" max="11" width="16.28515625" style="1132" customWidth="1"/>
    <col min="12" max="12" width="13.7109375" style="1133" customWidth="1"/>
    <col min="13" max="13" width="18.28515625" style="1092" customWidth="1"/>
    <col min="14" max="14" width="13.7109375" style="1133" customWidth="1"/>
    <col min="15" max="15" width="18.28515625" style="1092" customWidth="1"/>
    <col min="16" max="16" width="13.7109375" style="1133" customWidth="1"/>
    <col min="17" max="17" width="20.7109375" style="1092" customWidth="1"/>
    <col min="18" max="19" width="17.7109375" style="1092" customWidth="1"/>
    <col min="20" max="24" width="20.7109375" style="1092" customWidth="1"/>
    <col min="25" max="25" width="15.85546875" style="42" customWidth="1"/>
    <col min="26" max="26" width="23" style="42" bestFit="1" customWidth="1"/>
    <col min="27" max="28" width="14.28515625" style="42" customWidth="1"/>
    <col min="29" max="263" width="11.42578125" style="42"/>
    <col min="264" max="264" width="49.5703125" style="42" customWidth="1"/>
    <col min="265" max="265" width="18.5703125" style="42" bestFit="1" customWidth="1"/>
    <col min="266" max="269" width="17.28515625" style="42" bestFit="1" customWidth="1"/>
    <col min="270" max="270" width="1" style="42" customWidth="1"/>
    <col min="271" max="271" width="17.28515625" style="42" bestFit="1" customWidth="1"/>
    <col min="272" max="272" width="0.85546875" style="42" customWidth="1"/>
    <col min="273" max="273" width="18.28515625" style="42" customWidth="1"/>
    <col min="274" max="277" width="17.28515625" style="42" bestFit="1" customWidth="1"/>
    <col min="278" max="278" width="10.85546875" style="42" customWidth="1"/>
    <col min="279" max="280" width="14.28515625" style="42" customWidth="1"/>
    <col min="281" max="281" width="10.85546875" style="42" customWidth="1"/>
    <col min="282" max="282" width="45.42578125" style="42" customWidth="1"/>
    <col min="283" max="284" width="14.28515625" style="42" customWidth="1"/>
    <col min="285" max="519" width="11.42578125" style="42"/>
    <col min="520" max="520" width="49.5703125" style="42" customWidth="1"/>
    <col min="521" max="521" width="18.5703125" style="42" bestFit="1" customWidth="1"/>
    <col min="522" max="525" width="17.28515625" style="42" bestFit="1" customWidth="1"/>
    <col min="526" max="526" width="1" style="42" customWidth="1"/>
    <col min="527" max="527" width="17.28515625" style="42" bestFit="1" customWidth="1"/>
    <col min="528" max="528" width="0.85546875" style="42" customWidth="1"/>
    <col min="529" max="529" width="18.28515625" style="42" customWidth="1"/>
    <col min="530" max="533" width="17.28515625" style="42" bestFit="1" customWidth="1"/>
    <col min="534" max="534" width="10.85546875" style="42" customWidth="1"/>
    <col min="535" max="536" width="14.28515625" style="42" customWidth="1"/>
    <col min="537" max="537" width="10.85546875" style="42" customWidth="1"/>
    <col min="538" max="538" width="45.42578125" style="42" customWidth="1"/>
    <col min="539" max="540" width="14.28515625" style="42" customWidth="1"/>
    <col min="541" max="775" width="11.42578125" style="42"/>
    <col min="776" max="776" width="49.5703125" style="42" customWidth="1"/>
    <col min="777" max="777" width="18.5703125" style="42" bestFit="1" customWidth="1"/>
    <col min="778" max="781" width="17.28515625" style="42" bestFit="1" customWidth="1"/>
    <col min="782" max="782" width="1" style="42" customWidth="1"/>
    <col min="783" max="783" width="17.28515625" style="42" bestFit="1" customWidth="1"/>
    <col min="784" max="784" width="0.85546875" style="42" customWidth="1"/>
    <col min="785" max="785" width="18.28515625" style="42" customWidth="1"/>
    <col min="786" max="789" width="17.28515625" style="42" bestFit="1" customWidth="1"/>
    <col min="790" max="790" width="10.85546875" style="42" customWidth="1"/>
    <col min="791" max="792" width="14.28515625" style="42" customWidth="1"/>
    <col min="793" max="793" width="10.85546875" style="42" customWidth="1"/>
    <col min="794" max="794" width="45.42578125" style="42" customWidth="1"/>
    <col min="795" max="796" width="14.28515625" style="42" customWidth="1"/>
    <col min="797" max="1031" width="11.42578125" style="42"/>
    <col min="1032" max="1032" width="49.5703125" style="42" customWidth="1"/>
    <col min="1033" max="1033" width="18.5703125" style="42" bestFit="1" customWidth="1"/>
    <col min="1034" max="1037" width="17.28515625" style="42" bestFit="1" customWidth="1"/>
    <col min="1038" max="1038" width="1" style="42" customWidth="1"/>
    <col min="1039" max="1039" width="17.28515625" style="42" bestFit="1" customWidth="1"/>
    <col min="1040" max="1040" width="0.85546875" style="42" customWidth="1"/>
    <col min="1041" max="1041" width="18.28515625" style="42" customWidth="1"/>
    <col min="1042" max="1045" width="17.28515625" style="42" bestFit="1" customWidth="1"/>
    <col min="1046" max="1046" width="10.85546875" style="42" customWidth="1"/>
    <col min="1047" max="1048" width="14.28515625" style="42" customWidth="1"/>
    <col min="1049" max="1049" width="10.85546875" style="42" customWidth="1"/>
    <col min="1050" max="1050" width="45.42578125" style="42" customWidth="1"/>
    <col min="1051" max="1052" width="14.28515625" style="42" customWidth="1"/>
    <col min="1053" max="1287" width="11.42578125" style="42"/>
    <col min="1288" max="1288" width="49.5703125" style="42" customWidth="1"/>
    <col min="1289" max="1289" width="18.5703125" style="42" bestFit="1" customWidth="1"/>
    <col min="1290" max="1293" width="17.28515625" style="42" bestFit="1" customWidth="1"/>
    <col min="1294" max="1294" width="1" style="42" customWidth="1"/>
    <col min="1295" max="1295" width="17.28515625" style="42" bestFit="1" customWidth="1"/>
    <col min="1296" max="1296" width="0.85546875" style="42" customWidth="1"/>
    <col min="1297" max="1297" width="18.28515625" style="42" customWidth="1"/>
    <col min="1298" max="1301" width="17.28515625" style="42" bestFit="1" customWidth="1"/>
    <col min="1302" max="1302" width="10.85546875" style="42" customWidth="1"/>
    <col min="1303" max="1304" width="14.28515625" style="42" customWidth="1"/>
    <col min="1305" max="1305" width="10.85546875" style="42" customWidth="1"/>
    <col min="1306" max="1306" width="45.42578125" style="42" customWidth="1"/>
    <col min="1307" max="1308" width="14.28515625" style="42" customWidth="1"/>
    <col min="1309" max="1543" width="11.42578125" style="42"/>
    <col min="1544" max="1544" width="49.5703125" style="42" customWidth="1"/>
    <col min="1545" max="1545" width="18.5703125" style="42" bestFit="1" customWidth="1"/>
    <col min="1546" max="1549" width="17.28515625" style="42" bestFit="1" customWidth="1"/>
    <col min="1550" max="1550" width="1" style="42" customWidth="1"/>
    <col min="1551" max="1551" width="17.28515625" style="42" bestFit="1" customWidth="1"/>
    <col min="1552" max="1552" width="0.85546875" style="42" customWidth="1"/>
    <col min="1553" max="1553" width="18.28515625" style="42" customWidth="1"/>
    <col min="1554" max="1557" width="17.28515625" style="42" bestFit="1" customWidth="1"/>
    <col min="1558" max="1558" width="10.85546875" style="42" customWidth="1"/>
    <col min="1559" max="1560" width="14.28515625" style="42" customWidth="1"/>
    <col min="1561" max="1561" width="10.85546875" style="42" customWidth="1"/>
    <col min="1562" max="1562" width="45.42578125" style="42" customWidth="1"/>
    <col min="1563" max="1564" width="14.28515625" style="42" customWidth="1"/>
    <col min="1565" max="1799" width="11.42578125" style="42"/>
    <col min="1800" max="1800" width="49.5703125" style="42" customWidth="1"/>
    <col min="1801" max="1801" width="18.5703125" style="42" bestFit="1" customWidth="1"/>
    <col min="1802" max="1805" width="17.28515625" style="42" bestFit="1" customWidth="1"/>
    <col min="1806" max="1806" width="1" style="42" customWidth="1"/>
    <col min="1807" max="1807" width="17.28515625" style="42" bestFit="1" customWidth="1"/>
    <col min="1808" max="1808" width="0.85546875" style="42" customWidth="1"/>
    <col min="1809" max="1809" width="18.28515625" style="42" customWidth="1"/>
    <col min="1810" max="1813" width="17.28515625" style="42" bestFit="1" customWidth="1"/>
    <col min="1814" max="1814" width="10.85546875" style="42" customWidth="1"/>
    <col min="1815" max="1816" width="14.28515625" style="42" customWidth="1"/>
    <col min="1817" max="1817" width="10.85546875" style="42" customWidth="1"/>
    <col min="1818" max="1818" width="45.42578125" style="42" customWidth="1"/>
    <col min="1819" max="1820" width="14.28515625" style="42" customWidth="1"/>
    <col min="1821" max="2055" width="11.42578125" style="42"/>
    <col min="2056" max="2056" width="49.5703125" style="42" customWidth="1"/>
    <col min="2057" max="2057" width="18.5703125" style="42" bestFit="1" customWidth="1"/>
    <col min="2058" max="2061" width="17.28515625" style="42" bestFit="1" customWidth="1"/>
    <col min="2062" max="2062" width="1" style="42" customWidth="1"/>
    <col min="2063" max="2063" width="17.28515625" style="42" bestFit="1" customWidth="1"/>
    <col min="2064" max="2064" width="0.85546875" style="42" customWidth="1"/>
    <col min="2065" max="2065" width="18.28515625" style="42" customWidth="1"/>
    <col min="2066" max="2069" width="17.28515625" style="42" bestFit="1" customWidth="1"/>
    <col min="2070" max="2070" width="10.85546875" style="42" customWidth="1"/>
    <col min="2071" max="2072" width="14.28515625" style="42" customWidth="1"/>
    <col min="2073" max="2073" width="10.85546875" style="42" customWidth="1"/>
    <col min="2074" max="2074" width="45.42578125" style="42" customWidth="1"/>
    <col min="2075" max="2076" width="14.28515625" style="42" customWidth="1"/>
    <col min="2077" max="2311" width="11.42578125" style="42"/>
    <col min="2312" max="2312" width="49.5703125" style="42" customWidth="1"/>
    <col min="2313" max="2313" width="18.5703125" style="42" bestFit="1" customWidth="1"/>
    <col min="2314" max="2317" width="17.28515625" style="42" bestFit="1" customWidth="1"/>
    <col min="2318" max="2318" width="1" style="42" customWidth="1"/>
    <col min="2319" max="2319" width="17.28515625" style="42" bestFit="1" customWidth="1"/>
    <col min="2320" max="2320" width="0.85546875" style="42" customWidth="1"/>
    <col min="2321" max="2321" width="18.28515625" style="42" customWidth="1"/>
    <col min="2322" max="2325" width="17.28515625" style="42" bestFit="1" customWidth="1"/>
    <col min="2326" max="2326" width="10.85546875" style="42" customWidth="1"/>
    <col min="2327" max="2328" width="14.28515625" style="42" customWidth="1"/>
    <col min="2329" max="2329" width="10.85546875" style="42" customWidth="1"/>
    <col min="2330" max="2330" width="45.42578125" style="42" customWidth="1"/>
    <col min="2331" max="2332" width="14.28515625" style="42" customWidth="1"/>
    <col min="2333" max="2567" width="11.42578125" style="42"/>
    <col min="2568" max="2568" width="49.5703125" style="42" customWidth="1"/>
    <col min="2569" max="2569" width="18.5703125" style="42" bestFit="1" customWidth="1"/>
    <col min="2570" max="2573" width="17.28515625" style="42" bestFit="1" customWidth="1"/>
    <col min="2574" max="2574" width="1" style="42" customWidth="1"/>
    <col min="2575" max="2575" width="17.28515625" style="42" bestFit="1" customWidth="1"/>
    <col min="2576" max="2576" width="0.85546875" style="42" customWidth="1"/>
    <col min="2577" max="2577" width="18.28515625" style="42" customWidth="1"/>
    <col min="2578" max="2581" width="17.28515625" style="42" bestFit="1" customWidth="1"/>
    <col min="2582" max="2582" width="10.85546875" style="42" customWidth="1"/>
    <col min="2583" max="2584" width="14.28515625" style="42" customWidth="1"/>
    <col min="2585" max="2585" width="10.85546875" style="42" customWidth="1"/>
    <col min="2586" max="2586" width="45.42578125" style="42" customWidth="1"/>
    <col min="2587" max="2588" width="14.28515625" style="42" customWidth="1"/>
    <col min="2589" max="2823" width="11.42578125" style="42"/>
    <col min="2824" max="2824" width="49.5703125" style="42" customWidth="1"/>
    <col min="2825" max="2825" width="18.5703125" style="42" bestFit="1" customWidth="1"/>
    <col min="2826" max="2829" width="17.28515625" style="42" bestFit="1" customWidth="1"/>
    <col min="2830" max="2830" width="1" style="42" customWidth="1"/>
    <col min="2831" max="2831" width="17.28515625" style="42" bestFit="1" customWidth="1"/>
    <col min="2832" max="2832" width="0.85546875" style="42" customWidth="1"/>
    <col min="2833" max="2833" width="18.28515625" style="42" customWidth="1"/>
    <col min="2834" max="2837" width="17.28515625" style="42" bestFit="1" customWidth="1"/>
    <col min="2838" max="2838" width="10.85546875" style="42" customWidth="1"/>
    <col min="2839" max="2840" width="14.28515625" style="42" customWidth="1"/>
    <col min="2841" max="2841" width="10.85546875" style="42" customWidth="1"/>
    <col min="2842" max="2842" width="45.42578125" style="42" customWidth="1"/>
    <col min="2843" max="2844" width="14.28515625" style="42" customWidth="1"/>
    <col min="2845" max="3079" width="11.42578125" style="42"/>
    <col min="3080" max="3080" width="49.5703125" style="42" customWidth="1"/>
    <col min="3081" max="3081" width="18.5703125" style="42" bestFit="1" customWidth="1"/>
    <col min="3082" max="3085" width="17.28515625" style="42" bestFit="1" customWidth="1"/>
    <col min="3086" max="3086" width="1" style="42" customWidth="1"/>
    <col min="3087" max="3087" width="17.28515625" style="42" bestFit="1" customWidth="1"/>
    <col min="3088" max="3088" width="0.85546875" style="42" customWidth="1"/>
    <col min="3089" max="3089" width="18.28515625" style="42" customWidth="1"/>
    <col min="3090" max="3093" width="17.28515625" style="42" bestFit="1" customWidth="1"/>
    <col min="3094" max="3094" width="10.85546875" style="42" customWidth="1"/>
    <col min="3095" max="3096" width="14.28515625" style="42" customWidth="1"/>
    <col min="3097" max="3097" width="10.85546875" style="42" customWidth="1"/>
    <col min="3098" max="3098" width="45.42578125" style="42" customWidth="1"/>
    <col min="3099" max="3100" width="14.28515625" style="42" customWidth="1"/>
    <col min="3101" max="3335" width="11.42578125" style="42"/>
    <col min="3336" max="3336" width="49.5703125" style="42" customWidth="1"/>
    <col min="3337" max="3337" width="18.5703125" style="42" bestFit="1" customWidth="1"/>
    <col min="3338" max="3341" width="17.28515625" style="42" bestFit="1" customWidth="1"/>
    <col min="3342" max="3342" width="1" style="42" customWidth="1"/>
    <col min="3343" max="3343" width="17.28515625" style="42" bestFit="1" customWidth="1"/>
    <col min="3344" max="3344" width="0.85546875" style="42" customWidth="1"/>
    <col min="3345" max="3345" width="18.28515625" style="42" customWidth="1"/>
    <col min="3346" max="3349" width="17.28515625" style="42" bestFit="1" customWidth="1"/>
    <col min="3350" max="3350" width="10.85546875" style="42" customWidth="1"/>
    <col min="3351" max="3352" width="14.28515625" style="42" customWidth="1"/>
    <col min="3353" max="3353" width="10.85546875" style="42" customWidth="1"/>
    <col min="3354" max="3354" width="45.42578125" style="42" customWidth="1"/>
    <col min="3355" max="3356" width="14.28515625" style="42" customWidth="1"/>
    <col min="3357" max="3591" width="11.42578125" style="42"/>
    <col min="3592" max="3592" width="49.5703125" style="42" customWidth="1"/>
    <col min="3593" max="3593" width="18.5703125" style="42" bestFit="1" customWidth="1"/>
    <col min="3594" max="3597" width="17.28515625" style="42" bestFit="1" customWidth="1"/>
    <col min="3598" max="3598" width="1" style="42" customWidth="1"/>
    <col min="3599" max="3599" width="17.28515625" style="42" bestFit="1" customWidth="1"/>
    <col min="3600" max="3600" width="0.85546875" style="42" customWidth="1"/>
    <col min="3601" max="3601" width="18.28515625" style="42" customWidth="1"/>
    <col min="3602" max="3605" width="17.28515625" style="42" bestFit="1" customWidth="1"/>
    <col min="3606" max="3606" width="10.85546875" style="42" customWidth="1"/>
    <col min="3607" max="3608" width="14.28515625" style="42" customWidth="1"/>
    <col min="3609" max="3609" width="10.85546875" style="42" customWidth="1"/>
    <col min="3610" max="3610" width="45.42578125" style="42" customWidth="1"/>
    <col min="3611" max="3612" width="14.28515625" style="42" customWidth="1"/>
    <col min="3613" max="3847" width="11.42578125" style="42"/>
    <col min="3848" max="3848" width="49.5703125" style="42" customWidth="1"/>
    <col min="3849" max="3849" width="18.5703125" style="42" bestFit="1" customWidth="1"/>
    <col min="3850" max="3853" width="17.28515625" style="42" bestFit="1" customWidth="1"/>
    <col min="3854" max="3854" width="1" style="42" customWidth="1"/>
    <col min="3855" max="3855" width="17.28515625" style="42" bestFit="1" customWidth="1"/>
    <col min="3856" max="3856" width="0.85546875" style="42" customWidth="1"/>
    <col min="3857" max="3857" width="18.28515625" style="42" customWidth="1"/>
    <col min="3858" max="3861" width="17.28515625" style="42" bestFit="1" customWidth="1"/>
    <col min="3862" max="3862" width="10.85546875" style="42" customWidth="1"/>
    <col min="3863" max="3864" width="14.28515625" style="42" customWidth="1"/>
    <col min="3865" max="3865" width="10.85546875" style="42" customWidth="1"/>
    <col min="3866" max="3866" width="45.42578125" style="42" customWidth="1"/>
    <col min="3867" max="3868" width="14.28515625" style="42" customWidth="1"/>
    <col min="3869" max="4103" width="11.42578125" style="42"/>
    <col min="4104" max="4104" width="49.5703125" style="42" customWidth="1"/>
    <col min="4105" max="4105" width="18.5703125" style="42" bestFit="1" customWidth="1"/>
    <col min="4106" max="4109" width="17.28515625" style="42" bestFit="1" customWidth="1"/>
    <col min="4110" max="4110" width="1" style="42" customWidth="1"/>
    <col min="4111" max="4111" width="17.28515625" style="42" bestFit="1" customWidth="1"/>
    <col min="4112" max="4112" width="0.85546875" style="42" customWidth="1"/>
    <col min="4113" max="4113" width="18.28515625" style="42" customWidth="1"/>
    <col min="4114" max="4117" width="17.28515625" style="42" bestFit="1" customWidth="1"/>
    <col min="4118" max="4118" width="10.85546875" style="42" customWidth="1"/>
    <col min="4119" max="4120" width="14.28515625" style="42" customWidth="1"/>
    <col min="4121" max="4121" width="10.85546875" style="42" customWidth="1"/>
    <col min="4122" max="4122" width="45.42578125" style="42" customWidth="1"/>
    <col min="4123" max="4124" width="14.28515625" style="42" customWidth="1"/>
    <col min="4125" max="4359" width="11.42578125" style="42"/>
    <col min="4360" max="4360" width="49.5703125" style="42" customWidth="1"/>
    <col min="4361" max="4361" width="18.5703125" style="42" bestFit="1" customWidth="1"/>
    <col min="4362" max="4365" width="17.28515625" style="42" bestFit="1" customWidth="1"/>
    <col min="4366" max="4366" width="1" style="42" customWidth="1"/>
    <col min="4367" max="4367" width="17.28515625" style="42" bestFit="1" customWidth="1"/>
    <col min="4368" max="4368" width="0.85546875" style="42" customWidth="1"/>
    <col min="4369" max="4369" width="18.28515625" style="42" customWidth="1"/>
    <col min="4370" max="4373" width="17.28515625" style="42" bestFit="1" customWidth="1"/>
    <col min="4374" max="4374" width="10.85546875" style="42" customWidth="1"/>
    <col min="4375" max="4376" width="14.28515625" style="42" customWidth="1"/>
    <col min="4377" max="4377" width="10.85546875" style="42" customWidth="1"/>
    <col min="4378" max="4378" width="45.42578125" style="42" customWidth="1"/>
    <col min="4379" max="4380" width="14.28515625" style="42" customWidth="1"/>
    <col min="4381" max="4615" width="11.42578125" style="42"/>
    <col min="4616" max="4616" width="49.5703125" style="42" customWidth="1"/>
    <col min="4617" max="4617" width="18.5703125" style="42" bestFit="1" customWidth="1"/>
    <col min="4618" max="4621" width="17.28515625" style="42" bestFit="1" customWidth="1"/>
    <col min="4622" max="4622" width="1" style="42" customWidth="1"/>
    <col min="4623" max="4623" width="17.28515625" style="42" bestFit="1" customWidth="1"/>
    <col min="4624" max="4624" width="0.85546875" style="42" customWidth="1"/>
    <col min="4625" max="4625" width="18.28515625" style="42" customWidth="1"/>
    <col min="4626" max="4629" width="17.28515625" style="42" bestFit="1" customWidth="1"/>
    <col min="4630" max="4630" width="10.85546875" style="42" customWidth="1"/>
    <col min="4631" max="4632" width="14.28515625" style="42" customWidth="1"/>
    <col min="4633" max="4633" width="10.85546875" style="42" customWidth="1"/>
    <col min="4634" max="4634" width="45.42578125" style="42" customWidth="1"/>
    <col min="4635" max="4636" width="14.28515625" style="42" customWidth="1"/>
    <col min="4637" max="4871" width="11.42578125" style="42"/>
    <col min="4872" max="4872" width="49.5703125" style="42" customWidth="1"/>
    <col min="4873" max="4873" width="18.5703125" style="42" bestFit="1" customWidth="1"/>
    <col min="4874" max="4877" width="17.28515625" style="42" bestFit="1" customWidth="1"/>
    <col min="4878" max="4878" width="1" style="42" customWidth="1"/>
    <col min="4879" max="4879" width="17.28515625" style="42" bestFit="1" customWidth="1"/>
    <col min="4880" max="4880" width="0.85546875" style="42" customWidth="1"/>
    <col min="4881" max="4881" width="18.28515625" style="42" customWidth="1"/>
    <col min="4882" max="4885" width="17.28515625" style="42" bestFit="1" customWidth="1"/>
    <col min="4886" max="4886" width="10.85546875" style="42" customWidth="1"/>
    <col min="4887" max="4888" width="14.28515625" style="42" customWidth="1"/>
    <col min="4889" max="4889" width="10.85546875" style="42" customWidth="1"/>
    <col min="4890" max="4890" width="45.42578125" style="42" customWidth="1"/>
    <col min="4891" max="4892" width="14.28515625" style="42" customWidth="1"/>
    <col min="4893" max="5127" width="11.42578125" style="42"/>
    <col min="5128" max="5128" width="49.5703125" style="42" customWidth="1"/>
    <col min="5129" max="5129" width="18.5703125" style="42" bestFit="1" customWidth="1"/>
    <col min="5130" max="5133" width="17.28515625" style="42" bestFit="1" customWidth="1"/>
    <col min="5134" max="5134" width="1" style="42" customWidth="1"/>
    <col min="5135" max="5135" width="17.28515625" style="42" bestFit="1" customWidth="1"/>
    <col min="5136" max="5136" width="0.85546875" style="42" customWidth="1"/>
    <col min="5137" max="5137" width="18.28515625" style="42" customWidth="1"/>
    <col min="5138" max="5141" width="17.28515625" style="42" bestFit="1" customWidth="1"/>
    <col min="5142" max="5142" width="10.85546875" style="42" customWidth="1"/>
    <col min="5143" max="5144" width="14.28515625" style="42" customWidth="1"/>
    <col min="5145" max="5145" width="10.85546875" style="42" customWidth="1"/>
    <col min="5146" max="5146" width="45.42578125" style="42" customWidth="1"/>
    <col min="5147" max="5148" width="14.28515625" style="42" customWidth="1"/>
    <col min="5149" max="5383" width="11.42578125" style="42"/>
    <col min="5384" max="5384" width="49.5703125" style="42" customWidth="1"/>
    <col min="5385" max="5385" width="18.5703125" style="42" bestFit="1" customWidth="1"/>
    <col min="5386" max="5389" width="17.28515625" style="42" bestFit="1" customWidth="1"/>
    <col min="5390" max="5390" width="1" style="42" customWidth="1"/>
    <col min="5391" max="5391" width="17.28515625" style="42" bestFit="1" customWidth="1"/>
    <col min="5392" max="5392" width="0.85546875" style="42" customWidth="1"/>
    <col min="5393" max="5393" width="18.28515625" style="42" customWidth="1"/>
    <col min="5394" max="5397" width="17.28515625" style="42" bestFit="1" customWidth="1"/>
    <col min="5398" max="5398" width="10.85546875" style="42" customWidth="1"/>
    <col min="5399" max="5400" width="14.28515625" style="42" customWidth="1"/>
    <col min="5401" max="5401" width="10.85546875" style="42" customWidth="1"/>
    <col min="5402" max="5402" width="45.42578125" style="42" customWidth="1"/>
    <col min="5403" max="5404" width="14.28515625" style="42" customWidth="1"/>
    <col min="5405" max="5639" width="11.42578125" style="42"/>
    <col min="5640" max="5640" width="49.5703125" style="42" customWidth="1"/>
    <col min="5641" max="5641" width="18.5703125" style="42" bestFit="1" customWidth="1"/>
    <col min="5642" max="5645" width="17.28515625" style="42" bestFit="1" customWidth="1"/>
    <col min="5646" max="5646" width="1" style="42" customWidth="1"/>
    <col min="5647" max="5647" width="17.28515625" style="42" bestFit="1" customWidth="1"/>
    <col min="5648" max="5648" width="0.85546875" style="42" customWidth="1"/>
    <col min="5649" max="5649" width="18.28515625" style="42" customWidth="1"/>
    <col min="5650" max="5653" width="17.28515625" style="42" bestFit="1" customWidth="1"/>
    <col min="5654" max="5654" width="10.85546875" style="42" customWidth="1"/>
    <col min="5655" max="5656" width="14.28515625" style="42" customWidth="1"/>
    <col min="5657" max="5657" width="10.85546875" style="42" customWidth="1"/>
    <col min="5658" max="5658" width="45.42578125" style="42" customWidth="1"/>
    <col min="5659" max="5660" width="14.28515625" style="42" customWidth="1"/>
    <col min="5661" max="5895" width="11.42578125" style="42"/>
    <col min="5896" max="5896" width="49.5703125" style="42" customWidth="1"/>
    <col min="5897" max="5897" width="18.5703125" style="42" bestFit="1" customWidth="1"/>
    <col min="5898" max="5901" width="17.28515625" style="42" bestFit="1" customWidth="1"/>
    <col min="5902" max="5902" width="1" style="42" customWidth="1"/>
    <col min="5903" max="5903" width="17.28515625" style="42" bestFit="1" customWidth="1"/>
    <col min="5904" max="5904" width="0.85546875" style="42" customWidth="1"/>
    <col min="5905" max="5905" width="18.28515625" style="42" customWidth="1"/>
    <col min="5906" max="5909" width="17.28515625" style="42" bestFit="1" customWidth="1"/>
    <col min="5910" max="5910" width="10.85546875" style="42" customWidth="1"/>
    <col min="5911" max="5912" width="14.28515625" style="42" customWidth="1"/>
    <col min="5913" max="5913" width="10.85546875" style="42" customWidth="1"/>
    <col min="5914" max="5914" width="45.42578125" style="42" customWidth="1"/>
    <col min="5915" max="5916" width="14.28515625" style="42" customWidth="1"/>
    <col min="5917" max="6151" width="11.42578125" style="42"/>
    <col min="6152" max="6152" width="49.5703125" style="42" customWidth="1"/>
    <col min="6153" max="6153" width="18.5703125" style="42" bestFit="1" customWidth="1"/>
    <col min="6154" max="6157" width="17.28515625" style="42" bestFit="1" customWidth="1"/>
    <col min="6158" max="6158" width="1" style="42" customWidth="1"/>
    <col min="6159" max="6159" width="17.28515625" style="42" bestFit="1" customWidth="1"/>
    <col min="6160" max="6160" width="0.85546875" style="42" customWidth="1"/>
    <col min="6161" max="6161" width="18.28515625" style="42" customWidth="1"/>
    <col min="6162" max="6165" width="17.28515625" style="42" bestFit="1" customWidth="1"/>
    <col min="6166" max="6166" width="10.85546875" style="42" customWidth="1"/>
    <col min="6167" max="6168" width="14.28515625" style="42" customWidth="1"/>
    <col min="6169" max="6169" width="10.85546875" style="42" customWidth="1"/>
    <col min="6170" max="6170" width="45.42578125" style="42" customWidth="1"/>
    <col min="6171" max="6172" width="14.28515625" style="42" customWidth="1"/>
    <col min="6173" max="6407" width="11.42578125" style="42"/>
    <col min="6408" max="6408" width="49.5703125" style="42" customWidth="1"/>
    <col min="6409" max="6409" width="18.5703125" style="42" bestFit="1" customWidth="1"/>
    <col min="6410" max="6413" width="17.28515625" style="42" bestFit="1" customWidth="1"/>
    <col min="6414" max="6414" width="1" style="42" customWidth="1"/>
    <col min="6415" max="6415" width="17.28515625" style="42" bestFit="1" customWidth="1"/>
    <col min="6416" max="6416" width="0.85546875" style="42" customWidth="1"/>
    <col min="6417" max="6417" width="18.28515625" style="42" customWidth="1"/>
    <col min="6418" max="6421" width="17.28515625" style="42" bestFit="1" customWidth="1"/>
    <col min="6422" max="6422" width="10.85546875" style="42" customWidth="1"/>
    <col min="6423" max="6424" width="14.28515625" style="42" customWidth="1"/>
    <col min="6425" max="6425" width="10.85546875" style="42" customWidth="1"/>
    <col min="6426" max="6426" width="45.42578125" style="42" customWidth="1"/>
    <col min="6427" max="6428" width="14.28515625" style="42" customWidth="1"/>
    <col min="6429" max="6663" width="11.42578125" style="42"/>
    <col min="6664" max="6664" width="49.5703125" style="42" customWidth="1"/>
    <col min="6665" max="6665" width="18.5703125" style="42" bestFit="1" customWidth="1"/>
    <col min="6666" max="6669" width="17.28515625" style="42" bestFit="1" customWidth="1"/>
    <col min="6670" max="6670" width="1" style="42" customWidth="1"/>
    <col min="6671" max="6671" width="17.28515625" style="42" bestFit="1" customWidth="1"/>
    <col min="6672" max="6672" width="0.85546875" style="42" customWidth="1"/>
    <col min="6673" max="6673" width="18.28515625" style="42" customWidth="1"/>
    <col min="6674" max="6677" width="17.28515625" style="42" bestFit="1" customWidth="1"/>
    <col min="6678" max="6678" width="10.85546875" style="42" customWidth="1"/>
    <col min="6679" max="6680" width="14.28515625" style="42" customWidth="1"/>
    <col min="6681" max="6681" width="10.85546875" style="42" customWidth="1"/>
    <col min="6682" max="6682" width="45.42578125" style="42" customWidth="1"/>
    <col min="6683" max="6684" width="14.28515625" style="42" customWidth="1"/>
    <col min="6685" max="6919" width="11.42578125" style="42"/>
    <col min="6920" max="6920" width="49.5703125" style="42" customWidth="1"/>
    <col min="6921" max="6921" width="18.5703125" style="42" bestFit="1" customWidth="1"/>
    <col min="6922" max="6925" width="17.28515625" style="42" bestFit="1" customWidth="1"/>
    <col min="6926" max="6926" width="1" style="42" customWidth="1"/>
    <col min="6927" max="6927" width="17.28515625" style="42" bestFit="1" customWidth="1"/>
    <col min="6928" max="6928" width="0.85546875" style="42" customWidth="1"/>
    <col min="6929" max="6929" width="18.28515625" style="42" customWidth="1"/>
    <col min="6930" max="6933" width="17.28515625" style="42" bestFit="1" customWidth="1"/>
    <col min="6934" max="6934" width="10.85546875" style="42" customWidth="1"/>
    <col min="6935" max="6936" width="14.28515625" style="42" customWidth="1"/>
    <col min="6937" max="6937" width="10.85546875" style="42" customWidth="1"/>
    <col min="6938" max="6938" width="45.42578125" style="42" customWidth="1"/>
    <col min="6939" max="6940" width="14.28515625" style="42" customWidth="1"/>
    <col min="6941" max="7175" width="11.42578125" style="42"/>
    <col min="7176" max="7176" width="49.5703125" style="42" customWidth="1"/>
    <col min="7177" max="7177" width="18.5703125" style="42" bestFit="1" customWidth="1"/>
    <col min="7178" max="7181" width="17.28515625" style="42" bestFit="1" customWidth="1"/>
    <col min="7182" max="7182" width="1" style="42" customWidth="1"/>
    <col min="7183" max="7183" width="17.28515625" style="42" bestFit="1" customWidth="1"/>
    <col min="7184" max="7184" width="0.85546875" style="42" customWidth="1"/>
    <col min="7185" max="7185" width="18.28515625" style="42" customWidth="1"/>
    <col min="7186" max="7189" width="17.28515625" style="42" bestFit="1" customWidth="1"/>
    <col min="7190" max="7190" width="10.85546875" style="42" customWidth="1"/>
    <col min="7191" max="7192" width="14.28515625" style="42" customWidth="1"/>
    <col min="7193" max="7193" width="10.85546875" style="42" customWidth="1"/>
    <col min="7194" max="7194" width="45.42578125" style="42" customWidth="1"/>
    <col min="7195" max="7196" width="14.28515625" style="42" customWidth="1"/>
    <col min="7197" max="7431" width="11.42578125" style="42"/>
    <col min="7432" max="7432" width="49.5703125" style="42" customWidth="1"/>
    <col min="7433" max="7433" width="18.5703125" style="42" bestFit="1" customWidth="1"/>
    <col min="7434" max="7437" width="17.28515625" style="42" bestFit="1" customWidth="1"/>
    <col min="7438" max="7438" width="1" style="42" customWidth="1"/>
    <col min="7439" max="7439" width="17.28515625" style="42" bestFit="1" customWidth="1"/>
    <col min="7440" max="7440" width="0.85546875" style="42" customWidth="1"/>
    <col min="7441" max="7441" width="18.28515625" style="42" customWidth="1"/>
    <col min="7442" max="7445" width="17.28515625" style="42" bestFit="1" customWidth="1"/>
    <col min="7446" max="7446" width="10.85546875" style="42" customWidth="1"/>
    <col min="7447" max="7448" width="14.28515625" style="42" customWidth="1"/>
    <col min="7449" max="7449" width="10.85546875" style="42" customWidth="1"/>
    <col min="7450" max="7450" width="45.42578125" style="42" customWidth="1"/>
    <col min="7451" max="7452" width="14.28515625" style="42" customWidth="1"/>
    <col min="7453" max="7687" width="11.42578125" style="42"/>
    <col min="7688" max="7688" width="49.5703125" style="42" customWidth="1"/>
    <col min="7689" max="7689" width="18.5703125" style="42" bestFit="1" customWidth="1"/>
    <col min="7690" max="7693" width="17.28515625" style="42" bestFit="1" customWidth="1"/>
    <col min="7694" max="7694" width="1" style="42" customWidth="1"/>
    <col min="7695" max="7695" width="17.28515625" style="42" bestFit="1" customWidth="1"/>
    <col min="7696" max="7696" width="0.85546875" style="42" customWidth="1"/>
    <col min="7697" max="7697" width="18.28515625" style="42" customWidth="1"/>
    <col min="7698" max="7701" width="17.28515625" style="42" bestFit="1" customWidth="1"/>
    <col min="7702" max="7702" width="10.85546875" style="42" customWidth="1"/>
    <col min="7703" max="7704" width="14.28515625" style="42" customWidth="1"/>
    <col min="7705" max="7705" width="10.85546875" style="42" customWidth="1"/>
    <col min="7706" max="7706" width="45.42578125" style="42" customWidth="1"/>
    <col min="7707" max="7708" width="14.28515625" style="42" customWidth="1"/>
    <col min="7709" max="7943" width="11.42578125" style="42"/>
    <col min="7944" max="7944" width="49.5703125" style="42" customWidth="1"/>
    <col min="7945" max="7945" width="18.5703125" style="42" bestFit="1" customWidth="1"/>
    <col min="7946" max="7949" width="17.28515625" style="42" bestFit="1" customWidth="1"/>
    <col min="7950" max="7950" width="1" style="42" customWidth="1"/>
    <col min="7951" max="7951" width="17.28515625" style="42" bestFit="1" customWidth="1"/>
    <col min="7952" max="7952" width="0.85546875" style="42" customWidth="1"/>
    <col min="7953" max="7953" width="18.28515625" style="42" customWidth="1"/>
    <col min="7954" max="7957" width="17.28515625" style="42" bestFit="1" customWidth="1"/>
    <col min="7958" max="7958" width="10.85546875" style="42" customWidth="1"/>
    <col min="7959" max="7960" width="14.28515625" style="42" customWidth="1"/>
    <col min="7961" max="7961" width="10.85546875" style="42" customWidth="1"/>
    <col min="7962" max="7962" width="45.42578125" style="42" customWidth="1"/>
    <col min="7963" max="7964" width="14.28515625" style="42" customWidth="1"/>
    <col min="7965" max="8199" width="11.42578125" style="42"/>
    <col min="8200" max="8200" width="49.5703125" style="42" customWidth="1"/>
    <col min="8201" max="8201" width="18.5703125" style="42" bestFit="1" customWidth="1"/>
    <col min="8202" max="8205" width="17.28515625" style="42" bestFit="1" customWidth="1"/>
    <col min="8206" max="8206" width="1" style="42" customWidth="1"/>
    <col min="8207" max="8207" width="17.28515625" style="42" bestFit="1" customWidth="1"/>
    <col min="8208" max="8208" width="0.85546875" style="42" customWidth="1"/>
    <col min="8209" max="8209" width="18.28515625" style="42" customWidth="1"/>
    <col min="8210" max="8213" width="17.28515625" style="42" bestFit="1" customWidth="1"/>
    <col min="8214" max="8214" width="10.85546875" style="42" customWidth="1"/>
    <col min="8215" max="8216" width="14.28515625" style="42" customWidth="1"/>
    <col min="8217" max="8217" width="10.85546875" style="42" customWidth="1"/>
    <col min="8218" max="8218" width="45.42578125" style="42" customWidth="1"/>
    <col min="8219" max="8220" width="14.28515625" style="42" customWidth="1"/>
    <col min="8221" max="8455" width="11.42578125" style="42"/>
    <col min="8456" max="8456" width="49.5703125" style="42" customWidth="1"/>
    <col min="8457" max="8457" width="18.5703125" style="42" bestFit="1" customWidth="1"/>
    <col min="8458" max="8461" width="17.28515625" style="42" bestFit="1" customWidth="1"/>
    <col min="8462" max="8462" width="1" style="42" customWidth="1"/>
    <col min="8463" max="8463" width="17.28515625" style="42" bestFit="1" customWidth="1"/>
    <col min="8464" max="8464" width="0.85546875" style="42" customWidth="1"/>
    <col min="8465" max="8465" width="18.28515625" style="42" customWidth="1"/>
    <col min="8466" max="8469" width="17.28515625" style="42" bestFit="1" customWidth="1"/>
    <col min="8470" max="8470" width="10.85546875" style="42" customWidth="1"/>
    <col min="8471" max="8472" width="14.28515625" style="42" customWidth="1"/>
    <col min="8473" max="8473" width="10.85546875" style="42" customWidth="1"/>
    <col min="8474" max="8474" width="45.42578125" style="42" customWidth="1"/>
    <col min="8475" max="8476" width="14.28515625" style="42" customWidth="1"/>
    <col min="8477" max="8711" width="11.42578125" style="42"/>
    <col min="8712" max="8712" width="49.5703125" style="42" customWidth="1"/>
    <col min="8713" max="8713" width="18.5703125" style="42" bestFit="1" customWidth="1"/>
    <col min="8714" max="8717" width="17.28515625" style="42" bestFit="1" customWidth="1"/>
    <col min="8718" max="8718" width="1" style="42" customWidth="1"/>
    <col min="8719" max="8719" width="17.28515625" style="42" bestFit="1" customWidth="1"/>
    <col min="8720" max="8720" width="0.85546875" style="42" customWidth="1"/>
    <col min="8721" max="8721" width="18.28515625" style="42" customWidth="1"/>
    <col min="8722" max="8725" width="17.28515625" style="42" bestFit="1" customWidth="1"/>
    <col min="8726" max="8726" width="10.85546875" style="42" customWidth="1"/>
    <col min="8727" max="8728" width="14.28515625" style="42" customWidth="1"/>
    <col min="8729" max="8729" width="10.85546875" style="42" customWidth="1"/>
    <col min="8730" max="8730" width="45.42578125" style="42" customWidth="1"/>
    <col min="8731" max="8732" width="14.28515625" style="42" customWidth="1"/>
    <col min="8733" max="8967" width="11.42578125" style="42"/>
    <col min="8968" max="8968" width="49.5703125" style="42" customWidth="1"/>
    <col min="8969" max="8969" width="18.5703125" style="42" bestFit="1" customWidth="1"/>
    <col min="8970" max="8973" width="17.28515625" style="42" bestFit="1" customWidth="1"/>
    <col min="8974" max="8974" width="1" style="42" customWidth="1"/>
    <col min="8975" max="8975" width="17.28515625" style="42" bestFit="1" customWidth="1"/>
    <col min="8976" max="8976" width="0.85546875" style="42" customWidth="1"/>
    <col min="8977" max="8977" width="18.28515625" style="42" customWidth="1"/>
    <col min="8978" max="8981" width="17.28515625" style="42" bestFit="1" customWidth="1"/>
    <col min="8982" max="8982" width="10.85546875" style="42" customWidth="1"/>
    <col min="8983" max="8984" width="14.28515625" style="42" customWidth="1"/>
    <col min="8985" max="8985" width="10.85546875" style="42" customWidth="1"/>
    <col min="8986" max="8986" width="45.42578125" style="42" customWidth="1"/>
    <col min="8987" max="8988" width="14.28515625" style="42" customWidth="1"/>
    <col min="8989" max="9223" width="11.42578125" style="42"/>
    <col min="9224" max="9224" width="49.5703125" style="42" customWidth="1"/>
    <col min="9225" max="9225" width="18.5703125" style="42" bestFit="1" customWidth="1"/>
    <col min="9226" max="9229" width="17.28515625" style="42" bestFit="1" customWidth="1"/>
    <col min="9230" max="9230" width="1" style="42" customWidth="1"/>
    <col min="9231" max="9231" width="17.28515625" style="42" bestFit="1" customWidth="1"/>
    <col min="9232" max="9232" width="0.85546875" style="42" customWidth="1"/>
    <col min="9233" max="9233" width="18.28515625" style="42" customWidth="1"/>
    <col min="9234" max="9237" width="17.28515625" style="42" bestFit="1" customWidth="1"/>
    <col min="9238" max="9238" width="10.85546875" style="42" customWidth="1"/>
    <col min="9239" max="9240" width="14.28515625" style="42" customWidth="1"/>
    <col min="9241" max="9241" width="10.85546875" style="42" customWidth="1"/>
    <col min="9242" max="9242" width="45.42578125" style="42" customWidth="1"/>
    <col min="9243" max="9244" width="14.28515625" style="42" customWidth="1"/>
    <col min="9245" max="9479" width="11.42578125" style="42"/>
    <col min="9480" max="9480" width="49.5703125" style="42" customWidth="1"/>
    <col min="9481" max="9481" width="18.5703125" style="42" bestFit="1" customWidth="1"/>
    <col min="9482" max="9485" width="17.28515625" style="42" bestFit="1" customWidth="1"/>
    <col min="9486" max="9486" width="1" style="42" customWidth="1"/>
    <col min="9487" max="9487" width="17.28515625" style="42" bestFit="1" customWidth="1"/>
    <col min="9488" max="9488" width="0.85546875" style="42" customWidth="1"/>
    <col min="9489" max="9489" width="18.28515625" style="42" customWidth="1"/>
    <col min="9490" max="9493" width="17.28515625" style="42" bestFit="1" customWidth="1"/>
    <col min="9494" max="9494" width="10.85546875" style="42" customWidth="1"/>
    <col min="9495" max="9496" width="14.28515625" style="42" customWidth="1"/>
    <col min="9497" max="9497" width="10.85546875" style="42" customWidth="1"/>
    <col min="9498" max="9498" width="45.42578125" style="42" customWidth="1"/>
    <col min="9499" max="9500" width="14.28515625" style="42" customWidth="1"/>
    <col min="9501" max="9735" width="11.42578125" style="42"/>
    <col min="9736" max="9736" width="49.5703125" style="42" customWidth="1"/>
    <col min="9737" max="9737" width="18.5703125" style="42" bestFit="1" customWidth="1"/>
    <col min="9738" max="9741" width="17.28515625" style="42" bestFit="1" customWidth="1"/>
    <col min="9742" max="9742" width="1" style="42" customWidth="1"/>
    <col min="9743" max="9743" width="17.28515625" style="42" bestFit="1" customWidth="1"/>
    <col min="9744" max="9744" width="0.85546875" style="42" customWidth="1"/>
    <col min="9745" max="9745" width="18.28515625" style="42" customWidth="1"/>
    <col min="9746" max="9749" width="17.28515625" style="42" bestFit="1" customWidth="1"/>
    <col min="9750" max="9750" width="10.85546875" style="42" customWidth="1"/>
    <col min="9751" max="9752" width="14.28515625" style="42" customWidth="1"/>
    <col min="9753" max="9753" width="10.85546875" style="42" customWidth="1"/>
    <col min="9754" max="9754" width="45.42578125" style="42" customWidth="1"/>
    <col min="9755" max="9756" width="14.28515625" style="42" customWidth="1"/>
    <col min="9757" max="9991" width="11.42578125" style="42"/>
    <col min="9992" max="9992" width="49.5703125" style="42" customWidth="1"/>
    <col min="9993" max="9993" width="18.5703125" style="42" bestFit="1" customWidth="1"/>
    <col min="9994" max="9997" width="17.28515625" style="42" bestFit="1" customWidth="1"/>
    <col min="9998" max="9998" width="1" style="42" customWidth="1"/>
    <col min="9999" max="9999" width="17.28515625" style="42" bestFit="1" customWidth="1"/>
    <col min="10000" max="10000" width="0.85546875" style="42" customWidth="1"/>
    <col min="10001" max="10001" width="18.28515625" style="42" customWidth="1"/>
    <col min="10002" max="10005" width="17.28515625" style="42" bestFit="1" customWidth="1"/>
    <col min="10006" max="10006" width="10.85546875" style="42" customWidth="1"/>
    <col min="10007" max="10008" width="14.28515625" style="42" customWidth="1"/>
    <col min="10009" max="10009" width="10.85546875" style="42" customWidth="1"/>
    <col min="10010" max="10010" width="45.42578125" style="42" customWidth="1"/>
    <col min="10011" max="10012" width="14.28515625" style="42" customWidth="1"/>
    <col min="10013" max="10247" width="11.42578125" style="42"/>
    <col min="10248" max="10248" width="49.5703125" style="42" customWidth="1"/>
    <col min="10249" max="10249" width="18.5703125" style="42" bestFit="1" customWidth="1"/>
    <col min="10250" max="10253" width="17.28515625" style="42" bestFit="1" customWidth="1"/>
    <col min="10254" max="10254" width="1" style="42" customWidth="1"/>
    <col min="10255" max="10255" width="17.28515625" style="42" bestFit="1" customWidth="1"/>
    <col min="10256" max="10256" width="0.85546875" style="42" customWidth="1"/>
    <col min="10257" max="10257" width="18.28515625" style="42" customWidth="1"/>
    <col min="10258" max="10261" width="17.28515625" style="42" bestFit="1" customWidth="1"/>
    <col min="10262" max="10262" width="10.85546875" style="42" customWidth="1"/>
    <col min="10263" max="10264" width="14.28515625" style="42" customWidth="1"/>
    <col min="10265" max="10265" width="10.85546875" style="42" customWidth="1"/>
    <col min="10266" max="10266" width="45.42578125" style="42" customWidth="1"/>
    <col min="10267" max="10268" width="14.28515625" style="42" customWidth="1"/>
    <col min="10269" max="10503" width="11.42578125" style="42"/>
    <col min="10504" max="10504" width="49.5703125" style="42" customWidth="1"/>
    <col min="10505" max="10505" width="18.5703125" style="42" bestFit="1" customWidth="1"/>
    <col min="10506" max="10509" width="17.28515625" style="42" bestFit="1" customWidth="1"/>
    <col min="10510" max="10510" width="1" style="42" customWidth="1"/>
    <col min="10511" max="10511" width="17.28515625" style="42" bestFit="1" customWidth="1"/>
    <col min="10512" max="10512" width="0.85546875" style="42" customWidth="1"/>
    <col min="10513" max="10513" width="18.28515625" style="42" customWidth="1"/>
    <col min="10514" max="10517" width="17.28515625" style="42" bestFit="1" customWidth="1"/>
    <col min="10518" max="10518" width="10.85546875" style="42" customWidth="1"/>
    <col min="10519" max="10520" width="14.28515625" style="42" customWidth="1"/>
    <col min="10521" max="10521" width="10.85546875" style="42" customWidth="1"/>
    <col min="10522" max="10522" width="45.42578125" style="42" customWidth="1"/>
    <col min="10523" max="10524" width="14.28515625" style="42" customWidth="1"/>
    <col min="10525" max="10759" width="11.42578125" style="42"/>
    <col min="10760" max="10760" width="49.5703125" style="42" customWidth="1"/>
    <col min="10761" max="10761" width="18.5703125" style="42" bestFit="1" customWidth="1"/>
    <col min="10762" max="10765" width="17.28515625" style="42" bestFit="1" customWidth="1"/>
    <col min="10766" max="10766" width="1" style="42" customWidth="1"/>
    <col min="10767" max="10767" width="17.28515625" style="42" bestFit="1" customWidth="1"/>
    <col min="10768" max="10768" width="0.85546875" style="42" customWidth="1"/>
    <col min="10769" max="10769" width="18.28515625" style="42" customWidth="1"/>
    <col min="10770" max="10773" width="17.28515625" style="42" bestFit="1" customWidth="1"/>
    <col min="10774" max="10774" width="10.85546875" style="42" customWidth="1"/>
    <col min="10775" max="10776" width="14.28515625" style="42" customWidth="1"/>
    <col min="10777" max="10777" width="10.85546875" style="42" customWidth="1"/>
    <col min="10778" max="10778" width="45.42578125" style="42" customWidth="1"/>
    <col min="10779" max="10780" width="14.28515625" style="42" customWidth="1"/>
    <col min="10781" max="11015" width="11.42578125" style="42"/>
    <col min="11016" max="11016" width="49.5703125" style="42" customWidth="1"/>
    <col min="11017" max="11017" width="18.5703125" style="42" bestFit="1" customWidth="1"/>
    <col min="11018" max="11021" width="17.28515625" style="42" bestFit="1" customWidth="1"/>
    <col min="11022" max="11022" width="1" style="42" customWidth="1"/>
    <col min="11023" max="11023" width="17.28515625" style="42" bestFit="1" customWidth="1"/>
    <col min="11024" max="11024" width="0.85546875" style="42" customWidth="1"/>
    <col min="11025" max="11025" width="18.28515625" style="42" customWidth="1"/>
    <col min="11026" max="11029" width="17.28515625" style="42" bestFit="1" customWidth="1"/>
    <col min="11030" max="11030" width="10.85546875" style="42" customWidth="1"/>
    <col min="11031" max="11032" width="14.28515625" style="42" customWidth="1"/>
    <col min="11033" max="11033" width="10.85546875" style="42" customWidth="1"/>
    <col min="11034" max="11034" width="45.42578125" style="42" customWidth="1"/>
    <col min="11035" max="11036" width="14.28515625" style="42" customWidth="1"/>
    <col min="11037" max="11271" width="11.42578125" style="42"/>
    <col min="11272" max="11272" width="49.5703125" style="42" customWidth="1"/>
    <col min="11273" max="11273" width="18.5703125" style="42" bestFit="1" customWidth="1"/>
    <col min="11274" max="11277" width="17.28515625" style="42" bestFit="1" customWidth="1"/>
    <col min="11278" max="11278" width="1" style="42" customWidth="1"/>
    <col min="11279" max="11279" width="17.28515625" style="42" bestFit="1" customWidth="1"/>
    <col min="11280" max="11280" width="0.85546875" style="42" customWidth="1"/>
    <col min="11281" max="11281" width="18.28515625" style="42" customWidth="1"/>
    <col min="11282" max="11285" width="17.28515625" style="42" bestFit="1" customWidth="1"/>
    <col min="11286" max="11286" width="10.85546875" style="42" customWidth="1"/>
    <col min="11287" max="11288" width="14.28515625" style="42" customWidth="1"/>
    <col min="11289" max="11289" width="10.85546875" style="42" customWidth="1"/>
    <col min="11290" max="11290" width="45.42578125" style="42" customWidth="1"/>
    <col min="11291" max="11292" width="14.28515625" style="42" customWidth="1"/>
    <col min="11293" max="11527" width="11.42578125" style="42"/>
    <col min="11528" max="11528" width="49.5703125" style="42" customWidth="1"/>
    <col min="11529" max="11529" width="18.5703125" style="42" bestFit="1" customWidth="1"/>
    <col min="11530" max="11533" width="17.28515625" style="42" bestFit="1" customWidth="1"/>
    <col min="11534" max="11534" width="1" style="42" customWidth="1"/>
    <col min="11535" max="11535" width="17.28515625" style="42" bestFit="1" customWidth="1"/>
    <col min="11536" max="11536" width="0.85546875" style="42" customWidth="1"/>
    <col min="11537" max="11537" width="18.28515625" style="42" customWidth="1"/>
    <col min="11538" max="11541" width="17.28515625" style="42" bestFit="1" customWidth="1"/>
    <col min="11542" max="11542" width="10.85546875" style="42" customWidth="1"/>
    <col min="11543" max="11544" width="14.28515625" style="42" customWidth="1"/>
    <col min="11545" max="11545" width="10.85546875" style="42" customWidth="1"/>
    <col min="11546" max="11546" width="45.42578125" style="42" customWidth="1"/>
    <col min="11547" max="11548" width="14.28515625" style="42" customWidth="1"/>
    <col min="11549" max="11783" width="11.42578125" style="42"/>
    <col min="11784" max="11784" width="49.5703125" style="42" customWidth="1"/>
    <col min="11785" max="11785" width="18.5703125" style="42" bestFit="1" customWidth="1"/>
    <col min="11786" max="11789" width="17.28515625" style="42" bestFit="1" customWidth="1"/>
    <col min="11790" max="11790" width="1" style="42" customWidth="1"/>
    <col min="11791" max="11791" width="17.28515625" style="42" bestFit="1" customWidth="1"/>
    <col min="11792" max="11792" width="0.85546875" style="42" customWidth="1"/>
    <col min="11793" max="11793" width="18.28515625" style="42" customWidth="1"/>
    <col min="11794" max="11797" width="17.28515625" style="42" bestFit="1" customWidth="1"/>
    <col min="11798" max="11798" width="10.85546875" style="42" customWidth="1"/>
    <col min="11799" max="11800" width="14.28515625" style="42" customWidth="1"/>
    <col min="11801" max="11801" width="10.85546875" style="42" customWidth="1"/>
    <col min="11802" max="11802" width="45.42578125" style="42" customWidth="1"/>
    <col min="11803" max="11804" width="14.28515625" style="42" customWidth="1"/>
    <col min="11805" max="12039" width="11.42578125" style="42"/>
    <col min="12040" max="12040" width="49.5703125" style="42" customWidth="1"/>
    <col min="12041" max="12041" width="18.5703125" style="42" bestFit="1" customWidth="1"/>
    <col min="12042" max="12045" width="17.28515625" style="42" bestFit="1" customWidth="1"/>
    <col min="12046" max="12046" width="1" style="42" customWidth="1"/>
    <col min="12047" max="12047" width="17.28515625" style="42" bestFit="1" customWidth="1"/>
    <col min="12048" max="12048" width="0.85546875" style="42" customWidth="1"/>
    <col min="12049" max="12049" width="18.28515625" style="42" customWidth="1"/>
    <col min="12050" max="12053" width="17.28515625" style="42" bestFit="1" customWidth="1"/>
    <col min="12054" max="12054" width="10.85546875" style="42" customWidth="1"/>
    <col min="12055" max="12056" width="14.28515625" style="42" customWidth="1"/>
    <col min="12057" max="12057" width="10.85546875" style="42" customWidth="1"/>
    <col min="12058" max="12058" width="45.42578125" style="42" customWidth="1"/>
    <col min="12059" max="12060" width="14.28515625" style="42" customWidth="1"/>
    <col min="12061" max="12295" width="11.42578125" style="42"/>
    <col min="12296" max="12296" width="49.5703125" style="42" customWidth="1"/>
    <col min="12297" max="12297" width="18.5703125" style="42" bestFit="1" customWidth="1"/>
    <col min="12298" max="12301" width="17.28515625" style="42" bestFit="1" customWidth="1"/>
    <col min="12302" max="12302" width="1" style="42" customWidth="1"/>
    <col min="12303" max="12303" width="17.28515625" style="42" bestFit="1" customWidth="1"/>
    <col min="12304" max="12304" width="0.85546875" style="42" customWidth="1"/>
    <col min="12305" max="12305" width="18.28515625" style="42" customWidth="1"/>
    <col min="12306" max="12309" width="17.28515625" style="42" bestFit="1" customWidth="1"/>
    <col min="12310" max="12310" width="10.85546875" style="42" customWidth="1"/>
    <col min="12311" max="12312" width="14.28515625" style="42" customWidth="1"/>
    <col min="12313" max="12313" width="10.85546875" style="42" customWidth="1"/>
    <col min="12314" max="12314" width="45.42578125" style="42" customWidth="1"/>
    <col min="12315" max="12316" width="14.28515625" style="42" customWidth="1"/>
    <col min="12317" max="12551" width="11.42578125" style="42"/>
    <col min="12552" max="12552" width="49.5703125" style="42" customWidth="1"/>
    <col min="12553" max="12553" width="18.5703125" style="42" bestFit="1" customWidth="1"/>
    <col min="12554" max="12557" width="17.28515625" style="42" bestFit="1" customWidth="1"/>
    <col min="12558" max="12558" width="1" style="42" customWidth="1"/>
    <col min="12559" max="12559" width="17.28515625" style="42" bestFit="1" customWidth="1"/>
    <col min="12560" max="12560" width="0.85546875" style="42" customWidth="1"/>
    <col min="12561" max="12561" width="18.28515625" style="42" customWidth="1"/>
    <col min="12562" max="12565" width="17.28515625" style="42" bestFit="1" customWidth="1"/>
    <col min="12566" max="12566" width="10.85546875" style="42" customWidth="1"/>
    <col min="12567" max="12568" width="14.28515625" style="42" customWidth="1"/>
    <col min="12569" max="12569" width="10.85546875" style="42" customWidth="1"/>
    <col min="12570" max="12570" width="45.42578125" style="42" customWidth="1"/>
    <col min="12571" max="12572" width="14.28515625" style="42" customWidth="1"/>
    <col min="12573" max="12807" width="11.42578125" style="42"/>
    <col min="12808" max="12808" width="49.5703125" style="42" customWidth="1"/>
    <col min="12809" max="12809" width="18.5703125" style="42" bestFit="1" customWidth="1"/>
    <col min="12810" max="12813" width="17.28515625" style="42" bestFit="1" customWidth="1"/>
    <col min="12814" max="12814" width="1" style="42" customWidth="1"/>
    <col min="12815" max="12815" width="17.28515625" style="42" bestFit="1" customWidth="1"/>
    <col min="12816" max="12816" width="0.85546875" style="42" customWidth="1"/>
    <col min="12817" max="12817" width="18.28515625" style="42" customWidth="1"/>
    <col min="12818" max="12821" width="17.28515625" style="42" bestFit="1" customWidth="1"/>
    <col min="12822" max="12822" width="10.85546875" style="42" customWidth="1"/>
    <col min="12823" max="12824" width="14.28515625" style="42" customWidth="1"/>
    <col min="12825" max="12825" width="10.85546875" style="42" customWidth="1"/>
    <col min="12826" max="12826" width="45.42578125" style="42" customWidth="1"/>
    <col min="12827" max="12828" width="14.28515625" style="42" customWidth="1"/>
    <col min="12829" max="13063" width="11.42578125" style="42"/>
    <col min="13064" max="13064" width="49.5703125" style="42" customWidth="1"/>
    <col min="13065" max="13065" width="18.5703125" style="42" bestFit="1" customWidth="1"/>
    <col min="13066" max="13069" width="17.28515625" style="42" bestFit="1" customWidth="1"/>
    <col min="13070" max="13070" width="1" style="42" customWidth="1"/>
    <col min="13071" max="13071" width="17.28515625" style="42" bestFit="1" customWidth="1"/>
    <col min="13072" max="13072" width="0.85546875" style="42" customWidth="1"/>
    <col min="13073" max="13073" width="18.28515625" style="42" customWidth="1"/>
    <col min="13074" max="13077" width="17.28515625" style="42" bestFit="1" customWidth="1"/>
    <col min="13078" max="13078" width="10.85546875" style="42" customWidth="1"/>
    <col min="13079" max="13080" width="14.28515625" style="42" customWidth="1"/>
    <col min="13081" max="13081" width="10.85546875" style="42" customWidth="1"/>
    <col min="13082" max="13082" width="45.42578125" style="42" customWidth="1"/>
    <col min="13083" max="13084" width="14.28515625" style="42" customWidth="1"/>
    <col min="13085" max="13319" width="11.42578125" style="42"/>
    <col min="13320" max="13320" width="49.5703125" style="42" customWidth="1"/>
    <col min="13321" max="13321" width="18.5703125" style="42" bestFit="1" customWidth="1"/>
    <col min="13322" max="13325" width="17.28515625" style="42" bestFit="1" customWidth="1"/>
    <col min="13326" max="13326" width="1" style="42" customWidth="1"/>
    <col min="13327" max="13327" width="17.28515625" style="42" bestFit="1" customWidth="1"/>
    <col min="13328" max="13328" width="0.85546875" style="42" customWidth="1"/>
    <col min="13329" max="13329" width="18.28515625" style="42" customWidth="1"/>
    <col min="13330" max="13333" width="17.28515625" style="42" bestFit="1" customWidth="1"/>
    <col min="13334" max="13334" width="10.85546875" style="42" customWidth="1"/>
    <col min="13335" max="13336" width="14.28515625" style="42" customWidth="1"/>
    <col min="13337" max="13337" width="10.85546875" style="42" customWidth="1"/>
    <col min="13338" max="13338" width="45.42578125" style="42" customWidth="1"/>
    <col min="13339" max="13340" width="14.28515625" style="42" customWidth="1"/>
    <col min="13341" max="13575" width="11.42578125" style="42"/>
    <col min="13576" max="13576" width="49.5703125" style="42" customWidth="1"/>
    <col min="13577" max="13577" width="18.5703125" style="42" bestFit="1" customWidth="1"/>
    <col min="13578" max="13581" width="17.28515625" style="42" bestFit="1" customWidth="1"/>
    <col min="13582" max="13582" width="1" style="42" customWidth="1"/>
    <col min="13583" max="13583" width="17.28515625" style="42" bestFit="1" customWidth="1"/>
    <col min="13584" max="13584" width="0.85546875" style="42" customWidth="1"/>
    <col min="13585" max="13585" width="18.28515625" style="42" customWidth="1"/>
    <col min="13586" max="13589" width="17.28515625" style="42" bestFit="1" customWidth="1"/>
    <col min="13590" max="13590" width="10.85546875" style="42" customWidth="1"/>
    <col min="13591" max="13592" width="14.28515625" style="42" customWidth="1"/>
    <col min="13593" max="13593" width="10.85546875" style="42" customWidth="1"/>
    <col min="13594" max="13594" width="45.42578125" style="42" customWidth="1"/>
    <col min="13595" max="13596" width="14.28515625" style="42" customWidth="1"/>
    <col min="13597" max="13831" width="11.42578125" style="42"/>
    <col min="13832" max="13832" width="49.5703125" style="42" customWidth="1"/>
    <col min="13833" max="13833" width="18.5703125" style="42" bestFit="1" customWidth="1"/>
    <col min="13834" max="13837" width="17.28515625" style="42" bestFit="1" customWidth="1"/>
    <col min="13838" max="13838" width="1" style="42" customWidth="1"/>
    <col min="13839" max="13839" width="17.28515625" style="42" bestFit="1" customWidth="1"/>
    <col min="13840" max="13840" width="0.85546875" style="42" customWidth="1"/>
    <col min="13841" max="13841" width="18.28515625" style="42" customWidth="1"/>
    <col min="13842" max="13845" width="17.28515625" style="42" bestFit="1" customWidth="1"/>
    <col min="13846" max="13846" width="10.85546875" style="42" customWidth="1"/>
    <col min="13847" max="13848" width="14.28515625" style="42" customWidth="1"/>
    <col min="13849" max="13849" width="10.85546875" style="42" customWidth="1"/>
    <col min="13850" max="13850" width="45.42578125" style="42" customWidth="1"/>
    <col min="13851" max="13852" width="14.28515625" style="42" customWidth="1"/>
    <col min="13853" max="14087" width="11.42578125" style="42"/>
    <col min="14088" max="14088" width="49.5703125" style="42" customWidth="1"/>
    <col min="14089" max="14089" width="18.5703125" style="42" bestFit="1" customWidth="1"/>
    <col min="14090" max="14093" width="17.28515625" style="42" bestFit="1" customWidth="1"/>
    <col min="14094" max="14094" width="1" style="42" customWidth="1"/>
    <col min="14095" max="14095" width="17.28515625" style="42" bestFit="1" customWidth="1"/>
    <col min="14096" max="14096" width="0.85546875" style="42" customWidth="1"/>
    <col min="14097" max="14097" width="18.28515625" style="42" customWidth="1"/>
    <col min="14098" max="14101" width="17.28515625" style="42" bestFit="1" customWidth="1"/>
    <col min="14102" max="14102" width="10.85546875" style="42" customWidth="1"/>
    <col min="14103" max="14104" width="14.28515625" style="42" customWidth="1"/>
    <col min="14105" max="14105" width="10.85546875" style="42" customWidth="1"/>
    <col min="14106" max="14106" width="45.42578125" style="42" customWidth="1"/>
    <col min="14107" max="14108" width="14.28515625" style="42" customWidth="1"/>
    <col min="14109" max="14343" width="11.42578125" style="42"/>
    <col min="14344" max="14344" width="49.5703125" style="42" customWidth="1"/>
    <col min="14345" max="14345" width="18.5703125" style="42" bestFit="1" customWidth="1"/>
    <col min="14346" max="14349" width="17.28515625" style="42" bestFit="1" customWidth="1"/>
    <col min="14350" max="14350" width="1" style="42" customWidth="1"/>
    <col min="14351" max="14351" width="17.28515625" style="42" bestFit="1" customWidth="1"/>
    <col min="14352" max="14352" width="0.85546875" style="42" customWidth="1"/>
    <col min="14353" max="14353" width="18.28515625" style="42" customWidth="1"/>
    <col min="14354" max="14357" width="17.28515625" style="42" bestFit="1" customWidth="1"/>
    <col min="14358" max="14358" width="10.85546875" style="42" customWidth="1"/>
    <col min="14359" max="14360" width="14.28515625" style="42" customWidth="1"/>
    <col min="14361" max="14361" width="10.85546875" style="42" customWidth="1"/>
    <col min="14362" max="14362" width="45.42578125" style="42" customWidth="1"/>
    <col min="14363" max="14364" width="14.28515625" style="42" customWidth="1"/>
    <col min="14365" max="14599" width="11.42578125" style="42"/>
    <col min="14600" max="14600" width="49.5703125" style="42" customWidth="1"/>
    <col min="14601" max="14601" width="18.5703125" style="42" bestFit="1" customWidth="1"/>
    <col min="14602" max="14605" width="17.28515625" style="42" bestFit="1" customWidth="1"/>
    <col min="14606" max="14606" width="1" style="42" customWidth="1"/>
    <col min="14607" max="14607" width="17.28515625" style="42" bestFit="1" customWidth="1"/>
    <col min="14608" max="14608" width="0.85546875" style="42" customWidth="1"/>
    <col min="14609" max="14609" width="18.28515625" style="42" customWidth="1"/>
    <col min="14610" max="14613" width="17.28515625" style="42" bestFit="1" customWidth="1"/>
    <col min="14614" max="14614" width="10.85546875" style="42" customWidth="1"/>
    <col min="14615" max="14616" width="14.28515625" style="42" customWidth="1"/>
    <col min="14617" max="14617" width="10.85546875" style="42" customWidth="1"/>
    <col min="14618" max="14618" width="45.42578125" style="42" customWidth="1"/>
    <col min="14619" max="14620" width="14.28515625" style="42" customWidth="1"/>
    <col min="14621" max="14855" width="11.42578125" style="42"/>
    <col min="14856" max="14856" width="49.5703125" style="42" customWidth="1"/>
    <col min="14857" max="14857" width="18.5703125" style="42" bestFit="1" customWidth="1"/>
    <col min="14858" max="14861" width="17.28515625" style="42" bestFit="1" customWidth="1"/>
    <col min="14862" max="14862" width="1" style="42" customWidth="1"/>
    <col min="14863" max="14863" width="17.28515625" style="42" bestFit="1" customWidth="1"/>
    <col min="14864" max="14864" width="0.85546875" style="42" customWidth="1"/>
    <col min="14865" max="14865" width="18.28515625" style="42" customWidth="1"/>
    <col min="14866" max="14869" width="17.28515625" style="42" bestFit="1" customWidth="1"/>
    <col min="14870" max="14870" width="10.85546875" style="42" customWidth="1"/>
    <col min="14871" max="14872" width="14.28515625" style="42" customWidth="1"/>
    <col min="14873" max="14873" width="10.85546875" style="42" customWidth="1"/>
    <col min="14874" max="14874" width="45.42578125" style="42" customWidth="1"/>
    <col min="14875" max="14876" width="14.28515625" style="42" customWidth="1"/>
    <col min="14877" max="15111" width="11.42578125" style="42"/>
    <col min="15112" max="15112" width="49.5703125" style="42" customWidth="1"/>
    <col min="15113" max="15113" width="18.5703125" style="42" bestFit="1" customWidth="1"/>
    <col min="15114" max="15117" width="17.28515625" style="42" bestFit="1" customWidth="1"/>
    <col min="15118" max="15118" width="1" style="42" customWidth="1"/>
    <col min="15119" max="15119" width="17.28515625" style="42" bestFit="1" customWidth="1"/>
    <col min="15120" max="15120" width="0.85546875" style="42" customWidth="1"/>
    <col min="15121" max="15121" width="18.28515625" style="42" customWidth="1"/>
    <col min="15122" max="15125" width="17.28515625" style="42" bestFit="1" customWidth="1"/>
    <col min="15126" max="15126" width="10.85546875" style="42" customWidth="1"/>
    <col min="15127" max="15128" width="14.28515625" style="42" customWidth="1"/>
    <col min="15129" max="15129" width="10.85546875" style="42" customWidth="1"/>
    <col min="15130" max="15130" width="45.42578125" style="42" customWidth="1"/>
    <col min="15131" max="15132" width="14.28515625" style="42" customWidth="1"/>
    <col min="15133" max="15367" width="11.42578125" style="42"/>
    <col min="15368" max="15368" width="49.5703125" style="42" customWidth="1"/>
    <col min="15369" max="15369" width="18.5703125" style="42" bestFit="1" customWidth="1"/>
    <col min="15370" max="15373" width="17.28515625" style="42" bestFit="1" customWidth="1"/>
    <col min="15374" max="15374" width="1" style="42" customWidth="1"/>
    <col min="15375" max="15375" width="17.28515625" style="42" bestFit="1" customWidth="1"/>
    <col min="15376" max="15376" width="0.85546875" style="42" customWidth="1"/>
    <col min="15377" max="15377" width="18.28515625" style="42" customWidth="1"/>
    <col min="15378" max="15381" width="17.28515625" style="42" bestFit="1" customWidth="1"/>
    <col min="15382" max="15382" width="10.85546875" style="42" customWidth="1"/>
    <col min="15383" max="15384" width="14.28515625" style="42" customWidth="1"/>
    <col min="15385" max="15385" width="10.85546875" style="42" customWidth="1"/>
    <col min="15386" max="15386" width="45.42578125" style="42" customWidth="1"/>
    <col min="15387" max="15388" width="14.28515625" style="42" customWidth="1"/>
    <col min="15389" max="15623" width="11.42578125" style="42"/>
    <col min="15624" max="15624" width="49.5703125" style="42" customWidth="1"/>
    <col min="15625" max="15625" width="18.5703125" style="42" bestFit="1" customWidth="1"/>
    <col min="15626" max="15629" width="17.28515625" style="42" bestFit="1" customWidth="1"/>
    <col min="15630" max="15630" width="1" style="42" customWidth="1"/>
    <col min="15631" max="15631" width="17.28515625" style="42" bestFit="1" customWidth="1"/>
    <col min="15632" max="15632" width="0.85546875" style="42" customWidth="1"/>
    <col min="15633" max="15633" width="18.28515625" style="42" customWidth="1"/>
    <col min="15634" max="15637" width="17.28515625" style="42" bestFit="1" customWidth="1"/>
    <col min="15638" max="15638" width="10.85546875" style="42" customWidth="1"/>
    <col min="15639" max="15640" width="14.28515625" style="42" customWidth="1"/>
    <col min="15641" max="15641" width="10.85546875" style="42" customWidth="1"/>
    <col min="15642" max="15642" width="45.42578125" style="42" customWidth="1"/>
    <col min="15643" max="15644" width="14.28515625" style="42" customWidth="1"/>
    <col min="15645" max="15879" width="11.42578125" style="42"/>
    <col min="15880" max="15880" width="49.5703125" style="42" customWidth="1"/>
    <col min="15881" max="15881" width="18.5703125" style="42" bestFit="1" customWidth="1"/>
    <col min="15882" max="15885" width="17.28515625" style="42" bestFit="1" customWidth="1"/>
    <col min="15886" max="15886" width="1" style="42" customWidth="1"/>
    <col min="15887" max="15887" width="17.28515625" style="42" bestFit="1" customWidth="1"/>
    <col min="15888" max="15888" width="0.85546875" style="42" customWidth="1"/>
    <col min="15889" max="15889" width="18.28515625" style="42" customWidth="1"/>
    <col min="15890" max="15893" width="17.28515625" style="42" bestFit="1" customWidth="1"/>
    <col min="15894" max="15894" width="10.85546875" style="42" customWidth="1"/>
    <col min="15895" max="15896" width="14.28515625" style="42" customWidth="1"/>
    <col min="15897" max="15897" width="10.85546875" style="42" customWidth="1"/>
    <col min="15898" max="15898" width="45.42578125" style="42" customWidth="1"/>
    <col min="15899" max="15900" width="14.28515625" style="42" customWidth="1"/>
    <col min="15901" max="16135" width="11.42578125" style="42"/>
    <col min="16136" max="16136" width="49.5703125" style="42" customWidth="1"/>
    <col min="16137" max="16137" width="18.5703125" style="42" bestFit="1" customWidth="1"/>
    <col min="16138" max="16141" width="17.28515625" style="42" bestFit="1" customWidth="1"/>
    <col min="16142" max="16142" width="1" style="42" customWidth="1"/>
    <col min="16143" max="16143" width="17.28515625" style="42" bestFit="1" customWidth="1"/>
    <col min="16144" max="16144" width="0.85546875" style="42" customWidth="1"/>
    <col min="16145" max="16145" width="18.28515625" style="42" customWidth="1"/>
    <col min="16146" max="16149" width="17.28515625" style="42" bestFit="1" customWidth="1"/>
    <col min="16150" max="16150" width="10.85546875" style="42" customWidth="1"/>
    <col min="16151" max="16152" width="14.28515625" style="42" customWidth="1"/>
    <col min="16153" max="16153" width="10.85546875" style="42" customWidth="1"/>
    <col min="16154" max="16154" width="45.42578125" style="42" customWidth="1"/>
    <col min="16155" max="16156" width="14.28515625" style="42" customWidth="1"/>
    <col min="16157" max="16384" width="11.42578125" style="42"/>
  </cols>
  <sheetData>
    <row r="1" spans="1:24" x14ac:dyDescent="0.25">
      <c r="A1" s="650"/>
      <c r="B1" s="1100"/>
      <c r="C1" s="1100"/>
      <c r="D1" s="1101"/>
      <c r="E1" s="1100"/>
      <c r="F1" s="1101"/>
      <c r="G1" s="1100"/>
      <c r="H1" s="1101"/>
      <c r="I1" s="1100"/>
      <c r="J1" s="1101"/>
      <c r="K1" s="1100"/>
      <c r="L1" s="1101"/>
      <c r="M1" s="1081"/>
      <c r="N1" s="1101"/>
      <c r="O1" s="1081"/>
      <c r="P1" s="1101"/>
      <c r="Q1" s="1081"/>
      <c r="R1" s="1081"/>
      <c r="S1" s="1081"/>
      <c r="T1" s="1081"/>
      <c r="U1" s="1081"/>
      <c r="V1" s="1081"/>
      <c r="W1" s="1081"/>
      <c r="X1" s="1081"/>
    </row>
    <row r="2" spans="1:24" s="44" customFormat="1" ht="38.25" x14ac:dyDescent="0.25">
      <c r="A2" s="1135" t="s">
        <v>946</v>
      </c>
      <c r="B2" s="753" t="s">
        <v>1000</v>
      </c>
      <c r="C2" s="753" t="s">
        <v>1001</v>
      </c>
      <c r="D2" s="754" t="s">
        <v>1002</v>
      </c>
      <c r="E2" s="753" t="s">
        <v>1003</v>
      </c>
      <c r="F2" s="754" t="s">
        <v>1004</v>
      </c>
      <c r="G2" s="753" t="s">
        <v>1005</v>
      </c>
      <c r="H2" s="754" t="s">
        <v>1006</v>
      </c>
      <c r="I2" s="753" t="s">
        <v>1007</v>
      </c>
      <c r="J2" s="754" t="s">
        <v>1008</v>
      </c>
      <c r="K2" s="753" t="s">
        <v>1009</v>
      </c>
      <c r="L2" s="754" t="s">
        <v>1010</v>
      </c>
      <c r="M2" s="1181" t="s">
        <v>1011</v>
      </c>
      <c r="N2" s="754" t="s">
        <v>1012</v>
      </c>
      <c r="O2" s="1181" t="s">
        <v>1013</v>
      </c>
      <c r="P2" s="754" t="s">
        <v>1014</v>
      </c>
      <c r="Q2" s="1181" t="s">
        <v>1015</v>
      </c>
      <c r="R2" s="1181" t="s">
        <v>1016</v>
      </c>
      <c r="S2" s="1181" t="s">
        <v>1017</v>
      </c>
      <c r="T2" s="1181" t="s">
        <v>1018</v>
      </c>
      <c r="U2" s="1181" t="s">
        <v>1019</v>
      </c>
      <c r="V2" s="754" t="s">
        <v>3216</v>
      </c>
      <c r="W2" s="754" t="s">
        <v>3217</v>
      </c>
      <c r="X2" s="1181" t="s">
        <v>1020</v>
      </c>
    </row>
    <row r="3" spans="1:24" s="54" customFormat="1" hidden="1" x14ac:dyDescent="0.25">
      <c r="A3" s="1136" t="s">
        <v>949</v>
      </c>
      <c r="B3" s="884">
        <f>+B4+B91+B150</f>
        <v>266278120480.07001</v>
      </c>
      <c r="C3" s="884" t="e">
        <f>+C4+C91+C150</f>
        <v>#REF!</v>
      </c>
      <c r="D3" s="1106" t="e">
        <f>+(C3-B3)/B3</f>
        <v>#REF!</v>
      </c>
      <c r="E3" s="884" t="e">
        <f>+E4+E91+E150</f>
        <v>#REF!</v>
      </c>
      <c r="F3" s="1106" t="e">
        <f>+(E3-C3)/C3</f>
        <v>#REF!</v>
      </c>
      <c r="G3" s="884" t="e">
        <f>+G4+G91+G150</f>
        <v>#REF!</v>
      </c>
      <c r="H3" s="1106" t="e">
        <f>+(G3-E3)/E3</f>
        <v>#REF!</v>
      </c>
      <c r="I3" s="884" t="e">
        <f>+I4+I91+I150</f>
        <v>#REF!</v>
      </c>
      <c r="J3" s="1106" t="e">
        <f>+(I3-G3)/G3</f>
        <v>#REF!</v>
      </c>
      <c r="K3" s="884" t="e">
        <f>+K4+K91+K150</f>
        <v>#REF!</v>
      </c>
      <c r="L3" s="1106" t="e">
        <f>+(K3-I3)/I3</f>
        <v>#REF!</v>
      </c>
      <c r="M3" s="1083" t="e">
        <f>+M4+M91+M150</f>
        <v>#REF!</v>
      </c>
      <c r="N3" s="1106" t="e">
        <f>+(M3-K3)/K3</f>
        <v>#REF!</v>
      </c>
      <c r="O3" s="1083">
        <f>+O4+O91+O150</f>
        <v>357257866080.45001</v>
      </c>
      <c r="P3" s="1106" t="e">
        <f>+(O3-M3)/M3</f>
        <v>#REF!</v>
      </c>
      <c r="Q3" s="1083">
        <f>+Q4+Q91+Q150</f>
        <v>141134587502.12</v>
      </c>
      <c r="R3" s="1083">
        <f t="shared" ref="R3:T3" si="0">+R4+R91+R150</f>
        <v>357027401703.12</v>
      </c>
      <c r="S3" s="1083">
        <f t="shared" si="0"/>
        <v>185597661538.51001</v>
      </c>
      <c r="T3" s="1083">
        <f t="shared" si="0"/>
        <v>193304091689.89001</v>
      </c>
      <c r="U3" s="1083"/>
      <c r="V3" s="1106">
        <f>+(U3-T3)/T3</f>
        <v>-1</v>
      </c>
      <c r="W3" s="1106"/>
      <c r="X3" s="1083" t="e">
        <f>+X4+X91+X150</f>
        <v>#REF!</v>
      </c>
    </row>
    <row r="4" spans="1:24" s="54" customFormat="1" hidden="1" x14ac:dyDescent="0.25">
      <c r="A4" s="1137" t="s">
        <v>950</v>
      </c>
      <c r="B4" s="885">
        <f>+B5</f>
        <v>86350066972</v>
      </c>
      <c r="C4" s="885" t="e">
        <f>+C5+#REF!</f>
        <v>#REF!</v>
      </c>
      <c r="D4" s="1107" t="e">
        <f t="shared" ref="D4:D69" si="1">+(C4-B4)/B4</f>
        <v>#REF!</v>
      </c>
      <c r="E4" s="885" t="e">
        <f>+E5+#REF!</f>
        <v>#REF!</v>
      </c>
      <c r="F4" s="1107" t="e">
        <f t="shared" ref="F4:F69" si="2">+(E4-C4)/C4</f>
        <v>#REF!</v>
      </c>
      <c r="G4" s="885" t="e">
        <f>+G5+#REF!</f>
        <v>#REF!</v>
      </c>
      <c r="H4" s="1107" t="e">
        <f t="shared" ref="H4:H69" si="3">+(G4-E4)/E4</f>
        <v>#REF!</v>
      </c>
      <c r="I4" s="885" t="e">
        <f>+I5+#REF!</f>
        <v>#REF!</v>
      </c>
      <c r="J4" s="1107" t="e">
        <f>+(I4-G4)/G4</f>
        <v>#REF!</v>
      </c>
      <c r="K4" s="885" t="e">
        <f>+K5+#REF!+K89</f>
        <v>#REF!</v>
      </c>
      <c r="L4" s="1107" t="e">
        <f t="shared" ref="L4:L69" si="4">+(K4-I4)/I4</f>
        <v>#REF!</v>
      </c>
      <c r="M4" s="1084" t="e">
        <f>+M5+#REF!+M89</f>
        <v>#REF!</v>
      </c>
      <c r="N4" s="1107" t="e">
        <f t="shared" ref="N4:N67" si="5">+(M4-K4)/K4</f>
        <v>#REF!</v>
      </c>
      <c r="O4" s="1084">
        <f>+O5+O89</f>
        <v>108274815000.69</v>
      </c>
      <c r="P4" s="1107" t="e">
        <f t="shared" ref="P4:P10" si="6">+(O4-M4)/M4</f>
        <v>#REF!</v>
      </c>
      <c r="Q4" s="1084">
        <f>+Q7+Q9+Q17+Q23+Q26+Q30+Q32+Q35+Q39+Q45+Q48+Q49+Q51+Q53+Q69+Q74+Q77</f>
        <v>141134587502.12</v>
      </c>
      <c r="R4" s="1084">
        <f>+R7+R9+R17+R23+R26+R30+R32+R35+R39+R45+R48+R49+R51+R53+R69+R74+R77</f>
        <v>160998574284.12</v>
      </c>
      <c r="S4" s="1084">
        <f>+S7+S9+S17+S23+S26+S30+S32+S35+S39+S45+S48+S49+S51+S53+S69+S74+S77</f>
        <v>89141799075.349991</v>
      </c>
      <c r="T4" s="1084">
        <f>+T5+T89</f>
        <v>53804393807.779999</v>
      </c>
      <c r="U4" s="1084"/>
      <c r="V4" s="1107">
        <f t="shared" ref="V4:V7" si="7">+(U4-T4)/T4</f>
        <v>-1</v>
      </c>
      <c r="W4" s="1107"/>
      <c r="X4" s="1084" t="e">
        <f>+X5+#REF!+X89</f>
        <v>#REF!</v>
      </c>
    </row>
    <row r="5" spans="1:24" s="54" customFormat="1" hidden="1" x14ac:dyDescent="0.25">
      <c r="A5" s="1138" t="s">
        <v>951</v>
      </c>
      <c r="B5" s="886">
        <f>+B6+B16</f>
        <v>86350066972</v>
      </c>
      <c r="C5" s="886">
        <f t="shared" ref="C5:I5" si="8">+C6+C16</f>
        <v>86675913374.399994</v>
      </c>
      <c r="D5" s="1108">
        <f t="shared" si="1"/>
        <v>3.7735512412011602E-3</v>
      </c>
      <c r="E5" s="886">
        <f t="shared" si="8"/>
        <v>96019427659.580002</v>
      </c>
      <c r="F5" s="1108">
        <f t="shared" si="2"/>
        <v>0.10779827891539294</v>
      </c>
      <c r="G5" s="886">
        <f t="shared" si="8"/>
        <v>97897983249.669998</v>
      </c>
      <c r="H5" s="1108">
        <f t="shared" si="3"/>
        <v>1.9564328135240349E-2</v>
      </c>
      <c r="I5" s="886">
        <f t="shared" si="8"/>
        <v>100421479501</v>
      </c>
      <c r="J5" s="1108">
        <f t="shared" ref="J5:J69" si="9">+(I5-G5)/G5</f>
        <v>2.5776795063227293E-2</v>
      </c>
      <c r="K5" s="886">
        <f>+K6+K16</f>
        <v>86738491060.869995</v>
      </c>
      <c r="L5" s="1108">
        <f t="shared" si="4"/>
        <v>-0.13625559499941195</v>
      </c>
      <c r="M5" s="1085">
        <f>+M6+M16</f>
        <v>108556427382.16</v>
      </c>
      <c r="N5" s="1108">
        <f t="shared" si="5"/>
        <v>0.25153695959477729</v>
      </c>
      <c r="O5" s="1085">
        <f>+O6+O16</f>
        <v>108274815000.69</v>
      </c>
      <c r="P5" s="1108">
        <f t="shared" si="6"/>
        <v>-2.5941566820232419E-3</v>
      </c>
      <c r="Q5" s="1085">
        <f>+Q6+Q16</f>
        <v>118061118294</v>
      </c>
      <c r="R5" s="1085">
        <f t="shared" ref="R5:S5" si="10">+R6+R16</f>
        <v>131585911001</v>
      </c>
      <c r="S5" s="1085">
        <f t="shared" si="10"/>
        <v>76633056177.910004</v>
      </c>
      <c r="T5" s="1085">
        <f>+T6+T16</f>
        <v>53804393807.779999</v>
      </c>
      <c r="U5" s="1085"/>
      <c r="V5" s="1108">
        <f t="shared" si="7"/>
        <v>-1</v>
      </c>
      <c r="W5" s="1108"/>
      <c r="X5" s="1085">
        <f>+X6+X16</f>
        <v>38823814535.539032</v>
      </c>
    </row>
    <row r="6" spans="1:24" s="54" customFormat="1" hidden="1" x14ac:dyDescent="0.25">
      <c r="A6" s="1139" t="s">
        <v>1021</v>
      </c>
      <c r="B6" s="887">
        <f>+B7+B9</f>
        <v>19411067015</v>
      </c>
      <c r="C6" s="887">
        <f>+C7+C9</f>
        <v>21250473507</v>
      </c>
      <c r="D6" s="1109">
        <f t="shared" si="1"/>
        <v>9.4760709989749115E-2</v>
      </c>
      <c r="E6" s="887">
        <f>+E7+E9</f>
        <v>24831928061.5</v>
      </c>
      <c r="F6" s="1109">
        <f t="shared" si="2"/>
        <v>0.16853528244065963</v>
      </c>
      <c r="G6" s="887">
        <f>+G7+G9</f>
        <v>26406651569.419998</v>
      </c>
      <c r="H6" s="1109">
        <f t="shared" si="3"/>
        <v>6.3415273434264105E-2</v>
      </c>
      <c r="I6" s="887">
        <f>+I7+I9</f>
        <v>29966697788</v>
      </c>
      <c r="J6" s="1109">
        <f t="shared" si="9"/>
        <v>0.13481626813687667</v>
      </c>
      <c r="K6" s="887">
        <f>+K7+K9</f>
        <v>30431617273.269997</v>
      </c>
      <c r="L6" s="1109">
        <f t="shared" si="4"/>
        <v>1.5514538457292785E-2</v>
      </c>
      <c r="M6" s="1086">
        <f>+M7+M9</f>
        <v>39856497594.900002</v>
      </c>
      <c r="N6" s="1109">
        <f t="shared" si="5"/>
        <v>0.30970684985278352</v>
      </c>
      <c r="O6" s="1086">
        <f>+O7+O9</f>
        <v>45270385429.559998</v>
      </c>
      <c r="P6" s="1109">
        <f t="shared" si="6"/>
        <v>0.13583451033973321</v>
      </c>
      <c r="Q6" s="1086">
        <f>+Q7+Q9</f>
        <v>43558559206</v>
      </c>
      <c r="R6" s="1086">
        <f t="shared" ref="R6:S6" si="11">+R7+R9</f>
        <v>53858559206</v>
      </c>
      <c r="S6" s="1086">
        <f t="shared" si="11"/>
        <v>34796193165.009995</v>
      </c>
      <c r="T6" s="1086">
        <f>+T7+T9</f>
        <v>20274800618.18</v>
      </c>
      <c r="U6" s="1086"/>
      <c r="V6" s="1109">
        <f t="shared" si="7"/>
        <v>-1</v>
      </c>
      <c r="W6" s="1109"/>
      <c r="X6" s="1086">
        <f>+X7+X9</f>
        <v>38823814535.539032</v>
      </c>
    </row>
    <row r="7" spans="1:24" s="54" customFormat="1" hidden="1" x14ac:dyDescent="0.25">
      <c r="A7" s="751" t="s">
        <v>1022</v>
      </c>
      <c r="B7" s="888">
        <f>SUM(B8:B8)</f>
        <v>8853239996</v>
      </c>
      <c r="C7" s="888">
        <f t="shared" ref="C7:K7" si="12">SUM(C8:C8)</f>
        <v>9951188398</v>
      </c>
      <c r="D7" s="1110">
        <f t="shared" si="1"/>
        <v>0.12401656370956467</v>
      </c>
      <c r="E7" s="888">
        <f t="shared" si="12"/>
        <v>11766990269.299999</v>
      </c>
      <c r="F7" s="1110">
        <f t="shared" si="2"/>
        <v>0.182470856612959</v>
      </c>
      <c r="G7" s="888">
        <f t="shared" si="12"/>
        <v>12835717964.42</v>
      </c>
      <c r="H7" s="1110">
        <f t="shared" si="3"/>
        <v>9.0824218484169605E-2</v>
      </c>
      <c r="I7" s="888">
        <f t="shared" si="12"/>
        <v>14906182505</v>
      </c>
      <c r="J7" s="1110">
        <f t="shared" si="9"/>
        <v>0.16130492632505866</v>
      </c>
      <c r="K7" s="888">
        <f t="shared" si="12"/>
        <v>15384016828.440001</v>
      </c>
      <c r="L7" s="1110">
        <f t="shared" si="4"/>
        <v>3.2056116532835952E-2</v>
      </c>
      <c r="M7" s="1087">
        <f>SUM(M8:M8)</f>
        <v>19215877903.310001</v>
      </c>
      <c r="N7" s="1110">
        <f t="shared" si="5"/>
        <v>0.24908066063644357</v>
      </c>
      <c r="O7" s="1087">
        <f>SUM(O8:O8)</f>
        <v>22061486676.990002</v>
      </c>
      <c r="P7" s="1110">
        <f t="shared" si="6"/>
        <v>0.14808632673450919</v>
      </c>
      <c r="Q7" s="1118">
        <f>SUM(Q8:Q8)</f>
        <v>21958559206</v>
      </c>
      <c r="R7" s="1118">
        <f t="shared" ref="R7:S7" si="13">SUM(R8:R8)</f>
        <v>27958559206</v>
      </c>
      <c r="S7" s="1118">
        <f t="shared" si="13"/>
        <v>23421086954.529999</v>
      </c>
      <c r="T7" s="1087">
        <f>SUM(T8:T8)</f>
        <v>7309281887.7399998</v>
      </c>
      <c r="U7" s="1087"/>
      <c r="V7" s="1110">
        <f t="shared" si="7"/>
        <v>-1</v>
      </c>
      <c r="W7" s="1110"/>
      <c r="X7" s="1087">
        <f>SUM(X8:X8)</f>
        <v>38823814535.539032</v>
      </c>
    </row>
    <row r="8" spans="1:24" x14ac:dyDescent="0.25">
      <c r="A8" s="1141" t="s">
        <v>1023</v>
      </c>
      <c r="B8" s="898">
        <v>8853239996</v>
      </c>
      <c r="C8" s="898">
        <v>9951188398</v>
      </c>
      <c r="D8" s="1111">
        <f t="shared" si="1"/>
        <v>0.12401656370956467</v>
      </c>
      <c r="E8" s="898">
        <v>11766990269.299999</v>
      </c>
      <c r="F8" s="1111">
        <f t="shared" si="2"/>
        <v>0.182470856612959</v>
      </c>
      <c r="G8" s="898">
        <v>12835717964.42</v>
      </c>
      <c r="H8" s="1111">
        <f t="shared" si="3"/>
        <v>9.0824218484169605E-2</v>
      </c>
      <c r="I8" s="898">
        <v>14906182505</v>
      </c>
      <c r="J8" s="1111">
        <f t="shared" si="9"/>
        <v>0.16130492632505866</v>
      </c>
      <c r="K8" s="898">
        <v>15384016828.440001</v>
      </c>
      <c r="L8" s="1111">
        <f t="shared" si="4"/>
        <v>3.2056116532835952E-2</v>
      </c>
      <c r="M8" s="1088">
        <v>19215877903.310001</v>
      </c>
      <c r="N8" s="1111">
        <f t="shared" si="5"/>
        <v>0.24908066063644357</v>
      </c>
      <c r="O8" s="1088">
        <f>+'Ingresos 2022'!AE6</f>
        <v>22061486676.990002</v>
      </c>
      <c r="P8" s="1111">
        <f t="shared" si="6"/>
        <v>0.14808632673450919</v>
      </c>
      <c r="Q8" s="1088">
        <f>+'Ingresos 2023'!I6</f>
        <v>21958559206</v>
      </c>
      <c r="R8" s="1088">
        <f>+'Ingresos 2023'!J6</f>
        <v>27958559206</v>
      </c>
      <c r="S8" s="1088">
        <f>+'Ingresos 2023'!K6</f>
        <v>23421086954.529999</v>
      </c>
      <c r="T8" s="1088">
        <f>+'Recaudo Julio Dic 2022'!E2</f>
        <v>7309281887.7399998</v>
      </c>
      <c r="U8" s="1088">
        <f>+S8+T8</f>
        <v>30730368842.269997</v>
      </c>
      <c r="V8" s="1111">
        <f>+(U8-O8)/O8</f>
        <v>0.39294188520493439</v>
      </c>
      <c r="W8" s="1111">
        <f>+(V8+P8+N8)/3</f>
        <v>0.26336962419196236</v>
      </c>
      <c r="X8" s="1088">
        <f>+U8*W8+U8</f>
        <v>38823814535.539032</v>
      </c>
    </row>
    <row r="9" spans="1:24" s="54" customFormat="1" hidden="1" x14ac:dyDescent="0.25">
      <c r="A9" s="751" t="s">
        <v>1024</v>
      </c>
      <c r="B9" s="887">
        <f t="shared" ref="B9:K9" si="14">+B10+B11</f>
        <v>10557827019</v>
      </c>
      <c r="C9" s="887">
        <f t="shared" si="14"/>
        <v>11299285109</v>
      </c>
      <c r="D9" s="1109">
        <f t="shared" si="1"/>
        <v>7.0228285485797654E-2</v>
      </c>
      <c r="E9" s="887">
        <f t="shared" si="14"/>
        <v>13064937792.199999</v>
      </c>
      <c r="F9" s="1109">
        <f t="shared" si="2"/>
        <v>0.15626233572897791</v>
      </c>
      <c r="G9" s="887">
        <f t="shared" si="14"/>
        <v>13570933605</v>
      </c>
      <c r="H9" s="1109">
        <f t="shared" si="3"/>
        <v>3.8729293690329673E-2</v>
      </c>
      <c r="I9" s="887">
        <f t="shared" si="14"/>
        <v>15060515283</v>
      </c>
      <c r="J9" s="1109">
        <f>+(I9-G9)/G9</f>
        <v>0.10976265313472514</v>
      </c>
      <c r="K9" s="887">
        <f t="shared" si="14"/>
        <v>15047600444.829998</v>
      </c>
      <c r="L9" s="1109">
        <f t="shared" si="4"/>
        <v>-8.575296347648867E-4</v>
      </c>
      <c r="M9" s="1086">
        <f>+M10+M11</f>
        <v>20640619691.59</v>
      </c>
      <c r="N9" s="1109">
        <f t="shared" si="5"/>
        <v>0.37168844742163737</v>
      </c>
      <c r="O9" s="1086">
        <f>+O10+O11</f>
        <v>23208898752.57</v>
      </c>
      <c r="P9" s="1109">
        <f t="shared" si="6"/>
        <v>0.12442838923224976</v>
      </c>
      <c r="Q9" s="1098">
        <f>+Q10+Q11</f>
        <v>21600000000</v>
      </c>
      <c r="R9" s="1098">
        <f t="shared" ref="R9:S9" si="15">+R10+R11</f>
        <v>25900000000</v>
      </c>
      <c r="S9" s="1098">
        <f t="shared" si="15"/>
        <v>11375106210.48</v>
      </c>
      <c r="T9" s="1088">
        <f>+T10+T11</f>
        <v>12965518730.440001</v>
      </c>
      <c r="U9" s="1088">
        <f t="shared" ref="U9:U72" si="16">+S9+T9</f>
        <v>24340624940.919998</v>
      </c>
      <c r="V9" s="1111">
        <f t="shared" ref="V9:V71" si="17">+(U9-O9)/O9</f>
        <v>4.8762597502592778E-2</v>
      </c>
      <c r="W9" s="1111">
        <f t="shared" ref="W9:W72" si="18">+(V9+P9+N9)/3</f>
        <v>0.18162647805215995</v>
      </c>
      <c r="X9" s="1086">
        <f>+X10+X11</f>
        <v>0</v>
      </c>
    </row>
    <row r="10" spans="1:24" x14ac:dyDescent="0.25">
      <c r="A10" s="1141" t="s">
        <v>1025</v>
      </c>
      <c r="B10" s="1113">
        <v>8542748119.4099998</v>
      </c>
      <c r="C10" s="1113">
        <v>8361470980.4200001</v>
      </c>
      <c r="D10" s="1114">
        <f t="shared" si="1"/>
        <v>-2.1220002797240331E-2</v>
      </c>
      <c r="E10" s="1113">
        <v>9668053966.2199993</v>
      </c>
      <c r="F10" s="1114">
        <f t="shared" si="2"/>
        <v>0.15626233576120946</v>
      </c>
      <c r="G10" s="1113">
        <v>8929674312</v>
      </c>
      <c r="H10" s="1114">
        <f t="shared" si="3"/>
        <v>-7.6373141564981345E-2</v>
      </c>
      <c r="I10" s="1113">
        <v>9909819056</v>
      </c>
      <c r="J10" s="1114">
        <f t="shared" si="9"/>
        <v>0.10976265312194512</v>
      </c>
      <c r="K10" s="1113">
        <v>9901321094.3799992</v>
      </c>
      <c r="L10" s="1114">
        <f t="shared" si="4"/>
        <v>-8.5752944347209476E-4</v>
      </c>
      <c r="M10" s="1090">
        <v>13746652714.610001</v>
      </c>
      <c r="N10" s="1114">
        <f t="shared" si="5"/>
        <v>0.38836551037746025</v>
      </c>
      <c r="O10" s="1090">
        <f>+'Ingresos 2022'!AE12+'Ingresos 2022'!AE18</f>
        <v>13925339252.370001</v>
      </c>
      <c r="P10" s="1114">
        <f t="shared" si="6"/>
        <v>1.2998548917300531E-2</v>
      </c>
      <c r="Q10" s="1090">
        <f>+'Ingresos 2023'!I12+'Ingresos 2023'!I18</f>
        <v>12960000000</v>
      </c>
      <c r="R10" s="1090">
        <f>+'Ingresos 2023'!J12+'Ingresos 2023'!J18</f>
        <v>20720000000</v>
      </c>
      <c r="S10" s="1090">
        <f>+'Ingresos 2023'!K12+'Ingresos 2023'!K18</f>
        <v>9100084968.4400005</v>
      </c>
      <c r="T10" s="1088">
        <f>+'Recaudo Julio Dic 2022'!E5+'Recaudo Julio Dic 2022'!E10+'Recaudo Julio Dic 2022'!E3+'Recaudo Julio Dic 2022'!E8</f>
        <v>10372414986.08</v>
      </c>
      <c r="U10" s="1088">
        <f t="shared" si="16"/>
        <v>19472499954.52</v>
      </c>
      <c r="V10" s="1111">
        <f t="shared" si="17"/>
        <v>0.39835013004842301</v>
      </c>
      <c r="W10" s="1111">
        <f t="shared" si="18"/>
        <v>0.26657139644772793</v>
      </c>
      <c r="X10" s="1090"/>
    </row>
    <row r="11" spans="1:24" s="54" customFormat="1" x14ac:dyDescent="0.25">
      <c r="A11" s="1139" t="s">
        <v>1026</v>
      </c>
      <c r="B11" s="888">
        <f t="shared" ref="B11:K11" si="19">SUM(B12:B15)</f>
        <v>2015078899.5900002</v>
      </c>
      <c r="C11" s="888">
        <f t="shared" si="19"/>
        <v>2937814128.5799999</v>
      </c>
      <c r="D11" s="1110">
        <f t="shared" si="1"/>
        <v>0.45791518594023534</v>
      </c>
      <c r="E11" s="888">
        <f t="shared" si="19"/>
        <v>3396883825.98</v>
      </c>
      <c r="F11" s="1110">
        <f t="shared" si="2"/>
        <v>0.15626233563724218</v>
      </c>
      <c r="G11" s="888">
        <f t="shared" si="19"/>
        <v>4641259293</v>
      </c>
      <c r="H11" s="1110">
        <f t="shared" si="3"/>
        <v>0.3663285324928644</v>
      </c>
      <c r="I11" s="888">
        <f t="shared" si="19"/>
        <v>5150696227</v>
      </c>
      <c r="J11" s="1110">
        <f t="shared" si="9"/>
        <v>0.10976265315931359</v>
      </c>
      <c r="K11" s="888">
        <f t="shared" si="19"/>
        <v>5146279350.4499998</v>
      </c>
      <c r="L11" s="1110">
        <f t="shared" si="4"/>
        <v>-8.5753000280755845E-4</v>
      </c>
      <c r="M11" s="1087">
        <f>SUM(M12:M15)</f>
        <v>6893966976.9799995</v>
      </c>
      <c r="N11" s="888">
        <f t="shared" ref="N11:S11" si="20">SUM(N12:N15)</f>
        <v>1.4094755716260821</v>
      </c>
      <c r="O11" s="1087">
        <f>SUM(O12:O15)</f>
        <v>9283559500.1999989</v>
      </c>
      <c r="P11" s="888">
        <f t="shared" ref="P11" si="21">SUM(P12:P15)</f>
        <v>1.051536494039448</v>
      </c>
      <c r="Q11" s="1087">
        <f t="shared" si="20"/>
        <v>8640000000</v>
      </c>
      <c r="R11" s="1087">
        <f t="shared" si="20"/>
        <v>5180000000</v>
      </c>
      <c r="S11" s="1087">
        <f t="shared" si="20"/>
        <v>2275021242.04</v>
      </c>
      <c r="T11" s="1088">
        <f>SUM(T12:T15)</f>
        <v>2593103744.3600001</v>
      </c>
      <c r="U11" s="1088">
        <f t="shared" si="16"/>
        <v>4868124986.3999996</v>
      </c>
      <c r="V11" s="1111">
        <f t="shared" si="17"/>
        <v>-0.47561870139410167</v>
      </c>
      <c r="W11" s="1111">
        <f t="shared" si="18"/>
        <v>0.66179778809047607</v>
      </c>
      <c r="X11" s="1087">
        <f>SUM(X12:X15)</f>
        <v>0</v>
      </c>
    </row>
    <row r="12" spans="1:24" x14ac:dyDescent="0.25">
      <c r="A12" s="1141" t="s">
        <v>1027</v>
      </c>
      <c r="B12" s="898">
        <v>591238313.05999994</v>
      </c>
      <c r="C12" s="898">
        <v>677957105.70000005</v>
      </c>
      <c r="D12" s="1111">
        <f t="shared" si="1"/>
        <v>0.14667316160750854</v>
      </c>
      <c r="E12" s="898">
        <v>783896267.51999998</v>
      </c>
      <c r="F12" s="1111">
        <f t="shared" si="2"/>
        <v>0.15626233714390572</v>
      </c>
      <c r="G12" s="898">
        <v>1927072572</v>
      </c>
      <c r="H12" s="1111">
        <f t="shared" si="3"/>
        <v>1.4583259952195569</v>
      </c>
      <c r="I12" s="898">
        <v>2138593170</v>
      </c>
      <c r="J12" s="1111">
        <f t="shared" si="9"/>
        <v>0.10976265298637648</v>
      </c>
      <c r="K12" s="898">
        <v>2136759265.45</v>
      </c>
      <c r="L12" s="1111">
        <f t="shared" si="4"/>
        <v>-8.5752847980897291E-4</v>
      </c>
      <c r="M12" s="1088">
        <v>2765843038.6799998</v>
      </c>
      <c r="N12" s="1111">
        <f t="shared" si="5"/>
        <v>0.29441022365124281</v>
      </c>
      <c r="O12" s="1088">
        <f>+'Ingresos 2022'!AE10+'Ingresos 2022'!AE16</f>
        <v>4641779751.3800001</v>
      </c>
      <c r="P12" s="1111">
        <f t="shared" ref="P12:P19" si="22">+(O12-M12)/M12</f>
        <v>0.67825132752120743</v>
      </c>
      <c r="Q12" s="1088">
        <f>+'Ingresos 2023'!I10+'Ingresos 2023'!I16</f>
        <v>4320000000</v>
      </c>
      <c r="R12" s="1088">
        <f>+'Ingresos 2023'!J10+'Ingresos 2023'!J16</f>
        <v>0</v>
      </c>
      <c r="S12" s="1088">
        <f>+'Ingresos 2023'!K10+'Ingresos 2023'!K16</f>
        <v>0</v>
      </c>
      <c r="T12" s="1088"/>
      <c r="U12" s="1088">
        <f t="shared" si="16"/>
        <v>0</v>
      </c>
      <c r="V12" s="1111">
        <f t="shared" si="17"/>
        <v>-1</v>
      </c>
      <c r="W12" s="1111">
        <f t="shared" si="18"/>
        <v>-9.112816275849922E-3</v>
      </c>
      <c r="X12" s="1088"/>
    </row>
    <row r="13" spans="1:24" x14ac:dyDescent="0.25">
      <c r="A13" s="1141" t="s">
        <v>1028</v>
      </c>
      <c r="B13" s="898">
        <v>422313080.75999999</v>
      </c>
      <c r="C13" s="898">
        <v>451971404.01999998</v>
      </c>
      <c r="D13" s="1111">
        <f t="shared" si="1"/>
        <v>7.0228284680707728E-2</v>
      </c>
      <c r="E13" s="898">
        <v>522597511.70999998</v>
      </c>
      <c r="F13" s="1111">
        <f t="shared" si="2"/>
        <v>0.15626233664746356</v>
      </c>
      <c r="G13" s="898">
        <v>542837344</v>
      </c>
      <c r="H13" s="1111">
        <f t="shared" si="3"/>
        <v>3.8729293263898124E-2</v>
      </c>
      <c r="I13" s="898">
        <v>602420611</v>
      </c>
      <c r="J13" s="1111">
        <f t="shared" si="9"/>
        <v>0.1097626529541048</v>
      </c>
      <c r="K13" s="898">
        <v>601904017</v>
      </c>
      <c r="L13" s="1111">
        <f t="shared" si="4"/>
        <v>-8.5753042071795918E-4</v>
      </c>
      <c r="M13" s="1088">
        <v>825624787.67000008</v>
      </c>
      <c r="N13" s="1111">
        <f t="shared" si="5"/>
        <v>0.37168844923990607</v>
      </c>
      <c r="O13" s="1088">
        <f>+'Ingresos 2022'!AE13+'Ingresos 2022'!AE19</f>
        <v>928355950.77999997</v>
      </c>
      <c r="P13" s="1111">
        <f t="shared" si="22"/>
        <v>0.12442839004376072</v>
      </c>
      <c r="Q13" s="1088">
        <f>+'Ingresos 2023'!I13+'Ingresos 2023'!I19</f>
        <v>864000000</v>
      </c>
      <c r="R13" s="1088">
        <f>+'Ingresos 2023'!J13+'Ingresos 2023'!J19</f>
        <v>1036000000</v>
      </c>
      <c r="S13" s="1088">
        <f>+'Ingresos 2023'!K13+'Ingresos 2023'!K19</f>
        <v>455004248.40999997</v>
      </c>
      <c r="T13" s="1088">
        <f>+'Recaudo Julio Dic 2022'!E6+'Recaudo Julio Dic 2022'!E11</f>
        <v>518620749.85999995</v>
      </c>
      <c r="U13" s="1088">
        <f t="shared" si="16"/>
        <v>973624998.26999998</v>
      </c>
      <c r="V13" s="1111">
        <f t="shared" si="17"/>
        <v>4.8762597419626796E-2</v>
      </c>
      <c r="W13" s="1111">
        <f t="shared" si="18"/>
        <v>0.18162647890109787</v>
      </c>
      <c r="X13" s="1088"/>
    </row>
    <row r="14" spans="1:24" x14ac:dyDescent="0.25">
      <c r="A14" s="1141" t="s">
        <v>1029</v>
      </c>
      <c r="B14" s="898">
        <v>633469621.13999999</v>
      </c>
      <c r="C14" s="898">
        <v>677957107.36000001</v>
      </c>
      <c r="D14" s="1111">
        <f t="shared" si="1"/>
        <v>7.0228286780255986E-2</v>
      </c>
      <c r="E14" s="898">
        <v>783896267.52999997</v>
      </c>
      <c r="F14" s="1111">
        <f t="shared" si="2"/>
        <v>0.15626233432751008</v>
      </c>
      <c r="G14" s="898">
        <v>814256016</v>
      </c>
      <c r="H14" s="1111">
        <f t="shared" si="3"/>
        <v>3.8729293310276094E-2</v>
      </c>
      <c r="I14" s="898">
        <v>903630917</v>
      </c>
      <c r="J14" s="1111">
        <f t="shared" si="9"/>
        <v>0.10976265356816228</v>
      </c>
      <c r="K14" s="898">
        <v>902856025</v>
      </c>
      <c r="L14" s="1111">
        <f t="shared" si="4"/>
        <v>-8.5753152688997688E-4</v>
      </c>
      <c r="M14" s="1088">
        <v>1238437181.47</v>
      </c>
      <c r="N14" s="1111">
        <f t="shared" si="5"/>
        <v>0.37168844996077866</v>
      </c>
      <c r="O14" s="1088">
        <f>+'Ingresos 2022'!AE14+'Ingresos 2022'!AE20</f>
        <v>1392533922.48</v>
      </c>
      <c r="P14" s="1111">
        <f t="shared" si="22"/>
        <v>0.12442838709597709</v>
      </c>
      <c r="Q14" s="1088">
        <f>+'Ingresos 2023'!I14+'Ingresos 2023'!I20</f>
        <v>1296000000</v>
      </c>
      <c r="R14" s="1088">
        <f>+'Ingresos 2023'!J14+'Ingresos 2023'!J20</f>
        <v>1554000000</v>
      </c>
      <c r="S14" s="1088">
        <f>+'Ingresos 2023'!K14+'Ingresos 2023'!K20</f>
        <v>682506372.64999998</v>
      </c>
      <c r="T14" s="1088">
        <f>+'Recaudo Julio Dic 2022'!E7+'Recaudo Julio Dic 2022'!E12</f>
        <v>777931121.13</v>
      </c>
      <c r="U14" s="1088">
        <f t="shared" si="16"/>
        <v>1460437493.78</v>
      </c>
      <c r="V14" s="1111">
        <f t="shared" si="17"/>
        <v>4.8762597595517605E-2</v>
      </c>
      <c r="W14" s="1111">
        <f t="shared" si="18"/>
        <v>0.18162647821742448</v>
      </c>
      <c r="X14" s="1088"/>
    </row>
    <row r="15" spans="1:24" ht="25.5" x14ac:dyDescent="0.25">
      <c r="A15" s="1141" t="s">
        <v>1030</v>
      </c>
      <c r="B15" s="898">
        <v>368057884.63</v>
      </c>
      <c r="C15" s="898">
        <v>1129928511.5</v>
      </c>
      <c r="D15" s="1111">
        <f t="shared" si="1"/>
        <v>2.0699750193801467</v>
      </c>
      <c r="E15" s="898">
        <v>1306493779.22</v>
      </c>
      <c r="F15" s="1111">
        <f t="shared" si="2"/>
        <v>0.1562623351149946</v>
      </c>
      <c r="G15" s="898">
        <v>1357093361</v>
      </c>
      <c r="H15" s="1111">
        <f t="shared" si="3"/>
        <v>3.8729294073033257E-2</v>
      </c>
      <c r="I15" s="898">
        <v>1506051529</v>
      </c>
      <c r="J15" s="1111">
        <f t="shared" si="9"/>
        <v>0.10976265324165858</v>
      </c>
      <c r="K15" s="898">
        <v>1504760043</v>
      </c>
      <c r="L15" s="1111">
        <f t="shared" si="4"/>
        <v>-8.5753108385177971E-4</v>
      </c>
      <c r="M15" s="1088">
        <v>2064061969.1600001</v>
      </c>
      <c r="N15" s="1111">
        <f t="shared" si="5"/>
        <v>0.37168844877415452</v>
      </c>
      <c r="O15" s="1088">
        <f>+'Ingresos 2022'!AE11+'Ingresos 2022'!AE17</f>
        <v>2320889875.5599999</v>
      </c>
      <c r="P15" s="1111">
        <f t="shared" si="22"/>
        <v>0.12442838937850287</v>
      </c>
      <c r="Q15" s="1088">
        <f>+'Ingresos 2023'!I11+'Ingresos 2023'!I17</f>
        <v>2160000000</v>
      </c>
      <c r="R15" s="1088">
        <f>+'Ingresos 2023'!J11+'Ingresos 2023'!J17</f>
        <v>2590000000</v>
      </c>
      <c r="S15" s="1088">
        <f>+'Ingresos 2023'!K11+'Ingresos 2023'!K17</f>
        <v>1137510620.98</v>
      </c>
      <c r="T15" s="1088">
        <f>+'Recaudo Julio Dic 2022'!E9+'Recaudo Julio Dic 2022'!E4</f>
        <v>1296551873.3700001</v>
      </c>
      <c r="U15" s="1088">
        <f t="shared" si="16"/>
        <v>2434062494.3500004</v>
      </c>
      <c r="V15" s="1111">
        <f t="shared" si="17"/>
        <v>4.8762597476837796E-2</v>
      </c>
      <c r="W15" s="1111">
        <f t="shared" si="18"/>
        <v>0.18162647854316508</v>
      </c>
      <c r="X15" s="1088"/>
    </row>
    <row r="16" spans="1:24" s="54" customFormat="1" x14ac:dyDescent="0.25">
      <c r="A16" s="1139" t="s">
        <v>1031</v>
      </c>
      <c r="B16" s="887">
        <f>+B17+B23+B26+B30+B32+B34</f>
        <v>66938999957</v>
      </c>
      <c r="C16" s="887">
        <f>+C17+C23+C26+C30+C32+C34</f>
        <v>65425439867.400002</v>
      </c>
      <c r="D16" s="1109">
        <f t="shared" si="1"/>
        <v>-2.2611035279467472E-2</v>
      </c>
      <c r="E16" s="887">
        <f>+E17+E23+E26+E30+E32+E34</f>
        <v>71187499598.080002</v>
      </c>
      <c r="F16" s="1109">
        <f t="shared" si="2"/>
        <v>8.8070630359660798E-2</v>
      </c>
      <c r="G16" s="887">
        <f>+G17+G23+G26+G30+G32+G34</f>
        <v>71491331680.25</v>
      </c>
      <c r="H16" s="1109">
        <f t="shared" si="3"/>
        <v>4.2680538561603422E-3</v>
      </c>
      <c r="I16" s="887">
        <f>+I17+I23+I26+I30+I32+I34</f>
        <v>70454781713</v>
      </c>
      <c r="J16" s="1109">
        <f t="shared" si="9"/>
        <v>-1.4498960124089483E-2</v>
      </c>
      <c r="K16" s="887">
        <f>+K17+K23+K26+K30+K32+K34</f>
        <v>56306873787.599998</v>
      </c>
      <c r="L16" s="1109">
        <f t="shared" si="4"/>
        <v>-0.20080834233554218</v>
      </c>
      <c r="M16" s="1086">
        <f>+M17+M23+M26+M30+M32+M34</f>
        <v>68699929787.259995</v>
      </c>
      <c r="N16" s="1109">
        <f t="shared" si="5"/>
        <v>0.22009845629876218</v>
      </c>
      <c r="O16" s="1086">
        <f>+O17+O23+O26+O30+O32+O34</f>
        <v>63004429571.130005</v>
      </c>
      <c r="P16" s="1109">
        <f t="shared" si="22"/>
        <v>-8.2904018006524763E-2</v>
      </c>
      <c r="Q16" s="1086">
        <f>+Q17+Q23+Q26+Q30+Q32+Q34</f>
        <v>74502559088</v>
      </c>
      <c r="R16" s="1086">
        <f>+R17+R23+R26+R30+R32+R34</f>
        <v>77727351795</v>
      </c>
      <c r="S16" s="1086">
        <f>+S17+S23+S26+S30+S32+S34</f>
        <v>41836863012.900002</v>
      </c>
      <c r="T16" s="1088">
        <f>+T17+T23+T26+T30+T32+T34</f>
        <v>33529593189.599998</v>
      </c>
      <c r="U16" s="1088">
        <f t="shared" si="16"/>
        <v>75366456202.5</v>
      </c>
      <c r="V16" s="1111">
        <f t="shared" si="17"/>
        <v>0.19620884937008529</v>
      </c>
      <c r="W16" s="1111">
        <f t="shared" si="18"/>
        <v>0.11113442922077423</v>
      </c>
      <c r="X16" s="1086">
        <f>+X17+X23+X26+X30+X32+X34</f>
        <v>0</v>
      </c>
    </row>
    <row r="17" spans="1:25" s="54" customFormat="1" x14ac:dyDescent="0.25">
      <c r="A17" s="751" t="s">
        <v>1032</v>
      </c>
      <c r="B17" s="887">
        <f>+B18+B19</f>
        <v>2588048042</v>
      </c>
      <c r="C17" s="887">
        <f t="shared" ref="C17:K17" si="23">+C18+C19</f>
        <v>2581582049.4000001</v>
      </c>
      <c r="D17" s="1109">
        <f t="shared" si="1"/>
        <v>-2.4984051667770023E-3</v>
      </c>
      <c r="E17" s="887">
        <f t="shared" si="23"/>
        <v>3517938239</v>
      </c>
      <c r="F17" s="1109">
        <f t="shared" si="2"/>
        <v>0.36270634505597982</v>
      </c>
      <c r="G17" s="887">
        <f t="shared" si="23"/>
        <v>3024300667.1999998</v>
      </c>
      <c r="H17" s="1109">
        <f t="shared" si="3"/>
        <v>-0.14032013590446668</v>
      </c>
      <c r="I17" s="887">
        <f t="shared" si="23"/>
        <v>4518440568</v>
      </c>
      <c r="J17" s="1109">
        <f t="shared" si="9"/>
        <v>0.49404476115905688</v>
      </c>
      <c r="K17" s="887">
        <f t="shared" si="23"/>
        <v>5164830996</v>
      </c>
      <c r="L17" s="1109">
        <f t="shared" si="4"/>
        <v>0.14305608722128488</v>
      </c>
      <c r="M17" s="1086">
        <f>+M18+M19+M20+M22</f>
        <v>6779127361.2599993</v>
      </c>
      <c r="N17" s="1109">
        <f t="shared" si="5"/>
        <v>0.31255550598078063</v>
      </c>
      <c r="O17" s="1086">
        <f>+O18+O19+O20+O22</f>
        <v>4167440239.1300001</v>
      </c>
      <c r="P17" s="1109">
        <f t="shared" si="22"/>
        <v>-0.38525417549384694</v>
      </c>
      <c r="Q17" s="1098">
        <f t="shared" ref="Q17:S17" si="24">+Q18+Q19+Q20+Q21+Q22</f>
        <v>3511903982</v>
      </c>
      <c r="R17" s="1098">
        <f t="shared" si="24"/>
        <v>3777892779</v>
      </c>
      <c r="S17" s="1098">
        <f t="shared" si="24"/>
        <v>1728865288.9400001</v>
      </c>
      <c r="T17" s="1088">
        <f>+T18+T19+T20+T22</f>
        <v>2336096330.5999999</v>
      </c>
      <c r="U17" s="1088">
        <f t="shared" si="16"/>
        <v>4064961619.54</v>
      </c>
      <c r="V17" s="1111">
        <f t="shared" si="17"/>
        <v>-2.4590303330034965E-2</v>
      </c>
      <c r="W17" s="1111">
        <f t="shared" si="18"/>
        <v>-3.2429657614367093E-2</v>
      </c>
      <c r="X17" s="1086">
        <f>+X18+X19+X20+X22</f>
        <v>0</v>
      </c>
    </row>
    <row r="18" spans="1:25" x14ac:dyDescent="0.25">
      <c r="A18" s="1141" t="s">
        <v>1033</v>
      </c>
      <c r="B18" s="898">
        <v>818895042</v>
      </c>
      <c r="C18" s="898">
        <v>690710961.39999998</v>
      </c>
      <c r="D18" s="1111">
        <f t="shared" si="1"/>
        <v>-0.15653297922885706</v>
      </c>
      <c r="E18" s="898">
        <v>710935239</v>
      </c>
      <c r="F18" s="1111">
        <f t="shared" si="2"/>
        <v>2.9280377365095662E-2</v>
      </c>
      <c r="G18" s="898">
        <v>645603667.20000005</v>
      </c>
      <c r="H18" s="1111">
        <f t="shared" si="3"/>
        <v>-9.1895250391435382E-2</v>
      </c>
      <c r="I18" s="898">
        <v>695202442</v>
      </c>
      <c r="J18" s="1111">
        <f t="shared" si="9"/>
        <v>7.6825422964387935E-2</v>
      </c>
      <c r="K18" s="898">
        <v>1011455996</v>
      </c>
      <c r="L18" s="1111">
        <f t="shared" si="4"/>
        <v>0.45490857755071007</v>
      </c>
      <c r="M18" s="1088">
        <v>0</v>
      </c>
      <c r="N18" s="1111">
        <f t="shared" si="5"/>
        <v>-1</v>
      </c>
      <c r="O18" s="1088">
        <f>+'Ingresos 2022'!AE25</f>
        <v>1011853570.6</v>
      </c>
      <c r="P18" s="1111"/>
      <c r="Q18" s="1088">
        <f>+'Ingresos 2023'!I25</f>
        <v>2577372402</v>
      </c>
      <c r="R18" s="1088">
        <f>+'Ingresos 2023'!J24+'Ingresos 2023'!J25</f>
        <v>2615737305.1199999</v>
      </c>
      <c r="S18" s="1088">
        <f>+'Ingresos 2023'!K24+'Ingresos 2023'!K25</f>
        <v>341372361.04000002</v>
      </c>
      <c r="T18" s="1088">
        <f>+'Recaudo Julio Dic 2022'!E15</f>
        <v>637714830.60000002</v>
      </c>
      <c r="U18" s="1088">
        <f t="shared" si="16"/>
        <v>979087191.6400001</v>
      </c>
      <c r="V18" s="1111">
        <f t="shared" si="17"/>
        <v>-3.2382530350286161E-2</v>
      </c>
      <c r="W18" s="1111">
        <f t="shared" si="18"/>
        <v>-0.34412751011676207</v>
      </c>
      <c r="X18" s="1088"/>
    </row>
    <row r="19" spans="1:25" x14ac:dyDescent="0.25">
      <c r="A19" s="1141" t="s">
        <v>1034</v>
      </c>
      <c r="B19" s="1116">
        <v>1769153000</v>
      </c>
      <c r="C19" s="1116">
        <v>1890871088</v>
      </c>
      <c r="D19" s="1117">
        <f t="shared" si="1"/>
        <v>6.8800204391593039E-2</v>
      </c>
      <c r="E19" s="1116">
        <v>2807003000</v>
      </c>
      <c r="F19" s="1117">
        <f t="shared" si="2"/>
        <v>0.48450257546060699</v>
      </c>
      <c r="G19" s="1116">
        <v>2378697000</v>
      </c>
      <c r="H19" s="1117">
        <f t="shared" si="3"/>
        <v>-0.15258480308001096</v>
      </c>
      <c r="I19" s="1116">
        <v>3823238126</v>
      </c>
      <c r="J19" s="1117">
        <f t="shared" si="9"/>
        <v>0.60728252736687349</v>
      </c>
      <c r="K19" s="1116">
        <v>4153375000</v>
      </c>
      <c r="L19" s="1117">
        <f t="shared" si="4"/>
        <v>8.6350068481190909E-2</v>
      </c>
      <c r="M19" s="1091">
        <v>2985922449.3200002</v>
      </c>
      <c r="N19" s="1117">
        <f t="shared" si="5"/>
        <v>-0.28108527418785922</v>
      </c>
      <c r="O19" s="1091">
        <f>+'Ingresos 2022'!AE27</f>
        <v>2953314500</v>
      </c>
      <c r="P19" s="1117">
        <f t="shared" si="22"/>
        <v>-1.0920561358660253E-2</v>
      </c>
      <c r="Q19" s="1091">
        <f>+'Ingresos 2023'!I27</f>
        <v>767298056</v>
      </c>
      <c r="R19" s="1091">
        <f>+'Ingresos 2023'!J26+'Ingresos 2023'!J27</f>
        <v>896166676.88</v>
      </c>
      <c r="S19" s="1091">
        <f>+'Ingresos 2023'!K26+'Ingresos 2023'!K27</f>
        <v>1257466918.5</v>
      </c>
      <c r="T19" s="1088">
        <f>+'Recaudo Julio Dic 2022'!E17</f>
        <v>1698381500</v>
      </c>
      <c r="U19" s="1088">
        <f t="shared" si="16"/>
        <v>2955848418.5</v>
      </c>
      <c r="V19" s="1111">
        <f t="shared" si="17"/>
        <v>8.579914194712416E-4</v>
      </c>
      <c r="W19" s="1111">
        <f t="shared" si="18"/>
        <v>-9.704928137568275E-2</v>
      </c>
      <c r="X19" s="1091"/>
    </row>
    <row r="20" spans="1:25" x14ac:dyDescent="0.25">
      <c r="A20" s="1141" t="s">
        <v>1035</v>
      </c>
      <c r="B20" s="1116"/>
      <c r="C20" s="1116"/>
      <c r="D20" s="1117"/>
      <c r="E20" s="1116"/>
      <c r="F20" s="1117"/>
      <c r="G20" s="1116"/>
      <c r="H20" s="1117"/>
      <c r="I20" s="1116"/>
      <c r="J20" s="1117"/>
      <c r="K20" s="1116">
        <v>0</v>
      </c>
      <c r="L20" s="1117"/>
      <c r="M20" s="1091">
        <v>3439875818</v>
      </c>
      <c r="N20" s="1117"/>
      <c r="O20" s="1091"/>
      <c r="P20" s="1117"/>
      <c r="Q20" s="1091"/>
      <c r="R20" s="1091"/>
      <c r="S20" s="1091"/>
      <c r="T20" s="1088"/>
      <c r="U20" s="1088">
        <f t="shared" si="16"/>
        <v>0</v>
      </c>
      <c r="V20" s="1111"/>
      <c r="W20" s="1111">
        <f t="shared" si="18"/>
        <v>0</v>
      </c>
      <c r="X20" s="1091"/>
    </row>
    <row r="21" spans="1:25" x14ac:dyDescent="0.25">
      <c r="A21" s="1141" t="s">
        <v>1036</v>
      </c>
      <c r="B21" s="1116"/>
      <c r="C21" s="1116"/>
      <c r="D21" s="1117"/>
      <c r="E21" s="1116"/>
      <c r="F21" s="1117"/>
      <c r="G21" s="1116"/>
      <c r="H21" s="1117"/>
      <c r="I21" s="1116"/>
      <c r="J21" s="1117"/>
      <c r="K21" s="1116">
        <v>0</v>
      </c>
      <c r="L21" s="1117"/>
      <c r="M21" s="1091"/>
      <c r="N21" s="1117"/>
      <c r="O21" s="1091"/>
      <c r="P21" s="1117"/>
      <c r="Q21" s="1091">
        <f>+'Ingresos 2023'!I26+'Ingresos 2023'!I24</f>
        <v>167233524</v>
      </c>
      <c r="R21" s="1091">
        <f>+[2]MX8!H24+[2]MX8!H26</f>
        <v>265988797</v>
      </c>
      <c r="S21" s="1091">
        <f>+[2]MX8!I24+[2]MX8!I26</f>
        <v>130026009.40000001</v>
      </c>
      <c r="T21" s="1088">
        <f>+'Recaudo Julio Dic 2022'!E14+'Recaudo Julio Dic 2022'!E16</f>
        <v>119524761.53</v>
      </c>
      <c r="U21" s="1088">
        <f t="shared" si="16"/>
        <v>249550770.93000001</v>
      </c>
      <c r="V21" s="1111"/>
      <c r="W21" s="1111">
        <f t="shared" si="18"/>
        <v>0</v>
      </c>
      <c r="X21" s="1091"/>
    </row>
    <row r="22" spans="1:25" x14ac:dyDescent="0.25">
      <c r="A22" s="1141" t="s">
        <v>259</v>
      </c>
      <c r="B22" s="1116"/>
      <c r="C22" s="1116"/>
      <c r="D22" s="1117"/>
      <c r="E22" s="1116"/>
      <c r="F22" s="1117"/>
      <c r="G22" s="1116"/>
      <c r="H22" s="1117"/>
      <c r="I22" s="1116"/>
      <c r="J22" s="1117"/>
      <c r="K22" s="1116">
        <v>0</v>
      </c>
      <c r="L22" s="1117"/>
      <c r="M22" s="1091">
        <v>353329093.94</v>
      </c>
      <c r="N22" s="1117"/>
      <c r="O22" s="1091">
        <f>+'Ingresos 2022'!AE24+'Ingresos 2022'!AE26</f>
        <v>202272168.53</v>
      </c>
      <c r="P22" s="1117"/>
      <c r="Q22" s="1091"/>
      <c r="R22" s="1091"/>
      <c r="S22" s="1091"/>
      <c r="T22" s="1088"/>
      <c r="U22" s="1088">
        <f t="shared" si="16"/>
        <v>0</v>
      </c>
      <c r="V22" s="1111">
        <f t="shared" si="17"/>
        <v>-1</v>
      </c>
      <c r="W22" s="1111">
        <f t="shared" si="18"/>
        <v>-0.33333333333333331</v>
      </c>
      <c r="X22" s="1091"/>
    </row>
    <row r="23" spans="1:25" s="54" customFormat="1" x14ac:dyDescent="0.25">
      <c r="A23" s="751" t="s">
        <v>1037</v>
      </c>
      <c r="B23" s="887">
        <f>+B24+B25</f>
        <v>14297751000</v>
      </c>
      <c r="C23" s="887">
        <f>+C24+C25</f>
        <v>15955521000</v>
      </c>
      <c r="D23" s="1109">
        <f t="shared" si="1"/>
        <v>0.11594620720419596</v>
      </c>
      <c r="E23" s="887">
        <f>+E24+E25</f>
        <v>16661517001</v>
      </c>
      <c r="F23" s="1109">
        <f t="shared" si="2"/>
        <v>4.4247756058858875E-2</v>
      </c>
      <c r="G23" s="887">
        <f>+G24+G25</f>
        <v>15264790000</v>
      </c>
      <c r="H23" s="1109">
        <f t="shared" si="3"/>
        <v>-8.3829521700585274E-2</v>
      </c>
      <c r="I23" s="887">
        <f>+I24+I25</f>
        <v>16634310844</v>
      </c>
      <c r="J23" s="1109">
        <f t="shared" si="9"/>
        <v>8.9717634110918001E-2</v>
      </c>
      <c r="K23" s="887">
        <f>+K24+K25</f>
        <v>13148122867</v>
      </c>
      <c r="L23" s="1109">
        <f t="shared" si="4"/>
        <v>-0.20957814301380984</v>
      </c>
      <c r="M23" s="1086">
        <f>+M24+M25</f>
        <v>17257695000</v>
      </c>
      <c r="N23" s="1109">
        <f t="shared" si="5"/>
        <v>0.312559608285565</v>
      </c>
      <c r="O23" s="1086">
        <f>+O24+O25</f>
        <v>17867469024</v>
      </c>
      <c r="P23" s="1109">
        <f t="shared" ref="P23:P26" si="25">+(O23-M23)/M23</f>
        <v>3.5333456988317385E-2</v>
      </c>
      <c r="Q23" s="1098">
        <f t="shared" ref="Q23:S23" si="26">+Q24+Q25</f>
        <v>19256889233</v>
      </c>
      <c r="R23" s="1098">
        <f t="shared" si="26"/>
        <v>20256889233</v>
      </c>
      <c r="S23" s="1098">
        <f t="shared" si="26"/>
        <v>10301114976</v>
      </c>
      <c r="T23" s="1088">
        <f>+T24+T25</f>
        <v>8548333024</v>
      </c>
      <c r="U23" s="1088">
        <f t="shared" si="16"/>
        <v>18849448000</v>
      </c>
      <c r="V23" s="1111">
        <f t="shared" si="17"/>
        <v>5.4959041746818364E-2</v>
      </c>
      <c r="W23" s="1111">
        <f t="shared" si="18"/>
        <v>0.13428403567356692</v>
      </c>
      <c r="X23" s="1086">
        <f>+X24+X25</f>
        <v>0</v>
      </c>
    </row>
    <row r="24" spans="1:25" x14ac:dyDescent="0.25">
      <c r="A24" s="1141" t="s">
        <v>1038</v>
      </c>
      <c r="B24" s="1116">
        <v>13974970000</v>
      </c>
      <c r="C24" s="1116">
        <v>15690084000</v>
      </c>
      <c r="D24" s="1117">
        <f t="shared" si="1"/>
        <v>0.12272756220585805</v>
      </c>
      <c r="E24" s="1116">
        <v>16221634000</v>
      </c>
      <c r="F24" s="1117">
        <f t="shared" si="2"/>
        <v>3.3878085037658177E-2</v>
      </c>
      <c r="G24" s="1116">
        <v>14697388000</v>
      </c>
      <c r="H24" s="1117">
        <f t="shared" si="3"/>
        <v>-9.3963777015311778E-2</v>
      </c>
      <c r="I24" s="1116">
        <v>15833930416</v>
      </c>
      <c r="J24" s="1117">
        <f t="shared" si="9"/>
        <v>7.7329551073973143E-2</v>
      </c>
      <c r="K24" s="1116">
        <v>13000396867</v>
      </c>
      <c r="L24" s="1117">
        <f t="shared" si="4"/>
        <v>-0.17895326520677063</v>
      </c>
      <c r="M24" s="1091">
        <v>17001730000</v>
      </c>
      <c r="N24" s="1117">
        <f t="shared" si="5"/>
        <v>0.30778546023905778</v>
      </c>
      <c r="O24" s="1091">
        <f>+'Ingresos 2022'!AE29</f>
        <v>17223480024</v>
      </c>
      <c r="P24" s="1117">
        <f t="shared" si="25"/>
        <v>1.3042791762955887E-2</v>
      </c>
      <c r="Q24" s="1091">
        <f>+'Ingresos 2023'!I29</f>
        <v>18965700746</v>
      </c>
      <c r="R24" s="1091">
        <f>+'Ingresos 2023'!J29</f>
        <v>19965700746</v>
      </c>
      <c r="S24" s="1091">
        <f>+'Ingresos 2023'!K29</f>
        <v>9992064976</v>
      </c>
      <c r="T24" s="1088">
        <f>+'Recaudo Julio Dic 2022'!E18</f>
        <v>8010408024</v>
      </c>
      <c r="U24" s="1088">
        <f t="shared" si="16"/>
        <v>18002473000</v>
      </c>
      <c r="V24" s="1111">
        <f t="shared" si="17"/>
        <v>4.5228547013409302E-2</v>
      </c>
      <c r="W24" s="1111">
        <f t="shared" si="18"/>
        <v>0.12201893300514099</v>
      </c>
      <c r="X24" s="1091"/>
    </row>
    <row r="25" spans="1:25" x14ac:dyDescent="0.25">
      <c r="A25" s="1141" t="s">
        <v>1039</v>
      </c>
      <c r="B25" s="1116">
        <v>322781000</v>
      </c>
      <c r="C25" s="1116">
        <v>265437000</v>
      </c>
      <c r="D25" s="1117">
        <f t="shared" si="1"/>
        <v>-0.17765605782248645</v>
      </c>
      <c r="E25" s="1116">
        <v>439883001</v>
      </c>
      <c r="F25" s="1117">
        <f t="shared" si="2"/>
        <v>0.65720303122774892</v>
      </c>
      <c r="G25" s="1116">
        <v>567402000</v>
      </c>
      <c r="H25" s="1117">
        <f t="shared" si="3"/>
        <v>0.28989299134112256</v>
      </c>
      <c r="I25" s="1116">
        <v>800380428</v>
      </c>
      <c r="J25" s="1117">
        <f t="shared" si="9"/>
        <v>0.41060558122812396</v>
      </c>
      <c r="K25" s="1116">
        <v>147726000</v>
      </c>
      <c r="L25" s="1117">
        <f t="shared" si="4"/>
        <v>-0.81543026936685659</v>
      </c>
      <c r="M25" s="1091">
        <v>255965000</v>
      </c>
      <c r="N25" s="1117">
        <f t="shared" si="5"/>
        <v>0.73270108173239645</v>
      </c>
      <c r="O25" s="1091">
        <f>+'Ingresos 2022'!AE30</f>
        <v>643989000</v>
      </c>
      <c r="P25" s="1117">
        <f t="shared" si="25"/>
        <v>1.5159260055085657</v>
      </c>
      <c r="Q25" s="1091">
        <f>+'Ingresos 2023'!I30</f>
        <v>291188487</v>
      </c>
      <c r="R25" s="1091">
        <f>+'Ingresos 2023'!J30</f>
        <v>291188487</v>
      </c>
      <c r="S25" s="1091">
        <f>+'Ingresos 2023'!K30</f>
        <v>309050000</v>
      </c>
      <c r="T25" s="1088">
        <f>+'Recaudo Julio Dic 2022'!E19</f>
        <v>537925000</v>
      </c>
      <c r="U25" s="1088">
        <f t="shared" si="16"/>
        <v>846975000</v>
      </c>
      <c r="V25" s="1111">
        <f t="shared" si="17"/>
        <v>0.31520103604254107</v>
      </c>
      <c r="W25" s="1111">
        <f t="shared" si="18"/>
        <v>0.85460937442783447</v>
      </c>
      <c r="X25" s="1091"/>
    </row>
    <row r="26" spans="1:25" s="54" customFormat="1" x14ac:dyDescent="0.25">
      <c r="A26" s="751" t="s">
        <v>1040</v>
      </c>
      <c r="B26" s="887">
        <f>+B27+B28</f>
        <v>8116773000</v>
      </c>
      <c r="C26" s="887">
        <f>+C27+C28</f>
        <v>8807068000</v>
      </c>
      <c r="D26" s="1109">
        <f t="shared" si="1"/>
        <v>8.5045497761240832E-2</v>
      </c>
      <c r="E26" s="887">
        <f>+E27+E28</f>
        <v>17783575000</v>
      </c>
      <c r="F26" s="1109">
        <f t="shared" si="2"/>
        <v>1.0192389794197114</v>
      </c>
      <c r="G26" s="887">
        <f>+G27+G28</f>
        <v>18477533760</v>
      </c>
      <c r="H26" s="1109">
        <f t="shared" si="3"/>
        <v>3.90224552712264E-2</v>
      </c>
      <c r="I26" s="887">
        <f>+I27+I28</f>
        <v>15212004711</v>
      </c>
      <c r="J26" s="1109">
        <f t="shared" si="9"/>
        <v>-0.17672970275227901</v>
      </c>
      <c r="K26" s="887">
        <f>+K27+K28</f>
        <v>10458008676.07</v>
      </c>
      <c r="L26" s="1109">
        <f t="shared" si="4"/>
        <v>-0.31251607695679473</v>
      </c>
      <c r="M26" s="1086">
        <f>+M27+M28</f>
        <v>10520777126</v>
      </c>
      <c r="N26" s="1109">
        <f t="shared" si="5"/>
        <v>6.0019504548343879E-3</v>
      </c>
      <c r="O26" s="1086">
        <f>+O27+O28</f>
        <v>11137550708</v>
      </c>
      <c r="P26" s="1109">
        <f t="shared" si="25"/>
        <v>5.8624336834944182E-2</v>
      </c>
      <c r="Q26" s="1098">
        <f t="shared" ref="Q26:S26" si="27">+Q27+Q28</f>
        <v>12138258784</v>
      </c>
      <c r="R26" s="1098">
        <f t="shared" si="27"/>
        <v>12597062694</v>
      </c>
      <c r="S26" s="1098">
        <f t="shared" si="27"/>
        <v>5623122650</v>
      </c>
      <c r="T26" s="1088">
        <f>+T27+T28</f>
        <v>6071220185</v>
      </c>
      <c r="U26" s="1088">
        <f t="shared" si="16"/>
        <v>11694342835</v>
      </c>
      <c r="V26" s="1111">
        <f t="shared" si="17"/>
        <v>4.999233149170413E-2</v>
      </c>
      <c r="W26" s="1111">
        <f t="shared" si="18"/>
        <v>3.8206206260494237E-2</v>
      </c>
      <c r="X26" s="1086">
        <f>+X27+X28</f>
        <v>0</v>
      </c>
    </row>
    <row r="27" spans="1:25" x14ac:dyDescent="0.25">
      <c r="A27" s="1141" t="s">
        <v>1041</v>
      </c>
      <c r="B27" s="1116">
        <v>6964307000</v>
      </c>
      <c r="C27" s="1116">
        <v>7267520000</v>
      </c>
      <c r="D27" s="1117">
        <f t="shared" si="1"/>
        <v>4.353814385264751E-2</v>
      </c>
      <c r="E27" s="1116">
        <v>15285292000</v>
      </c>
      <c r="F27" s="1117">
        <f t="shared" si="2"/>
        <v>1.1032335652327065</v>
      </c>
      <c r="G27" s="1116">
        <v>16281139560</v>
      </c>
      <c r="H27" s="1117">
        <f t="shared" si="3"/>
        <v>6.5150705658746977E-2</v>
      </c>
      <c r="I27" s="1116">
        <v>8127488794</v>
      </c>
      <c r="J27" s="1117">
        <f t="shared" si="9"/>
        <v>-0.50080344412943534</v>
      </c>
      <c r="K27" s="1116">
        <v>0</v>
      </c>
      <c r="L27" s="1117">
        <f t="shared" si="4"/>
        <v>-1</v>
      </c>
      <c r="M27" s="1091"/>
      <c r="N27" s="1117"/>
      <c r="O27" s="1091"/>
      <c r="P27" s="1117"/>
      <c r="Q27" s="1091"/>
      <c r="R27" s="1091"/>
      <c r="S27" s="1091"/>
      <c r="T27" s="1088"/>
      <c r="U27" s="1088">
        <f t="shared" si="16"/>
        <v>0</v>
      </c>
      <c r="V27" s="1111"/>
      <c r="W27" s="1111">
        <f t="shared" si="18"/>
        <v>0</v>
      </c>
      <c r="X27" s="1091"/>
    </row>
    <row r="28" spans="1:25" x14ac:dyDescent="0.25">
      <c r="A28" s="1141" t="s">
        <v>1042</v>
      </c>
      <c r="B28" s="1116">
        <v>1152466000</v>
      </c>
      <c r="C28" s="1116">
        <v>1539548000</v>
      </c>
      <c r="D28" s="1117">
        <f t="shared" si="1"/>
        <v>0.33587281533685159</v>
      </c>
      <c r="E28" s="1116">
        <v>2498283000</v>
      </c>
      <c r="F28" s="1117">
        <f t="shared" si="2"/>
        <v>0.6227379724438602</v>
      </c>
      <c r="G28" s="1116">
        <v>2196394200</v>
      </c>
      <c r="H28" s="1117">
        <f t="shared" si="3"/>
        <v>-0.12083851188996603</v>
      </c>
      <c r="I28" s="1116">
        <v>7084515917</v>
      </c>
      <c r="J28" s="1117">
        <f t="shared" si="9"/>
        <v>2.2255211368706038</v>
      </c>
      <c r="K28" s="1116">
        <v>10458008676.07</v>
      </c>
      <c r="L28" s="1117">
        <f t="shared" si="4"/>
        <v>0.47617830189003718</v>
      </c>
      <c r="M28" s="1091">
        <v>10520777126</v>
      </c>
      <c r="N28" s="1117">
        <f t="shared" si="5"/>
        <v>6.0019504548343879E-3</v>
      </c>
      <c r="O28" s="1091">
        <f>+'Ingresos 2022'!AE33</f>
        <v>11137550708</v>
      </c>
      <c r="P28" s="1117">
        <f t="shared" ref="P28" si="28">+(O28-M28)/M28</f>
        <v>5.8624336834944182E-2</v>
      </c>
      <c r="Q28" s="1091">
        <f>+'Ingresos 2023'!I33</f>
        <v>12138258784</v>
      </c>
      <c r="R28" s="1091">
        <f>+'Ingresos 2023'!J33</f>
        <v>12597062694</v>
      </c>
      <c r="S28" s="1091">
        <f>+'Ingresos 2023'!K33</f>
        <v>5623122650</v>
      </c>
      <c r="T28" s="1088">
        <f>+'Recaudo Julio Dic 2022'!E20</f>
        <v>6071220185</v>
      </c>
      <c r="U28" s="1088">
        <f t="shared" si="16"/>
        <v>11694342835</v>
      </c>
      <c r="V28" s="1111">
        <f t="shared" si="17"/>
        <v>4.999233149170413E-2</v>
      </c>
      <c r="W28" s="1111">
        <f t="shared" si="18"/>
        <v>3.8206206260494237E-2</v>
      </c>
      <c r="X28" s="1091"/>
    </row>
    <row r="29" spans="1:25" x14ac:dyDescent="0.25">
      <c r="A29" s="1141" t="s">
        <v>1043</v>
      </c>
      <c r="B29" s="898"/>
      <c r="C29" s="898"/>
      <c r="D29" s="1111"/>
      <c r="E29" s="898">
        <v>0</v>
      </c>
      <c r="F29" s="1111"/>
      <c r="G29" s="898">
        <v>0</v>
      </c>
      <c r="H29" s="1111"/>
      <c r="I29" s="898">
        <v>0</v>
      </c>
      <c r="J29" s="1111"/>
      <c r="K29" s="898">
        <v>0</v>
      </c>
      <c r="L29" s="1111"/>
      <c r="M29" s="1088"/>
      <c r="N29" s="1111"/>
      <c r="O29" s="1088"/>
      <c r="P29" s="1111"/>
      <c r="Q29" s="1088"/>
      <c r="R29" s="1088"/>
      <c r="S29" s="1088"/>
      <c r="T29" s="1088"/>
      <c r="U29" s="1088">
        <f t="shared" si="16"/>
        <v>0</v>
      </c>
      <c r="V29" s="1111"/>
      <c r="W29" s="1111">
        <f t="shared" si="18"/>
        <v>0</v>
      </c>
      <c r="X29" s="1088"/>
    </row>
    <row r="30" spans="1:25" s="54" customFormat="1" x14ac:dyDescent="0.25">
      <c r="A30" s="751" t="s">
        <v>1044</v>
      </c>
      <c r="B30" s="887">
        <f t="shared" ref="B30:X30" si="29">+B31</f>
        <v>610335310</v>
      </c>
      <c r="C30" s="887">
        <f t="shared" si="29"/>
        <v>615511700</v>
      </c>
      <c r="D30" s="1109">
        <f t="shared" si="1"/>
        <v>8.4812232148259621E-3</v>
      </c>
      <c r="E30" s="887">
        <f t="shared" si="29"/>
        <v>537403800</v>
      </c>
      <c r="F30" s="1109">
        <f t="shared" si="2"/>
        <v>-0.12689913124315916</v>
      </c>
      <c r="G30" s="887">
        <f t="shared" si="29"/>
        <v>565645500</v>
      </c>
      <c r="H30" s="1109">
        <f t="shared" si="3"/>
        <v>5.2552103278763564E-2</v>
      </c>
      <c r="I30" s="887">
        <f t="shared" si="29"/>
        <v>647439300</v>
      </c>
      <c r="J30" s="1109">
        <f t="shared" si="9"/>
        <v>0.14460258235944598</v>
      </c>
      <c r="K30" s="887">
        <f t="shared" si="29"/>
        <v>562423800</v>
      </c>
      <c r="L30" s="1109">
        <f t="shared" si="4"/>
        <v>-0.13131037921238331</v>
      </c>
      <c r="M30" s="1086">
        <f t="shared" si="29"/>
        <v>660196800</v>
      </c>
      <c r="N30" s="1109">
        <f t="shared" si="5"/>
        <v>0.17384221649226081</v>
      </c>
      <c r="O30" s="1086">
        <f t="shared" si="29"/>
        <v>633596100</v>
      </c>
      <c r="P30" s="1109">
        <f t="shared" ref="P30:P33" si="30">+(O30-M30)/M30</f>
        <v>-4.0292076544448566E-2</v>
      </c>
      <c r="Q30" s="1098">
        <f t="shared" si="29"/>
        <v>693652915</v>
      </c>
      <c r="R30" s="1098">
        <f t="shared" si="29"/>
        <v>693652915</v>
      </c>
      <c r="S30" s="1098">
        <f t="shared" si="29"/>
        <v>295483700</v>
      </c>
      <c r="T30" s="1088">
        <f t="shared" si="29"/>
        <v>314986300</v>
      </c>
      <c r="U30" s="1088">
        <f t="shared" si="16"/>
        <v>610470000</v>
      </c>
      <c r="V30" s="1111">
        <f t="shared" si="17"/>
        <v>-3.6499751182180573E-2</v>
      </c>
      <c r="W30" s="1111">
        <f t="shared" si="18"/>
        <v>3.2350129588543892E-2</v>
      </c>
      <c r="X30" s="1086">
        <f t="shared" si="29"/>
        <v>0</v>
      </c>
    </row>
    <row r="31" spans="1:25" x14ac:dyDescent="0.25">
      <c r="A31" s="1141" t="s">
        <v>1045</v>
      </c>
      <c r="B31" s="898">
        <v>610335310</v>
      </c>
      <c r="C31" s="898">
        <v>615511700</v>
      </c>
      <c r="D31" s="1111">
        <f t="shared" si="1"/>
        <v>8.4812232148259621E-3</v>
      </c>
      <c r="E31" s="898">
        <v>537403800</v>
      </c>
      <c r="F31" s="1111">
        <f t="shared" si="2"/>
        <v>-0.12689913124315916</v>
      </c>
      <c r="G31" s="898">
        <v>565645500</v>
      </c>
      <c r="H31" s="1111">
        <f t="shared" si="3"/>
        <v>5.2552103278763564E-2</v>
      </c>
      <c r="I31" s="898">
        <v>647439300</v>
      </c>
      <c r="J31" s="1111">
        <f t="shared" si="9"/>
        <v>0.14460258235944598</v>
      </c>
      <c r="K31" s="898">
        <v>562423800</v>
      </c>
      <c r="L31" s="1111">
        <f t="shared" si="4"/>
        <v>-0.13131037921238331</v>
      </c>
      <c r="M31" s="1088">
        <v>660196800</v>
      </c>
      <c r="N31" s="1111">
        <f t="shared" si="5"/>
        <v>0.17384221649226081</v>
      </c>
      <c r="O31" s="1088">
        <f>+'Ingresos 2022'!AE21</f>
        <v>633596100</v>
      </c>
      <c r="P31" s="1111">
        <f t="shared" si="30"/>
        <v>-4.0292076544448566E-2</v>
      </c>
      <c r="Q31" s="1088">
        <f>+'Ingresos 2023'!I21</f>
        <v>693652915</v>
      </c>
      <c r="R31" s="1088">
        <f>+'Ingresos 2023'!J21</f>
        <v>693652915</v>
      </c>
      <c r="S31" s="1088">
        <f>+'Ingresos 2023'!K21</f>
        <v>295483700</v>
      </c>
      <c r="T31" s="1088">
        <f>+'Recaudo Julio Dic 2022'!E13</f>
        <v>314986300</v>
      </c>
      <c r="U31" s="1088">
        <f t="shared" si="16"/>
        <v>610470000</v>
      </c>
      <c r="V31" s="1111">
        <f t="shared" si="17"/>
        <v>-3.6499751182180573E-2</v>
      </c>
      <c r="W31" s="1111">
        <f t="shared" si="18"/>
        <v>3.2350129588543892E-2</v>
      </c>
      <c r="X31" s="1088"/>
      <c r="Y31" s="651"/>
    </row>
    <row r="32" spans="1:25" s="54" customFormat="1" x14ac:dyDescent="0.25">
      <c r="A32" s="751" t="s">
        <v>1046</v>
      </c>
      <c r="B32" s="887">
        <f t="shared" ref="B32:X32" si="31">+B33</f>
        <v>5986710600</v>
      </c>
      <c r="C32" s="887">
        <f t="shared" si="31"/>
        <v>6704117400</v>
      </c>
      <c r="D32" s="1109">
        <f t="shared" si="1"/>
        <v>0.11983321859586799</v>
      </c>
      <c r="E32" s="887">
        <f t="shared" si="31"/>
        <v>6713558000</v>
      </c>
      <c r="F32" s="1109">
        <f t="shared" si="2"/>
        <v>1.4081793973357327E-3</v>
      </c>
      <c r="G32" s="887">
        <f t="shared" si="31"/>
        <v>6992548550</v>
      </c>
      <c r="H32" s="1109">
        <f t="shared" si="3"/>
        <v>4.1556288036835309E-2</v>
      </c>
      <c r="I32" s="887">
        <f t="shared" si="31"/>
        <v>7173915300</v>
      </c>
      <c r="J32" s="1109">
        <f t="shared" si="9"/>
        <v>2.5937145620533446E-2</v>
      </c>
      <c r="K32" s="887">
        <f t="shared" si="31"/>
        <v>6045453100</v>
      </c>
      <c r="L32" s="1109">
        <f t="shared" si="4"/>
        <v>-0.1573007420369181</v>
      </c>
      <c r="M32" s="1086">
        <f t="shared" si="31"/>
        <v>7980125400</v>
      </c>
      <c r="N32" s="1109">
        <f t="shared" si="5"/>
        <v>0.32002105847120044</v>
      </c>
      <c r="O32" s="1086">
        <f t="shared" si="31"/>
        <v>9426916500</v>
      </c>
      <c r="P32" s="1109">
        <f t="shared" si="30"/>
        <v>0.1812992938682392</v>
      </c>
      <c r="Q32" s="1098">
        <f t="shared" si="31"/>
        <v>8999529162</v>
      </c>
      <c r="R32" s="1098">
        <f t="shared" si="31"/>
        <v>10499529162</v>
      </c>
      <c r="S32" s="1098">
        <f t="shared" si="31"/>
        <v>5230513800</v>
      </c>
      <c r="T32" s="1088">
        <f t="shared" si="31"/>
        <v>4765658850</v>
      </c>
      <c r="U32" s="1088">
        <f t="shared" si="16"/>
        <v>9996172650</v>
      </c>
      <c r="V32" s="1111">
        <f t="shared" si="17"/>
        <v>6.0386251432268438E-2</v>
      </c>
      <c r="W32" s="1111">
        <f t="shared" si="18"/>
        <v>0.18723553459056938</v>
      </c>
      <c r="X32" s="1086">
        <f t="shared" si="31"/>
        <v>0</v>
      </c>
    </row>
    <row r="33" spans="1:24" x14ac:dyDescent="0.25">
      <c r="A33" s="1141" t="s">
        <v>1047</v>
      </c>
      <c r="B33" s="898">
        <v>5986710600</v>
      </c>
      <c r="C33" s="898">
        <v>6704117400</v>
      </c>
      <c r="D33" s="1111">
        <f t="shared" si="1"/>
        <v>0.11983321859586799</v>
      </c>
      <c r="E33" s="898">
        <v>6713558000</v>
      </c>
      <c r="F33" s="1111">
        <f t="shared" si="2"/>
        <v>1.4081793973357327E-3</v>
      </c>
      <c r="G33" s="898">
        <v>6992548550</v>
      </c>
      <c r="H33" s="1111">
        <f t="shared" si="3"/>
        <v>4.1556288036835309E-2</v>
      </c>
      <c r="I33" s="898">
        <v>7173915300</v>
      </c>
      <c r="J33" s="1111">
        <f t="shared" si="9"/>
        <v>2.5937145620533446E-2</v>
      </c>
      <c r="K33" s="898">
        <v>6045453100</v>
      </c>
      <c r="L33" s="1111">
        <f t="shared" si="4"/>
        <v>-0.1573007420369181</v>
      </c>
      <c r="M33" s="1088">
        <v>7980125400</v>
      </c>
      <c r="N33" s="1111">
        <f t="shared" si="5"/>
        <v>0.32002105847120044</v>
      </c>
      <c r="O33" s="1088">
        <f>+'Ingresos 2022'!AE34</f>
        <v>9426916500</v>
      </c>
      <c r="P33" s="1111">
        <f t="shared" si="30"/>
        <v>0.1812992938682392</v>
      </c>
      <c r="Q33" s="1088">
        <f>+'Ingresos 2023'!I34</f>
        <v>8999529162</v>
      </c>
      <c r="R33" s="1088">
        <f>+'Ingresos 2023'!J34</f>
        <v>10499529162</v>
      </c>
      <c r="S33" s="1088">
        <f>+'Ingresos 2023'!K34</f>
        <v>5230513800</v>
      </c>
      <c r="T33" s="1088">
        <f>+'Recaudo Julio Dic 2022'!E21</f>
        <v>4765658850</v>
      </c>
      <c r="U33" s="1088">
        <f t="shared" si="16"/>
        <v>9996172650</v>
      </c>
      <c r="V33" s="1111">
        <f t="shared" si="17"/>
        <v>6.0386251432268438E-2</v>
      </c>
      <c r="W33" s="1111">
        <f t="shared" si="18"/>
        <v>0.18723553459056938</v>
      </c>
      <c r="X33" s="1088"/>
    </row>
    <row r="34" spans="1:24" s="54" customFormat="1" x14ac:dyDescent="0.25">
      <c r="A34" s="1139" t="s">
        <v>1048</v>
      </c>
      <c r="B34" s="890">
        <f t="shared" ref="B34:K34" si="32">+B35+B39+B45+B48+B49</f>
        <v>35339382005</v>
      </c>
      <c r="C34" s="890">
        <f t="shared" si="32"/>
        <v>30761639718</v>
      </c>
      <c r="D34" s="1112">
        <f t="shared" si="1"/>
        <v>-0.1295365687592476</v>
      </c>
      <c r="E34" s="890">
        <f t="shared" si="32"/>
        <v>25973507558.080002</v>
      </c>
      <c r="F34" s="1112">
        <f t="shared" si="2"/>
        <v>-0.15565269614409566</v>
      </c>
      <c r="G34" s="890">
        <f t="shared" si="32"/>
        <v>27166513203.050003</v>
      </c>
      <c r="H34" s="1112">
        <f t="shared" si="3"/>
        <v>4.5931634081469046E-2</v>
      </c>
      <c r="I34" s="890">
        <f t="shared" si="32"/>
        <v>26268670990</v>
      </c>
      <c r="J34" s="1112">
        <f t="shared" si="9"/>
        <v>-3.3049593311415527E-2</v>
      </c>
      <c r="K34" s="890">
        <f t="shared" si="32"/>
        <v>20928034348.529999</v>
      </c>
      <c r="L34" s="1112">
        <f t="shared" si="4"/>
        <v>-0.20330821622087708</v>
      </c>
      <c r="M34" s="1089">
        <f>+M35+M39+M45+M48+M49</f>
        <v>25502008100</v>
      </c>
      <c r="N34" s="1112">
        <f t="shared" si="5"/>
        <v>0.21855725555951605</v>
      </c>
      <c r="O34" s="1089">
        <f>+O35+O39+O45+O48+O49</f>
        <v>19771457000</v>
      </c>
      <c r="P34" s="1112">
        <f t="shared" ref="P34:P54" si="33">+(O34-M34)/M34</f>
        <v>-0.22470979844132352</v>
      </c>
      <c r="Q34" s="1089">
        <f t="shared" ref="Q34:S34" si="34">+Q35+Q39+Q45+Q48+Q49</f>
        <v>29902325012</v>
      </c>
      <c r="R34" s="1089">
        <f t="shared" si="34"/>
        <v>29902325012</v>
      </c>
      <c r="S34" s="1089">
        <f t="shared" si="34"/>
        <v>18657762597.959999</v>
      </c>
      <c r="T34" s="1088">
        <f>+T35+T39+T45+T48+T49</f>
        <v>11493298500</v>
      </c>
      <c r="U34" s="1088">
        <f t="shared" si="16"/>
        <v>30151061097.959999</v>
      </c>
      <c r="V34" s="1111">
        <f t="shared" si="17"/>
        <v>0.52497922120559948</v>
      </c>
      <c r="W34" s="1111">
        <f t="shared" si="18"/>
        <v>0.17294222610793067</v>
      </c>
      <c r="X34" s="1089">
        <f>+X35+X39+X45+X48+X49</f>
        <v>0</v>
      </c>
    </row>
    <row r="35" spans="1:24" s="54" customFormat="1" x14ac:dyDescent="0.25">
      <c r="A35" s="751" t="s">
        <v>1049</v>
      </c>
      <c r="B35" s="888">
        <v>11403197500</v>
      </c>
      <c r="C35" s="888">
        <f t="shared" ref="C35:I35" si="35">SUM(C36:C38)</f>
        <v>10458539226</v>
      </c>
      <c r="D35" s="1110">
        <f t="shared" si="1"/>
        <v>-8.284152528271127E-2</v>
      </c>
      <c r="E35" s="888">
        <f t="shared" si="35"/>
        <v>10153842971.08</v>
      </c>
      <c r="F35" s="1110">
        <f t="shared" si="2"/>
        <v>-2.9133729705055091E-2</v>
      </c>
      <c r="G35" s="888">
        <f t="shared" si="35"/>
        <v>10604713000.050001</v>
      </c>
      <c r="H35" s="1110">
        <f t="shared" si="3"/>
        <v>4.4403880408054514E-2</v>
      </c>
      <c r="I35" s="888">
        <f t="shared" si="35"/>
        <v>9996886200</v>
      </c>
      <c r="J35" s="1110">
        <f t="shared" si="9"/>
        <v>-5.7316666660110011E-2</v>
      </c>
      <c r="K35" s="888">
        <f t="shared" ref="K35" si="36">SUM(K36:K38)</f>
        <v>6509027408</v>
      </c>
      <c r="L35" s="1110">
        <f t="shared" si="4"/>
        <v>-0.34889451797500703</v>
      </c>
      <c r="M35" s="1087">
        <f>SUM(M36:M38)</f>
        <v>8768407000</v>
      </c>
      <c r="N35" s="1110">
        <f t="shared" si="5"/>
        <v>0.34711477619883452</v>
      </c>
      <c r="O35" s="1087">
        <f>SUM(O36:O38)</f>
        <v>11568804600</v>
      </c>
      <c r="P35" s="1110">
        <f t="shared" si="33"/>
        <v>0.31937358747147571</v>
      </c>
      <c r="Q35" s="1118">
        <f t="shared" ref="Q35:S35" si="37">SUM(Q36:Q38)</f>
        <v>10529744160</v>
      </c>
      <c r="R35" s="1118">
        <f t="shared" si="37"/>
        <v>10529744160</v>
      </c>
      <c r="S35" s="1118">
        <f t="shared" si="37"/>
        <v>6231426849</v>
      </c>
      <c r="T35" s="1088">
        <f>SUM(T36:T38)</f>
        <v>6636611700</v>
      </c>
      <c r="U35" s="1088">
        <f t="shared" si="16"/>
        <v>12868038549</v>
      </c>
      <c r="V35" s="1111">
        <f t="shared" si="17"/>
        <v>0.1123049436758574</v>
      </c>
      <c r="W35" s="1111">
        <f t="shared" si="18"/>
        <v>0.25959776911538923</v>
      </c>
      <c r="X35" s="1087">
        <f>SUM(X36:X38)</f>
        <v>0</v>
      </c>
    </row>
    <row r="36" spans="1:24" x14ac:dyDescent="0.25">
      <c r="A36" s="1141" t="s">
        <v>1050</v>
      </c>
      <c r="B36" s="898">
        <v>0</v>
      </c>
      <c r="C36" s="898">
        <v>6798050496.8699999</v>
      </c>
      <c r="D36" s="1111"/>
      <c r="E36" s="898">
        <v>6599997931.1999998</v>
      </c>
      <c r="F36" s="1111">
        <f t="shared" si="2"/>
        <v>-2.9133729701064835E-2</v>
      </c>
      <c r="G36" s="898">
        <v>6893063450.0299997</v>
      </c>
      <c r="H36" s="1111">
        <f t="shared" si="3"/>
        <v>4.4403880407992077E-2</v>
      </c>
      <c r="I36" s="898">
        <v>6497976030</v>
      </c>
      <c r="J36" s="1111">
        <f t="shared" si="9"/>
        <v>-5.7316666659767979E-2</v>
      </c>
      <c r="K36" s="898">
        <v>4230867815.1900001</v>
      </c>
      <c r="L36" s="1111">
        <f t="shared" si="4"/>
        <v>-0.34889451797654597</v>
      </c>
      <c r="M36" s="1088">
        <v>5472692270</v>
      </c>
      <c r="N36" s="1111">
        <f t="shared" si="5"/>
        <v>0.29351530443742591</v>
      </c>
      <c r="O36" s="1088">
        <f>+'Ingresos 2022'!AE41</f>
        <v>5784402299.9899998</v>
      </c>
      <c r="P36" s="1111">
        <f t="shared" si="33"/>
        <v>5.6957346514570198E-2</v>
      </c>
      <c r="Q36" s="1088">
        <f>+'Ingresos 2023'!I41</f>
        <v>5264872080</v>
      </c>
      <c r="R36" s="1088">
        <f>+'Ingresos 2023'!J41</f>
        <v>5264872080</v>
      </c>
      <c r="S36" s="1088">
        <f>+'Ingresos 2023'!K41</f>
        <v>3115718574.5</v>
      </c>
      <c r="T36" s="1088">
        <f>+'Recaudo Julio Dic 2022'!E25</f>
        <v>3318305849.9899998</v>
      </c>
      <c r="U36" s="1088">
        <f t="shared" si="16"/>
        <v>6434024424.4899998</v>
      </c>
      <c r="V36" s="1111">
        <f t="shared" si="17"/>
        <v>0.11230583400140116</v>
      </c>
      <c r="W36" s="1111">
        <f t="shared" si="18"/>
        <v>0.15425949498446576</v>
      </c>
      <c r="X36" s="1088"/>
    </row>
    <row r="37" spans="1:24" x14ac:dyDescent="0.25">
      <c r="A37" s="1141" t="s">
        <v>1051</v>
      </c>
      <c r="B37" s="898">
        <v>0</v>
      </c>
      <c r="C37" s="898">
        <v>2091707845.1900001</v>
      </c>
      <c r="D37" s="1111"/>
      <c r="E37" s="898">
        <v>2030768594.23</v>
      </c>
      <c r="F37" s="1111">
        <f t="shared" si="2"/>
        <v>-2.9133729693720505E-2</v>
      </c>
      <c r="G37" s="898">
        <v>2120942599.99</v>
      </c>
      <c r="H37" s="1111">
        <f t="shared" si="3"/>
        <v>4.4403880391005839E-2</v>
      </c>
      <c r="I37" s="898">
        <v>1999377240</v>
      </c>
      <c r="J37" s="1111">
        <f t="shared" si="9"/>
        <v>-5.7316666651220628E-2</v>
      </c>
      <c r="K37" s="898">
        <v>1301805481.5999999</v>
      </c>
      <c r="L37" s="1111">
        <f t="shared" si="4"/>
        <v>-0.34889451797500709</v>
      </c>
      <c r="M37" s="1088">
        <v>1753681400</v>
      </c>
      <c r="N37" s="1111">
        <f t="shared" si="5"/>
        <v>0.34711477619883463</v>
      </c>
      <c r="O37" s="1088">
        <f>+'Ingresos 2022'!AE42</f>
        <v>2315471970</v>
      </c>
      <c r="P37" s="1111">
        <f t="shared" si="33"/>
        <v>0.3203492778106673</v>
      </c>
      <c r="Q37" s="1088">
        <f>+'Ingresos 2023'!I42</f>
        <v>2105948832</v>
      </c>
      <c r="R37" s="1088">
        <f>+'Ingresos 2023'!J42</f>
        <v>2105948832</v>
      </c>
      <c r="S37" s="1088">
        <f>+'Ingresos 2023'!K42</f>
        <v>1246321064.8</v>
      </c>
      <c r="T37" s="1088">
        <f>+'Recaudo Julio Dic 2022'!E26</f>
        <v>1329033390</v>
      </c>
      <c r="U37" s="1088">
        <f t="shared" si="16"/>
        <v>2575354454.8000002</v>
      </c>
      <c r="V37" s="1111">
        <f t="shared" si="17"/>
        <v>0.11223737024983299</v>
      </c>
      <c r="W37" s="1111">
        <f t="shared" si="18"/>
        <v>0.25990047475311168</v>
      </c>
      <c r="X37" s="1088"/>
    </row>
    <row r="38" spans="1:24" x14ac:dyDescent="0.25">
      <c r="A38" s="1141" t="s">
        <v>1052</v>
      </c>
      <c r="B38" s="898">
        <v>0</v>
      </c>
      <c r="C38" s="898">
        <v>1568780883.9400001</v>
      </c>
      <c r="D38" s="1111"/>
      <c r="E38" s="898">
        <v>1523076445.6500001</v>
      </c>
      <c r="F38" s="1111">
        <f t="shared" si="2"/>
        <v>-2.913372973745898E-2</v>
      </c>
      <c r="G38" s="898">
        <v>1590706950.03</v>
      </c>
      <c r="H38" s="1111">
        <f t="shared" si="3"/>
        <v>4.4403880431055677E-2</v>
      </c>
      <c r="I38" s="898">
        <v>1499532930</v>
      </c>
      <c r="J38" s="1111">
        <f t="shared" si="9"/>
        <v>-5.7316666673443824E-2</v>
      </c>
      <c r="K38" s="898">
        <v>976354111.21000004</v>
      </c>
      <c r="L38" s="1111">
        <f t="shared" si="4"/>
        <v>-0.34889451796833831</v>
      </c>
      <c r="M38" s="1088">
        <v>1542033330</v>
      </c>
      <c r="N38" s="1111">
        <f t="shared" si="5"/>
        <v>0.57937915382867711</v>
      </c>
      <c r="O38" s="1088">
        <f>+'Ingresos 2022'!AE43</f>
        <v>3468930330.0100002</v>
      </c>
      <c r="P38" s="1111">
        <f t="shared" si="33"/>
        <v>1.2495819399766153</v>
      </c>
      <c r="Q38" s="1088">
        <f>+'Ingresos 2023'!I43</f>
        <v>3158923248</v>
      </c>
      <c r="R38" s="1088">
        <f>+'Ingresos 2023'!J43</f>
        <v>3158923248</v>
      </c>
      <c r="S38" s="1088">
        <f>+'Ingresos 2023'!K43</f>
        <v>1869387209.7</v>
      </c>
      <c r="T38" s="1088">
        <f>+'Recaudo Julio Dic 2022'!E27</f>
        <v>1989272460.01</v>
      </c>
      <c r="U38" s="1088">
        <f t="shared" si="16"/>
        <v>3858659669.71</v>
      </c>
      <c r="V38" s="1111">
        <f t="shared" si="17"/>
        <v>0.11234856356970314</v>
      </c>
      <c r="W38" s="1111">
        <f t="shared" si="18"/>
        <v>0.64710321912499857</v>
      </c>
      <c r="X38" s="1088"/>
    </row>
    <row r="39" spans="1:24" s="54" customFormat="1" x14ac:dyDescent="0.25">
      <c r="A39" s="751" t="s">
        <v>1053</v>
      </c>
      <c r="B39" s="887">
        <v>2289938416</v>
      </c>
      <c r="C39" s="887">
        <f t="shared" ref="C39:S39" si="38">SUM(C40:C44)</f>
        <v>1599285121</v>
      </c>
      <c r="D39" s="1109">
        <f t="shared" si="1"/>
        <v>-0.3016034362209678</v>
      </c>
      <c r="E39" s="887">
        <f t="shared" si="38"/>
        <v>1479244550</v>
      </c>
      <c r="F39" s="1109">
        <f t="shared" si="2"/>
        <v>-7.5058893141543834E-2</v>
      </c>
      <c r="G39" s="887">
        <f t="shared" si="38"/>
        <v>1829394900</v>
      </c>
      <c r="H39" s="1109">
        <f t="shared" si="3"/>
        <v>0.23670889982322396</v>
      </c>
      <c r="I39" s="887">
        <f t="shared" si="38"/>
        <v>1746077600</v>
      </c>
      <c r="J39" s="1109">
        <f t="shared" si="9"/>
        <v>-4.554363850035878E-2</v>
      </c>
      <c r="K39" s="887">
        <f t="shared" si="38"/>
        <v>1613225012.71</v>
      </c>
      <c r="L39" s="1109">
        <f t="shared" si="4"/>
        <v>-7.6086301828738864E-2</v>
      </c>
      <c r="M39" s="1086">
        <f>SUM(M40:M44)</f>
        <v>1789523700</v>
      </c>
      <c r="N39" s="1109">
        <f t="shared" si="5"/>
        <v>0.10928338322367194</v>
      </c>
      <c r="O39" s="1086">
        <f>SUM(O40:O44)</f>
        <v>2436016500</v>
      </c>
      <c r="P39" s="1109">
        <f t="shared" si="33"/>
        <v>0.36126529087041431</v>
      </c>
      <c r="Q39" s="1098">
        <f t="shared" si="38"/>
        <v>2495471480</v>
      </c>
      <c r="R39" s="1098">
        <f t="shared" si="38"/>
        <v>2495471480</v>
      </c>
      <c r="S39" s="1098">
        <f t="shared" si="38"/>
        <v>1451564417.6900001</v>
      </c>
      <c r="T39" s="1088">
        <f>SUM(T40:T44)</f>
        <v>1413746800</v>
      </c>
      <c r="U39" s="1088">
        <f t="shared" si="16"/>
        <v>2865311217.6900001</v>
      </c>
      <c r="V39" s="1111">
        <f t="shared" si="17"/>
        <v>0.17622816499395635</v>
      </c>
      <c r="W39" s="1111">
        <f t="shared" si="18"/>
        <v>0.21559227969601422</v>
      </c>
      <c r="X39" s="1086">
        <f>SUM(X40:X44)</f>
        <v>0</v>
      </c>
    </row>
    <row r="40" spans="1:24" x14ac:dyDescent="0.25">
      <c r="A40" s="1141" t="s">
        <v>1054</v>
      </c>
      <c r="B40" s="898">
        <v>0</v>
      </c>
      <c r="C40" s="898">
        <v>319857024.24000001</v>
      </c>
      <c r="D40" s="1111"/>
      <c r="E40" s="898">
        <v>295848910.00999999</v>
      </c>
      <c r="F40" s="1111">
        <f t="shared" si="2"/>
        <v>-7.5058893225949247E-2</v>
      </c>
      <c r="G40" s="898">
        <v>365878980.06</v>
      </c>
      <c r="H40" s="1111">
        <f t="shared" si="3"/>
        <v>0.23670889998422817</v>
      </c>
      <c r="I40" s="898">
        <v>349215520</v>
      </c>
      <c r="J40" s="1111">
        <f t="shared" si="9"/>
        <v>-4.5543638656878799E-2</v>
      </c>
      <c r="K40" s="898">
        <v>322645002.11000001</v>
      </c>
      <c r="L40" s="1111">
        <f t="shared" si="4"/>
        <v>-7.6086303065797264E-2</v>
      </c>
      <c r="M40" s="1088">
        <v>357904740</v>
      </c>
      <c r="N40" s="1111">
        <f t="shared" si="5"/>
        <v>0.1092833847089279</v>
      </c>
      <c r="O40" s="1088">
        <f>+'Ingresos 2022'!AE45</f>
        <v>487203300</v>
      </c>
      <c r="P40" s="1111">
        <f t="shared" si="33"/>
        <v>0.36126529087041431</v>
      </c>
      <c r="Q40" s="1088">
        <f>+'Ingresos 2023'!I48</f>
        <v>499094296</v>
      </c>
      <c r="R40" s="1088">
        <f>+'Ingresos 2023'!J48</f>
        <v>499094296</v>
      </c>
      <c r="S40" s="1088">
        <f>+'Ingresos 2023'!K48</f>
        <v>290312883.56</v>
      </c>
      <c r="T40" s="1088">
        <f>+'Recaudo Julio Dic 2022'!E28</f>
        <v>282749359.99000001</v>
      </c>
      <c r="U40" s="1088">
        <f t="shared" si="16"/>
        <v>573062243.54999995</v>
      </c>
      <c r="V40" s="1111">
        <f t="shared" si="17"/>
        <v>0.1762281650185866</v>
      </c>
      <c r="W40" s="1111">
        <f t="shared" si="18"/>
        <v>0.21559228019930962</v>
      </c>
      <c r="X40" s="1088"/>
    </row>
    <row r="41" spans="1:24" x14ac:dyDescent="0.25">
      <c r="A41" s="1141" t="s">
        <v>1055</v>
      </c>
      <c r="B41" s="898">
        <v>0</v>
      </c>
      <c r="C41" s="898">
        <v>159928512.06</v>
      </c>
      <c r="D41" s="1111"/>
      <c r="E41" s="898">
        <v>147924455</v>
      </c>
      <c r="F41" s="1111">
        <f t="shared" si="2"/>
        <v>-7.5058892910205205E-2</v>
      </c>
      <c r="G41" s="898">
        <v>182939489.97</v>
      </c>
      <c r="H41" s="1111">
        <f t="shared" si="3"/>
        <v>0.23670889962041772</v>
      </c>
      <c r="I41" s="898">
        <v>174607760</v>
      </c>
      <c r="J41" s="1111">
        <f t="shared" si="9"/>
        <v>-4.554363834383876E-2</v>
      </c>
      <c r="K41" s="898">
        <v>161322501.40000001</v>
      </c>
      <c r="L41" s="1111">
        <f t="shared" si="4"/>
        <v>-7.6086301089940064E-2</v>
      </c>
      <c r="M41" s="1088">
        <v>178952369.99000001</v>
      </c>
      <c r="N41" s="1111">
        <f t="shared" si="5"/>
        <v>0.10928338227465646</v>
      </c>
      <c r="O41" s="1088">
        <f>+'Ingresos 2022'!AE46</f>
        <v>243601650</v>
      </c>
      <c r="P41" s="1111">
        <f t="shared" si="33"/>
        <v>0.3612652909464828</v>
      </c>
      <c r="Q41" s="1088">
        <f>+'Ingresos 2023'!I49</f>
        <v>249547148</v>
      </c>
      <c r="R41" s="1088">
        <f>+'Ingresos 2023'!J49</f>
        <v>249547148</v>
      </c>
      <c r="S41" s="1088">
        <f>+'Ingresos 2023'!K49</f>
        <v>145156441.75999999</v>
      </c>
      <c r="T41" s="1088">
        <f>+'Recaudo Julio Dic 2022'!E29</f>
        <v>141374680.00999999</v>
      </c>
      <c r="U41" s="1088">
        <f t="shared" si="16"/>
        <v>286531121.76999998</v>
      </c>
      <c r="V41" s="1111">
        <f t="shared" si="17"/>
        <v>0.17622816499806129</v>
      </c>
      <c r="W41" s="1111">
        <f t="shared" si="18"/>
        <v>0.21559227940640022</v>
      </c>
      <c r="X41" s="1088"/>
    </row>
    <row r="42" spans="1:24" x14ac:dyDescent="0.25">
      <c r="A42" s="1141" t="s">
        <v>1056</v>
      </c>
      <c r="B42" s="898">
        <v>0</v>
      </c>
      <c r="C42" s="898">
        <v>159928512.06</v>
      </c>
      <c r="D42" s="1111"/>
      <c r="E42" s="898">
        <v>147924455</v>
      </c>
      <c r="F42" s="1111">
        <f t="shared" si="2"/>
        <v>-7.5058892910205205E-2</v>
      </c>
      <c r="G42" s="898">
        <v>182939489.97</v>
      </c>
      <c r="H42" s="1111">
        <f t="shared" si="3"/>
        <v>0.23670889962041772</v>
      </c>
      <c r="I42" s="898">
        <v>174607760</v>
      </c>
      <c r="J42" s="1111">
        <f t="shared" si="9"/>
        <v>-4.554363834383876E-2</v>
      </c>
      <c r="K42" s="898">
        <v>161322501.40000001</v>
      </c>
      <c r="L42" s="1111">
        <f t="shared" si="4"/>
        <v>-7.6086301089940064E-2</v>
      </c>
      <c r="M42" s="1088">
        <v>178952369.99000001</v>
      </c>
      <c r="N42" s="1111">
        <f t="shared" si="5"/>
        <v>0.10928338227465646</v>
      </c>
      <c r="O42" s="1088">
        <f>+'Ingresos 2022'!AE47</f>
        <v>243704770</v>
      </c>
      <c r="P42" s="1111">
        <f t="shared" si="33"/>
        <v>0.36184153366406047</v>
      </c>
      <c r="Q42" s="1088">
        <f>+'Ingresos 2023'!I50</f>
        <v>249547148</v>
      </c>
      <c r="R42" s="1088">
        <f>+'Ingresos 2023'!J50</f>
        <v>249547148</v>
      </c>
      <c r="S42" s="1088">
        <f>+'Ingresos 2023'!K50</f>
        <v>145162281.75999999</v>
      </c>
      <c r="T42" s="1088">
        <f>+'Recaudo Julio Dic 2022'!E30</f>
        <v>141477800.00999999</v>
      </c>
      <c r="U42" s="1088">
        <f t="shared" si="16"/>
        <v>286640081.76999998</v>
      </c>
      <c r="V42" s="1111">
        <f t="shared" si="17"/>
        <v>0.17617756012736221</v>
      </c>
      <c r="W42" s="1111">
        <f t="shared" si="18"/>
        <v>0.21576749202202639</v>
      </c>
      <c r="X42" s="1088"/>
    </row>
    <row r="43" spans="1:24" x14ac:dyDescent="0.25">
      <c r="A43" s="1141" t="s">
        <v>1057</v>
      </c>
      <c r="B43" s="898">
        <v>0</v>
      </c>
      <c r="C43" s="898">
        <v>799642560.58000004</v>
      </c>
      <c r="D43" s="1111"/>
      <c r="E43" s="898">
        <v>739622275</v>
      </c>
      <c r="F43" s="1111">
        <f t="shared" si="2"/>
        <v>-7.5058893234079341E-2</v>
      </c>
      <c r="G43" s="898">
        <v>914697450.01999998</v>
      </c>
      <c r="H43" s="1111">
        <f t="shared" si="3"/>
        <v>0.23670889985026475</v>
      </c>
      <c r="I43" s="898">
        <v>873038800</v>
      </c>
      <c r="J43" s="1111">
        <f t="shared" si="9"/>
        <v>-4.5543638521228093E-2</v>
      </c>
      <c r="K43" s="898">
        <v>806612506.39999998</v>
      </c>
      <c r="L43" s="1111">
        <f t="shared" si="4"/>
        <v>-7.6086301777194804E-2</v>
      </c>
      <c r="M43" s="1088">
        <v>894761850.03999996</v>
      </c>
      <c r="N43" s="1111">
        <f t="shared" si="5"/>
        <v>0.10928338321137639</v>
      </c>
      <c r="O43" s="1088">
        <f>+'Ingresos 2022'!AE48</f>
        <v>1217905130</v>
      </c>
      <c r="P43" s="1111">
        <f t="shared" si="33"/>
        <v>0.36115004226605557</v>
      </c>
      <c r="Q43" s="1088">
        <f>+'Ingresos 2023'!I51</f>
        <v>1247735740</v>
      </c>
      <c r="R43" s="1088">
        <f>+'Ingresos 2023'!J51</f>
        <v>1247735740</v>
      </c>
      <c r="S43" s="1088">
        <f>+'Ingresos 2023'!K51</f>
        <v>725776368.86000001</v>
      </c>
      <c r="T43" s="1088">
        <f>+'Recaudo Julio Dic 2022'!E31</f>
        <v>706770279.98000002</v>
      </c>
      <c r="U43" s="1088">
        <f t="shared" si="16"/>
        <v>1432546648.8400002</v>
      </c>
      <c r="V43" s="1111">
        <f t="shared" si="17"/>
        <v>0.17623829110564643</v>
      </c>
      <c r="W43" s="1111">
        <f t="shared" si="18"/>
        <v>0.21555723886102615</v>
      </c>
      <c r="X43" s="1088"/>
    </row>
    <row r="44" spans="1:24" x14ac:dyDescent="0.25">
      <c r="A44" s="1141" t="s">
        <v>1058</v>
      </c>
      <c r="B44" s="898">
        <v>0</v>
      </c>
      <c r="C44" s="898">
        <v>159928512.06</v>
      </c>
      <c r="D44" s="1111"/>
      <c r="E44" s="898">
        <v>147924454.99000001</v>
      </c>
      <c r="F44" s="1111">
        <f t="shared" si="2"/>
        <v>-7.5058892972733091E-2</v>
      </c>
      <c r="G44" s="898">
        <v>182939489.97999999</v>
      </c>
      <c r="H44" s="1111">
        <f t="shared" si="3"/>
        <v>0.23670889977162374</v>
      </c>
      <c r="I44" s="898">
        <v>174607760</v>
      </c>
      <c r="J44" s="1111">
        <f t="shared" si="9"/>
        <v>-4.5543638396012047E-2</v>
      </c>
      <c r="K44" s="898">
        <v>161322501.40000001</v>
      </c>
      <c r="L44" s="1111">
        <f t="shared" si="4"/>
        <v>-7.6086301089940064E-2</v>
      </c>
      <c r="M44" s="1088">
        <v>178952369.97999999</v>
      </c>
      <c r="N44" s="1111">
        <f t="shared" si="5"/>
        <v>0.10928338221266871</v>
      </c>
      <c r="O44" s="1088">
        <f>+'Ingresos 2022'!AE49</f>
        <v>243601650</v>
      </c>
      <c r="P44" s="1111">
        <f t="shared" si="33"/>
        <v>0.36126529102255156</v>
      </c>
      <c r="Q44" s="1088">
        <f>+'Ingresos 2023'!I52</f>
        <v>249547148</v>
      </c>
      <c r="R44" s="1088">
        <f>+'Ingresos 2023'!J52</f>
        <v>249547148</v>
      </c>
      <c r="S44" s="1088">
        <f>+'Ingresos 2023'!K52</f>
        <v>145156441.75</v>
      </c>
      <c r="T44" s="1088">
        <f>+'Recaudo Julio Dic 2022'!E32</f>
        <v>141374680.00999999</v>
      </c>
      <c r="U44" s="1088">
        <f t="shared" si="16"/>
        <v>286531121.75999999</v>
      </c>
      <c r="V44" s="1111">
        <f t="shared" si="17"/>
        <v>0.17622816495701071</v>
      </c>
      <c r="W44" s="1111">
        <f t="shared" si="18"/>
        <v>0.21559227939741035</v>
      </c>
      <c r="X44" s="1088"/>
    </row>
    <row r="45" spans="1:24" s="54" customFormat="1" x14ac:dyDescent="0.25">
      <c r="A45" s="751" t="s">
        <v>1059</v>
      </c>
      <c r="B45" s="887">
        <v>5579890950</v>
      </c>
      <c r="C45" s="887">
        <f>SUM(C46:C47)</f>
        <v>3908511362</v>
      </c>
      <c r="D45" s="1109">
        <f t="shared" si="1"/>
        <v>-0.29953624595477085</v>
      </c>
      <c r="E45" s="887">
        <f>SUM(E46:E47)</f>
        <v>3579000900</v>
      </c>
      <c r="F45" s="1109">
        <f t="shared" si="2"/>
        <v>-8.4305872871094395E-2</v>
      </c>
      <c r="G45" s="887">
        <f>SUM(G46:G47)</f>
        <v>4454135799</v>
      </c>
      <c r="H45" s="1109">
        <f t="shared" si="3"/>
        <v>0.24451932912338747</v>
      </c>
      <c r="I45" s="887">
        <f>SUM(I46:I47)</f>
        <v>4141927200</v>
      </c>
      <c r="J45" s="1109">
        <f t="shared" si="9"/>
        <v>-7.0094090770670733E-2</v>
      </c>
      <c r="K45" s="887">
        <f t="shared" ref="K45:S45" si="39">SUM(K46:K47)</f>
        <v>4130204789.8299999</v>
      </c>
      <c r="L45" s="1109">
        <f t="shared" si="4"/>
        <v>-2.8301825705676518E-3</v>
      </c>
      <c r="M45" s="1086">
        <f>SUM(M46:M47)</f>
        <v>4277599200</v>
      </c>
      <c r="N45" s="1109">
        <f t="shared" si="5"/>
        <v>3.5686949599433027E-2</v>
      </c>
      <c r="O45" s="1086">
        <f>SUM(O46:O47)</f>
        <v>5766635900</v>
      </c>
      <c r="P45" s="1109">
        <f t="shared" si="33"/>
        <v>0.34810103293454892</v>
      </c>
      <c r="Q45" s="1098">
        <f t="shared" si="39"/>
        <v>5507579280</v>
      </c>
      <c r="R45" s="1098">
        <f t="shared" si="39"/>
        <v>5507579280</v>
      </c>
      <c r="S45" s="1098">
        <f t="shared" si="39"/>
        <v>3433911311.1700001</v>
      </c>
      <c r="T45" s="1088">
        <f>SUM(T46:T47)</f>
        <v>3442940000</v>
      </c>
      <c r="U45" s="1088">
        <f t="shared" si="16"/>
        <v>6876851311.1700001</v>
      </c>
      <c r="V45" s="1111">
        <f t="shared" si="17"/>
        <v>0.19252393083634778</v>
      </c>
      <c r="W45" s="1111">
        <f t="shared" si="18"/>
        <v>0.19210397112344321</v>
      </c>
      <c r="X45" s="1086">
        <f>SUM(X46:X47)</f>
        <v>0</v>
      </c>
    </row>
    <row r="46" spans="1:24" x14ac:dyDescent="0.25">
      <c r="A46" s="1141" t="s">
        <v>1060</v>
      </c>
      <c r="B46" s="898">
        <v>0</v>
      </c>
      <c r="C46" s="898">
        <v>3126809089.6199999</v>
      </c>
      <c r="D46" s="1111"/>
      <c r="E46" s="898">
        <v>2863200720</v>
      </c>
      <c r="F46" s="1111">
        <f t="shared" si="2"/>
        <v>-8.4305872876951418E-2</v>
      </c>
      <c r="G46" s="898">
        <v>3563308639.25</v>
      </c>
      <c r="H46" s="1111">
        <f t="shared" si="3"/>
        <v>0.24451932914085045</v>
      </c>
      <c r="I46" s="898">
        <v>3313541760</v>
      </c>
      <c r="J46" s="1111">
        <f t="shared" si="9"/>
        <v>-7.0094090783719074E-2</v>
      </c>
      <c r="K46" s="898">
        <v>3304163831.8299999</v>
      </c>
      <c r="L46" s="1111">
        <f t="shared" si="4"/>
        <v>-2.8301825808285802E-3</v>
      </c>
      <c r="M46" s="1088">
        <v>3422079359.2399998</v>
      </c>
      <c r="N46" s="1111">
        <f t="shared" si="5"/>
        <v>3.5686949380077417E-2</v>
      </c>
      <c r="O46" s="1088">
        <f>+'Ingresos 2022'!AE38</f>
        <v>4613921360.6999998</v>
      </c>
      <c r="P46" s="1111">
        <f t="shared" si="33"/>
        <v>0.34828005909386417</v>
      </c>
      <c r="Q46" s="1088">
        <f>+'Ingresos 2023'!I38</f>
        <v>4406063424</v>
      </c>
      <c r="R46" s="1088">
        <f>+'Ingresos 2023'!J38</f>
        <v>4406063424</v>
      </c>
      <c r="S46" s="1088">
        <f>+'Ingresos 2023'!K38</f>
        <v>2747129048.9299998</v>
      </c>
      <c r="T46" s="1088">
        <f>+'Recaudo Julio Dic 2022'!E23</f>
        <v>2754964640</v>
      </c>
      <c r="U46" s="1088">
        <f t="shared" si="16"/>
        <v>5502093688.9300003</v>
      </c>
      <c r="V46" s="1111">
        <f t="shared" si="17"/>
        <v>0.19249836717963734</v>
      </c>
      <c r="W46" s="1111">
        <f t="shared" si="18"/>
        <v>0.19215512521785963</v>
      </c>
      <c r="X46" s="1088"/>
    </row>
    <row r="47" spans="1:24" x14ac:dyDescent="0.25">
      <c r="A47" s="1141" t="s">
        <v>1061</v>
      </c>
      <c r="B47" s="898">
        <v>0</v>
      </c>
      <c r="C47" s="898">
        <v>781702272.38</v>
      </c>
      <c r="D47" s="1111"/>
      <c r="E47" s="898">
        <v>715800180</v>
      </c>
      <c r="F47" s="1111">
        <f t="shared" si="2"/>
        <v>-8.4305872847666177E-2</v>
      </c>
      <c r="G47" s="898">
        <v>890827159.75</v>
      </c>
      <c r="H47" s="1111">
        <f t="shared" si="3"/>
        <v>0.24451932905353557</v>
      </c>
      <c r="I47" s="898">
        <v>828385440</v>
      </c>
      <c r="J47" s="1111">
        <f t="shared" si="9"/>
        <v>-7.0094090718477331E-2</v>
      </c>
      <c r="K47" s="898">
        <v>826040958</v>
      </c>
      <c r="L47" s="1111">
        <f t="shared" si="4"/>
        <v>-2.8301825295239374E-3</v>
      </c>
      <c r="M47" s="1088">
        <v>855519840.75999999</v>
      </c>
      <c r="N47" s="1111">
        <f t="shared" si="5"/>
        <v>3.5686950476855155E-2</v>
      </c>
      <c r="O47" s="1088">
        <f>+'Ingresos 2022'!AE39</f>
        <v>1152714539.3</v>
      </c>
      <c r="P47" s="1111">
        <f t="shared" si="33"/>
        <v>0.34738492829808298</v>
      </c>
      <c r="Q47" s="1088">
        <f>+'Ingresos 2023'!I39</f>
        <v>1101515856</v>
      </c>
      <c r="R47" s="1088">
        <f>+'Ingresos 2023'!J39</f>
        <v>1101515856</v>
      </c>
      <c r="S47" s="1088">
        <f>+'Ingresos 2023'!K39</f>
        <v>686782262.24000001</v>
      </c>
      <c r="T47" s="1088">
        <f>+'Recaudo Julio Dic 2022'!E24</f>
        <v>687975360</v>
      </c>
      <c r="U47" s="1088">
        <f t="shared" si="16"/>
        <v>1374757622.24</v>
      </c>
      <c r="V47" s="1111">
        <f t="shared" si="17"/>
        <v>0.19262625339560516</v>
      </c>
      <c r="W47" s="1111">
        <f t="shared" si="18"/>
        <v>0.19189937739018106</v>
      </c>
      <c r="X47" s="1088"/>
    </row>
    <row r="48" spans="1:24" s="54" customFormat="1" x14ac:dyDescent="0.25">
      <c r="A48" s="751" t="s">
        <v>1062</v>
      </c>
      <c r="B48" s="887">
        <v>15422931239</v>
      </c>
      <c r="C48" s="887">
        <v>14148929209</v>
      </c>
      <c r="D48" s="1109">
        <f t="shared" si="1"/>
        <v>-8.2604403161600587E-2</v>
      </c>
      <c r="E48" s="887">
        <v>10219955337</v>
      </c>
      <c r="F48" s="1109">
        <f t="shared" si="2"/>
        <v>-0.27768701178466687</v>
      </c>
      <c r="G48" s="887">
        <v>9685315504</v>
      </c>
      <c r="H48" s="1109">
        <f t="shared" si="3"/>
        <v>-5.2313323822894511E-2</v>
      </c>
      <c r="I48" s="887">
        <v>9781893090</v>
      </c>
      <c r="J48" s="1109">
        <f t="shared" si="9"/>
        <v>9.971547747733546E-3</v>
      </c>
      <c r="K48" s="887">
        <v>8675577137.9899998</v>
      </c>
      <c r="L48" s="1109">
        <f t="shared" si="4"/>
        <v>-0.11309834832901453</v>
      </c>
      <c r="M48" s="1093">
        <v>10666478200</v>
      </c>
      <c r="N48" s="1111">
        <f t="shared" si="5"/>
        <v>0.22948341422634874</v>
      </c>
      <c r="O48" s="1093"/>
      <c r="P48" s="1109">
        <f t="shared" si="33"/>
        <v>-1</v>
      </c>
      <c r="Q48" s="1098">
        <f>+'Ingresos 2023'!I46</f>
        <v>11369530092</v>
      </c>
      <c r="R48" s="1098">
        <f>+'Ingresos 2023'!J46</f>
        <v>11369530092</v>
      </c>
      <c r="S48" s="1098">
        <f>+'Ingresos 2023'!K46</f>
        <v>7540860020.1000004</v>
      </c>
      <c r="T48" s="1088"/>
      <c r="U48" s="1088">
        <f t="shared" si="16"/>
        <v>7540860020.1000004</v>
      </c>
      <c r="V48" s="1111"/>
      <c r="W48" s="1111">
        <f t="shared" si="18"/>
        <v>-0.25683886192455041</v>
      </c>
      <c r="X48" s="1093"/>
    </row>
    <row r="49" spans="1:24" s="54" customFormat="1" x14ac:dyDescent="0.25">
      <c r="A49" s="751" t="s">
        <v>1063</v>
      </c>
      <c r="B49" s="887">
        <v>643423900</v>
      </c>
      <c r="C49" s="887">
        <v>646374800</v>
      </c>
      <c r="D49" s="1109">
        <f t="shared" si="1"/>
        <v>4.5862455528928904E-3</v>
      </c>
      <c r="E49" s="887">
        <v>541463800</v>
      </c>
      <c r="F49" s="1109">
        <f t="shared" si="2"/>
        <v>-0.16230676072148853</v>
      </c>
      <c r="G49" s="887">
        <v>592954000</v>
      </c>
      <c r="H49" s="1109">
        <f t="shared" si="3"/>
        <v>9.5094445833682692E-2</v>
      </c>
      <c r="I49" s="887">
        <v>601886900</v>
      </c>
      <c r="J49" s="1109">
        <f t="shared" si="9"/>
        <v>1.506508093376552E-2</v>
      </c>
      <c r="K49" s="887">
        <v>0</v>
      </c>
      <c r="L49" s="1109">
        <f t="shared" si="4"/>
        <v>-1</v>
      </c>
      <c r="M49" s="1093">
        <v>0</v>
      </c>
      <c r="N49" s="1111" t="e">
        <f t="shared" si="5"/>
        <v>#DIV/0!</v>
      </c>
      <c r="O49" s="1093">
        <v>0</v>
      </c>
      <c r="P49" s="1109" t="e">
        <f t="shared" si="33"/>
        <v>#DIV/0!</v>
      </c>
      <c r="Q49" s="1098"/>
      <c r="R49" s="1098"/>
      <c r="S49" s="1098"/>
      <c r="T49" s="1088">
        <v>0</v>
      </c>
      <c r="U49" s="1088">
        <f t="shared" si="16"/>
        <v>0</v>
      </c>
      <c r="V49" s="1111"/>
      <c r="W49" s="1111"/>
      <c r="X49" s="1093">
        <v>0</v>
      </c>
    </row>
    <row r="50" spans="1:24" s="54" customFormat="1" x14ac:dyDescent="0.25">
      <c r="A50" s="751" t="s">
        <v>1064</v>
      </c>
      <c r="B50" s="887"/>
      <c r="C50" s="887"/>
      <c r="D50" s="1109"/>
      <c r="E50" s="887"/>
      <c r="F50" s="1109"/>
      <c r="G50" s="887"/>
      <c r="H50" s="1109"/>
      <c r="I50" s="887"/>
      <c r="J50" s="1109"/>
      <c r="K50" s="887"/>
      <c r="L50" s="1109"/>
      <c r="M50" s="1093"/>
      <c r="N50" s="1111"/>
      <c r="O50" s="1093"/>
      <c r="P50" s="1109"/>
      <c r="Q50" s="1088">
        <f>+'Ingresos 2023'!I35</f>
        <v>3750000000</v>
      </c>
      <c r="R50" s="1088">
        <f>+'Ingresos 2023'!J35</f>
        <v>3750000000</v>
      </c>
      <c r="S50" s="1088">
        <f>+'Ingresos 2023'!K35</f>
        <v>2082325780.6400001</v>
      </c>
      <c r="T50" s="1088"/>
      <c r="U50" s="1088">
        <f t="shared" si="16"/>
        <v>2082325780.6400001</v>
      </c>
      <c r="V50" s="1111"/>
      <c r="W50" s="1111">
        <f t="shared" si="18"/>
        <v>0</v>
      </c>
      <c r="X50" s="1093"/>
    </row>
    <row r="51" spans="1:24" s="54" customFormat="1" x14ac:dyDescent="0.25">
      <c r="A51" s="750" t="s">
        <v>1065</v>
      </c>
      <c r="B51" s="887">
        <v>5894008780</v>
      </c>
      <c r="C51" s="887">
        <v>2141958658</v>
      </c>
      <c r="D51" s="1109">
        <v>-0.63658712805650075</v>
      </c>
      <c r="E51" s="887">
        <v>2318525351</v>
      </c>
      <c r="F51" s="1109">
        <v>8.2432353369912711E-2</v>
      </c>
      <c r="G51" s="887">
        <v>2514716632</v>
      </c>
      <c r="H51" s="1109">
        <v>8.4618993238689849E-2</v>
      </c>
      <c r="I51" s="887">
        <v>2591680073</v>
      </c>
      <c r="J51" s="1109">
        <v>3.0605214130543835E-2</v>
      </c>
      <c r="K51" s="887">
        <v>0</v>
      </c>
      <c r="L51" s="1109">
        <v>-1</v>
      </c>
      <c r="M51" s="1086">
        <v>2876730086</v>
      </c>
      <c r="N51" s="1111"/>
      <c r="O51" s="1086">
        <f>+O52</f>
        <v>2866923608</v>
      </c>
      <c r="P51" s="1109">
        <f t="shared" si="33"/>
        <v>-3.4088975005769797E-3</v>
      </c>
      <c r="Q51" s="1098">
        <v>2991799289</v>
      </c>
      <c r="R51" s="1098">
        <v>2866612086</v>
      </c>
      <c r="S51" s="1098">
        <v>2147235980</v>
      </c>
      <c r="T51" s="1088">
        <f>+T52</f>
        <v>1439375253</v>
      </c>
      <c r="U51" s="1088">
        <f t="shared" si="16"/>
        <v>3586611233</v>
      </c>
      <c r="V51" s="1111">
        <f t="shared" si="17"/>
        <v>0.25103132256183924</v>
      </c>
      <c r="W51" s="1111">
        <f t="shared" si="18"/>
        <v>8.2540808353754089E-2</v>
      </c>
      <c r="X51" s="1086">
        <f>+X52</f>
        <v>0</v>
      </c>
    </row>
    <row r="52" spans="1:24" s="54" customFormat="1" x14ac:dyDescent="0.25">
      <c r="A52" s="1141" t="s">
        <v>1066</v>
      </c>
      <c r="B52" s="898">
        <v>1895949147</v>
      </c>
      <c r="C52" s="898">
        <v>2141958658</v>
      </c>
      <c r="D52" s="1111">
        <v>0.12975533198728773</v>
      </c>
      <c r="E52" s="898">
        <v>2318525351</v>
      </c>
      <c r="F52" s="1111">
        <v>8.2432353369912711E-2</v>
      </c>
      <c r="G52" s="898">
        <v>2514716632</v>
      </c>
      <c r="H52" s="1111">
        <v>8.4618993238689849E-2</v>
      </c>
      <c r="I52" s="898">
        <v>2591680073</v>
      </c>
      <c r="J52" s="1111">
        <v>3.0605214130543835E-2</v>
      </c>
      <c r="K52" s="898">
        <v>0</v>
      </c>
      <c r="L52" s="1111">
        <v>-1</v>
      </c>
      <c r="M52" s="1088">
        <v>2876730086</v>
      </c>
      <c r="N52" s="1111"/>
      <c r="O52" s="1088">
        <f>+'Ingresos 2022'!AE95</f>
        <v>2866923608</v>
      </c>
      <c r="P52" s="1109">
        <f t="shared" si="33"/>
        <v>-3.4088975005769797E-3</v>
      </c>
      <c r="Q52" s="1088">
        <f>+'Ingresos 2023'!I97</f>
        <v>2952931316</v>
      </c>
      <c r="R52" s="1088">
        <f>+'Ingresos 2023'!J97</f>
        <v>3701046884</v>
      </c>
      <c r="S52" s="1088">
        <f>+'Ingresos 2023'!K97</f>
        <v>1836298236</v>
      </c>
      <c r="T52" s="1088">
        <f>+'Recaudo Julio Dic 2022'!E53</f>
        <v>1439375253</v>
      </c>
      <c r="U52" s="1088">
        <f t="shared" si="16"/>
        <v>3275673489</v>
      </c>
      <c r="V52" s="1111">
        <f t="shared" si="17"/>
        <v>0.14257438874876363</v>
      </c>
      <c r="W52" s="1111">
        <f t="shared" si="18"/>
        <v>4.638849708272888E-2</v>
      </c>
      <c r="X52" s="1088"/>
    </row>
    <row r="53" spans="1:24" s="54" customFormat="1" x14ac:dyDescent="0.25">
      <c r="A53" s="750" t="s">
        <v>961</v>
      </c>
      <c r="B53" s="887">
        <v>3812635261.73</v>
      </c>
      <c r="C53" s="887">
        <v>3551445354.8699999</v>
      </c>
      <c r="D53" s="1109">
        <v>-6.8506397525548796E-2</v>
      </c>
      <c r="E53" s="887">
        <v>1452461762.0999999</v>
      </c>
      <c r="F53" s="1109">
        <v>-0.59102235372753831</v>
      </c>
      <c r="G53" s="887">
        <v>2125937388.2</v>
      </c>
      <c r="H53" s="1109">
        <v>0.46367873060305204</v>
      </c>
      <c r="I53" s="887">
        <v>1471834403.8</v>
      </c>
      <c r="J53" s="1109">
        <v>-0.30767744526748242</v>
      </c>
      <c r="K53" s="887">
        <v>0</v>
      </c>
      <c r="L53" s="1109">
        <v>-1</v>
      </c>
      <c r="M53" s="1086">
        <v>1641312206.6300001</v>
      </c>
      <c r="N53" s="1111"/>
      <c r="O53" s="1086">
        <f>+'Ingresos 2022'!AE35</f>
        <v>3710887236.5700002</v>
      </c>
      <c r="P53" s="1109">
        <f t="shared" si="33"/>
        <v>1.2609270933220709</v>
      </c>
      <c r="Q53" s="1098"/>
      <c r="R53" s="1098"/>
      <c r="S53" s="1098"/>
      <c r="T53" s="1088"/>
      <c r="U53" s="1088">
        <f t="shared" si="16"/>
        <v>0</v>
      </c>
      <c r="V53" s="1111">
        <f t="shared" si="17"/>
        <v>-1</v>
      </c>
      <c r="W53" s="1111">
        <f t="shared" si="18"/>
        <v>8.6975697774023628E-2</v>
      </c>
      <c r="X53" s="1086"/>
    </row>
    <row r="54" spans="1:24" s="54" customFormat="1" x14ac:dyDescent="0.25">
      <c r="A54" s="751" t="s">
        <v>1067</v>
      </c>
      <c r="B54" s="887">
        <f t="shared" ref="B54:I54" si="40">SUM(B55:B59)</f>
        <v>960882495.78999996</v>
      </c>
      <c r="C54" s="887">
        <f t="shared" si="40"/>
        <v>1144636706.24</v>
      </c>
      <c r="D54" s="1109">
        <f t="shared" si="1"/>
        <v>0.19123484011322792</v>
      </c>
      <c r="E54" s="887">
        <f t="shared" si="40"/>
        <v>1591770949.5999999</v>
      </c>
      <c r="F54" s="1109">
        <f t="shared" si="2"/>
        <v>0.39063419941230476</v>
      </c>
      <c r="G54" s="887">
        <f t="shared" si="40"/>
        <v>1085680231.97</v>
      </c>
      <c r="H54" s="1109">
        <f t="shared" si="3"/>
        <v>-0.31794192358968271</v>
      </c>
      <c r="I54" s="887">
        <f t="shared" si="40"/>
        <v>745848808.88999999</v>
      </c>
      <c r="J54" s="1109">
        <f t="shared" si="9"/>
        <v>-0.31301244424738722</v>
      </c>
      <c r="K54" s="887">
        <f>SUM(K55:K59)</f>
        <v>340260354.64999998</v>
      </c>
      <c r="L54" s="1109">
        <f t="shared" si="4"/>
        <v>-0.54379446532013886</v>
      </c>
      <c r="M54" s="1086">
        <f>SUM(M55:M60)</f>
        <v>1181760096.96</v>
      </c>
      <c r="N54" s="1111">
        <f t="shared" si="5"/>
        <v>2.4731054641249259</v>
      </c>
      <c r="O54" s="1086">
        <f>SUM(O55:O60)</f>
        <v>318658669.13</v>
      </c>
      <c r="P54" s="1109">
        <f t="shared" si="33"/>
        <v>-0.7303524886736924</v>
      </c>
      <c r="Q54" s="1098">
        <f t="shared" ref="Q54:S54" si="41">SUM(Q55:Q59)</f>
        <v>250973692</v>
      </c>
      <c r="R54" s="1098">
        <f t="shared" si="41"/>
        <v>250973692</v>
      </c>
      <c r="S54" s="1098">
        <f t="shared" si="41"/>
        <v>138725382.41</v>
      </c>
      <c r="T54" s="1088">
        <f>SUM(T55:T60)</f>
        <v>181205293.47999999</v>
      </c>
      <c r="U54" s="1088">
        <f t="shared" si="16"/>
        <v>319930675.88999999</v>
      </c>
      <c r="V54" s="1111">
        <f t="shared" si="17"/>
        <v>3.9917531930727503E-3</v>
      </c>
      <c r="W54" s="1111">
        <f t="shared" si="18"/>
        <v>0.5822482428814354</v>
      </c>
      <c r="X54" s="1086">
        <f>SUM(X55:X60)</f>
        <v>0</v>
      </c>
    </row>
    <row r="55" spans="1:24" x14ac:dyDescent="0.25">
      <c r="A55" s="1141" t="s">
        <v>1068</v>
      </c>
      <c r="B55" s="898">
        <v>578981062.78999996</v>
      </c>
      <c r="C55" s="898">
        <v>90545486.239999995</v>
      </c>
      <c r="D55" s="1111">
        <f t="shared" si="1"/>
        <v>-0.84361235270169554</v>
      </c>
      <c r="E55" s="898">
        <v>260275664.59999999</v>
      </c>
      <c r="F55" s="1111">
        <f t="shared" si="2"/>
        <v>1.8745294261285754</v>
      </c>
      <c r="G55" s="898">
        <v>230565301.97</v>
      </c>
      <c r="H55" s="1111">
        <f t="shared" si="3"/>
        <v>-0.11414959856373755</v>
      </c>
      <c r="I55" s="898">
        <v>365701944.88999999</v>
      </c>
      <c r="J55" s="1111">
        <f t="shared" si="9"/>
        <v>0.58611005977639818</v>
      </c>
      <c r="K55" s="898">
        <v>143745637.65000001</v>
      </c>
      <c r="L55" s="1111">
        <f t="shared" si="4"/>
        <v>-0.60693225819939933</v>
      </c>
      <c r="M55" s="1088">
        <v>176472032.95999998</v>
      </c>
      <c r="N55" s="1111">
        <f t="shared" si="5"/>
        <v>0.22766878943265081</v>
      </c>
      <c r="O55" s="1088"/>
      <c r="P55" s="1111">
        <f t="shared" ref="P55" si="42">+(O55-M55)/M55</f>
        <v>-1</v>
      </c>
      <c r="Q55" s="1098">
        <f>+'Ingresos 2023'!I90</f>
        <v>30000000</v>
      </c>
      <c r="R55" s="1098">
        <f>+'Ingresos 2023'!J90</f>
        <v>30000000</v>
      </c>
      <c r="S55" s="1098">
        <f>+'Ingresos 2023'!K90</f>
        <v>86645348.909999996</v>
      </c>
      <c r="T55" s="1088">
        <f>+'Recaudo Julio Dic 2022'!E50</f>
        <v>71663960.129999995</v>
      </c>
      <c r="U55" s="1088">
        <f t="shared" si="16"/>
        <v>158309309.03999999</v>
      </c>
      <c r="V55" s="1111"/>
      <c r="W55" s="1111">
        <f t="shared" si="18"/>
        <v>-0.25744373685578309</v>
      </c>
      <c r="X55" s="1088"/>
    </row>
    <row r="56" spans="1:24" x14ac:dyDescent="0.25">
      <c r="A56" s="1141" t="s">
        <v>1069</v>
      </c>
      <c r="B56" s="898">
        <v>162098133</v>
      </c>
      <c r="C56" s="898">
        <v>232799993</v>
      </c>
      <c r="D56" s="1111">
        <f t="shared" si="1"/>
        <v>0.43616702235552585</v>
      </c>
      <c r="E56" s="898">
        <v>164764687</v>
      </c>
      <c r="F56" s="1111">
        <f t="shared" si="2"/>
        <v>-0.29224788679439523</v>
      </c>
      <c r="G56" s="898">
        <v>127539819</v>
      </c>
      <c r="H56" s="1111">
        <f t="shared" si="3"/>
        <v>-0.22592746466359021</v>
      </c>
      <c r="I56" s="898">
        <v>155876324</v>
      </c>
      <c r="J56" s="1111">
        <f t="shared" si="9"/>
        <v>0.2221777106332572</v>
      </c>
      <c r="K56" s="898">
        <v>14580826</v>
      </c>
      <c r="L56" s="1111">
        <f t="shared" si="4"/>
        <v>-0.90645900784778577</v>
      </c>
      <c r="M56" s="1088"/>
      <c r="N56" s="1111"/>
      <c r="O56" s="1088">
        <f>+'Ingresos 2022'!AE89</f>
        <v>182063576.34999999</v>
      </c>
      <c r="P56" s="1111"/>
      <c r="Q56" s="1098">
        <f>+'Ingresos 2023'!I94</f>
        <v>220973692</v>
      </c>
      <c r="R56" s="1098">
        <f>+'Ingresos 2023'!J94</f>
        <v>220973692</v>
      </c>
      <c r="S56" s="1098">
        <f>+'Ingresos 2023'!K94</f>
        <v>52080033.5</v>
      </c>
      <c r="T56" s="1088">
        <f>+'Recaudo Julio Dic 2022'!E51</f>
        <v>109541333.34999999</v>
      </c>
      <c r="U56" s="1088">
        <f t="shared" si="16"/>
        <v>161621366.84999999</v>
      </c>
      <c r="V56" s="1111">
        <f t="shared" si="17"/>
        <v>-0.11228061048686525</v>
      </c>
      <c r="W56" s="1111">
        <f t="shared" si="18"/>
        <v>-3.7426870162288413E-2</v>
      </c>
      <c r="X56" s="1088"/>
    </row>
    <row r="57" spans="1:24" x14ac:dyDescent="0.25">
      <c r="A57" s="1141" t="s">
        <v>1070</v>
      </c>
      <c r="B57" s="898">
        <v>0</v>
      </c>
      <c r="C57" s="898">
        <v>162286351</v>
      </c>
      <c r="D57" s="1111"/>
      <c r="E57" s="898">
        <v>97053613</v>
      </c>
      <c r="F57" s="1111">
        <f t="shared" si="2"/>
        <v>-0.40196071695518004</v>
      </c>
      <c r="G57" s="898">
        <v>94828941</v>
      </c>
      <c r="H57" s="1111">
        <f t="shared" si="3"/>
        <v>-2.2922093585531947E-2</v>
      </c>
      <c r="I57" s="898">
        <v>114793540</v>
      </c>
      <c r="J57" s="1111">
        <f t="shared" si="9"/>
        <v>0.21053276341027577</v>
      </c>
      <c r="K57" s="898">
        <v>6649781</v>
      </c>
      <c r="L57" s="1111">
        <f t="shared" si="4"/>
        <v>-0.94207181867551082</v>
      </c>
      <c r="M57" s="1088"/>
      <c r="N57" s="1111"/>
      <c r="O57" s="1088"/>
      <c r="P57" s="1111"/>
      <c r="Q57" s="1098"/>
      <c r="R57" s="1098"/>
      <c r="S57" s="1098"/>
      <c r="T57" s="1088"/>
      <c r="U57" s="1088">
        <f t="shared" si="16"/>
        <v>0</v>
      </c>
      <c r="V57" s="1111"/>
      <c r="W57" s="1111">
        <f t="shared" si="18"/>
        <v>0</v>
      </c>
      <c r="X57" s="1088"/>
    </row>
    <row r="58" spans="1:24" x14ac:dyDescent="0.25">
      <c r="A58" s="1141" t="s">
        <v>1071</v>
      </c>
      <c r="B58" s="1119">
        <v>0</v>
      </c>
      <c r="C58" s="1119">
        <v>514557468</v>
      </c>
      <c r="D58" s="1120"/>
      <c r="E58" s="1119">
        <v>948728685</v>
      </c>
      <c r="F58" s="1120">
        <f t="shared" si="2"/>
        <v>0.84377595118296878</v>
      </c>
      <c r="G58" s="1119">
        <v>508891370</v>
      </c>
      <c r="H58" s="1120">
        <f t="shared" si="3"/>
        <v>-0.46360705853433748</v>
      </c>
      <c r="I58" s="1119">
        <v>0</v>
      </c>
      <c r="J58" s="1120">
        <f t="shared" si="9"/>
        <v>-1</v>
      </c>
      <c r="K58" s="1119">
        <v>103197410</v>
      </c>
      <c r="L58" s="1120"/>
      <c r="M58" s="1094"/>
      <c r="N58" s="1120"/>
      <c r="O58" s="1094"/>
      <c r="P58" s="1120"/>
      <c r="Q58" s="1086"/>
      <c r="R58" s="1086"/>
      <c r="S58" s="1086"/>
      <c r="T58" s="1088"/>
      <c r="U58" s="1088">
        <f t="shared" si="16"/>
        <v>0</v>
      </c>
      <c r="V58" s="1111"/>
      <c r="W58" s="1111">
        <f t="shared" si="18"/>
        <v>0</v>
      </c>
      <c r="X58" s="1094"/>
    </row>
    <row r="59" spans="1:24" x14ac:dyDescent="0.25">
      <c r="A59" s="1141" t="s">
        <v>1072</v>
      </c>
      <c r="B59" s="898">
        <v>219803300</v>
      </c>
      <c r="C59" s="898">
        <v>144447408</v>
      </c>
      <c r="D59" s="1111">
        <f t="shared" si="1"/>
        <v>-0.34283330596037459</v>
      </c>
      <c r="E59" s="898">
        <v>120948300</v>
      </c>
      <c r="F59" s="1111">
        <f t="shared" si="2"/>
        <v>-0.16268279455731044</v>
      </c>
      <c r="G59" s="898">
        <v>123854800</v>
      </c>
      <c r="H59" s="1111">
        <f t="shared" si="3"/>
        <v>2.4030928917562297E-2</v>
      </c>
      <c r="I59" s="898">
        <v>109477000</v>
      </c>
      <c r="J59" s="1111">
        <f t="shared" si="9"/>
        <v>-0.11608593288269813</v>
      </c>
      <c r="K59" s="898">
        <v>72086700</v>
      </c>
      <c r="L59" s="1111">
        <f t="shared" si="4"/>
        <v>-0.34153566502553045</v>
      </c>
      <c r="M59" s="1088">
        <v>0</v>
      </c>
      <c r="N59" s="1111">
        <f t="shared" si="5"/>
        <v>-1</v>
      </c>
      <c r="O59" s="1088">
        <f>+'Ingresos 2022'!AE85</f>
        <v>136595092.78</v>
      </c>
      <c r="P59" s="1111"/>
      <c r="Q59" s="1086"/>
      <c r="R59" s="1086"/>
      <c r="S59" s="1086"/>
      <c r="T59" s="1088"/>
      <c r="U59" s="1088">
        <f t="shared" si="16"/>
        <v>0</v>
      </c>
      <c r="V59" s="1111">
        <f t="shared" si="17"/>
        <v>-1</v>
      </c>
      <c r="W59" s="1111">
        <f t="shared" si="18"/>
        <v>-0.66666666666666663</v>
      </c>
      <c r="X59" s="1088"/>
    </row>
    <row r="60" spans="1:24" x14ac:dyDescent="0.25">
      <c r="A60" s="1141" t="s">
        <v>346</v>
      </c>
      <c r="B60" s="898"/>
      <c r="C60" s="898"/>
      <c r="D60" s="1111"/>
      <c r="E60" s="898"/>
      <c r="F60" s="1111"/>
      <c r="G60" s="898"/>
      <c r="H60" s="1111"/>
      <c r="I60" s="898"/>
      <c r="J60" s="1111"/>
      <c r="K60" s="898"/>
      <c r="L60" s="1111"/>
      <c r="M60" s="1088">
        <v>1005288064</v>
      </c>
      <c r="N60" s="1111" t="e">
        <f t="shared" si="5"/>
        <v>#DIV/0!</v>
      </c>
      <c r="O60" s="1088"/>
      <c r="P60" s="1111">
        <f t="shared" ref="P60:P65" si="43">+(O60-M60)/M60</f>
        <v>-1</v>
      </c>
      <c r="Q60" s="1086"/>
      <c r="R60" s="1086"/>
      <c r="S60" s="1086"/>
      <c r="T60" s="1088"/>
      <c r="U60" s="1088">
        <f t="shared" si="16"/>
        <v>0</v>
      </c>
      <c r="V60" s="1111"/>
      <c r="W60" s="1111"/>
      <c r="X60" s="1088"/>
    </row>
    <row r="61" spans="1:24" x14ac:dyDescent="0.25">
      <c r="A61" s="751" t="s">
        <v>1073</v>
      </c>
      <c r="B61" s="887">
        <f>SUM(B62:B68)</f>
        <v>324279205</v>
      </c>
      <c r="C61" s="887">
        <f t="shared" ref="C61:I61" si="44">SUM(C62:C68)</f>
        <v>1023235497</v>
      </c>
      <c r="D61" s="1109">
        <f t="shared" si="1"/>
        <v>2.1554150905236122</v>
      </c>
      <c r="E61" s="887">
        <f t="shared" si="44"/>
        <v>990450953</v>
      </c>
      <c r="F61" s="1109">
        <f t="shared" si="2"/>
        <v>-3.2040076889553022E-2</v>
      </c>
      <c r="G61" s="887">
        <f t="shared" si="44"/>
        <v>1350215622.6300001</v>
      </c>
      <c r="H61" s="1109">
        <f t="shared" si="3"/>
        <v>0.36323320053385838</v>
      </c>
      <c r="I61" s="887">
        <f t="shared" si="44"/>
        <v>1421608916</v>
      </c>
      <c r="J61" s="1109">
        <f t="shared" si="9"/>
        <v>5.2875475719157641E-2</v>
      </c>
      <c r="K61" s="887">
        <f>SUM(K62:K68)</f>
        <v>254904389.66</v>
      </c>
      <c r="L61" s="1109">
        <f t="shared" si="4"/>
        <v>-0.8206930283068089</v>
      </c>
      <c r="M61" s="1086">
        <f>SUM(M62:M68)</f>
        <v>4030233317.6800003</v>
      </c>
      <c r="N61" s="1109">
        <f t="shared" si="5"/>
        <v>14.810764667708</v>
      </c>
      <c r="O61" s="1086">
        <f>SUM(O62:O68)</f>
        <v>5066240686.1199999</v>
      </c>
      <c r="P61" s="1109">
        <f t="shared" si="43"/>
        <v>0.25705890621647093</v>
      </c>
      <c r="Q61" s="1098">
        <f>+Q62+Q63+Q68+Q64+Q65</f>
        <v>3485737836</v>
      </c>
      <c r="R61" s="1098">
        <f t="shared" ref="R61:S61" si="45">+R62+R63+R68+R64+R65</f>
        <v>3485737836</v>
      </c>
      <c r="S61" s="1098">
        <f t="shared" si="45"/>
        <v>2544573333.3499999</v>
      </c>
      <c r="T61" s="1088">
        <f>SUM(T62:T68)</f>
        <v>3381689494.1099997</v>
      </c>
      <c r="U61" s="1088">
        <f t="shared" si="16"/>
        <v>5926262827.4599991</v>
      </c>
      <c r="V61" s="1111">
        <f t="shared" si="17"/>
        <v>0.1697554843172385</v>
      </c>
      <c r="W61" s="1111">
        <f t="shared" si="18"/>
        <v>5.0791930194139026</v>
      </c>
      <c r="X61" s="1086">
        <f>SUM(X62:X68)</f>
        <v>0</v>
      </c>
    </row>
    <row r="62" spans="1:24" ht="25.5" x14ac:dyDescent="0.25">
      <c r="A62" s="1141" t="s">
        <v>1074</v>
      </c>
      <c r="B62" s="898">
        <v>19580046</v>
      </c>
      <c r="C62" s="898">
        <v>166920338</v>
      </c>
      <c r="D62" s="1111">
        <f t="shared" si="1"/>
        <v>7.5250227706308763</v>
      </c>
      <c r="E62" s="898">
        <v>122557632</v>
      </c>
      <c r="F62" s="1111">
        <f t="shared" si="2"/>
        <v>-0.26577172399447213</v>
      </c>
      <c r="G62" s="898">
        <v>176255892.97999999</v>
      </c>
      <c r="H62" s="1111">
        <f t="shared" si="3"/>
        <v>0.43814701788624627</v>
      </c>
      <c r="I62" s="898">
        <v>195298958</v>
      </c>
      <c r="J62" s="1111">
        <f t="shared" si="9"/>
        <v>0.10804214655200695</v>
      </c>
      <c r="K62" s="898">
        <v>24445612.66</v>
      </c>
      <c r="L62" s="1111">
        <f t="shared" si="4"/>
        <v>-0.87482978449890147</v>
      </c>
      <c r="M62" s="1088">
        <v>629122437.20000005</v>
      </c>
      <c r="N62" s="1111">
        <f t="shared" si="5"/>
        <v>24.735597055803144</v>
      </c>
      <c r="O62" s="1088">
        <f>+'Ingresos 2022'!AE82</f>
        <v>761110608.52999997</v>
      </c>
      <c r="P62" s="1111">
        <f t="shared" si="43"/>
        <v>0.20979727239968149</v>
      </c>
      <c r="Q62" s="1088">
        <f>+'Ingresos 2023'!I87</f>
        <v>720959245</v>
      </c>
      <c r="R62" s="1088">
        <f>+'Ingresos 2023'!J87</f>
        <v>720959245</v>
      </c>
      <c r="S62" s="1088">
        <f>+'Ingresos 2023'!K87</f>
        <v>373662312.19</v>
      </c>
      <c r="T62" s="1088">
        <f>+'Recaudo Julio Dic 2022'!E49</f>
        <v>496222496.51999998</v>
      </c>
      <c r="U62" s="1088">
        <f t="shared" si="16"/>
        <v>869884808.71000004</v>
      </c>
      <c r="V62" s="1111">
        <f t="shared" si="17"/>
        <v>0.14291510190625942</v>
      </c>
      <c r="W62" s="1111">
        <f t="shared" si="18"/>
        <v>8.3627698100363617</v>
      </c>
      <c r="X62" s="1088"/>
    </row>
    <row r="63" spans="1:24" x14ac:dyDescent="0.25">
      <c r="A63" s="1141" t="s">
        <v>1075</v>
      </c>
      <c r="B63" s="898">
        <v>89801666</v>
      </c>
      <c r="C63" s="898">
        <v>856315159</v>
      </c>
      <c r="D63" s="1111">
        <f t="shared" si="1"/>
        <v>8.5356266441649318</v>
      </c>
      <c r="E63" s="898">
        <v>867893321</v>
      </c>
      <c r="F63" s="1111">
        <f t="shared" si="2"/>
        <v>1.3520912106146657E-2</v>
      </c>
      <c r="G63" s="898">
        <v>1173959729.6500001</v>
      </c>
      <c r="H63" s="1111">
        <f t="shared" si="3"/>
        <v>0.35265441183179713</v>
      </c>
      <c r="I63" s="898">
        <v>1226309958</v>
      </c>
      <c r="J63" s="1111">
        <f t="shared" si="9"/>
        <v>4.4592865519848285E-2</v>
      </c>
      <c r="K63" s="898">
        <v>230458777</v>
      </c>
      <c r="L63" s="1111">
        <f t="shared" si="4"/>
        <v>-0.81207134827816507</v>
      </c>
      <c r="M63" s="1088">
        <v>2509500558.7800002</v>
      </c>
      <c r="N63" s="1111">
        <f t="shared" si="5"/>
        <v>9.8891515933888705</v>
      </c>
      <c r="O63" s="1088">
        <f>+'Ingresos 2022'!AE74</f>
        <v>3426989614.9000001</v>
      </c>
      <c r="P63" s="1111">
        <f t="shared" si="43"/>
        <v>0.36560623702990502</v>
      </c>
      <c r="Q63" s="1088">
        <f>+'Ingresos 2023'!I79</f>
        <v>2625778591</v>
      </c>
      <c r="R63" s="1088">
        <f>+'Ingresos 2023'!J79</f>
        <v>2625778591</v>
      </c>
      <c r="S63" s="1088">
        <f>+'Ingresos 2023'!K79</f>
        <v>2031277927.0899999</v>
      </c>
      <c r="T63" s="1088">
        <f>+'Recaudo Julio Dic 2022'!E46</f>
        <v>2195330432.0899997</v>
      </c>
      <c r="U63" s="1088">
        <f t="shared" si="16"/>
        <v>4226608359.1799994</v>
      </c>
      <c r="V63" s="1111">
        <f t="shared" si="17"/>
        <v>0.23332978331868456</v>
      </c>
      <c r="W63" s="1111">
        <f t="shared" si="18"/>
        <v>3.4960292045791532</v>
      </c>
      <c r="X63" s="1088"/>
    </row>
    <row r="64" spans="1:24" x14ac:dyDescent="0.25">
      <c r="A64" s="1141" t="s">
        <v>352</v>
      </c>
      <c r="B64" s="898"/>
      <c r="C64" s="898"/>
      <c r="D64" s="1111"/>
      <c r="E64" s="898"/>
      <c r="F64" s="1111"/>
      <c r="G64" s="898"/>
      <c r="H64" s="1111"/>
      <c r="I64" s="898"/>
      <c r="J64" s="1111"/>
      <c r="K64" s="898"/>
      <c r="L64" s="1111"/>
      <c r="M64" s="1088">
        <v>43588821</v>
      </c>
      <c r="N64" s="1111" t="e">
        <f t="shared" si="5"/>
        <v>#DIV/0!</v>
      </c>
      <c r="O64" s="1088">
        <f>+'Ingresos 2022'!AE75+'Ingresos 2022'!AE76</f>
        <v>9861339</v>
      </c>
      <c r="P64" s="1111">
        <f t="shared" si="43"/>
        <v>-0.77376449342366938</v>
      </c>
      <c r="Q64" s="1088">
        <f>+'Ingresos 2023'!I74</f>
        <v>56000000</v>
      </c>
      <c r="R64" s="1088">
        <f>+'Ingresos 2023'!J74</f>
        <v>56000000</v>
      </c>
      <c r="S64" s="1088">
        <f>+'Ingresos 2023'!K74</f>
        <v>27947827.07</v>
      </c>
      <c r="T64" s="1088">
        <f>+'Recaudo Julio Dic 2022'!E42</f>
        <v>36754704.200000003</v>
      </c>
      <c r="U64" s="1088">
        <f t="shared" si="16"/>
        <v>64702531.270000003</v>
      </c>
      <c r="V64" s="1111">
        <f t="shared" si="17"/>
        <v>5.5612318235890683</v>
      </c>
      <c r="W64" s="1111"/>
      <c r="X64" s="1088"/>
    </row>
    <row r="65" spans="1:24" x14ac:dyDescent="0.25">
      <c r="A65" s="1141" t="s">
        <v>356</v>
      </c>
      <c r="B65" s="898"/>
      <c r="C65" s="898"/>
      <c r="D65" s="1111"/>
      <c r="E65" s="898"/>
      <c r="F65" s="1111"/>
      <c r="G65" s="898"/>
      <c r="H65" s="1111"/>
      <c r="I65" s="898"/>
      <c r="J65" s="1111"/>
      <c r="K65" s="898"/>
      <c r="L65" s="1111"/>
      <c r="M65" s="1088">
        <v>411203908</v>
      </c>
      <c r="N65" s="1111" t="e">
        <f t="shared" si="5"/>
        <v>#DIV/0!</v>
      </c>
      <c r="O65" s="1088">
        <f>+'Ingresos 2022'!AE71+'Ingresos 2022'!AE69+'Ingresos 2022'!AE72</f>
        <v>223126149.31999999</v>
      </c>
      <c r="P65" s="1111">
        <f t="shared" si="43"/>
        <v>-0.45738319850792858</v>
      </c>
      <c r="Q65" s="1088">
        <f>+'Ingresos 2023'!I76+'Ingresos 2023'!I75+'Ingresos 2023'!I77</f>
        <v>83000000</v>
      </c>
      <c r="R65" s="1088">
        <f>+'Ingresos 2023'!J76+'Ingresos 2023'!J75+'Ingresos 2023'!J77</f>
        <v>83000000</v>
      </c>
      <c r="S65" s="1088">
        <f>+'Ingresos 2023'!K76+'Ingresos 2023'!K75+'Ingresos 2023'!K77</f>
        <v>111685267</v>
      </c>
      <c r="T65" s="1088">
        <f>+'Recaudo Julio Dic 2022'!E44+'Recaudo Julio Dic 2022'!E47</f>
        <v>69184650.120000005</v>
      </c>
      <c r="U65" s="1088">
        <f t="shared" si="16"/>
        <v>180869917.12</v>
      </c>
      <c r="V65" s="1111">
        <f t="shared" si="17"/>
        <v>-0.18938269821255924</v>
      </c>
      <c r="W65" s="1111"/>
      <c r="X65" s="1088"/>
    </row>
    <row r="66" spans="1:24" x14ac:dyDescent="0.25">
      <c r="A66" s="750" t="s">
        <v>1076</v>
      </c>
      <c r="B66" s="898"/>
      <c r="C66" s="898"/>
      <c r="D66" s="1111"/>
      <c r="E66" s="898"/>
      <c r="F66" s="1111"/>
      <c r="G66" s="898"/>
      <c r="H66" s="1111"/>
      <c r="I66" s="898"/>
      <c r="J66" s="1111"/>
      <c r="K66" s="898"/>
      <c r="L66" s="1111"/>
      <c r="M66" s="1088">
        <v>431798676.69999999</v>
      </c>
      <c r="N66" s="1111"/>
      <c r="O66" s="1088">
        <f>+'Ingresos 2022'!AE116</f>
        <v>645152974.37</v>
      </c>
      <c r="P66" s="1111"/>
      <c r="Q66" s="1088">
        <f>+'Ingresos 2023'!I114+'Ingresos 2023'!I115+'Ingresos 2023'!I116+'Ingresos 2023'!I119+'Ingresos 2023'!I120+'Ingresos 2023'!I121+'Ingresos 2023'!I122+'Ingresos 2023'!I123+'Ingresos 2023'!I124+'Ingresos 2023'!I125+'Ingresos 2023'!I126+'Ingresos 2023'!I127+'Ingresos 2023'!I128+'Ingresos 2023'!I129+'Ingresos 2023'!I130</f>
        <v>602729091</v>
      </c>
      <c r="R66" s="1088">
        <f>+'Ingresos 2023'!J114+'Ingresos 2023'!J115+'Ingresos 2023'!J116+'Ingresos 2023'!J119+'Ingresos 2023'!J120+'Ingresos 2023'!J121+'Ingresos 2023'!J122+'Ingresos 2023'!J123+'Ingresos 2023'!J124+'Ingresos 2023'!J125+'Ingresos 2023'!J126+'Ingresos 2023'!J127+'Ingresos 2023'!J128+'Ingresos 2023'!J129+'Ingresos 2023'!J130</f>
        <v>602729091</v>
      </c>
      <c r="S66" s="1088">
        <f>+'Ingresos 2023'!K114+'Ingresos 2023'!K115+'Ingresos 2023'!K116+'Ingresos 2023'!K119+'Ingresos 2023'!K120+'Ingresos 2023'!K121+'Ingresos 2023'!K122+'Ingresos 2023'!K123+'Ingresos 2023'!K124+'Ingresos 2023'!K125+'Ingresos 2023'!K126+'Ingresos 2023'!K127+'Ingresos 2023'!K128+'Ingresos 2023'!K129+'Ingresos 2023'!K130</f>
        <v>214221248.94999999</v>
      </c>
      <c r="T66" s="1088">
        <f>+'Recaudo Julio Dic 2022'!E62+'Recaudo Julio Dic 2022'!E64+'Recaudo Julio Dic 2022'!E65+'Recaudo Julio Dic 2022'!E66+'Recaudo Julio Dic 2022'!E67+'Recaudo Julio Dic 2022'!E68+'Recaudo Julio Dic 2022'!E70+'Recaudo Julio Dic 2022'!E71+'Recaudo Julio Dic 2022'!E73+'Recaudo Julio Dic 2022'!E76+'Recaudo Julio Dic 2022'!E77+'Recaudo Julio Dic 2022'!E78</f>
        <v>584197211.18000007</v>
      </c>
      <c r="U66" s="1088">
        <f t="shared" si="16"/>
        <v>798418460.13000011</v>
      </c>
      <c r="V66" s="1111">
        <f t="shared" si="17"/>
        <v>0.23756456507027002</v>
      </c>
      <c r="W66" s="1111">
        <f t="shared" si="18"/>
        <v>7.9188188356756672E-2</v>
      </c>
      <c r="X66" s="1088"/>
    </row>
    <row r="67" spans="1:24" s="54" customFormat="1" x14ac:dyDescent="0.25">
      <c r="A67" s="1141" t="s">
        <v>1077</v>
      </c>
      <c r="B67" s="898">
        <v>2564610</v>
      </c>
      <c r="C67" s="898">
        <v>0</v>
      </c>
      <c r="D67" s="1111">
        <f t="shared" si="1"/>
        <v>-1</v>
      </c>
      <c r="E67" s="898">
        <v>0</v>
      </c>
      <c r="F67" s="1111"/>
      <c r="G67" s="898">
        <v>0</v>
      </c>
      <c r="H67" s="1111"/>
      <c r="I67" s="898">
        <v>0</v>
      </c>
      <c r="J67" s="1111"/>
      <c r="K67" s="898">
        <v>0</v>
      </c>
      <c r="L67" s="1111"/>
      <c r="M67" s="1088">
        <v>5018916</v>
      </c>
      <c r="N67" s="1111" t="e">
        <f t="shared" si="5"/>
        <v>#DIV/0!</v>
      </c>
      <c r="O67" s="1088"/>
      <c r="P67" s="1111">
        <f t="shared" ref="P67" si="46">+(O67-M67)/M67</f>
        <v>-1</v>
      </c>
      <c r="Q67" s="1088"/>
      <c r="R67" s="1088"/>
      <c r="S67" s="1088"/>
      <c r="T67" s="1088"/>
      <c r="U67" s="1088">
        <f t="shared" si="16"/>
        <v>0</v>
      </c>
      <c r="V67" s="1111"/>
      <c r="W67" s="1111"/>
      <c r="X67" s="1088"/>
    </row>
    <row r="68" spans="1:24" s="652" customFormat="1" x14ac:dyDescent="0.25">
      <c r="A68" s="1141" t="s">
        <v>1078</v>
      </c>
      <c r="B68" s="898">
        <v>212332883</v>
      </c>
      <c r="C68" s="898">
        <v>0</v>
      </c>
      <c r="D68" s="1111">
        <f t="shared" si="1"/>
        <v>-1</v>
      </c>
      <c r="E68" s="898">
        <v>0</v>
      </c>
      <c r="F68" s="1111"/>
      <c r="G68" s="898">
        <v>0</v>
      </c>
      <c r="H68" s="1111"/>
      <c r="I68" s="898">
        <v>0</v>
      </c>
      <c r="J68" s="1111"/>
      <c r="K68" s="898">
        <v>0</v>
      </c>
      <c r="L68" s="1111"/>
      <c r="M68" s="1088"/>
      <c r="N68" s="1111"/>
      <c r="O68" s="1088"/>
      <c r="P68" s="1111"/>
      <c r="Q68" s="1088"/>
      <c r="R68" s="1088"/>
      <c r="S68" s="1088"/>
      <c r="T68" s="1088"/>
      <c r="U68" s="1088">
        <f t="shared" si="16"/>
        <v>0</v>
      </c>
      <c r="V68" s="1111"/>
      <c r="W68" s="1111">
        <f t="shared" si="18"/>
        <v>0</v>
      </c>
      <c r="X68" s="1088"/>
    </row>
    <row r="69" spans="1:24" s="54" customFormat="1" x14ac:dyDescent="0.25">
      <c r="A69" s="751" t="s">
        <v>1079</v>
      </c>
      <c r="B69" s="887">
        <f t="shared" ref="B69:Q69" si="47">SUM(B70:B73)</f>
        <v>10116967147</v>
      </c>
      <c r="C69" s="887">
        <f t="shared" si="47"/>
        <v>9917557263.6000004</v>
      </c>
      <c r="D69" s="1109">
        <f t="shared" si="1"/>
        <v>-1.971044093576314E-2</v>
      </c>
      <c r="E69" s="887">
        <f t="shared" si="47"/>
        <v>9840903469.9699993</v>
      </c>
      <c r="F69" s="1109">
        <f t="shared" si="2"/>
        <v>-7.7291001798739604E-3</v>
      </c>
      <c r="G69" s="887">
        <f t="shared" si="47"/>
        <v>9955374237.0599995</v>
      </c>
      <c r="H69" s="1109">
        <f t="shared" si="3"/>
        <v>1.1632140020407002E-2</v>
      </c>
      <c r="I69" s="887">
        <f t="shared" si="47"/>
        <v>11359495674</v>
      </c>
      <c r="J69" s="1109">
        <f t="shared" si="9"/>
        <v>0.14104155238212951</v>
      </c>
      <c r="K69" s="887">
        <f>SUM(K70:K73)+K88+K90</f>
        <v>8783419456</v>
      </c>
      <c r="L69" s="1109">
        <f t="shared" si="4"/>
        <v>-0.2267773404673423</v>
      </c>
      <c r="M69" s="1086">
        <f>SUM(M70:M73)+M88+M90</f>
        <v>13832878655.059999</v>
      </c>
      <c r="N69" s="1109">
        <f t="shared" ref="N69:N130" si="48">+(M69-K69)/K69</f>
        <v>0.5748853535180638</v>
      </c>
      <c r="O69" s="1086">
        <f>SUM(O70:O73)+O88+O90</f>
        <v>20520186398.5</v>
      </c>
      <c r="P69" s="1109">
        <f t="shared" ref="P69:P70" si="49">+(O69-M69)/M69</f>
        <v>0.48343572658998318</v>
      </c>
      <c r="Q69" s="1098">
        <f t="shared" si="47"/>
        <v>15988878567.120001</v>
      </c>
      <c r="R69" s="1098">
        <f t="shared" ref="R69:S69" si="50">SUM(R70:R73)</f>
        <v>22151922045.120003</v>
      </c>
      <c r="S69" s="1098">
        <f t="shared" si="50"/>
        <v>8543149372.1800003</v>
      </c>
      <c r="T69" s="1088">
        <f>SUM(T70:T73)+T88+T90</f>
        <v>12062491083.07</v>
      </c>
      <c r="U69" s="1088">
        <f t="shared" si="16"/>
        <v>20605640455.25</v>
      </c>
      <c r="V69" s="1111">
        <f t="shared" si="17"/>
        <v>4.1643898885950952E-3</v>
      </c>
      <c r="W69" s="1111">
        <f t="shared" si="18"/>
        <v>0.35416182333221408</v>
      </c>
      <c r="X69" s="1086">
        <f>SUM(X70:X73)+X88+X90</f>
        <v>0</v>
      </c>
    </row>
    <row r="70" spans="1:24" s="54" customFormat="1" x14ac:dyDescent="0.25">
      <c r="A70" s="1141" t="s">
        <v>1080</v>
      </c>
      <c r="B70" s="898">
        <v>4957313901.6400003</v>
      </c>
      <c r="C70" s="898">
        <v>4859603059.3299999</v>
      </c>
      <c r="D70" s="1111">
        <f t="shared" ref="D70:D133" si="51">+(C70-B70)/B70</f>
        <v>-1.9710440825156401E-2</v>
      </c>
      <c r="E70" s="898">
        <v>4822042700.2799997</v>
      </c>
      <c r="F70" s="1111">
        <f t="shared" ref="F70:F133" si="52">+(E70-C70)/C70</f>
        <v>-7.7291002148596657E-3</v>
      </c>
      <c r="G70" s="898">
        <v>7598599257.4799995</v>
      </c>
      <c r="H70" s="1111">
        <f t="shared" ref="H70:H133" si="53">+(G70-E70)/E70</f>
        <v>0.57580505395333281</v>
      </c>
      <c r="I70" s="898">
        <v>8552032883.1999998</v>
      </c>
      <c r="J70" s="1111">
        <f t="shared" ref="J70:J133" si="54">+(I70-G70)/G70</f>
        <v>0.12547491891764762</v>
      </c>
      <c r="K70" s="898">
        <v>6217400066</v>
      </c>
      <c r="L70" s="1111">
        <f t="shared" ref="L70:L133" si="55">+(K70-I70)/I70</f>
        <v>-0.27299156225021748</v>
      </c>
      <c r="M70" s="1088">
        <v>11174444262.870001</v>
      </c>
      <c r="N70" s="1111">
        <f t="shared" si="48"/>
        <v>0.79728570531880594</v>
      </c>
      <c r="O70" s="1088">
        <f>+'Ingresos 2022'!AE141+'Ingresos 2022'!AE145+'Ingresos 2022'!AE150+'Ingresos 2022'!AE153+'Ingresos 2022'!AE156</f>
        <v>14978942069.84</v>
      </c>
      <c r="P70" s="1111">
        <f t="shared" si="49"/>
        <v>0.34046416246501254</v>
      </c>
      <c r="Q70" s="1088">
        <f>++'Ingresos 2023'!I146+'Ingresos 2023'!I150+'Ingresos 2023'!I153</f>
        <v>11674094942.120001</v>
      </c>
      <c r="R70" s="1088">
        <f>++'Ingresos 2023'!J146+'Ingresos 2023'!J150+'Ingresos 2023'!J153</f>
        <v>16174094942.120001</v>
      </c>
      <c r="S70" s="1088">
        <f>++'Ingresos 2023'!K146+'Ingresos 2023'!K150+'Ingresos 2023'!K153</f>
        <v>6235716195.0700006</v>
      </c>
      <c r="T70" s="1088">
        <f>+'Recaudo Julio Dic 2022'!E81+'Recaudo Julio Dic 2022'!E84+'Recaudo Julio Dic 2022'!E86+'Recaudo Julio Dic 2022'!E89+'Recaudo Julio Dic 2022'!E91</f>
        <v>8775075267.2799988</v>
      </c>
      <c r="U70" s="1088">
        <f t="shared" si="16"/>
        <v>15010791462.349998</v>
      </c>
      <c r="V70" s="1111">
        <f t="shared" si="17"/>
        <v>2.1262778346761123E-3</v>
      </c>
      <c r="W70" s="1111">
        <f t="shared" si="18"/>
        <v>0.37995871520616492</v>
      </c>
      <c r="X70" s="1088"/>
    </row>
    <row r="71" spans="1:24" s="54" customFormat="1" x14ac:dyDescent="0.25">
      <c r="A71" s="1141" t="s">
        <v>1081</v>
      </c>
      <c r="B71" s="898">
        <v>5159653245.3599997</v>
      </c>
      <c r="C71" s="898">
        <v>5057954204.2700005</v>
      </c>
      <c r="D71" s="1111">
        <f t="shared" si="51"/>
        <v>-1.9710441042032359E-2</v>
      </c>
      <c r="E71" s="898">
        <v>5018860769.6899996</v>
      </c>
      <c r="F71" s="1111">
        <f t="shared" si="52"/>
        <v>-7.7291001462602444E-3</v>
      </c>
      <c r="G71" s="898">
        <v>2313077275.3200002</v>
      </c>
      <c r="H71" s="1111">
        <f t="shared" si="53"/>
        <v>-0.53912304376140874</v>
      </c>
      <c r="I71" s="898">
        <v>2807462790.8000002</v>
      </c>
      <c r="J71" s="1111">
        <f t="shared" si="54"/>
        <v>0.21373497580689552</v>
      </c>
      <c r="K71" s="898">
        <v>1892737881</v>
      </c>
      <c r="L71" s="1111">
        <f t="shared" si="55"/>
        <v>-0.32581906794901627</v>
      </c>
      <c r="M71" s="1095"/>
      <c r="N71" s="1111"/>
      <c r="O71" s="1088">
        <f>+'Ingresos 2022'!AE139+'Ingresos 2022'!AE143+'Ingresos 2022'!AE151+'Ingresos 2022'!AE154+'Ingresos 2022'!AE158</f>
        <v>4559021756.3699999</v>
      </c>
      <c r="P71" s="1111"/>
      <c r="Q71" s="1088">
        <f>+'Ingresos 2023'!I147+'Ingresos 2023'!I151+'Ingresos 2023'!I155</f>
        <v>3552985418</v>
      </c>
      <c r="R71" s="1088">
        <f>+'Ingresos 2023'!J147+'Ingresos 2023'!J151+'Ingresos 2023'!J155</f>
        <v>4922550635</v>
      </c>
      <c r="S71" s="1088">
        <f>+'Ingresos 2023'!K147+'Ingresos 2023'!K151+'Ingresos 2023'!K155</f>
        <v>1897733725.53</v>
      </c>
      <c r="T71" s="1088">
        <f>+'Recaudo Julio Dic 2022'!E79+'Recaudo Julio Dic 2022'!E82+'Recaudo Julio Dic 2022'!E87+'Recaudo Julio Dic 2022'!E90+'Recaudo Julio Dic 2022'!E93</f>
        <v>2670859298.9300003</v>
      </c>
      <c r="U71" s="1088">
        <f t="shared" si="16"/>
        <v>4568593024.46</v>
      </c>
      <c r="V71" s="1111">
        <f t="shared" si="17"/>
        <v>2.0994126813777309E-3</v>
      </c>
      <c r="W71" s="1111">
        <f t="shared" si="18"/>
        <v>6.9980422712591025E-4</v>
      </c>
      <c r="X71" s="1095"/>
    </row>
    <row r="72" spans="1:24" x14ac:dyDescent="0.25">
      <c r="A72" s="1141" t="s">
        <v>1082</v>
      </c>
      <c r="B72" s="898">
        <v>0</v>
      </c>
      <c r="C72" s="898">
        <v>0</v>
      </c>
      <c r="D72" s="1111"/>
      <c r="E72" s="898">
        <v>0</v>
      </c>
      <c r="F72" s="1111"/>
      <c r="G72" s="898">
        <v>33501573.48</v>
      </c>
      <c r="H72" s="1111"/>
      <c r="I72" s="898">
        <v>0</v>
      </c>
      <c r="J72" s="1111">
        <f t="shared" si="54"/>
        <v>-1</v>
      </c>
      <c r="K72" s="898">
        <v>0</v>
      </c>
      <c r="L72" s="1111"/>
      <c r="M72" s="1088"/>
      <c r="N72" s="1111"/>
      <c r="O72" s="1088"/>
      <c r="P72" s="1111"/>
      <c r="Q72" s="1088">
        <f>+'Ingresos 2023'!I145+'Ingresos 2023'!I149+'Ingresos 2023'!I154</f>
        <v>761798207</v>
      </c>
      <c r="R72" s="1088">
        <f>+'Ingresos 2023'!J145+'Ingresos 2023'!J149+'Ingresos 2023'!J154</f>
        <v>1055276468</v>
      </c>
      <c r="S72" s="1088">
        <f>+'Ingresos 2023'!K145+'Ingresos 2023'!K149+'Ingresos 2023'!K154</f>
        <v>409699451.57999998</v>
      </c>
      <c r="T72" s="1088">
        <f>+'Recaudo Julio Dic 2022'!E80+'Recaudo Julio Dic 2022'!E83+'Recaudo Julio Dic 2022'!E85+'Recaudo Julio Dic 2022'!E88+'Recaudo Julio Dic 2022'!E92</f>
        <v>616556516.86000001</v>
      </c>
      <c r="U72" s="1088">
        <f t="shared" si="16"/>
        <v>1026255968.4400001</v>
      </c>
      <c r="V72" s="1111"/>
      <c r="W72" s="1111">
        <f t="shared" si="18"/>
        <v>0</v>
      </c>
      <c r="X72" s="1088"/>
    </row>
    <row r="73" spans="1:24" x14ac:dyDescent="0.25">
      <c r="A73" s="1141" t="s">
        <v>1083</v>
      </c>
      <c r="B73" s="898">
        <v>0</v>
      </c>
      <c r="C73" s="898">
        <v>0</v>
      </c>
      <c r="D73" s="1111"/>
      <c r="E73" s="898">
        <v>0</v>
      </c>
      <c r="F73" s="1111"/>
      <c r="G73" s="898">
        <v>10196130.779999999</v>
      </c>
      <c r="H73" s="1111"/>
      <c r="I73" s="898">
        <v>0</v>
      </c>
      <c r="J73" s="1111">
        <f t="shared" si="54"/>
        <v>-1</v>
      </c>
      <c r="K73" s="898">
        <v>0</v>
      </c>
      <c r="L73" s="1111"/>
      <c r="M73" s="1088">
        <v>1989344899.1300001</v>
      </c>
      <c r="N73" s="1111" t="e">
        <f t="shared" si="48"/>
        <v>#DIV/0!</v>
      </c>
      <c r="O73" s="1088"/>
      <c r="P73" s="1111">
        <f t="shared" ref="P73:P75" si="56">+(O73-M73)/M73</f>
        <v>-1</v>
      </c>
      <c r="Q73" s="1088"/>
      <c r="R73" s="1088"/>
      <c r="S73" s="1088"/>
      <c r="T73" s="1088"/>
      <c r="U73" s="1088">
        <f t="shared" ref="U73:U136" si="57">+S73+T73</f>
        <v>0</v>
      </c>
      <c r="V73" s="1111"/>
      <c r="W73" s="1111"/>
      <c r="X73" s="1088"/>
    </row>
    <row r="74" spans="1:24" s="54" customFormat="1" x14ac:dyDescent="0.25">
      <c r="A74" s="1139" t="s">
        <v>1084</v>
      </c>
      <c r="B74" s="890">
        <f t="shared" ref="B74:I74" si="58">SUM(B75:B75)</f>
        <v>456466373</v>
      </c>
      <c r="C74" s="890">
        <f t="shared" si="58"/>
        <v>519662054</v>
      </c>
      <c r="D74" s="1112">
        <f t="shared" si="51"/>
        <v>0.13844542498205009</v>
      </c>
      <c r="E74" s="890">
        <f t="shared" si="58"/>
        <v>553647274</v>
      </c>
      <c r="F74" s="1112">
        <f t="shared" si="52"/>
        <v>6.5398694667823484E-2</v>
      </c>
      <c r="G74" s="890">
        <f t="shared" si="58"/>
        <v>514638803.17000002</v>
      </c>
      <c r="H74" s="1112">
        <f t="shared" si="53"/>
        <v>-7.0457261621051495E-2</v>
      </c>
      <c r="I74" s="890">
        <f t="shared" si="58"/>
        <v>566653321</v>
      </c>
      <c r="J74" s="1112">
        <f t="shared" si="54"/>
        <v>0.10106994946670994</v>
      </c>
      <c r="K74" s="890">
        <f>SUM(K75:K75)</f>
        <v>518294753.54000002</v>
      </c>
      <c r="L74" s="1112">
        <f t="shared" si="55"/>
        <v>-8.5340658331727978E-2</v>
      </c>
      <c r="M74" s="1089">
        <f>SUM(M75:M75)</f>
        <v>561617414</v>
      </c>
      <c r="N74" s="1112">
        <f t="shared" si="48"/>
        <v>8.3586916834681987E-2</v>
      </c>
      <c r="O74" s="1089">
        <f>SUM(O75:O75)</f>
        <v>580088420</v>
      </c>
      <c r="P74" s="1112">
        <f t="shared" si="56"/>
        <v>3.2888948133648864E-2</v>
      </c>
      <c r="Q74" s="1089">
        <f t="shared" ref="Q74:S74" si="59">SUM(Q75:Q75)</f>
        <v>612099454</v>
      </c>
      <c r="R74" s="1089">
        <f t="shared" si="59"/>
        <v>612099454</v>
      </c>
      <c r="S74" s="1089">
        <f t="shared" si="59"/>
        <v>342871813.25999999</v>
      </c>
      <c r="T74" s="1088">
        <f>SUM(T75:T75)</f>
        <v>250431058.28</v>
      </c>
      <c r="U74" s="1088">
        <f t="shared" si="57"/>
        <v>593302871.53999996</v>
      </c>
      <c r="V74" s="1111">
        <f t="shared" ref="V74:V136" si="60">+(U74-O74)/O74</f>
        <v>2.2780064356395808E-2</v>
      </c>
      <c r="W74" s="1111">
        <f t="shared" ref="W74:W136" si="61">+(V74+P74+N74)/3</f>
        <v>4.6418643108242223E-2</v>
      </c>
      <c r="X74" s="1089">
        <f>SUM(X75:X75)</f>
        <v>0</v>
      </c>
    </row>
    <row r="75" spans="1:24" x14ac:dyDescent="0.25">
      <c r="A75" s="1141" t="s">
        <v>1085</v>
      </c>
      <c r="B75" s="898">
        <v>456466373</v>
      </c>
      <c r="C75" s="898">
        <v>519662054</v>
      </c>
      <c r="D75" s="1111">
        <f t="shared" si="51"/>
        <v>0.13844542498205009</v>
      </c>
      <c r="E75" s="898">
        <v>553647274</v>
      </c>
      <c r="F75" s="1111">
        <f t="shared" si="52"/>
        <v>6.5398694667823484E-2</v>
      </c>
      <c r="G75" s="898">
        <v>514638803.17000002</v>
      </c>
      <c r="H75" s="1111">
        <f t="shared" si="53"/>
        <v>-7.0457261621051495E-2</v>
      </c>
      <c r="I75" s="898">
        <v>566653321</v>
      </c>
      <c r="J75" s="1111">
        <f t="shared" si="54"/>
        <v>0.10106994946670994</v>
      </c>
      <c r="K75" s="898">
        <v>518294753.54000002</v>
      </c>
      <c r="L75" s="1111">
        <f t="shared" si="55"/>
        <v>-8.5340658331727978E-2</v>
      </c>
      <c r="M75" s="1088">
        <v>561617414</v>
      </c>
      <c r="N75" s="1111">
        <f t="shared" si="48"/>
        <v>8.3586916834681987E-2</v>
      </c>
      <c r="O75" s="1088">
        <f>+'Ingresos 2022'!AE57</f>
        <v>580088420</v>
      </c>
      <c r="P75" s="1111">
        <f t="shared" si="56"/>
        <v>3.2888948133648864E-2</v>
      </c>
      <c r="Q75" s="1088">
        <f>+'Ingresos 2023'!I61+'Ingresos 2023'!I62+'Ingresos 2023'!I63+'Ingresos 2023'!I64+'Ingresos 2023'!I65+'Ingresos 2023'!I66+'Ingresos 2023'!I67+'Ingresos 2023'!I68+'Ingresos 2023'!I69</f>
        <v>612099454</v>
      </c>
      <c r="R75" s="1088">
        <f>+'Ingresos 2023'!J61+'Ingresos 2023'!J62+'Ingresos 2023'!J63+'Ingresos 2023'!J64+'Ingresos 2023'!J65+'Ingresos 2023'!J66+'Ingresos 2023'!J67+'Ingresos 2023'!J68+'Ingresos 2023'!J69</f>
        <v>612099454</v>
      </c>
      <c r="S75" s="1088">
        <f>+'Ingresos 2023'!K61+'Ingresos 2023'!K62+'Ingresos 2023'!K63+'Ingresos 2023'!K64+'Ingresos 2023'!K65+'Ingresos 2023'!K66+'Ingresos 2023'!K67+'Ingresos 2023'!K68+'Ingresos 2023'!K69</f>
        <v>342871813.25999999</v>
      </c>
      <c r="T75" s="1088">
        <f>+'Recaudo Julio Dic 2022'!E33+'Recaudo Julio Dic 2022'!E34+'Recaudo Julio Dic 2022'!E35+'Recaudo Julio Dic 2022'!E36+'Recaudo Julio Dic 2022'!E37+'Recaudo Julio Dic 2022'!E38+'Recaudo Julio Dic 2022'!E39+'Recaudo Julio Dic 2022'!E40+'Recaudo Julio Dic 2022'!E41</f>
        <v>250431058.28</v>
      </c>
      <c r="U75" s="1088">
        <f t="shared" si="57"/>
        <v>593302871.53999996</v>
      </c>
      <c r="V75" s="1111">
        <f t="shared" si="60"/>
        <v>2.2780064356395808E-2</v>
      </c>
      <c r="W75" s="1111">
        <f t="shared" si="61"/>
        <v>4.6418643108242223E-2</v>
      </c>
      <c r="X75" s="1088"/>
    </row>
    <row r="76" spans="1:24" x14ac:dyDescent="0.25">
      <c r="A76" s="1141" t="s">
        <v>1086</v>
      </c>
      <c r="B76" s="898"/>
      <c r="C76" s="898"/>
      <c r="D76" s="1111"/>
      <c r="E76" s="898"/>
      <c r="F76" s="1111"/>
      <c r="G76" s="898"/>
      <c r="H76" s="1111"/>
      <c r="I76" s="898"/>
      <c r="J76" s="1111"/>
      <c r="K76" s="898"/>
      <c r="L76" s="1111"/>
      <c r="M76" s="1088"/>
      <c r="N76" s="1111"/>
      <c r="O76" s="1088"/>
      <c r="P76" s="1111"/>
      <c r="Q76" s="1088"/>
      <c r="R76" s="1088"/>
      <c r="S76" s="1088"/>
      <c r="T76" s="1088"/>
      <c r="U76" s="1088">
        <f t="shared" si="57"/>
        <v>0</v>
      </c>
      <c r="V76" s="1111"/>
      <c r="W76" s="1111">
        <f t="shared" si="61"/>
        <v>0</v>
      </c>
      <c r="X76" s="1088"/>
    </row>
    <row r="77" spans="1:24" x14ac:dyDescent="0.25">
      <c r="A77" s="1139" t="s">
        <v>1087</v>
      </c>
      <c r="B77" s="890">
        <f>+B78</f>
        <v>3180992075</v>
      </c>
      <c r="C77" s="890">
        <f t="shared" ref="C77:I77" si="62">+C78</f>
        <v>3611727149.1999998</v>
      </c>
      <c r="D77" s="1112">
        <f t="shared" si="51"/>
        <v>0.13540903719478767</v>
      </c>
      <c r="E77" s="890">
        <f t="shared" si="62"/>
        <v>3753902782.4299998</v>
      </c>
      <c r="F77" s="1112">
        <f t="shared" si="52"/>
        <v>3.9364998339227263E-2</v>
      </c>
      <c r="G77" s="890">
        <f t="shared" si="62"/>
        <v>4398453532.4099998</v>
      </c>
      <c r="H77" s="1112">
        <f t="shared" si="53"/>
        <v>0.17170150303220302</v>
      </c>
      <c r="I77" s="890">
        <f t="shared" si="62"/>
        <v>3585983010.8600001</v>
      </c>
      <c r="J77" s="1112">
        <f t="shared" si="54"/>
        <v>-0.18471731383844608</v>
      </c>
      <c r="K77" s="890">
        <f>+K78</f>
        <v>3422927635.1399999</v>
      </c>
      <c r="L77" s="1112">
        <f t="shared" si="55"/>
        <v>-4.547020307296322E-2</v>
      </c>
      <c r="M77" s="1089">
        <f>+M78</f>
        <v>9219008514.7200012</v>
      </c>
      <c r="N77" s="1112">
        <f t="shared" si="48"/>
        <v>1.6933109599154406</v>
      </c>
      <c r="O77" s="1089">
        <f>+O78</f>
        <v>3759116829</v>
      </c>
      <c r="P77" s="1112">
        <f t="shared" ref="P77:P82" si="63">+(O77-M77)/M77</f>
        <v>-0.59224282925893668</v>
      </c>
      <c r="Q77" s="1089">
        <f t="shared" ref="Q77:S77" si="64">+Q78</f>
        <v>3480691898</v>
      </c>
      <c r="R77" s="1089">
        <f t="shared" si="64"/>
        <v>3782029698</v>
      </c>
      <c r="S77" s="1089">
        <f t="shared" si="64"/>
        <v>1475485732</v>
      </c>
      <c r="T77" s="1088">
        <f>+T78</f>
        <v>1480261138</v>
      </c>
      <c r="U77" s="1088">
        <f t="shared" si="57"/>
        <v>2955746870</v>
      </c>
      <c r="V77" s="1111">
        <f t="shared" si="60"/>
        <v>-0.21371242117359582</v>
      </c>
      <c r="W77" s="1111">
        <f t="shared" si="61"/>
        <v>0.29578523649430272</v>
      </c>
      <c r="X77" s="1089">
        <f>+X78</f>
        <v>0</v>
      </c>
    </row>
    <row r="78" spans="1:24" x14ac:dyDescent="0.25">
      <c r="A78" s="1139" t="s">
        <v>1088</v>
      </c>
      <c r="B78" s="890">
        <f>+B81+B84+B87+B79</f>
        <v>3180992075</v>
      </c>
      <c r="C78" s="890">
        <f t="shared" ref="C78:I78" si="65">+C81+C84+C87+C79</f>
        <v>3611727149.1999998</v>
      </c>
      <c r="D78" s="1112">
        <f t="shared" si="51"/>
        <v>0.13540903719478767</v>
      </c>
      <c r="E78" s="890">
        <f t="shared" si="65"/>
        <v>3753902782.4299998</v>
      </c>
      <c r="F78" s="1112">
        <f t="shared" si="52"/>
        <v>3.9364998339227263E-2</v>
      </c>
      <c r="G78" s="890">
        <f t="shared" si="65"/>
        <v>4398453532.4099998</v>
      </c>
      <c r="H78" s="1112">
        <f t="shared" si="53"/>
        <v>0.17170150303220302</v>
      </c>
      <c r="I78" s="890">
        <f t="shared" si="65"/>
        <v>3585983010.8600001</v>
      </c>
      <c r="J78" s="1112">
        <f t="shared" si="54"/>
        <v>-0.18471731383844608</v>
      </c>
      <c r="K78" s="890">
        <f>+K81+K79+K84</f>
        <v>3422927635.1399999</v>
      </c>
      <c r="L78" s="1112">
        <f t="shared" si="55"/>
        <v>-4.547020307296322E-2</v>
      </c>
      <c r="M78" s="1089">
        <f>+M81+M79+M84+M80</f>
        <v>9219008514.7200012</v>
      </c>
      <c r="N78" s="1112">
        <f t="shared" si="48"/>
        <v>1.6933109599154406</v>
      </c>
      <c r="O78" s="1089">
        <f>+O81+O79+O84+O80</f>
        <v>3759116829</v>
      </c>
      <c r="P78" s="1112">
        <f t="shared" si="63"/>
        <v>-0.59224282925893668</v>
      </c>
      <c r="Q78" s="1089">
        <f t="shared" ref="Q78" si="66">+Q81+Q84+Q87+Q79</f>
        <v>3480691898</v>
      </c>
      <c r="R78" s="1089">
        <f t="shared" ref="R78:S78" si="67">+R81+R84+R87+R79</f>
        <v>3782029698</v>
      </c>
      <c r="S78" s="1089">
        <f t="shared" si="67"/>
        <v>1475485732</v>
      </c>
      <c r="T78" s="1088">
        <f>+T81+T79+T84+T80</f>
        <v>1480261138</v>
      </c>
      <c r="U78" s="1088">
        <f t="shared" si="57"/>
        <v>2955746870</v>
      </c>
      <c r="V78" s="1111">
        <f t="shared" si="60"/>
        <v>-0.21371242117359582</v>
      </c>
      <c r="W78" s="1111">
        <f t="shared" si="61"/>
        <v>0.29578523649430272</v>
      </c>
      <c r="X78" s="1089">
        <f>+X81+X79+X84+X80</f>
        <v>0</v>
      </c>
    </row>
    <row r="79" spans="1:24" s="54" customFormat="1" x14ac:dyDescent="0.25">
      <c r="A79" s="750" t="s">
        <v>1089</v>
      </c>
      <c r="B79" s="898">
        <v>0</v>
      </c>
      <c r="C79" s="898">
        <v>318519904</v>
      </c>
      <c r="D79" s="1111"/>
      <c r="E79" s="898">
        <v>368742584.51999998</v>
      </c>
      <c r="F79" s="1111">
        <f t="shared" si="52"/>
        <v>0.15767517159618377</v>
      </c>
      <c r="G79" s="898">
        <v>1235675250</v>
      </c>
      <c r="H79" s="1111">
        <f t="shared" si="53"/>
        <v>2.3510511177018096</v>
      </c>
      <c r="I79" s="898">
        <v>272414720.86000001</v>
      </c>
      <c r="J79" s="1111">
        <f t="shared" si="54"/>
        <v>-0.77954181662212618</v>
      </c>
      <c r="K79" s="898">
        <v>147570542.13999999</v>
      </c>
      <c r="L79" s="1111">
        <f t="shared" si="55"/>
        <v>-0.45828719654309807</v>
      </c>
      <c r="M79" s="1088">
        <v>4420597120.7200003</v>
      </c>
      <c r="N79" s="1111">
        <f t="shared" si="48"/>
        <v>28.955823544553937</v>
      </c>
      <c r="O79" s="1088">
        <f>+'Ingresos 2022'!AE111</f>
        <v>453382640</v>
      </c>
      <c r="P79" s="1111">
        <f t="shared" si="63"/>
        <v>-0.89743859763312794</v>
      </c>
      <c r="Q79" s="1098">
        <f>+'Ingresos 2023'!I108</f>
        <v>250000000</v>
      </c>
      <c r="R79" s="1098">
        <f>+'Ingresos 2023'!J108</f>
        <v>592877095</v>
      </c>
      <c r="S79" s="1098">
        <f>+'Ingresos 2023'!K108</f>
        <v>0</v>
      </c>
      <c r="T79" s="1088"/>
      <c r="U79" s="1088">
        <f t="shared" si="57"/>
        <v>0</v>
      </c>
      <c r="V79" s="1111">
        <f t="shared" si="60"/>
        <v>-1</v>
      </c>
      <c r="W79" s="1111">
        <f t="shared" si="61"/>
        <v>9.0194616489736035</v>
      </c>
      <c r="X79" s="1088"/>
    </row>
    <row r="80" spans="1:24" x14ac:dyDescent="0.25">
      <c r="A80" s="1141" t="s">
        <v>1071</v>
      </c>
      <c r="B80" s="898">
        <v>0</v>
      </c>
      <c r="C80" s="898">
        <v>514557468</v>
      </c>
      <c r="D80" s="1111"/>
      <c r="E80" s="898">
        <v>948728685</v>
      </c>
      <c r="F80" s="1111">
        <f t="shared" si="52"/>
        <v>0.84377595118296878</v>
      </c>
      <c r="G80" s="898">
        <v>508891370</v>
      </c>
      <c r="H80" s="1111">
        <f t="shared" si="53"/>
        <v>-0.46360705853433748</v>
      </c>
      <c r="I80" s="898">
        <v>186428977</v>
      </c>
      <c r="J80" s="1111">
        <f t="shared" si="54"/>
        <v>-0.63365663481383072</v>
      </c>
      <c r="K80" s="898">
        <v>0</v>
      </c>
      <c r="L80" s="1111">
        <f t="shared" si="55"/>
        <v>-1</v>
      </c>
      <c r="M80" s="1088">
        <v>4998651</v>
      </c>
      <c r="N80" s="1111" t="e">
        <f t="shared" si="48"/>
        <v>#DIV/0!</v>
      </c>
      <c r="O80" s="1088"/>
      <c r="P80" s="1111">
        <f t="shared" si="63"/>
        <v>-1</v>
      </c>
      <c r="Q80" s="1088"/>
      <c r="R80" s="1088"/>
      <c r="S80" s="1088"/>
      <c r="T80" s="1088"/>
      <c r="U80" s="1088">
        <f t="shared" si="57"/>
        <v>0</v>
      </c>
      <c r="V80" s="1111"/>
      <c r="W80" s="1111"/>
      <c r="X80" s="1088"/>
    </row>
    <row r="81" spans="1:24" s="54" customFormat="1" x14ac:dyDescent="0.25">
      <c r="A81" s="751" t="s">
        <v>145</v>
      </c>
      <c r="B81" s="887">
        <f>SUM(B82:B83)</f>
        <v>2287233345</v>
      </c>
      <c r="C81" s="887">
        <f>SUM(C82:C83)</f>
        <v>2410945833</v>
      </c>
      <c r="D81" s="1109">
        <f t="shared" si="51"/>
        <v>5.4088267063105447E-2</v>
      </c>
      <c r="E81" s="887">
        <f>SUM(E82:E83)</f>
        <v>2269932364</v>
      </c>
      <c r="F81" s="1109">
        <f t="shared" si="52"/>
        <v>-5.8488858218989276E-2</v>
      </c>
      <c r="G81" s="887">
        <f>SUM(G82:G83)</f>
        <v>2329571431</v>
      </c>
      <c r="H81" s="1109">
        <f t="shared" si="53"/>
        <v>2.6273499574633142E-2</v>
      </c>
      <c r="I81" s="887">
        <f>SUM(I82:I83)</f>
        <v>2335055953</v>
      </c>
      <c r="J81" s="1109">
        <f t="shared" si="54"/>
        <v>2.3543051425753856E-3</v>
      </c>
      <c r="K81" s="887">
        <f>SUM(K82:K83)</f>
        <v>3056158641</v>
      </c>
      <c r="L81" s="1109">
        <f t="shared" si="55"/>
        <v>0.30881602090671617</v>
      </c>
      <c r="M81" s="1086">
        <f>SUM(M82:M83)</f>
        <v>4652248940</v>
      </c>
      <c r="N81" s="1109">
        <f t="shared" si="48"/>
        <v>0.52225374612024267</v>
      </c>
      <c r="O81" s="1086">
        <f>SUM(O82:O83)</f>
        <v>3186665345</v>
      </c>
      <c r="P81" s="1109">
        <f t="shared" si="63"/>
        <v>-0.31502690718007881</v>
      </c>
      <c r="Q81" s="1098">
        <f>+Q82+Q83</f>
        <v>3085293181</v>
      </c>
      <c r="R81" s="1098">
        <f t="shared" ref="R81:S81" si="68">+R82+R83</f>
        <v>3085293181</v>
      </c>
      <c r="S81" s="1098">
        <f t="shared" si="68"/>
        <v>1371626310</v>
      </c>
      <c r="T81" s="1088">
        <f>SUM(T82:T83)</f>
        <v>1361192294</v>
      </c>
      <c r="U81" s="1088">
        <f t="shared" si="57"/>
        <v>2732818604</v>
      </c>
      <c r="V81" s="1111">
        <f t="shared" si="60"/>
        <v>-0.14242058448719849</v>
      </c>
      <c r="W81" s="1111">
        <f t="shared" si="61"/>
        <v>2.1602084817655132E-2</v>
      </c>
      <c r="X81" s="1086">
        <f>SUM(X82:X83)</f>
        <v>0</v>
      </c>
    </row>
    <row r="82" spans="1:24" s="54" customFormat="1" x14ac:dyDescent="0.25">
      <c r="A82" s="1141" t="s">
        <v>1090</v>
      </c>
      <c r="B82" s="898">
        <v>2287233345</v>
      </c>
      <c r="C82" s="898">
        <v>451574124.73097914</v>
      </c>
      <c r="D82" s="1111">
        <f t="shared" si="51"/>
        <v>-0.80256753176577211</v>
      </c>
      <c r="E82" s="898">
        <v>2269932364</v>
      </c>
      <c r="F82" s="1111">
        <f t="shared" si="52"/>
        <v>4.026710432871436</v>
      </c>
      <c r="G82" s="898">
        <v>618776355.79999995</v>
      </c>
      <c r="H82" s="1111">
        <f t="shared" si="53"/>
        <v>-0.72740317481988204</v>
      </c>
      <c r="I82" s="898">
        <v>857974331.57088304</v>
      </c>
      <c r="J82" s="1111">
        <f t="shared" si="54"/>
        <v>0.38656612123071543</v>
      </c>
      <c r="K82" s="898">
        <v>3056158641</v>
      </c>
      <c r="L82" s="1111">
        <f t="shared" si="55"/>
        <v>2.56206302279978</v>
      </c>
      <c r="M82" s="1088">
        <v>4652248940</v>
      </c>
      <c r="N82" s="1111">
        <f t="shared" si="48"/>
        <v>0.52225374612024267</v>
      </c>
      <c r="O82" s="1088">
        <f>+'Ingresos 2022'!AE98</f>
        <v>3186665345</v>
      </c>
      <c r="P82" s="1111">
        <f t="shared" si="63"/>
        <v>-0.31502690718007881</v>
      </c>
      <c r="Q82" s="1088">
        <f>+'Ingresos 2023'!I100</f>
        <v>3085293181</v>
      </c>
      <c r="R82" s="1088">
        <f>+'Ingresos 2023'!J100</f>
        <v>3085293181</v>
      </c>
      <c r="S82" s="1088">
        <f>+'Ingresos 2023'!K100</f>
        <v>1371626310</v>
      </c>
      <c r="T82" s="1088">
        <f>+'Recaudo Julio Dic 2022'!E54</f>
        <v>1361192294</v>
      </c>
      <c r="U82" s="1088">
        <f t="shared" si="57"/>
        <v>2732818604</v>
      </c>
      <c r="V82" s="1111">
        <f t="shared" si="60"/>
        <v>-0.14242058448719849</v>
      </c>
      <c r="W82" s="1111">
        <f t="shared" si="61"/>
        <v>2.1602084817655132E-2</v>
      </c>
      <c r="X82" s="1088"/>
    </row>
    <row r="83" spans="1:24" x14ac:dyDescent="0.25">
      <c r="A83" s="1141" t="s">
        <v>1091</v>
      </c>
      <c r="B83" s="898">
        <v>0</v>
      </c>
      <c r="C83" s="898">
        <v>1959371708.2690208</v>
      </c>
      <c r="D83" s="1111"/>
      <c r="E83" s="898">
        <v>0</v>
      </c>
      <c r="F83" s="1111">
        <f t="shared" si="52"/>
        <v>-1</v>
      </c>
      <c r="G83" s="898">
        <v>1710795075.2</v>
      </c>
      <c r="H83" s="1111"/>
      <c r="I83" s="898">
        <v>1477081621.4291172</v>
      </c>
      <c r="J83" s="1111">
        <f t="shared" si="54"/>
        <v>-0.13661101622212737</v>
      </c>
      <c r="K83" s="898">
        <v>0</v>
      </c>
      <c r="L83" s="1111">
        <f t="shared" si="55"/>
        <v>-1</v>
      </c>
      <c r="M83" s="1088"/>
      <c r="N83" s="1111"/>
      <c r="O83" s="1088"/>
      <c r="P83" s="1111"/>
      <c r="Q83" s="1088"/>
      <c r="R83" s="1088"/>
      <c r="S83" s="1088"/>
      <c r="T83" s="1088"/>
      <c r="U83" s="1088">
        <f t="shared" si="57"/>
        <v>0</v>
      </c>
      <c r="V83" s="1111"/>
      <c r="W83" s="1111">
        <f t="shared" si="61"/>
        <v>0</v>
      </c>
      <c r="X83" s="1088"/>
    </row>
    <row r="84" spans="1:24" s="54" customFormat="1" x14ac:dyDescent="0.25">
      <c r="A84" s="751" t="s">
        <v>1092</v>
      </c>
      <c r="B84" s="887">
        <f t="shared" ref="B84:I84" si="69">SUM(B85:B86)</f>
        <v>446695888</v>
      </c>
      <c r="C84" s="887">
        <f t="shared" si="69"/>
        <v>435938414.19999999</v>
      </c>
      <c r="D84" s="1109">
        <f t="shared" si="51"/>
        <v>-2.4082321080152885E-2</v>
      </c>
      <c r="E84" s="887">
        <f t="shared" si="69"/>
        <v>413355286</v>
      </c>
      <c r="F84" s="1109">
        <f t="shared" si="52"/>
        <v>-5.1803482933346849E-2</v>
      </c>
      <c r="G84" s="887">
        <f t="shared" si="69"/>
        <v>176268649</v>
      </c>
      <c r="H84" s="1109">
        <f t="shared" si="53"/>
        <v>-0.5735662395762855</v>
      </c>
      <c r="I84" s="887">
        <f t="shared" si="69"/>
        <v>173782366</v>
      </c>
      <c r="J84" s="1109">
        <f t="shared" si="54"/>
        <v>-1.4105077755489009E-2</v>
      </c>
      <c r="K84" s="887">
        <f>SUM(K85:K86)</f>
        <v>219198452</v>
      </c>
      <c r="L84" s="1109">
        <f t="shared" si="55"/>
        <v>0.26133886334589324</v>
      </c>
      <c r="M84" s="1086">
        <f>SUM(M85:M86)</f>
        <v>141163803</v>
      </c>
      <c r="N84" s="1109">
        <f t="shared" si="48"/>
        <v>-0.35600000040146268</v>
      </c>
      <c r="O84" s="1086">
        <f>SUM(O85:O86)</f>
        <v>119068844</v>
      </c>
      <c r="P84" s="1109">
        <f t="shared" ref="P84:P85" si="70">+(O84-M84)/M84</f>
        <v>-0.15652000392763576</v>
      </c>
      <c r="Q84" s="1098">
        <f>+Q85</f>
        <v>145398717</v>
      </c>
      <c r="R84" s="1098">
        <f t="shared" ref="R84:S84" si="71">+R85</f>
        <v>103859422</v>
      </c>
      <c r="S84" s="1098">
        <f t="shared" si="71"/>
        <v>103859422</v>
      </c>
      <c r="T84" s="1088">
        <f>SUM(T85:T86)</f>
        <v>119068844</v>
      </c>
      <c r="U84" s="1088">
        <f t="shared" si="57"/>
        <v>222928266</v>
      </c>
      <c r="V84" s="1111">
        <f t="shared" si="60"/>
        <v>0.87226362926644352</v>
      </c>
      <c r="W84" s="1111">
        <f t="shared" si="61"/>
        <v>0.11991454164578169</v>
      </c>
      <c r="X84" s="1086">
        <f>SUM(X85:X86)</f>
        <v>0</v>
      </c>
    </row>
    <row r="85" spans="1:24" s="54" customFormat="1" x14ac:dyDescent="0.25">
      <c r="A85" s="1141" t="s">
        <v>1093</v>
      </c>
      <c r="B85" s="898">
        <v>223347944</v>
      </c>
      <c r="C85" s="898">
        <v>217969207</v>
      </c>
      <c r="D85" s="1111">
        <f t="shared" si="51"/>
        <v>-2.408232152788476E-2</v>
      </c>
      <c r="E85" s="898">
        <v>206677643</v>
      </c>
      <c r="F85" s="1111">
        <f t="shared" si="52"/>
        <v>-5.1803482498332894E-2</v>
      </c>
      <c r="G85" s="898">
        <v>176268649</v>
      </c>
      <c r="H85" s="1111">
        <f t="shared" si="53"/>
        <v>-0.14713247915257094</v>
      </c>
      <c r="I85" s="898">
        <v>173782366</v>
      </c>
      <c r="J85" s="1111">
        <f t="shared" si="54"/>
        <v>-1.4105077755489009E-2</v>
      </c>
      <c r="K85" s="898">
        <v>219198452</v>
      </c>
      <c r="L85" s="1111">
        <f t="shared" si="55"/>
        <v>0.26133886334589324</v>
      </c>
      <c r="M85" s="1088">
        <v>141163803</v>
      </c>
      <c r="N85" s="1111">
        <f t="shared" si="48"/>
        <v>-0.35600000040146268</v>
      </c>
      <c r="O85" s="1088">
        <f>+'Ingresos 2022'!AE99</f>
        <v>119068844</v>
      </c>
      <c r="P85" s="1111">
        <f t="shared" si="70"/>
        <v>-0.15652000392763576</v>
      </c>
      <c r="Q85" s="1088">
        <f>+'Ingresos 2023'!I101</f>
        <v>145398717</v>
      </c>
      <c r="R85" s="1088">
        <f>+'Ingresos 2023'!J101</f>
        <v>103859422</v>
      </c>
      <c r="S85" s="1088">
        <f>+'Ingresos 2023'!K101</f>
        <v>103859422</v>
      </c>
      <c r="T85" s="1088">
        <f>+'Recaudo Julio Dic 2022'!E55</f>
        <v>119068844</v>
      </c>
      <c r="U85" s="1088">
        <f t="shared" si="57"/>
        <v>222928266</v>
      </c>
      <c r="V85" s="1111">
        <f t="shared" si="60"/>
        <v>0.87226362926644352</v>
      </c>
      <c r="W85" s="1111">
        <f t="shared" si="61"/>
        <v>0.11991454164578169</v>
      </c>
      <c r="X85" s="1088"/>
    </row>
    <row r="86" spans="1:24" x14ac:dyDescent="0.25">
      <c r="A86" s="1141" t="s">
        <v>1094</v>
      </c>
      <c r="B86" s="898">
        <v>223347944</v>
      </c>
      <c r="C86" s="898">
        <v>217969207.19999999</v>
      </c>
      <c r="D86" s="1111">
        <f t="shared" si="51"/>
        <v>-2.4082320632421009E-2</v>
      </c>
      <c r="E86" s="898">
        <v>206677643</v>
      </c>
      <c r="F86" s="1111">
        <f t="shared" si="52"/>
        <v>-5.1803483368360798E-2</v>
      </c>
      <c r="G86" s="898">
        <v>0</v>
      </c>
      <c r="H86" s="1111">
        <f t="shared" si="53"/>
        <v>-1</v>
      </c>
      <c r="I86" s="898">
        <v>0</v>
      </c>
      <c r="J86" s="1111"/>
      <c r="K86" s="898">
        <v>0</v>
      </c>
      <c r="L86" s="1111"/>
      <c r="M86" s="1088"/>
      <c r="N86" s="1111"/>
      <c r="O86" s="1088"/>
      <c r="P86" s="1111"/>
      <c r="Q86" s="1088"/>
      <c r="R86" s="1088"/>
      <c r="S86" s="1088"/>
      <c r="T86" s="1088"/>
      <c r="U86" s="1088">
        <f t="shared" si="57"/>
        <v>0</v>
      </c>
      <c r="V86" s="1111"/>
      <c r="W86" s="1111">
        <f t="shared" si="61"/>
        <v>0</v>
      </c>
      <c r="X86" s="1088"/>
    </row>
    <row r="87" spans="1:24" s="54" customFormat="1" x14ac:dyDescent="0.25">
      <c r="A87" s="1140" t="s">
        <v>1095</v>
      </c>
      <c r="B87" s="890">
        <f t="shared" ref="B87:I87" si="72">SUM(B88:B90)</f>
        <v>447062842</v>
      </c>
      <c r="C87" s="890">
        <f t="shared" si="72"/>
        <v>446322998</v>
      </c>
      <c r="D87" s="1112">
        <f t="shared" si="51"/>
        <v>-1.6548993351587918E-3</v>
      </c>
      <c r="E87" s="890">
        <f t="shared" si="72"/>
        <v>701872547.90999997</v>
      </c>
      <c r="F87" s="1112">
        <f t="shared" si="52"/>
        <v>0.57256639486455496</v>
      </c>
      <c r="G87" s="890">
        <f t="shared" si="72"/>
        <v>656938202.41000009</v>
      </c>
      <c r="H87" s="1112">
        <f t="shared" si="53"/>
        <v>-6.4020662488942004E-2</v>
      </c>
      <c r="I87" s="890">
        <f t="shared" si="72"/>
        <v>804729971</v>
      </c>
      <c r="J87" s="1112">
        <f t="shared" si="54"/>
        <v>0.224970580258266</v>
      </c>
      <c r="K87" s="890">
        <f>+K88</f>
        <v>422511777</v>
      </c>
      <c r="L87" s="1112">
        <f t="shared" si="55"/>
        <v>-0.47496453192247268</v>
      </c>
      <c r="M87" s="1089">
        <f>+M88</f>
        <v>0</v>
      </c>
      <c r="N87" s="1112"/>
      <c r="O87" s="1089">
        <f>+O88</f>
        <v>982222572.29000008</v>
      </c>
      <c r="P87" s="1112"/>
      <c r="Q87" s="1089"/>
      <c r="R87" s="1089"/>
      <c r="S87" s="1089"/>
      <c r="T87" s="1088">
        <f>+T88</f>
        <v>0</v>
      </c>
      <c r="U87" s="1088">
        <f t="shared" si="57"/>
        <v>0</v>
      </c>
      <c r="V87" s="1111">
        <f t="shared" si="60"/>
        <v>-1</v>
      </c>
      <c r="W87" s="1111">
        <f t="shared" si="61"/>
        <v>-0.33333333333333331</v>
      </c>
      <c r="X87" s="1089">
        <f>+X88</f>
        <v>0</v>
      </c>
    </row>
    <row r="88" spans="1:24" x14ac:dyDescent="0.25">
      <c r="A88" s="1141" t="s">
        <v>1096</v>
      </c>
      <c r="B88" s="898">
        <v>447062842</v>
      </c>
      <c r="C88" s="898">
        <v>446322998</v>
      </c>
      <c r="D88" s="1111">
        <f t="shared" si="51"/>
        <v>-1.6548993351587918E-3</v>
      </c>
      <c r="E88" s="898">
        <v>701872547.90999997</v>
      </c>
      <c r="F88" s="1111">
        <f t="shared" si="52"/>
        <v>0.57256639486455496</v>
      </c>
      <c r="G88" s="898">
        <v>157789808.06</v>
      </c>
      <c r="H88" s="1111">
        <f t="shared" si="53"/>
        <v>-0.77518737763735246</v>
      </c>
      <c r="I88" s="898">
        <v>234634941.90000001</v>
      </c>
      <c r="J88" s="1111">
        <f t="shared" si="54"/>
        <v>0.48700948929971088</v>
      </c>
      <c r="K88" s="898">
        <v>422511777</v>
      </c>
      <c r="L88" s="1111">
        <f t="shared" si="55"/>
        <v>0.80071976312919313</v>
      </c>
      <c r="M88" s="1088"/>
      <c r="N88" s="1111"/>
      <c r="O88" s="1088">
        <f>+'Ingresos 2022'!AE140+'Ingresos 2022'!AE144+'Ingresos 2022'!AE149+'Ingresos 2022'!AE152+'Ingresos 2022'!AE157</f>
        <v>982222572.29000008</v>
      </c>
      <c r="P88" s="1111"/>
      <c r="Q88" s="1088"/>
      <c r="R88" s="1088"/>
      <c r="S88" s="1088"/>
      <c r="T88" s="1088"/>
      <c r="U88" s="1088">
        <f t="shared" si="57"/>
        <v>0</v>
      </c>
      <c r="V88" s="1111">
        <f t="shared" si="60"/>
        <v>-1</v>
      </c>
      <c r="W88" s="1111">
        <f t="shared" si="61"/>
        <v>-0.33333333333333331</v>
      </c>
      <c r="X88" s="1088"/>
    </row>
    <row r="89" spans="1:24" x14ac:dyDescent="0.25">
      <c r="A89" s="1139" t="s">
        <v>1097</v>
      </c>
      <c r="B89" s="898"/>
      <c r="C89" s="898"/>
      <c r="D89" s="1111"/>
      <c r="E89" s="898"/>
      <c r="F89" s="1111"/>
      <c r="G89" s="898"/>
      <c r="H89" s="1111"/>
      <c r="I89" s="898"/>
      <c r="J89" s="1111"/>
      <c r="K89" s="898">
        <v>2766983630</v>
      </c>
      <c r="L89" s="1111"/>
      <c r="M89" s="1088"/>
      <c r="N89" s="1111"/>
      <c r="O89" s="1088"/>
      <c r="P89" s="1111"/>
      <c r="Q89" s="1088"/>
      <c r="R89" s="1088"/>
      <c r="S89" s="1088"/>
      <c r="T89" s="1088"/>
      <c r="U89" s="1088">
        <f t="shared" si="57"/>
        <v>0</v>
      </c>
      <c r="V89" s="1111"/>
      <c r="W89" s="1111">
        <f t="shared" si="61"/>
        <v>0</v>
      </c>
      <c r="X89" s="1088"/>
    </row>
    <row r="90" spans="1:24" x14ac:dyDescent="0.25">
      <c r="A90" s="1141" t="s">
        <v>1098</v>
      </c>
      <c r="B90" s="898">
        <v>0</v>
      </c>
      <c r="C90" s="898">
        <v>0</v>
      </c>
      <c r="D90" s="1111"/>
      <c r="E90" s="898">
        <v>0</v>
      </c>
      <c r="F90" s="1111"/>
      <c r="G90" s="898">
        <v>499148394.35000002</v>
      </c>
      <c r="H90" s="1111"/>
      <c r="I90" s="898">
        <v>570095029.10000002</v>
      </c>
      <c r="J90" s="1111">
        <f t="shared" si="54"/>
        <v>0.14213535604454458</v>
      </c>
      <c r="K90" s="898">
        <v>250769732</v>
      </c>
      <c r="L90" s="1111">
        <f t="shared" si="55"/>
        <v>-0.56012643647167704</v>
      </c>
      <c r="M90" s="1088">
        <v>669089493.05999994</v>
      </c>
      <c r="N90" s="1111">
        <f t="shared" si="48"/>
        <v>1.6681429521964795</v>
      </c>
      <c r="O90" s="1088"/>
      <c r="P90" s="1111">
        <f t="shared" ref="P90" si="73">+(O90-M90)/M90</f>
        <v>-1</v>
      </c>
      <c r="Q90" s="1088"/>
      <c r="R90" s="1088"/>
      <c r="S90" s="1088"/>
      <c r="T90" s="1088"/>
      <c r="U90" s="1088">
        <f t="shared" si="57"/>
        <v>0</v>
      </c>
      <c r="V90" s="1111"/>
      <c r="W90" s="1111">
        <f t="shared" si="61"/>
        <v>0.22271431739882649</v>
      </c>
      <c r="X90" s="1088"/>
    </row>
    <row r="91" spans="1:24" s="54" customFormat="1" x14ac:dyDescent="0.25">
      <c r="A91" s="1142" t="s">
        <v>953</v>
      </c>
      <c r="B91" s="1122">
        <f>+B93+B111+B145+B148</f>
        <v>155051759491.47</v>
      </c>
      <c r="C91" s="1122">
        <f>+C93+C111+C145+C148</f>
        <v>165445661532.92999</v>
      </c>
      <c r="D91" s="1123">
        <f t="shared" si="51"/>
        <v>6.7035047364501527E-2</v>
      </c>
      <c r="E91" s="1122">
        <f>+E93+E111+E145+E148</f>
        <v>182369314876.69</v>
      </c>
      <c r="F91" s="1123">
        <f t="shared" si="52"/>
        <v>0.10229130934564613</v>
      </c>
      <c r="G91" s="1122">
        <f>+G93+G111+G145+G148</f>
        <v>197483349462.87</v>
      </c>
      <c r="H91" s="1123">
        <f t="shared" si="53"/>
        <v>8.2875973934537342E-2</v>
      </c>
      <c r="I91" s="1122">
        <f>+I93+I111+I145+I148</f>
        <v>213064679792.67001</v>
      </c>
      <c r="J91" s="1123">
        <f t="shared" si="54"/>
        <v>7.8899463535428621E-2</v>
      </c>
      <c r="K91" s="1122">
        <f>+K93+K111+K145+K148+K92</f>
        <v>224176154573.15997</v>
      </c>
      <c r="L91" s="1122">
        <f t="shared" ref="L91:N91" si="74">+L93+L111+L145+L148+L92</f>
        <v>1564274686.2942429</v>
      </c>
      <c r="M91" s="1124">
        <f t="shared" si="74"/>
        <v>264310991749.94998</v>
      </c>
      <c r="N91" s="1122" t="e">
        <f t="shared" si="74"/>
        <v>#DIV/0!</v>
      </c>
      <c r="O91" s="1124">
        <f t="shared" ref="O91:P91" si="75">+O93+O111+O145+O148+O92</f>
        <v>239677390384.95001</v>
      </c>
      <c r="P91" s="1122">
        <f t="shared" si="75"/>
        <v>1564274679.02</v>
      </c>
      <c r="Q91" s="1124"/>
      <c r="R91" s="1124">
        <f t="shared" ref="R91:S91" si="76">+R93+R111</f>
        <v>196028827419</v>
      </c>
      <c r="S91" s="1124">
        <f t="shared" si="76"/>
        <v>96455862463.160004</v>
      </c>
      <c r="T91" s="1088">
        <f t="shared" ref="T91:X91" si="77">+T93+T111+T145+T148+T92</f>
        <v>130509149193.61</v>
      </c>
      <c r="U91" s="1088">
        <f t="shared" si="57"/>
        <v>226965011656.77002</v>
      </c>
      <c r="V91" s="1111">
        <f t="shared" si="60"/>
        <v>-5.3039540808427613E-2</v>
      </c>
      <c r="W91" s="1111"/>
      <c r="X91" s="1124">
        <f t="shared" si="77"/>
        <v>0</v>
      </c>
    </row>
    <row r="92" spans="1:24" s="54" customFormat="1" x14ac:dyDescent="0.25">
      <c r="A92" s="1142" t="s">
        <v>1099</v>
      </c>
      <c r="B92" s="887"/>
      <c r="C92" s="887"/>
      <c r="D92" s="1109"/>
      <c r="E92" s="887"/>
      <c r="F92" s="1109"/>
      <c r="G92" s="887"/>
      <c r="H92" s="1109"/>
      <c r="I92" s="887"/>
      <c r="J92" s="1109"/>
      <c r="K92" s="887">
        <v>1564274678.02</v>
      </c>
      <c r="L92" s="887">
        <v>1564274679.02</v>
      </c>
      <c r="M92" s="1086">
        <v>1564274680.02</v>
      </c>
      <c r="N92" s="887">
        <v>1564274681.02</v>
      </c>
      <c r="O92" s="1086"/>
      <c r="P92" s="887">
        <v>1564274681.02</v>
      </c>
      <c r="Q92" s="1098">
        <f>+'Ingresos 2023'!I71</f>
        <v>3159539006</v>
      </c>
      <c r="R92" s="1098">
        <f>+'Ingresos 2023'!J71</f>
        <v>3159539006</v>
      </c>
      <c r="S92" s="1098">
        <f>+'Ingresos 2023'!K71</f>
        <v>1999944681.45</v>
      </c>
      <c r="T92" s="1088">
        <f>+'Recaudo Julio Dic 2022'!E22</f>
        <v>2352113722.1700001</v>
      </c>
      <c r="U92" s="1088">
        <f t="shared" si="57"/>
        <v>4352058403.6199999</v>
      </c>
      <c r="V92" s="1111"/>
      <c r="W92" s="1111">
        <f t="shared" si="61"/>
        <v>1042849787.3466667</v>
      </c>
      <c r="X92" s="1086"/>
    </row>
    <row r="93" spans="1:24" s="54" customFormat="1" x14ac:dyDescent="0.25">
      <c r="A93" s="750" t="s">
        <v>1100</v>
      </c>
      <c r="B93" s="887">
        <f>SUM(B94:B109)</f>
        <v>107742794290.12999</v>
      </c>
      <c r="C93" s="887">
        <f>SUM(C94:C109)</f>
        <v>121790223603.26999</v>
      </c>
      <c r="D93" s="1109">
        <f t="shared" si="51"/>
        <v>0.13037929270066131</v>
      </c>
      <c r="E93" s="887">
        <f>SUM(E94:E109)</f>
        <v>138720661080</v>
      </c>
      <c r="F93" s="1109">
        <f t="shared" si="52"/>
        <v>0.13901310775059156</v>
      </c>
      <c r="G93" s="887">
        <f>SUM(G94:G109)</f>
        <v>143891587484.09998</v>
      </c>
      <c r="H93" s="1109">
        <f t="shared" si="53"/>
        <v>3.7275820082185954E-2</v>
      </c>
      <c r="I93" s="887">
        <f>SUM(I94:I109)</f>
        <v>159829593376.34003</v>
      </c>
      <c r="J93" s="1109">
        <f t="shared" si="54"/>
        <v>0.11076398676886653</v>
      </c>
      <c r="K93" s="887">
        <f>SUM(K94:K110)</f>
        <v>171706788244.69998</v>
      </c>
      <c r="L93" s="887">
        <f t="shared" ref="L93:M93" si="78">SUM(L94:L110)</f>
        <v>9.2389883885972921</v>
      </c>
      <c r="M93" s="1086">
        <f t="shared" si="78"/>
        <v>182122210136.75</v>
      </c>
      <c r="N93" s="887"/>
      <c r="O93" s="1086">
        <f t="shared" ref="O93" si="79">SUM(O94:O110)</f>
        <v>176447852687.42001</v>
      </c>
      <c r="P93" s="887"/>
      <c r="Q93" s="1098"/>
      <c r="R93" s="1098">
        <f t="shared" ref="R93:S93" si="80">SUM(R94:R110)</f>
        <v>196028827419</v>
      </c>
      <c r="S93" s="1098">
        <f t="shared" si="80"/>
        <v>96455862463.160004</v>
      </c>
      <c r="T93" s="1088">
        <f t="shared" ref="T93" si="81">SUM(T94:T110)</f>
        <v>94740968251.720001</v>
      </c>
      <c r="U93" s="1088">
        <f t="shared" si="57"/>
        <v>191196830714.88</v>
      </c>
      <c r="V93" s="1111">
        <f t="shared" si="60"/>
        <v>8.3588311236567014E-2</v>
      </c>
      <c r="W93" s="1111">
        <f t="shared" si="61"/>
        <v>2.7862770412189004E-2</v>
      </c>
      <c r="X93" s="1086">
        <f t="shared" ref="X93" si="82">SUM(X94:X110)</f>
        <v>0</v>
      </c>
    </row>
    <row r="94" spans="1:24" ht="25.5" x14ac:dyDescent="0.25">
      <c r="A94" s="1141" t="s">
        <v>1101</v>
      </c>
      <c r="B94" s="898">
        <v>87690630035</v>
      </c>
      <c r="C94" s="898">
        <v>93842849807</v>
      </c>
      <c r="D94" s="1111">
        <f t="shared" si="51"/>
        <v>7.0158234346639564E-2</v>
      </c>
      <c r="E94" s="898">
        <v>104784789015</v>
      </c>
      <c r="F94" s="1111">
        <f t="shared" si="52"/>
        <v>0.11659853926541572</v>
      </c>
      <c r="G94" s="898">
        <v>112348234883</v>
      </c>
      <c r="H94" s="1111">
        <f t="shared" si="53"/>
        <v>7.2180761531306689E-2</v>
      </c>
      <c r="I94" s="898">
        <v>121574561361</v>
      </c>
      <c r="J94" s="1111">
        <f t="shared" si="54"/>
        <v>8.2122576181177576E-2</v>
      </c>
      <c r="K94" s="898">
        <v>129499737226</v>
      </c>
      <c r="L94" s="1111">
        <f t="shared" si="55"/>
        <v>6.5187780866979322E-2</v>
      </c>
      <c r="M94" s="1088">
        <v>137464911058</v>
      </c>
      <c r="N94" s="1111">
        <f t="shared" si="48"/>
        <v>6.1507258644852382E-2</v>
      </c>
      <c r="O94" s="1088">
        <f>+'Ingresos 2022'!AE234</f>
        <v>146126277465</v>
      </c>
      <c r="P94" s="1111">
        <f t="shared" ref="P94:P95" si="83">+(O94-M94)/M94</f>
        <v>6.3007834801897519E-2</v>
      </c>
      <c r="Q94" s="1088">
        <f>+'Ingresos 2023'!I237</f>
        <v>156853000000</v>
      </c>
      <c r="R94" s="1088">
        <f>+'Ingresos 2023'!J237</f>
        <v>156837827419</v>
      </c>
      <c r="S94" s="1088">
        <f>+'Ingresos 2023'!K237</f>
        <v>80482869270</v>
      </c>
      <c r="T94" s="1088">
        <f>+'Recaudo Julio Dic 2022'!E149</f>
        <v>81089829777</v>
      </c>
      <c r="U94" s="1088">
        <f t="shared" si="57"/>
        <v>161572699047</v>
      </c>
      <c r="V94" s="1111">
        <f t="shared" si="60"/>
        <v>0.10570598149740527</v>
      </c>
      <c r="W94" s="1111">
        <f t="shared" si="61"/>
        <v>7.6740358314718385E-2</v>
      </c>
      <c r="X94" s="1088"/>
    </row>
    <row r="95" spans="1:24" ht="25.5" x14ac:dyDescent="0.25">
      <c r="A95" s="1141" t="s">
        <v>1102</v>
      </c>
      <c r="B95" s="898">
        <v>10919071675</v>
      </c>
      <c r="C95" s="898">
        <v>11873114014</v>
      </c>
      <c r="D95" s="1111">
        <f t="shared" si="51"/>
        <v>8.7373942345698535E-2</v>
      </c>
      <c r="E95" s="898">
        <v>13041415193</v>
      </c>
      <c r="F95" s="1111">
        <f t="shared" si="52"/>
        <v>9.8398884877414272E-2</v>
      </c>
      <c r="G95" s="898">
        <v>11304023703</v>
      </c>
      <c r="H95" s="1111">
        <f t="shared" si="53"/>
        <v>-0.1332210856174986</v>
      </c>
      <c r="I95" s="898">
        <v>15004128114</v>
      </c>
      <c r="J95" s="1111">
        <f t="shared" si="54"/>
        <v>0.32732631390520006</v>
      </c>
      <c r="K95" s="898">
        <v>15490716241</v>
      </c>
      <c r="L95" s="1111">
        <f t="shared" si="55"/>
        <v>3.2430283406203124E-2</v>
      </c>
      <c r="M95" s="1088">
        <v>28315024554</v>
      </c>
      <c r="N95" s="1111">
        <f t="shared" si="48"/>
        <v>0.82787058477369213</v>
      </c>
      <c r="O95" s="1088"/>
      <c r="P95" s="1111">
        <f t="shared" si="83"/>
        <v>-1</v>
      </c>
      <c r="Q95" s="1088">
        <f>+'Ingresos 2023'!I238</f>
        <v>29870000000</v>
      </c>
      <c r="R95" s="1088">
        <f>+'Ingresos 2023'!J238</f>
        <v>29870000000</v>
      </c>
      <c r="S95" s="1088">
        <f>+'Ingresos 2023'!K238</f>
        <v>11440508368</v>
      </c>
      <c r="T95" s="1088">
        <f>+'Recaudo Julio Dic 2022'!E150</f>
        <v>9487174915</v>
      </c>
      <c r="U95" s="1088">
        <f t="shared" si="57"/>
        <v>20927683283</v>
      </c>
      <c r="V95" s="1111"/>
      <c r="W95" s="1111">
        <f t="shared" si="61"/>
        <v>-5.7376471742102621E-2</v>
      </c>
      <c r="X95" s="1088"/>
    </row>
    <row r="96" spans="1:24" x14ac:dyDescent="0.25">
      <c r="A96" s="1141" t="s">
        <v>1103</v>
      </c>
      <c r="B96" s="898">
        <v>4872244561</v>
      </c>
      <c r="C96" s="898">
        <v>5172005441</v>
      </c>
      <c r="D96" s="1111">
        <f t="shared" si="51"/>
        <v>6.1524185875118674E-2</v>
      </c>
      <c r="E96" s="898">
        <v>5799474816</v>
      </c>
      <c r="F96" s="1111">
        <f t="shared" si="52"/>
        <v>0.12132032383915661</v>
      </c>
      <c r="G96" s="898">
        <v>6252280399</v>
      </c>
      <c r="H96" s="1111">
        <f t="shared" si="53"/>
        <v>7.8076997894838351E-2</v>
      </c>
      <c r="I96" s="898">
        <v>6820702500</v>
      </c>
      <c r="J96" s="1111">
        <f t="shared" si="54"/>
        <v>9.0914364795749464E-2</v>
      </c>
      <c r="K96" s="898">
        <v>7546055176</v>
      </c>
      <c r="L96" s="1111">
        <f t="shared" si="55"/>
        <v>0.1063457431254332</v>
      </c>
      <c r="M96" s="1088"/>
      <c r="N96" s="1111"/>
      <c r="O96" s="1088"/>
      <c r="P96" s="1111"/>
      <c r="Q96" s="1088"/>
      <c r="R96" s="1088"/>
      <c r="S96" s="1088"/>
      <c r="T96" s="1088"/>
      <c r="U96" s="1088">
        <f t="shared" si="57"/>
        <v>0</v>
      </c>
      <c r="V96" s="1111"/>
      <c r="W96" s="1111">
        <f t="shared" si="61"/>
        <v>0</v>
      </c>
      <c r="X96" s="1088"/>
    </row>
    <row r="97" spans="1:25" ht="25.5" x14ac:dyDescent="0.25">
      <c r="A97" s="1141" t="s">
        <v>1104</v>
      </c>
      <c r="B97" s="898">
        <v>497850292</v>
      </c>
      <c r="C97" s="898">
        <v>331053944</v>
      </c>
      <c r="D97" s="1111">
        <f t="shared" si="51"/>
        <v>-0.33503314285492075</v>
      </c>
      <c r="E97" s="898">
        <v>1165770164</v>
      </c>
      <c r="F97" s="1111">
        <f t="shared" si="52"/>
        <v>2.5213903508124345</v>
      </c>
      <c r="G97" s="898">
        <v>0</v>
      </c>
      <c r="H97" s="1111">
        <f t="shared" si="53"/>
        <v>-1</v>
      </c>
      <c r="I97" s="898">
        <v>0</v>
      </c>
      <c r="J97" s="1111"/>
      <c r="K97" s="898">
        <v>0</v>
      </c>
      <c r="L97" s="1111"/>
      <c r="M97" s="1088"/>
      <c r="N97" s="1111"/>
      <c r="O97" s="1088">
        <f>+'Ingresos 2022'!AE235</f>
        <v>20731219763</v>
      </c>
      <c r="P97" s="1111"/>
      <c r="Q97" s="1088"/>
      <c r="R97" s="1088"/>
      <c r="S97" s="1088"/>
      <c r="T97" s="1088"/>
      <c r="U97" s="1088">
        <f t="shared" si="57"/>
        <v>0</v>
      </c>
      <c r="V97" s="1111">
        <f t="shared" si="60"/>
        <v>-1</v>
      </c>
      <c r="W97" s="1111">
        <f t="shared" si="61"/>
        <v>-0.33333333333333331</v>
      </c>
      <c r="X97" s="1088"/>
    </row>
    <row r="98" spans="1:25" x14ac:dyDescent="0.25">
      <c r="A98" s="1141" t="s">
        <v>1105</v>
      </c>
      <c r="B98" s="898">
        <v>0</v>
      </c>
      <c r="C98" s="898">
        <v>2286422317</v>
      </c>
      <c r="D98" s="1111"/>
      <c r="E98" s="898">
        <v>1674921512</v>
      </c>
      <c r="F98" s="1111">
        <f t="shared" si="52"/>
        <v>-0.26744875627453912</v>
      </c>
      <c r="G98" s="898">
        <v>473723491</v>
      </c>
      <c r="H98" s="1111">
        <f t="shared" si="53"/>
        <v>-0.71716675222928294</v>
      </c>
      <c r="I98" s="898">
        <v>208780149</v>
      </c>
      <c r="J98" s="1111">
        <f t="shared" si="54"/>
        <v>-0.55927845469668713</v>
      </c>
      <c r="K98" s="898">
        <v>2132055875</v>
      </c>
      <c r="L98" s="1111">
        <f t="shared" si="55"/>
        <v>9.2119664403534838</v>
      </c>
      <c r="M98" s="1088"/>
      <c r="N98" s="1111"/>
      <c r="O98" s="1088"/>
      <c r="P98" s="1111"/>
      <c r="Q98" s="1088"/>
      <c r="R98" s="1088"/>
      <c r="S98" s="1088"/>
      <c r="T98" s="1088"/>
      <c r="U98" s="1088">
        <f t="shared" si="57"/>
        <v>0</v>
      </c>
      <c r="V98" s="1111"/>
      <c r="W98" s="1111">
        <f t="shared" si="61"/>
        <v>0</v>
      </c>
      <c r="X98" s="1088"/>
    </row>
    <row r="99" spans="1:25" x14ac:dyDescent="0.25">
      <c r="A99" s="1141" t="s">
        <v>1106</v>
      </c>
      <c r="B99" s="898">
        <v>0</v>
      </c>
      <c r="C99" s="898">
        <v>0</v>
      </c>
      <c r="D99" s="1111"/>
      <c r="E99" s="898">
        <v>0</v>
      </c>
      <c r="F99" s="1111"/>
      <c r="G99" s="898">
        <v>1398927989</v>
      </c>
      <c r="H99" s="1111"/>
      <c r="I99" s="898">
        <v>1066978976</v>
      </c>
      <c r="J99" s="1111">
        <f t="shared" si="54"/>
        <v>-0.23728813463607096</v>
      </c>
      <c r="K99" s="898"/>
      <c r="L99" s="1111">
        <f t="shared" si="55"/>
        <v>-1</v>
      </c>
      <c r="M99" s="1088">
        <v>1522780551</v>
      </c>
      <c r="N99" s="1111" t="e">
        <f t="shared" si="48"/>
        <v>#DIV/0!</v>
      </c>
      <c r="O99" s="1088"/>
      <c r="P99" s="1111">
        <f t="shared" ref="P99:P100" si="84">+(O99-M99)/M99</f>
        <v>-1</v>
      </c>
      <c r="R99" s="1088"/>
      <c r="S99" s="1088"/>
      <c r="T99" s="1088"/>
      <c r="U99" s="1088">
        <f t="shared" si="57"/>
        <v>0</v>
      </c>
      <c r="V99" s="1111"/>
      <c r="W99" s="1111"/>
      <c r="X99" s="1088"/>
    </row>
    <row r="100" spans="1:25" s="54" customFormat="1" x14ac:dyDescent="0.25">
      <c r="A100" s="1141" t="s">
        <v>1107</v>
      </c>
      <c r="B100" s="898">
        <v>1047079382</v>
      </c>
      <c r="C100" s="898">
        <v>900118982</v>
      </c>
      <c r="D100" s="1111">
        <f t="shared" si="51"/>
        <v>-0.14035268244829216</v>
      </c>
      <c r="E100" s="898">
        <v>6689359708</v>
      </c>
      <c r="F100" s="1111">
        <f t="shared" si="52"/>
        <v>6.4316394185318932</v>
      </c>
      <c r="G100" s="898">
        <v>6824682132</v>
      </c>
      <c r="H100" s="1111">
        <f t="shared" si="53"/>
        <v>2.0229503256965532E-2</v>
      </c>
      <c r="I100" s="898">
        <v>11854075866</v>
      </c>
      <c r="J100" s="1111">
        <f t="shared" si="54"/>
        <v>0.73694182919052909</v>
      </c>
      <c r="K100" s="898">
        <v>394351422</v>
      </c>
      <c r="L100" s="1111">
        <f t="shared" si="55"/>
        <v>-0.96673284139077564</v>
      </c>
      <c r="M100" s="1088">
        <v>10566387719</v>
      </c>
      <c r="N100" s="1111">
        <f t="shared" si="48"/>
        <v>25.794344154792981</v>
      </c>
      <c r="O100" s="1088"/>
      <c r="P100" s="1111">
        <f t="shared" si="84"/>
        <v>-1</v>
      </c>
      <c r="Q100" s="1088">
        <f>+'Ingresos 2023'!I245</f>
        <v>9236000000</v>
      </c>
      <c r="R100" s="1088">
        <f>+'Ingresos 2023'!J245</f>
        <v>9236000000</v>
      </c>
      <c r="S100" s="1088">
        <f>+'Ingresos 2023'!K245</f>
        <v>4140227694</v>
      </c>
      <c r="T100" s="1088">
        <f>+'Recaudo Julio Dic 2022'!E151</f>
        <v>3952676463</v>
      </c>
      <c r="U100" s="1088">
        <f t="shared" si="57"/>
        <v>8092904157</v>
      </c>
      <c r="V100" s="1111"/>
      <c r="W100" s="1111">
        <f t="shared" si="61"/>
        <v>8.264781384930993</v>
      </c>
      <c r="X100" s="1088"/>
    </row>
    <row r="101" spans="1:25" x14ac:dyDescent="0.25">
      <c r="A101" s="1141" t="s">
        <v>1108</v>
      </c>
      <c r="B101" s="898">
        <v>358399623</v>
      </c>
      <c r="C101" s="898">
        <v>1007986508</v>
      </c>
      <c r="D101" s="1111">
        <f t="shared" si="51"/>
        <v>1.812465313335444</v>
      </c>
      <c r="E101" s="898">
        <v>865977334</v>
      </c>
      <c r="F101" s="1111">
        <f t="shared" si="52"/>
        <v>-0.14088400278468807</v>
      </c>
      <c r="G101" s="898">
        <v>0</v>
      </c>
      <c r="H101" s="1111">
        <f t="shared" si="53"/>
        <v>-1</v>
      </c>
      <c r="I101" s="898">
        <v>0</v>
      </c>
      <c r="J101" s="1111"/>
      <c r="K101" s="898">
        <v>0</v>
      </c>
      <c r="L101" s="1111"/>
      <c r="M101" s="1088"/>
      <c r="N101" s="1111"/>
      <c r="O101" s="1088"/>
      <c r="P101" s="1111"/>
      <c r="Q101" s="1088"/>
      <c r="R101" s="1088"/>
      <c r="S101" s="1088"/>
      <c r="T101" s="1088"/>
      <c r="U101" s="1088">
        <f t="shared" si="57"/>
        <v>0</v>
      </c>
      <c r="V101" s="1111"/>
      <c r="W101" s="1111">
        <f t="shared" si="61"/>
        <v>0</v>
      </c>
      <c r="X101" s="1088"/>
    </row>
    <row r="102" spans="1:25" x14ac:dyDescent="0.25">
      <c r="A102" s="1141" t="s">
        <v>1109</v>
      </c>
      <c r="B102" s="898">
        <v>0</v>
      </c>
      <c r="C102" s="898">
        <v>0</v>
      </c>
      <c r="D102" s="1111"/>
      <c r="E102" s="898">
        <f>736918016.46+133472408</f>
        <v>870390424.46000004</v>
      </c>
      <c r="F102" s="1111"/>
      <c r="G102" s="898">
        <v>541130170</v>
      </c>
      <c r="H102" s="1111">
        <f t="shared" si="53"/>
        <v>-0.37829029962533972</v>
      </c>
      <c r="I102" s="898">
        <v>909383464.76999998</v>
      </c>
      <c r="J102" s="1111">
        <f t="shared" si="54"/>
        <v>0.68052626740438438</v>
      </c>
      <c r="K102" s="898">
        <v>1577225437.5699999</v>
      </c>
      <c r="L102" s="1111">
        <f t="shared" si="55"/>
        <v>0.73438983517135936</v>
      </c>
      <c r="M102" s="1088">
        <v>562401771.39999998</v>
      </c>
      <c r="N102" s="1111">
        <f t="shared" si="48"/>
        <v>-0.64342334456228323</v>
      </c>
      <c r="O102" s="1088"/>
      <c r="P102" s="1111">
        <f t="shared" ref="P102" si="85">+(O102-M102)/M102</f>
        <v>-1</v>
      </c>
      <c r="Q102" s="1088"/>
      <c r="R102" s="1088"/>
      <c r="S102" s="1088"/>
      <c r="T102" s="1088"/>
      <c r="U102" s="1088">
        <f t="shared" si="57"/>
        <v>0</v>
      </c>
      <c r="V102" s="1111"/>
      <c r="W102" s="1111">
        <f t="shared" si="61"/>
        <v>-0.54780778152076104</v>
      </c>
      <c r="X102" s="1088"/>
    </row>
    <row r="103" spans="1:25" ht="25.5" x14ac:dyDescent="0.25">
      <c r="A103" s="1141" t="s">
        <v>1110</v>
      </c>
      <c r="B103" s="898"/>
      <c r="C103" s="898"/>
      <c r="D103" s="1111"/>
      <c r="E103" s="898"/>
      <c r="F103" s="1111"/>
      <c r="G103" s="898"/>
      <c r="H103" s="1111"/>
      <c r="I103" s="898"/>
      <c r="J103" s="1111"/>
      <c r="K103" s="898">
        <v>11808385933</v>
      </c>
      <c r="L103" s="1111"/>
      <c r="M103" s="1088"/>
      <c r="N103" s="1111"/>
      <c r="O103" s="1088">
        <f>+'Ingresos 2022'!AE242</f>
        <v>9333161322</v>
      </c>
      <c r="P103" s="1111"/>
      <c r="Q103" s="1088"/>
      <c r="R103" s="1088"/>
      <c r="S103" s="1088"/>
      <c r="T103" s="1088"/>
      <c r="U103" s="1088">
        <f t="shared" si="57"/>
        <v>0</v>
      </c>
      <c r="V103" s="1111">
        <f t="shared" si="60"/>
        <v>-1</v>
      </c>
      <c r="W103" s="1111">
        <f t="shared" si="61"/>
        <v>-0.33333333333333331</v>
      </c>
      <c r="X103" s="1088"/>
    </row>
    <row r="104" spans="1:25" x14ac:dyDescent="0.25">
      <c r="A104" s="1141" t="s">
        <v>1111</v>
      </c>
      <c r="B104" s="898">
        <v>198879475.44999999</v>
      </c>
      <c r="C104" s="898">
        <v>235082680.68000001</v>
      </c>
      <c r="D104" s="1111">
        <f t="shared" si="51"/>
        <v>0.18203590465071301</v>
      </c>
      <c r="E104" s="898">
        <v>157562150.88999999</v>
      </c>
      <c r="F104" s="1111">
        <f t="shared" si="52"/>
        <v>-0.32975857500758537</v>
      </c>
      <c r="G104" s="898">
        <v>73380582.859999999</v>
      </c>
      <c r="H104" s="1111">
        <f t="shared" si="53"/>
        <v>-0.53427531646715254</v>
      </c>
      <c r="I104" s="898">
        <v>38632920.229999997</v>
      </c>
      <c r="J104" s="1111">
        <f t="shared" si="54"/>
        <v>-0.47352666435334451</v>
      </c>
      <c r="K104" s="898">
        <v>20045809.960000001</v>
      </c>
      <c r="L104" s="1111">
        <f t="shared" si="55"/>
        <v>-0.48112102733477463</v>
      </c>
      <c r="M104" s="1088">
        <v>5298684.09</v>
      </c>
      <c r="N104" s="1111">
        <f t="shared" si="48"/>
        <v>-0.73567123999613138</v>
      </c>
      <c r="O104" s="1088">
        <f>+'Ingresos 2022'!AE251</f>
        <v>234111300.41999999</v>
      </c>
      <c r="P104" s="1111">
        <f t="shared" ref="P104:P105" si="86">+(O104-M104)/M104</f>
        <v>43.182913425963463</v>
      </c>
      <c r="Q104" s="1088"/>
      <c r="R104" s="1088"/>
      <c r="S104" s="1088"/>
      <c r="T104" s="1088"/>
      <c r="U104" s="1088">
        <f t="shared" si="57"/>
        <v>0</v>
      </c>
      <c r="V104" s="1111">
        <f t="shared" si="60"/>
        <v>-1</v>
      </c>
      <c r="W104" s="1111">
        <f t="shared" si="61"/>
        <v>13.815747395322445</v>
      </c>
      <c r="X104" s="1088"/>
    </row>
    <row r="105" spans="1:25" x14ac:dyDescent="0.25">
      <c r="A105" s="1141" t="s">
        <v>606</v>
      </c>
      <c r="B105" s="898">
        <v>24474611</v>
      </c>
      <c r="C105" s="898">
        <v>0</v>
      </c>
      <c r="D105" s="1111">
        <f t="shared" si="51"/>
        <v>-1</v>
      </c>
      <c r="E105" s="898">
        <v>0</v>
      </c>
      <c r="F105" s="1111"/>
      <c r="G105" s="898">
        <v>93678610</v>
      </c>
      <c r="H105" s="1111"/>
      <c r="I105" s="898">
        <v>21516737</v>
      </c>
      <c r="J105" s="1111">
        <f t="shared" si="54"/>
        <v>-0.77031323372539362</v>
      </c>
      <c r="K105" s="898">
        <v>20634024</v>
      </c>
      <c r="L105" s="1111">
        <f t="shared" si="55"/>
        <v>-4.1024482476130095E-2</v>
      </c>
      <c r="M105" s="1088">
        <v>253619883</v>
      </c>
      <c r="N105" s="1111">
        <f t="shared" si="48"/>
        <v>11.291343801868216</v>
      </c>
      <c r="O105" s="1088">
        <f>+'Ingresos 2022'!AE268</f>
        <v>23082837</v>
      </c>
      <c r="P105" s="1111">
        <f t="shared" si="86"/>
        <v>-0.90898648510140667</v>
      </c>
      <c r="Q105" s="1088">
        <f>+'Ingresos 2023'!I270</f>
        <v>80000000</v>
      </c>
      <c r="R105" s="1088">
        <f>+'Ingresos 2023'!J270</f>
        <v>80000000</v>
      </c>
      <c r="S105" s="1088">
        <f>+'Ingresos 2023'!K270</f>
        <v>118401854</v>
      </c>
      <c r="T105" s="1088">
        <f>+'Recaudo Julio Dic 2022'!E162+'Recaudo Julio Dic 2022'!E165+'Recaudo Julio Dic 2022'!E166</f>
        <v>18002872</v>
      </c>
      <c r="U105" s="1088">
        <f t="shared" si="57"/>
        <v>136404726</v>
      </c>
      <c r="V105" s="1111">
        <f t="shared" si="60"/>
        <v>4.909357069063911</v>
      </c>
      <c r="W105" s="1111">
        <f t="shared" si="61"/>
        <v>5.0972381286102397</v>
      </c>
      <c r="X105" s="1088"/>
    </row>
    <row r="106" spans="1:25" s="54" customFormat="1" x14ac:dyDescent="0.25">
      <c r="A106" s="1141">
        <v>0</v>
      </c>
      <c r="B106" s="898">
        <v>0</v>
      </c>
      <c r="C106" s="898">
        <v>0</v>
      </c>
      <c r="D106" s="1111"/>
      <c r="E106" s="898">
        <v>0</v>
      </c>
      <c r="F106" s="1111"/>
      <c r="G106" s="898">
        <v>0</v>
      </c>
      <c r="H106" s="1111"/>
      <c r="I106" s="898">
        <v>0</v>
      </c>
      <c r="J106" s="1111"/>
      <c r="K106" s="898">
        <v>0</v>
      </c>
      <c r="L106" s="1111"/>
      <c r="M106" s="1088"/>
      <c r="N106" s="1111"/>
      <c r="O106" s="1088"/>
      <c r="P106" s="1111"/>
      <c r="Q106" s="1088"/>
      <c r="R106" s="1088"/>
      <c r="S106" s="1088"/>
      <c r="T106" s="1088"/>
      <c r="U106" s="1088">
        <f t="shared" si="57"/>
        <v>0</v>
      </c>
      <c r="V106" s="1111"/>
      <c r="W106" s="1111">
        <f t="shared" si="61"/>
        <v>0</v>
      </c>
      <c r="X106" s="1088"/>
    </row>
    <row r="107" spans="1:25" x14ac:dyDescent="0.2">
      <c r="A107" s="1141" t="s">
        <v>1112</v>
      </c>
      <c r="B107" s="898">
        <v>5881374.3399999999</v>
      </c>
      <c r="C107" s="898">
        <v>8053072.2999999998</v>
      </c>
      <c r="D107" s="1111">
        <f t="shared" si="51"/>
        <v>0.36925008245606755</v>
      </c>
      <c r="E107" s="898">
        <v>4959871</v>
      </c>
      <c r="F107" s="1111">
        <f t="shared" si="52"/>
        <v>-0.3841020153264984</v>
      </c>
      <c r="G107" s="898">
        <v>90796581.239999995</v>
      </c>
      <c r="H107" s="1111">
        <f t="shared" si="53"/>
        <v>17.306238456605019</v>
      </c>
      <c r="I107" s="898">
        <v>58528086.950000003</v>
      </c>
      <c r="J107" s="1111">
        <f t="shared" si="54"/>
        <v>-0.35539327416640948</v>
      </c>
      <c r="K107" s="898">
        <v>177233425.88</v>
      </c>
      <c r="L107" s="1111">
        <f t="shared" si="55"/>
        <v>2.0281773267492724</v>
      </c>
      <c r="M107" s="1088">
        <v>4410980.9400000004</v>
      </c>
      <c r="N107" s="1111">
        <f t="shared" si="48"/>
        <v>-0.97511202574740863</v>
      </c>
      <c r="O107" s="1088"/>
      <c r="P107" s="1111">
        <f t="shared" ref="P107" si="87">+(O107-M107)/M107</f>
        <v>-1</v>
      </c>
      <c r="Q107" s="1088">
        <f>+'Ingresos 2023'!I255</f>
        <v>10000000</v>
      </c>
      <c r="R107" s="1088">
        <f>+'Ingresos 2023'!J255</f>
        <v>0</v>
      </c>
      <c r="S107" s="1088">
        <f>+'Ingresos 2023'!K255</f>
        <v>0</v>
      </c>
      <c r="T107" s="1088">
        <f>+'Recaudo Julio Dic 2022'!E153</f>
        <v>0</v>
      </c>
      <c r="U107" s="1088">
        <f t="shared" si="57"/>
        <v>0</v>
      </c>
      <c r="V107" s="1111"/>
      <c r="W107" s="1111">
        <f t="shared" si="61"/>
        <v>-0.65837067524913617</v>
      </c>
      <c r="X107" s="1088"/>
      <c r="Y107" s="653"/>
    </row>
    <row r="108" spans="1:25" x14ac:dyDescent="0.2">
      <c r="A108" s="1141" t="s">
        <v>1113</v>
      </c>
      <c r="B108" s="898"/>
      <c r="C108" s="898"/>
      <c r="D108" s="1111"/>
      <c r="E108" s="898"/>
      <c r="F108" s="1111"/>
      <c r="G108" s="898"/>
      <c r="H108" s="1111"/>
      <c r="I108" s="898"/>
      <c r="J108" s="1111"/>
      <c r="K108" s="898"/>
      <c r="L108" s="1111"/>
      <c r="M108" s="1088"/>
      <c r="N108" s="1111"/>
      <c r="O108" s="1088"/>
      <c r="P108" s="1111"/>
      <c r="Q108" s="1088">
        <f>+'Ingresos 2023'!I254</f>
        <v>5000000</v>
      </c>
      <c r="R108" s="1088">
        <f>+'Ingresos 2023'!J254</f>
        <v>5000000</v>
      </c>
      <c r="S108" s="1088">
        <f>+'Ingresos 2023'!K254</f>
        <v>273855277.16000003</v>
      </c>
      <c r="T108" s="1088">
        <f>+'Recaudo Julio Dic 2022'!E152+'Recaudo Julio Dic 2022'!E153+'Recaudo Julio Dic 2022'!E154+'Recaudo Julio Dic 2022'!E155+'Recaudo Julio Dic 2022'!E157</f>
        <v>193284224.72</v>
      </c>
      <c r="U108" s="1088">
        <f t="shared" si="57"/>
        <v>467139501.88</v>
      </c>
      <c r="V108" s="1111"/>
      <c r="W108" s="1111">
        <f t="shared" si="61"/>
        <v>0</v>
      </c>
      <c r="X108" s="1088"/>
      <c r="Y108" s="653"/>
    </row>
    <row r="109" spans="1:25" x14ac:dyDescent="0.25">
      <c r="A109" s="1141" t="s">
        <v>1114</v>
      </c>
      <c r="B109" s="898">
        <v>2128283261.3399999</v>
      </c>
      <c r="C109" s="898">
        <v>6133536837.29</v>
      </c>
      <c r="D109" s="1111">
        <f t="shared" si="51"/>
        <v>1.8819175288858074</v>
      </c>
      <c r="E109" s="898">
        <v>3666040891.6500001</v>
      </c>
      <c r="F109" s="1111">
        <f t="shared" si="52"/>
        <v>-0.40229577340081996</v>
      </c>
      <c r="G109" s="898">
        <v>4490728943</v>
      </c>
      <c r="H109" s="1111">
        <f t="shared" si="53"/>
        <v>0.22495331495847742</v>
      </c>
      <c r="I109" s="898">
        <v>2272305201.3899999</v>
      </c>
      <c r="J109" s="1111">
        <f t="shared" si="54"/>
        <v>-0.49400081139789248</v>
      </c>
      <c r="K109" s="898">
        <v>1248334786.3299999</v>
      </c>
      <c r="L109" s="1111">
        <f t="shared" si="55"/>
        <v>-0.45063066987375788</v>
      </c>
      <c r="M109" s="1088">
        <v>3427374935.3200002</v>
      </c>
      <c r="N109" s="1111">
        <f t="shared" si="48"/>
        <v>1.7455575001608314</v>
      </c>
      <c r="O109" s="1088"/>
      <c r="P109" s="1111">
        <f t="shared" ref="P109" si="88">+(O109-M109)/M109</f>
        <v>-1</v>
      </c>
      <c r="Q109" s="1088"/>
      <c r="R109" s="1088"/>
      <c r="S109" s="1088"/>
      <c r="T109" s="1088"/>
      <c r="U109" s="1088">
        <f t="shared" si="57"/>
        <v>0</v>
      </c>
      <c r="V109" s="1111"/>
      <c r="W109" s="1111">
        <f t="shared" si="61"/>
        <v>0.24851916672027716</v>
      </c>
      <c r="X109" s="1088"/>
    </row>
    <row r="110" spans="1:25" x14ac:dyDescent="0.25">
      <c r="A110" s="1141" t="s">
        <v>1115</v>
      </c>
      <c r="B110" s="898"/>
      <c r="C110" s="898"/>
      <c r="D110" s="1111"/>
      <c r="E110" s="898"/>
      <c r="F110" s="1111"/>
      <c r="G110" s="898"/>
      <c r="H110" s="1111"/>
      <c r="I110" s="898"/>
      <c r="J110" s="1111"/>
      <c r="K110" s="898">
        <v>1792012887.96</v>
      </c>
      <c r="L110" s="1111"/>
      <c r="M110" s="1088"/>
      <c r="N110" s="1111"/>
      <c r="O110" s="1088"/>
      <c r="P110" s="1111"/>
      <c r="Q110" s="1088"/>
      <c r="R110" s="1088"/>
      <c r="S110" s="1088"/>
      <c r="T110" s="1088"/>
      <c r="U110" s="1088">
        <f t="shared" si="57"/>
        <v>0</v>
      </c>
      <c r="V110" s="1111"/>
      <c r="W110" s="1111">
        <f t="shared" si="61"/>
        <v>0</v>
      </c>
      <c r="X110" s="1088"/>
    </row>
    <row r="111" spans="1:25" s="54" customFormat="1" x14ac:dyDescent="0.25">
      <c r="A111" s="750" t="s">
        <v>1116</v>
      </c>
      <c r="B111" s="887">
        <f t="shared" ref="B111:I111" si="89">+B112+B121</f>
        <v>37602321159.610001</v>
      </c>
      <c r="C111" s="887">
        <f t="shared" si="89"/>
        <v>37962033916.790001</v>
      </c>
      <c r="D111" s="1109">
        <f t="shared" si="51"/>
        <v>9.5662380961306359E-3</v>
      </c>
      <c r="E111" s="887">
        <f t="shared" si="89"/>
        <v>39877666683.590004</v>
      </c>
      <c r="F111" s="1109">
        <f t="shared" si="52"/>
        <v>5.0461805365827603E-2</v>
      </c>
      <c r="G111" s="887">
        <f t="shared" si="89"/>
        <v>48951107958.570007</v>
      </c>
      <c r="H111" s="1109">
        <f t="shared" si="53"/>
        <v>0.22753190017293065</v>
      </c>
      <c r="I111" s="887">
        <f t="shared" si="89"/>
        <v>49171571939.529999</v>
      </c>
      <c r="J111" s="1109">
        <f t="shared" si="54"/>
        <v>4.5037587534603333E-3</v>
      </c>
      <c r="K111" s="887">
        <f>+K112+K121</f>
        <v>50905091650.440002</v>
      </c>
      <c r="L111" s="1109">
        <f t="shared" si="55"/>
        <v>3.5254510737257778E-2</v>
      </c>
      <c r="M111" s="1086">
        <f>+M112+M121</f>
        <v>76106464640.550003</v>
      </c>
      <c r="N111" s="887"/>
      <c r="O111" s="1086">
        <f>+O112+O121</f>
        <v>63229537697.529999</v>
      </c>
      <c r="P111" s="887"/>
      <c r="Q111" s="1098"/>
      <c r="R111" s="1098"/>
      <c r="S111" s="1098"/>
      <c r="T111" s="1088">
        <f>+T112+T121</f>
        <v>33416067219.720001</v>
      </c>
      <c r="U111" s="1088">
        <f t="shared" si="57"/>
        <v>33416067219.720001</v>
      </c>
      <c r="V111" s="1111">
        <f t="shared" si="60"/>
        <v>-0.47151175800822964</v>
      </c>
      <c r="W111" s="1111">
        <f t="shared" si="61"/>
        <v>-0.15717058600274322</v>
      </c>
      <c r="X111" s="1086">
        <f>+X112+X121</f>
        <v>0</v>
      </c>
    </row>
    <row r="112" spans="1:25" x14ac:dyDescent="0.25">
      <c r="A112" s="1139" t="s">
        <v>1117</v>
      </c>
      <c r="B112" s="890">
        <f>+B113+B114+B115+B116</f>
        <v>10862223177.360001</v>
      </c>
      <c r="C112" s="890">
        <f t="shared" ref="C112:I112" si="90">+C113+C114+C115+C116</f>
        <v>10606672958.790001</v>
      </c>
      <c r="D112" s="1112">
        <f t="shared" si="51"/>
        <v>-2.3526511506653618E-2</v>
      </c>
      <c r="E112" s="890">
        <f t="shared" si="90"/>
        <v>11972030911.469999</v>
      </c>
      <c r="F112" s="1112">
        <f t="shared" si="52"/>
        <v>0.12872631766670001</v>
      </c>
      <c r="G112" s="890">
        <f t="shared" si="90"/>
        <v>12552476761.440001</v>
      </c>
      <c r="H112" s="1112">
        <f t="shared" si="53"/>
        <v>4.8483490751255548E-2</v>
      </c>
      <c r="I112" s="890">
        <f t="shared" si="90"/>
        <v>13736315057.25</v>
      </c>
      <c r="J112" s="1112">
        <f t="shared" si="54"/>
        <v>9.431113224177691E-2</v>
      </c>
      <c r="K112" s="890">
        <f>+K113+K114+K115+K116+K117+K118+K119+K120</f>
        <v>9922867082.1499996</v>
      </c>
      <c r="L112" s="1112">
        <f t="shared" si="55"/>
        <v>-0.27761797535993976</v>
      </c>
      <c r="M112" s="1089">
        <f>+M113+M114+M115+M116+M117+M118+M119+M120</f>
        <v>12746774694.959999</v>
      </c>
      <c r="N112" s="890">
        <f t="shared" ref="N112" si="91">+N113+N114+N115+N116+N117+N118+N119+N120</f>
        <v>-0.59377942486506852</v>
      </c>
      <c r="O112" s="1089">
        <f>+O113+O114+O115+O116+O117+O118+O119+O120</f>
        <v>6229486402</v>
      </c>
      <c r="P112" s="890">
        <f t="shared" ref="P112" si="92">+P113+P114+P115+P116+P117+P118+P119+P120</f>
        <v>-1.9857825273889924</v>
      </c>
      <c r="Q112" s="1089"/>
      <c r="R112" s="1089">
        <f t="shared" ref="R112:S112" si="93">+R113+R114+R115+R116+R117+R118+R119+R120</f>
        <v>6747987594</v>
      </c>
      <c r="S112" s="1089">
        <f t="shared" si="93"/>
        <v>3416387699</v>
      </c>
      <c r="T112" s="1088">
        <f>+T113+T114+T115+T116+T117+T118+T119+T120</f>
        <v>3066815165</v>
      </c>
      <c r="U112" s="1088">
        <f t="shared" si="57"/>
        <v>6483202864</v>
      </c>
      <c r="V112" s="1111">
        <f t="shared" si="60"/>
        <v>4.0728311393142036E-2</v>
      </c>
      <c r="W112" s="1111">
        <f t="shared" si="61"/>
        <v>-0.84627788028697293</v>
      </c>
      <c r="X112" s="1089">
        <f>+X113+X114+X115+X116+X117+X118+X119+X120</f>
        <v>0</v>
      </c>
    </row>
    <row r="113" spans="1:27" x14ac:dyDescent="0.25">
      <c r="A113" s="1141" t="s">
        <v>1118</v>
      </c>
      <c r="B113" s="898">
        <v>3268453697</v>
      </c>
      <c r="C113" s="898">
        <v>2679025225</v>
      </c>
      <c r="D113" s="1111">
        <f t="shared" si="51"/>
        <v>-0.18033863307931083</v>
      </c>
      <c r="E113" s="898">
        <v>4023301690</v>
      </c>
      <c r="F113" s="1111">
        <f t="shared" si="52"/>
        <v>0.50177820367480863</v>
      </c>
      <c r="G113" s="898">
        <v>4015575201</v>
      </c>
      <c r="H113" s="1111">
        <f t="shared" si="53"/>
        <v>-1.9204349052929213E-3</v>
      </c>
      <c r="I113" s="898">
        <v>5489644949</v>
      </c>
      <c r="J113" s="1111">
        <f t="shared" si="54"/>
        <v>0.3670880693836619</v>
      </c>
      <c r="K113" s="898">
        <v>653194793</v>
      </c>
      <c r="L113" s="1111">
        <f t="shared" si="55"/>
        <v>-0.88101328973579851</v>
      </c>
      <c r="M113" s="1088">
        <v>0</v>
      </c>
      <c r="N113" s="1111">
        <f t="shared" si="48"/>
        <v>-1</v>
      </c>
      <c r="O113" s="1088">
        <v>0</v>
      </c>
      <c r="P113" s="1111">
        <v>0</v>
      </c>
      <c r="Q113" s="1088"/>
      <c r="R113" s="1088"/>
      <c r="S113" s="1088"/>
      <c r="T113" s="1088">
        <v>0</v>
      </c>
      <c r="U113" s="1088">
        <f t="shared" si="57"/>
        <v>0</v>
      </c>
      <c r="V113" s="1111"/>
      <c r="W113" s="1111">
        <f t="shared" si="61"/>
        <v>-0.33333333333333331</v>
      </c>
      <c r="X113" s="1088">
        <v>0</v>
      </c>
    </row>
    <row r="114" spans="1:27" s="54" customFormat="1" x14ac:dyDescent="0.25">
      <c r="A114" s="1141" t="s">
        <v>1119</v>
      </c>
      <c r="B114" s="898">
        <v>3071600187</v>
      </c>
      <c r="C114" s="898">
        <v>3336122674</v>
      </c>
      <c r="D114" s="1111">
        <f t="shared" si="51"/>
        <v>8.6118788545314018E-2</v>
      </c>
      <c r="E114" s="898">
        <v>3766060273</v>
      </c>
      <c r="F114" s="1111">
        <f t="shared" si="52"/>
        <v>0.12887343812345672</v>
      </c>
      <c r="G114" s="898">
        <v>3649631270</v>
      </c>
      <c r="H114" s="1111">
        <f t="shared" si="53"/>
        <v>-3.0915331821615804E-2</v>
      </c>
      <c r="I114" s="898">
        <v>4170349428</v>
      </c>
      <c r="J114" s="1111">
        <f t="shared" si="54"/>
        <v>0.14267692253743761</v>
      </c>
      <c r="K114" s="898">
        <v>4088510241</v>
      </c>
      <c r="L114" s="1111">
        <f t="shared" si="55"/>
        <v>-1.9624059905034894E-2</v>
      </c>
      <c r="M114" s="1088">
        <v>4274847597</v>
      </c>
      <c r="N114" s="1111">
        <f t="shared" si="48"/>
        <v>4.5575856489581436E-2</v>
      </c>
      <c r="O114" s="1088">
        <f>+'Ingresos 2022'!AE323</f>
        <v>4619672480</v>
      </c>
      <c r="P114" s="1111">
        <f t="shared" ref="P114:P115" si="94">+(O114-M114)/M114</f>
        <v>8.0663666990605939E-2</v>
      </c>
      <c r="Q114" s="1088">
        <f>+'Ingresos 2023'!I322</f>
        <v>4758262654</v>
      </c>
      <c r="R114" s="1088">
        <f>+'Ingresos 2023'!J322</f>
        <v>4830048704</v>
      </c>
      <c r="S114" s="1088">
        <f>+'Ingresos 2023'!K322</f>
        <v>2449563763</v>
      </c>
      <c r="T114" s="1088">
        <f>+'Recaudo Julio Dic 2022'!E196</f>
        <v>2329798340</v>
      </c>
      <c r="U114" s="1088">
        <f t="shared" si="57"/>
        <v>4779362103</v>
      </c>
      <c r="V114" s="1111">
        <f t="shared" si="60"/>
        <v>3.4567304000737299E-2</v>
      </c>
      <c r="W114" s="1111">
        <f t="shared" si="61"/>
        <v>5.3602275826974889E-2</v>
      </c>
      <c r="X114" s="1088"/>
    </row>
    <row r="115" spans="1:27" x14ac:dyDescent="0.25">
      <c r="A115" s="1141" t="s">
        <v>1120</v>
      </c>
      <c r="B115" s="898">
        <v>4240932615</v>
      </c>
      <c r="C115" s="898">
        <v>4368160593</v>
      </c>
      <c r="D115" s="1111">
        <f t="shared" si="51"/>
        <v>2.9999999893891263E-2</v>
      </c>
      <c r="E115" s="898">
        <v>3775114443</v>
      </c>
      <c r="F115" s="1111">
        <f t="shared" si="52"/>
        <v>-0.13576564720407933</v>
      </c>
      <c r="G115" s="898">
        <v>3775114443</v>
      </c>
      <c r="H115" s="1111">
        <f t="shared" si="53"/>
        <v>0</v>
      </c>
      <c r="I115" s="898">
        <v>3775114443</v>
      </c>
      <c r="J115" s="1111">
        <f t="shared" si="54"/>
        <v>0</v>
      </c>
      <c r="K115" s="898">
        <v>1496346983</v>
      </c>
      <c r="L115" s="1111">
        <f t="shared" si="55"/>
        <v>-0.60362870964757132</v>
      </c>
      <c r="M115" s="1088">
        <v>1724393294</v>
      </c>
      <c r="N115" s="1111">
        <f t="shared" si="48"/>
        <v>0.15240202545989295</v>
      </c>
      <c r="O115" s="1088">
        <f>+'Ingresos 2022'!AE324</f>
        <v>1609813922</v>
      </c>
      <c r="P115" s="1111">
        <f t="shared" si="94"/>
        <v>-6.6446194379598422E-2</v>
      </c>
      <c r="Q115" s="1088">
        <f>+'Ingresos 2023'!I323</f>
        <v>1809933809</v>
      </c>
      <c r="R115" s="1088">
        <f>+'Ingresos 2023'!J323</f>
        <v>1917938890</v>
      </c>
      <c r="S115" s="1088">
        <f>+'Ingresos 2023'!K323</f>
        <v>966823936</v>
      </c>
      <c r="T115" s="1088">
        <f>+'Recaudo Julio Dic 2022'!E197</f>
        <v>737016825</v>
      </c>
      <c r="U115" s="1088">
        <f t="shared" si="57"/>
        <v>1703840761</v>
      </c>
      <c r="V115" s="1111">
        <f t="shared" si="60"/>
        <v>5.8408513999669585E-2</v>
      </c>
      <c r="W115" s="1111">
        <f t="shared" si="61"/>
        <v>4.8121448359988044E-2</v>
      </c>
      <c r="X115" s="1088"/>
    </row>
    <row r="116" spans="1:27" x14ac:dyDescent="0.25">
      <c r="A116" s="1139" t="s">
        <v>1121</v>
      </c>
      <c r="B116" s="1125">
        <f>+B117+B120</f>
        <v>281236678.36000001</v>
      </c>
      <c r="C116" s="1125">
        <f>+C117+C120</f>
        <v>223364466.78999999</v>
      </c>
      <c r="D116" s="1126">
        <f t="shared" si="51"/>
        <v>-0.20577761018753066</v>
      </c>
      <c r="E116" s="1125">
        <f>+E117+E120</f>
        <v>407554505.46999997</v>
      </c>
      <c r="F116" s="1126">
        <f t="shared" si="52"/>
        <v>0.82461656201194011</v>
      </c>
      <c r="G116" s="1125">
        <f>+G117+G120</f>
        <v>1112155847.4400001</v>
      </c>
      <c r="H116" s="1126">
        <f t="shared" si="53"/>
        <v>1.7288518039015168</v>
      </c>
      <c r="I116" s="1125">
        <f>+I117+I120</f>
        <v>301206237.25000006</v>
      </c>
      <c r="J116" s="1126">
        <f t="shared" si="54"/>
        <v>-0.72916903872480887</v>
      </c>
      <c r="K116" s="1125">
        <v>0</v>
      </c>
      <c r="L116" s="1126">
        <f t="shared" si="55"/>
        <v>-1</v>
      </c>
      <c r="M116" s="1096"/>
      <c r="N116" s="1126"/>
      <c r="O116" s="1096"/>
      <c r="P116" s="1126"/>
      <c r="Q116" s="1096"/>
      <c r="R116" s="1096"/>
      <c r="S116" s="1096"/>
      <c r="T116" s="1088"/>
      <c r="U116" s="1088">
        <f t="shared" si="57"/>
        <v>0</v>
      </c>
      <c r="V116" s="1111"/>
      <c r="W116" s="1111">
        <f t="shared" si="61"/>
        <v>0</v>
      </c>
      <c r="X116" s="1096"/>
    </row>
    <row r="117" spans="1:27" x14ac:dyDescent="0.25">
      <c r="A117" s="1141" t="s">
        <v>1122</v>
      </c>
      <c r="B117" s="898">
        <v>272945318.36000001</v>
      </c>
      <c r="C117" s="898">
        <v>216964466.78999999</v>
      </c>
      <c r="D117" s="1111">
        <f t="shared" si="51"/>
        <v>-0.20509914552249006</v>
      </c>
      <c r="E117" s="898">
        <v>377820579.46999997</v>
      </c>
      <c r="F117" s="1111">
        <f t="shared" si="52"/>
        <v>0.74139381005504779</v>
      </c>
      <c r="G117" s="898">
        <v>1108946309.4400001</v>
      </c>
      <c r="H117" s="1111">
        <f t="shared" si="53"/>
        <v>1.9351135689739565</v>
      </c>
      <c r="I117" s="898">
        <v>301206237.25000006</v>
      </c>
      <c r="J117" s="1111">
        <f t="shared" si="54"/>
        <v>-0.72838519350670428</v>
      </c>
      <c r="K117" s="898">
        <v>54947427.200000003</v>
      </c>
      <c r="L117" s="1111">
        <f t="shared" si="55"/>
        <v>-0.81757540049081445</v>
      </c>
      <c r="M117" s="1088">
        <v>73668570.230000004</v>
      </c>
      <c r="N117" s="1111">
        <f t="shared" si="48"/>
        <v>0.34071009297410743</v>
      </c>
      <c r="O117" s="1088"/>
      <c r="P117" s="1111">
        <f t="shared" ref="P117:P118" si="95">+(O117-M117)/M117</f>
        <v>-1</v>
      </c>
      <c r="Q117" s="1088"/>
      <c r="R117" s="1088"/>
      <c r="S117" s="1088"/>
      <c r="T117" s="1088"/>
      <c r="U117" s="1088">
        <f t="shared" si="57"/>
        <v>0</v>
      </c>
      <c r="V117" s="1111"/>
      <c r="W117" s="1111">
        <f t="shared" si="61"/>
        <v>-0.2197633023419642</v>
      </c>
      <c r="X117" s="1088"/>
    </row>
    <row r="118" spans="1:27" x14ac:dyDescent="0.25">
      <c r="A118" s="1141" t="s">
        <v>1123</v>
      </c>
      <c r="B118" s="898"/>
      <c r="C118" s="898"/>
      <c r="D118" s="1111"/>
      <c r="E118" s="898"/>
      <c r="F118" s="1111"/>
      <c r="G118" s="898"/>
      <c r="H118" s="1111"/>
      <c r="I118" s="898"/>
      <c r="J118" s="1111"/>
      <c r="K118" s="898">
        <v>3573627166.1199999</v>
      </c>
      <c r="L118" s="1111"/>
      <c r="M118" s="1088">
        <v>6673865233.7300005</v>
      </c>
      <c r="N118" s="1111">
        <f t="shared" si="48"/>
        <v>0.8675326002113497</v>
      </c>
      <c r="O118" s="1088"/>
      <c r="P118" s="1111">
        <f t="shared" si="95"/>
        <v>-1</v>
      </c>
      <c r="Q118" s="1088"/>
      <c r="R118" s="1088"/>
      <c r="S118" s="1088"/>
      <c r="T118" s="1088"/>
      <c r="U118" s="1088">
        <f t="shared" si="57"/>
        <v>0</v>
      </c>
      <c r="V118" s="1111"/>
      <c r="W118" s="1111">
        <f t="shared" si="61"/>
        <v>-4.4155799929550099E-2</v>
      </c>
      <c r="X118" s="1088"/>
    </row>
    <row r="119" spans="1:27" x14ac:dyDescent="0.25">
      <c r="A119" s="1141" t="s">
        <v>1124</v>
      </c>
      <c r="B119" s="898"/>
      <c r="C119" s="898"/>
      <c r="D119" s="1111"/>
      <c r="E119" s="898"/>
      <c r="F119" s="1111"/>
      <c r="G119" s="898"/>
      <c r="H119" s="1111"/>
      <c r="I119" s="898"/>
      <c r="J119" s="1111"/>
      <c r="K119" s="898">
        <v>51987321.829999998</v>
      </c>
      <c r="L119" s="1111"/>
      <c r="M119" s="1088"/>
      <c r="N119" s="1111"/>
      <c r="O119" s="1088"/>
      <c r="P119" s="1111"/>
      <c r="Q119" s="1088"/>
      <c r="R119" s="1088"/>
      <c r="S119" s="1088"/>
      <c r="T119" s="1088"/>
      <c r="U119" s="1088">
        <f t="shared" si="57"/>
        <v>0</v>
      </c>
      <c r="V119" s="1111"/>
      <c r="W119" s="1111">
        <f t="shared" si="61"/>
        <v>0</v>
      </c>
      <c r="X119" s="1088"/>
    </row>
    <row r="120" spans="1:27" s="54" customFormat="1" x14ac:dyDescent="0.25">
      <c r="A120" s="1141" t="s">
        <v>606</v>
      </c>
      <c r="B120" s="898">
        <v>8291360</v>
      </c>
      <c r="C120" s="898">
        <v>6400000</v>
      </c>
      <c r="D120" s="1111">
        <f t="shared" si="51"/>
        <v>-0.22811215530383436</v>
      </c>
      <c r="E120" s="898">
        <v>29733926</v>
      </c>
      <c r="F120" s="1111">
        <f t="shared" si="52"/>
        <v>3.6459259374999999</v>
      </c>
      <c r="G120" s="898">
        <v>3209538</v>
      </c>
      <c r="H120" s="1111">
        <f t="shared" si="53"/>
        <v>-0.89205804843934833</v>
      </c>
      <c r="I120" s="898">
        <v>0</v>
      </c>
      <c r="J120" s="1111">
        <f t="shared" si="54"/>
        <v>-1</v>
      </c>
      <c r="K120" s="898">
        <v>4253150</v>
      </c>
      <c r="L120" s="1111"/>
      <c r="M120" s="1088">
        <v>0</v>
      </c>
      <c r="N120" s="1111">
        <f t="shared" si="48"/>
        <v>-1</v>
      </c>
      <c r="O120" s="1088">
        <v>0</v>
      </c>
      <c r="P120" s="1111"/>
      <c r="Q120" s="1088"/>
      <c r="R120" s="1088"/>
      <c r="S120" s="1088"/>
      <c r="T120" s="1088">
        <v>0</v>
      </c>
      <c r="U120" s="1088">
        <f t="shared" si="57"/>
        <v>0</v>
      </c>
      <c r="V120" s="1111"/>
      <c r="W120" s="1111">
        <f t="shared" si="61"/>
        <v>-0.33333333333333331</v>
      </c>
      <c r="X120" s="1088">
        <v>0</v>
      </c>
    </row>
    <row r="121" spans="1:27" s="54" customFormat="1" x14ac:dyDescent="0.25">
      <c r="A121" s="1139" t="s">
        <v>1125</v>
      </c>
      <c r="B121" s="890">
        <f>SUM(B122:B143)</f>
        <v>26740097982.25</v>
      </c>
      <c r="C121" s="890">
        <f>SUM(C122:C143)</f>
        <v>27355360958</v>
      </c>
      <c r="D121" s="1112">
        <f t="shared" si="51"/>
        <v>2.300900229155517E-2</v>
      </c>
      <c r="E121" s="890">
        <f>SUM(E122:E143)</f>
        <v>27905635772.120003</v>
      </c>
      <c r="F121" s="1112">
        <f t="shared" si="52"/>
        <v>2.0115794303166613E-2</v>
      </c>
      <c r="G121" s="890">
        <f>SUM(G122:G143)</f>
        <v>36398631197.130005</v>
      </c>
      <c r="H121" s="1112">
        <f t="shared" si="53"/>
        <v>0.30434696039053138</v>
      </c>
      <c r="I121" s="890">
        <f>SUM(I122:I143)</f>
        <v>35435256882.279999</v>
      </c>
      <c r="J121" s="1112">
        <f t="shared" si="54"/>
        <v>-2.6467322620801387E-2</v>
      </c>
      <c r="K121" s="890">
        <f>SUM(K122:K149)</f>
        <v>40982224568.290001</v>
      </c>
      <c r="L121" s="1112">
        <f t="shared" si="55"/>
        <v>0.15653809719618139</v>
      </c>
      <c r="M121" s="1089">
        <f>SUM(M143+M142+M141+M140+M139+M138+M136+M137+M135+M134+M133+M132+M131+M130+M129+M128+M127+M126+M125+M124+M123+M122)</f>
        <v>63359689945.590004</v>
      </c>
      <c r="N121" s="890" t="e">
        <f t="shared" ref="N121:P121" si="96">SUM(N143+N142+N141+N140+N139+N138+N136+N137+N135+N134+N133+N132+N131+N130+N129+N128+N127+N126+N125+N124+N123+N122)</f>
        <v>#DIV/0!</v>
      </c>
      <c r="O121" s="1089">
        <f>SUM(O143+O142+O128+O140+O139+O138+O136+O137+O135+O134+O133+O132+O131+O130+O129+O127+O126+O125+O124+O123+O122)</f>
        <v>57000051295.529999</v>
      </c>
      <c r="P121" s="890">
        <f t="shared" si="96"/>
        <v>14.88476119817877</v>
      </c>
      <c r="Q121" s="1089"/>
      <c r="R121" s="1089">
        <f>SUM(R143+R142+R141+R140+R139+R138+R136+R137+R135+R134+R133+R132+R131+R130+R129+R128+R127+R126+R125+R124+R123+R122)</f>
        <v>54853368257.879997</v>
      </c>
      <c r="S121" s="1089">
        <f>SUM(S143+S142+S141+S140+S139+S138+S136+S137+S135+S134+S133+S132+S131+S130+S129+S128+S127+S126+S125+S124+S123+S122)</f>
        <v>27762159611.860001</v>
      </c>
      <c r="T121" s="1088">
        <f>SUM(T143+T142+T141+T140+T139+T138+T136+T137+T135+T134+T133+T132+T131+T130+T129+T128+T127+T126+T125+T124+T123+T122)</f>
        <v>30349252054.720001</v>
      </c>
      <c r="U121" s="1088">
        <f t="shared" si="57"/>
        <v>58111411666.580002</v>
      </c>
      <c r="V121" s="1111">
        <f t="shared" si="60"/>
        <v>1.9497532823047777E-2</v>
      </c>
      <c r="W121" s="1111"/>
      <c r="X121" s="1089">
        <f>SUM(X143+X142+X141+X140+X139+X138+X136+X137+X135+X134+X133+X132+X131+X130+X129+X128+X127+X126+X125+X124+X123+X122)</f>
        <v>0</v>
      </c>
    </row>
    <row r="122" spans="1:27" s="54" customFormat="1" x14ac:dyDescent="0.25">
      <c r="A122" s="1141" t="s">
        <v>1126</v>
      </c>
      <c r="B122" s="898">
        <v>5789206170.0200005</v>
      </c>
      <c r="C122" s="898">
        <v>5672144131.0300007</v>
      </c>
      <c r="D122" s="1111">
        <f t="shared" si="51"/>
        <v>-2.0220741074349291E-2</v>
      </c>
      <c r="E122" s="898">
        <v>6027990334.6000004</v>
      </c>
      <c r="F122" s="1111">
        <f t="shared" si="52"/>
        <v>6.2735747778923559E-2</v>
      </c>
      <c r="G122" s="898">
        <v>7130051158.6499996</v>
      </c>
      <c r="H122" s="1111">
        <f t="shared" si="53"/>
        <v>0.18282392022500293</v>
      </c>
      <c r="I122" s="898">
        <v>7726424298.9000006</v>
      </c>
      <c r="J122" s="1111">
        <f t="shared" si="54"/>
        <v>8.3642196525686358E-2</v>
      </c>
      <c r="K122" s="898">
        <v>5002236005</v>
      </c>
      <c r="L122" s="1111">
        <f t="shared" si="55"/>
        <v>-0.35258072667428308</v>
      </c>
      <c r="M122" s="1088">
        <v>10032307360.9</v>
      </c>
      <c r="N122" s="1111">
        <f t="shared" si="48"/>
        <v>1.0055645816935019</v>
      </c>
      <c r="O122" s="1088">
        <f>+'Ingresos 2022'!AE363+'Ingresos 2022'!AE364+'Ingresos 2022'!AE365+'Ingresos 2022'!AE367+'Ingresos 2022'!AE368+'Ingresos 2022'!AE370+'Ingresos 2022'!AE375+'Ingresos 2022'!AE376+'Ingresos 2022'!AE377+'Ingresos 2022'!AE379+'Ingresos 2022'!AE380+'Ingresos 2022'!AE381</f>
        <v>12107285385.5</v>
      </c>
      <c r="P122" s="1111">
        <f t="shared" ref="P122:P130" si="97">+(O122-M122)/M122</f>
        <v>0.206829590637049</v>
      </c>
      <c r="Q122" s="1088">
        <f>+'Ingresos 2023'!I357+'Ingresos 2023'!I358+'Ingresos 2023'!I359+'Ingresos 2023'!I361+'Ingresos 2023'!I362+'Ingresos 2023'!I363+'Ingresos 2023'!I366+'Ingresos 2023'!I367+'Ingresos 2023'!I368+'Ingresos 2023'!I370+'Ingresos 2023'!I371+'Ingresos 2023'!I372+'Ingresos 2023'!I374+'Ingresos 2023'!I375+'Ingresos 2023'!I376</f>
        <v>9390032889.8799992</v>
      </c>
      <c r="R122" s="1088">
        <f>+'Ingresos 2023'!J357+'Ingresos 2023'!J358+'Ingresos 2023'!J359+'Ingresos 2023'!J361+'Ingresos 2023'!J362+'Ingresos 2023'!J363+'Ingresos 2023'!J366+'Ingresos 2023'!J367+'Ingresos 2023'!J368+'Ingresos 2023'!J370+'Ingresos 2023'!J371+'Ingresos 2023'!J372+'Ingresos 2023'!J374+'Ingresos 2023'!J375+'Ingresos 2023'!J376</f>
        <v>13009598106.879999</v>
      </c>
      <c r="S122" s="1088">
        <f>+'Ingresos 2023'!K357+'Ingresos 2023'!K358+'Ingresos 2023'!K359+'Ingresos 2023'!K361+'Ingresos 2023'!K362+'Ingresos 2023'!K363+'Ingresos 2023'!K366+'Ingresos 2023'!K367+'Ingresos 2023'!K368+'Ingresos 2023'!K370+'Ingresos 2023'!K371+'Ingresos 2023'!K372+'Ingresos 2023'!K374+'Ingresos 2023'!K375+'Ingresos 2023'!K376</f>
        <v>5285338265.3199997</v>
      </c>
      <c r="T122" s="1088">
        <f>+'Recaudo Julio Dic 2022'!E224+'Recaudo Julio Dic 2022'!E225+'Recaudo Julio Dic 2022'!E226+'Recaudo Julio Dic 2022'!E227+'Recaudo Julio Dic 2022'!E228+'Recaudo Julio Dic 2022'!E229+'Recaudo Julio Dic 2022'!E230+'Recaudo Julio Dic 2022'!E231+'Recaudo Julio Dic 2022'!E232+'Recaudo Julio Dic 2022'!E233+'Recaudo Julio Dic 2022'!E234+'Recaudo Julio Dic 2022'!E235+'Recaudo Julio Dic 2022'!E236+'Recaudo Julio Dic 2022'!E237+'Recaudo Julio Dic 2022'!E238+'Recaudo Julio Dic 2022'!E239+'Recaudo Julio Dic 2022'!E240+'Recaudo Julio Dic 2022'!E241</f>
        <v>7108496613.499999</v>
      </c>
      <c r="U122" s="1088">
        <f t="shared" si="57"/>
        <v>12393834878.82</v>
      </c>
      <c r="V122" s="1111">
        <f t="shared" si="60"/>
        <v>2.3667526137872229E-2</v>
      </c>
      <c r="W122" s="1111">
        <f t="shared" si="61"/>
        <v>0.41202056615614108</v>
      </c>
      <c r="X122" s="1088"/>
    </row>
    <row r="123" spans="1:27" s="54" customFormat="1" x14ac:dyDescent="0.25">
      <c r="A123" s="1141" t="s">
        <v>1127</v>
      </c>
      <c r="B123" s="898">
        <v>2957581000</v>
      </c>
      <c r="C123" s="898">
        <v>3187608000</v>
      </c>
      <c r="D123" s="1111">
        <f t="shared" si="51"/>
        <v>7.7775384680926749E-2</v>
      </c>
      <c r="E123" s="898">
        <v>3328047000</v>
      </c>
      <c r="F123" s="1111">
        <f t="shared" si="52"/>
        <v>4.4057801335672393E-2</v>
      </c>
      <c r="G123" s="898">
        <v>3182829400</v>
      </c>
      <c r="H123" s="1111">
        <f t="shared" si="53"/>
        <v>-4.3634479921707839E-2</v>
      </c>
      <c r="I123" s="898">
        <v>3319978393</v>
      </c>
      <c r="J123" s="1111">
        <f t="shared" si="54"/>
        <v>4.3090274646828387E-2</v>
      </c>
      <c r="K123" s="898">
        <v>2619617298</v>
      </c>
      <c r="L123" s="1111">
        <f t="shared" si="55"/>
        <v>-0.21095350996159329</v>
      </c>
      <c r="M123" s="1088">
        <v>3455972404</v>
      </c>
      <c r="N123" s="1111">
        <f t="shared" si="48"/>
        <v>0.31926614114150653</v>
      </c>
      <c r="O123" s="1088">
        <f>+'Ingresos 2022'!AE303+'Ingresos 2022'!AE304+'Ingresos 2022'!AE305+'Ingresos 2022'!AE306+'Ingresos 2022'!AE307+'Ingresos 2022'!AE308</f>
        <v>3771566243</v>
      </c>
      <c r="P123" s="1111">
        <f t="shared" si="97"/>
        <v>9.1318390920808984E-2</v>
      </c>
      <c r="Q123" s="1088">
        <f>+'Ingresos 2023'!I302+'Ingresos 2023'!I303+'Ingresos 2023'!I304+'Ingresos 2023'!I305+'Ingresos 2023'!I306+'Ingresos 2023'!I307</f>
        <v>3851377846</v>
      </c>
      <c r="R123" s="1088">
        <f>+'Ingresos 2023'!J302+'Ingresos 2023'!J303+'Ingresos 2023'!J304+'Ingresos 2023'!J305+'Ingresos 2023'!J306+'Ingresos 2023'!J307</f>
        <v>4056197123</v>
      </c>
      <c r="S123" s="1088">
        <f>+'Ingresos 2023'!K302+'Ingresos 2023'!K303+'Ingresos 2023'!K304+'Ingresos 2023'!K305+'Ingresos 2023'!K306+'Ingresos 2023'!K307</f>
        <v>1847768371</v>
      </c>
      <c r="T123" s="1088">
        <f>+'Recaudo Julio Dic 2022'!E185+'Recaudo Julio Dic 2022'!E186+'Recaudo Julio Dic 2022'!E187+'Recaudo Julio Dic 2022'!E188+'Recaudo Julio Dic 2022'!E189+'Recaudo Julio Dic 2022'!E190</f>
        <v>1908202056</v>
      </c>
      <c r="U123" s="1088">
        <f t="shared" si="57"/>
        <v>3755970427</v>
      </c>
      <c r="V123" s="1111">
        <f t="shared" si="60"/>
        <v>-4.1351032953340604E-3</v>
      </c>
      <c r="W123" s="1111">
        <f t="shared" si="61"/>
        <v>0.13548314292232713</v>
      </c>
      <c r="X123" s="1088"/>
    </row>
    <row r="124" spans="1:27" s="54" customFormat="1" x14ac:dyDescent="0.25">
      <c r="A124" s="1141" t="s">
        <v>1128</v>
      </c>
      <c r="B124" s="898">
        <v>4627445394.1199999</v>
      </c>
      <c r="C124" s="898">
        <v>5032134083</v>
      </c>
      <c r="D124" s="1111">
        <f t="shared" si="51"/>
        <v>8.745401715474152E-2</v>
      </c>
      <c r="E124" s="898">
        <v>5297644865</v>
      </c>
      <c r="F124" s="1111">
        <f t="shared" si="52"/>
        <v>5.2763057903598393E-2</v>
      </c>
      <c r="G124" s="898">
        <v>5036484170</v>
      </c>
      <c r="H124" s="1111">
        <f t="shared" si="53"/>
        <v>-4.9297508922391688E-2</v>
      </c>
      <c r="I124" s="898">
        <v>6526968883</v>
      </c>
      <c r="J124" s="1111">
        <f t="shared" si="54"/>
        <v>0.29593753552887669</v>
      </c>
      <c r="K124" s="898">
        <v>1038735962</v>
      </c>
      <c r="L124" s="1111">
        <f t="shared" si="55"/>
        <v>-0.84085477031988476</v>
      </c>
      <c r="M124" s="1088">
        <v>5194747951</v>
      </c>
      <c r="N124" s="1111">
        <f t="shared" si="48"/>
        <v>4.001028308481728</v>
      </c>
      <c r="O124" s="1088">
        <f>+'Ingresos 2022'!AE345+'Ingresos 2022'!AE346+'Ingresos 2022'!AE347</f>
        <v>7254547188</v>
      </c>
      <c r="P124" s="1111">
        <f t="shared" si="97"/>
        <v>0.3965157225007393</v>
      </c>
      <c r="Q124" s="1088">
        <f>+'Ingresos 2023'!I341+'Ingresos 2023'!I342+'Ingresos 2023'!I343</f>
        <v>6362968704</v>
      </c>
      <c r="R124" s="1088">
        <f>+'Ingresos 2023'!J341+'Ingresos 2023'!J342+'Ingresos 2023'!J343</f>
        <v>6362968704</v>
      </c>
      <c r="S124" s="1088">
        <f>+'Ingresos 2023'!K341+'Ingresos 2023'!K342+'Ingresos 2023'!K343</f>
        <v>3664165920.8800001</v>
      </c>
      <c r="T124" s="1088">
        <f>+'Recaudo Julio Dic 2022'!E212+'Recaudo Julio Dic 2022'!E213+'Recaudo Julio Dic 2022'!E214</f>
        <v>3598564494</v>
      </c>
      <c r="U124" s="1088">
        <f t="shared" si="57"/>
        <v>7262730414.8800001</v>
      </c>
      <c r="V124" s="1111">
        <f t="shared" si="60"/>
        <v>1.1280134607899823E-3</v>
      </c>
      <c r="W124" s="1111">
        <f t="shared" si="61"/>
        <v>1.4662240148144192</v>
      </c>
      <c r="X124" s="1088"/>
    </row>
    <row r="125" spans="1:27" s="54" customFormat="1" x14ac:dyDescent="0.25">
      <c r="A125" s="1141" t="s">
        <v>1129</v>
      </c>
      <c r="B125" s="898">
        <v>0</v>
      </c>
      <c r="C125" s="898">
        <v>41033484</v>
      </c>
      <c r="D125" s="1111"/>
      <c r="E125" s="898">
        <v>47527970</v>
      </c>
      <c r="F125" s="1111">
        <f t="shared" si="52"/>
        <v>0.15827283883571769</v>
      </c>
      <c r="G125" s="898">
        <v>59649303</v>
      </c>
      <c r="H125" s="1111">
        <f t="shared" si="53"/>
        <v>0.25503578208789479</v>
      </c>
      <c r="I125" s="898">
        <v>71070097</v>
      </c>
      <c r="J125" s="1111">
        <f t="shared" si="54"/>
        <v>0.19146567395766553</v>
      </c>
      <c r="K125" s="898">
        <v>90556978</v>
      </c>
      <c r="L125" s="1111">
        <f t="shared" si="55"/>
        <v>0.27419240753252383</v>
      </c>
      <c r="M125" s="1088">
        <v>417861126</v>
      </c>
      <c r="N125" s="1111">
        <f t="shared" si="48"/>
        <v>3.614344860315458</v>
      </c>
      <c r="O125" s="1088">
        <f>+'Ingresos 2022'!AE353+'Ingresos 2022'!AE354+'Ingresos 2022'!AE355+'Ingresos 2022'!AE356+'Ingresos 2022'!AE357+'Ingresos 2022'!AE358</f>
        <v>780933574</v>
      </c>
      <c r="P125" s="1111">
        <f t="shared" si="97"/>
        <v>0.86888304608646461</v>
      </c>
      <c r="Q125" s="1088">
        <f>+'Ingresos 2023'!I349+'Ingresos 2023'!I350+'Ingresos 2023'!I351+'Ingresos 2023'!I352</f>
        <v>928531053</v>
      </c>
      <c r="R125" s="1088">
        <f>+'Ingresos 2023'!J349+'Ingresos 2023'!J350+'Ingresos 2023'!J351+'Ingresos 2023'!J352</f>
        <v>928531053</v>
      </c>
      <c r="S125" s="1088">
        <f>+'Ingresos 2023'!K349+'Ingresos 2023'!K350+'Ingresos 2023'!K351+'Ingresos 2023'!K352</f>
        <v>516215527</v>
      </c>
      <c r="T125" s="1088">
        <f>+'Recaudo Julio Dic 2022'!E218+'Recaudo Julio Dic 2022'!E219+'Recaudo Julio Dic 2022'!E220+'Recaudo Julio Dic 2022'!E221+'Recaudo Julio Dic 2022'!E222+'Recaudo Julio Dic 2022'!E223</f>
        <v>411602202</v>
      </c>
      <c r="U125" s="1088">
        <f>+S125+T125</f>
        <v>927817729</v>
      </c>
      <c r="V125" s="1111">
        <f t="shared" si="60"/>
        <v>0.1880878987538574</v>
      </c>
      <c r="W125" s="1111">
        <f t="shared" si="61"/>
        <v>1.55710526838526</v>
      </c>
      <c r="X125" s="1088"/>
    </row>
    <row r="126" spans="1:27" s="654" customFormat="1" ht="15" x14ac:dyDescent="0.25">
      <c r="A126" s="1141" t="s">
        <v>1130</v>
      </c>
      <c r="B126" s="898">
        <v>0</v>
      </c>
      <c r="C126" s="898">
        <v>118492987</v>
      </c>
      <c r="D126" s="1111"/>
      <c r="E126" s="898">
        <v>70127429</v>
      </c>
      <c r="F126" s="1111">
        <f t="shared" si="52"/>
        <v>-0.40817232500012851</v>
      </c>
      <c r="G126" s="898">
        <v>45202420</v>
      </c>
      <c r="H126" s="1111">
        <f t="shared" si="53"/>
        <v>-0.35542453723777612</v>
      </c>
      <c r="I126" s="898">
        <v>30401876</v>
      </c>
      <c r="J126" s="1111">
        <f t="shared" si="54"/>
        <v>-0.32742813327251064</v>
      </c>
      <c r="K126" s="898">
        <v>10457404</v>
      </c>
      <c r="L126" s="1111">
        <f t="shared" si="55"/>
        <v>-0.65602767408169149</v>
      </c>
      <c r="M126" s="1088">
        <v>24649009</v>
      </c>
      <c r="N126" s="1111">
        <f t="shared" si="48"/>
        <v>1.3570868066300201</v>
      </c>
      <c r="O126" s="1088">
        <f>+'Ingresos 2022'!AE351+'Ingresos 2022'!AE350+'Ingresos 2022'!AE349</f>
        <v>27241060</v>
      </c>
      <c r="P126" s="1111">
        <f t="shared" si="97"/>
        <v>0.10515842645032909</v>
      </c>
      <c r="Q126" s="1088">
        <f>+'Ingresos 2023'!I345+'Ingresos 2023'!I346+'Ingresos 2023'!I347</f>
        <v>31137815</v>
      </c>
      <c r="R126" s="1088">
        <f>+'Ingresos 2023'!J345+'Ingresos 2023'!J346+'Ingresos 2023'!J347</f>
        <v>31137815</v>
      </c>
      <c r="S126" s="1088">
        <f>+'Ingresos 2023'!K345+'Ingresos 2023'!K346+'Ingresos 2023'!K347</f>
        <v>15288457.5</v>
      </c>
      <c r="T126" s="1088">
        <f>+'Recaudo Julio Dic 2022'!E215+'Recaudo Julio Dic 2022'!E216+'Recaudo Julio Dic 2022'!E217</f>
        <v>13426000</v>
      </c>
      <c r="U126" s="1088">
        <f>+S126+T126</f>
        <v>28714457.5</v>
      </c>
      <c r="V126" s="1111">
        <f t="shared" si="60"/>
        <v>5.4087377657110261E-2</v>
      </c>
      <c r="W126" s="1111">
        <f t="shared" si="61"/>
        <v>0.50544420357915321</v>
      </c>
      <c r="X126" s="1088"/>
      <c r="Z126" s="655"/>
      <c r="AA126" s="165"/>
    </row>
    <row r="127" spans="1:27" s="54" customFormat="1" x14ac:dyDescent="0.25">
      <c r="A127" s="1141" t="s">
        <v>1131</v>
      </c>
      <c r="B127" s="898">
        <v>0</v>
      </c>
      <c r="C127" s="898">
        <v>413847</v>
      </c>
      <c r="D127" s="1111"/>
      <c r="E127" s="898">
        <v>0</v>
      </c>
      <c r="F127" s="1111">
        <f t="shared" si="52"/>
        <v>-1</v>
      </c>
      <c r="G127" s="898">
        <v>0</v>
      </c>
      <c r="H127" s="1111"/>
      <c r="I127" s="898">
        <v>0</v>
      </c>
      <c r="J127" s="1111"/>
      <c r="K127" s="898">
        <v>1381314919</v>
      </c>
      <c r="L127" s="1111"/>
      <c r="M127" s="1088">
        <v>243153284</v>
      </c>
      <c r="N127" s="1111">
        <f t="shared" si="48"/>
        <v>-0.82396969680452714</v>
      </c>
      <c r="O127" s="1088"/>
      <c r="P127" s="1111">
        <f t="shared" si="97"/>
        <v>-1</v>
      </c>
      <c r="Q127" s="1088">
        <f>+'Ingresos 2023'!I290+'Ingresos 2023'!I291+'Ingresos 2023'!I292</f>
        <v>1219071964</v>
      </c>
      <c r="R127" s="1088">
        <f>+'Ingresos 2023'!J290+'Ingresos 2023'!J291+'Ingresos 2023'!J292</f>
        <v>1219071964</v>
      </c>
      <c r="S127" s="1088">
        <f>+'Ingresos 2023'!K290+'Ingresos 2023'!K291+'Ingresos 2023'!K292</f>
        <v>483706241</v>
      </c>
      <c r="T127" s="1088"/>
      <c r="U127" s="1088">
        <f t="shared" si="57"/>
        <v>483706241</v>
      </c>
      <c r="V127" s="1111"/>
      <c r="W127" s="1111">
        <f t="shared" si="61"/>
        <v>-0.60798989893484234</v>
      </c>
      <c r="X127" s="1088"/>
    </row>
    <row r="128" spans="1:27" s="54" customFormat="1" x14ac:dyDescent="0.25">
      <c r="A128" s="1141" t="s">
        <v>1132</v>
      </c>
      <c r="B128" s="898">
        <v>1043283322</v>
      </c>
      <c r="C128" s="898">
        <v>1041273320.97</v>
      </c>
      <c r="D128" s="1111">
        <f t="shared" si="51"/>
        <v>-1.9266109096297539E-3</v>
      </c>
      <c r="E128" s="898">
        <v>2029088019.1899998</v>
      </c>
      <c r="F128" s="1111">
        <f t="shared" si="52"/>
        <v>0.94866033569341734</v>
      </c>
      <c r="G128" s="898">
        <v>1703248316.7400002</v>
      </c>
      <c r="H128" s="1111">
        <f t="shared" si="53"/>
        <v>-0.16058431145834318</v>
      </c>
      <c r="I128" s="898">
        <v>2208629340.0999999</v>
      </c>
      <c r="J128" s="1111">
        <f t="shared" si="54"/>
        <v>0.29671599754009664</v>
      </c>
      <c r="K128" s="898">
        <v>3511597224</v>
      </c>
      <c r="L128" s="1111">
        <f t="shared" si="55"/>
        <v>0.5899441161281529</v>
      </c>
      <c r="M128" s="1088">
        <v>3741964532.7800002</v>
      </c>
      <c r="N128" s="1111">
        <f t="shared" si="48"/>
        <v>6.5601859804864743E-2</v>
      </c>
      <c r="O128" s="1088">
        <f>+'Ingresos 2022'!AE292+'Ingresos 2022'!AE296+'Ingresos 2022'!AE297+'Ingresos 2022'!AE298+'Ingresos 2022'!AE299+'Ingresos 2022'!AE300+'Ingresos 2022'!AE301</f>
        <v>3308221838.8699999</v>
      </c>
      <c r="P128" s="1111">
        <f t="shared" si="97"/>
        <v>-0.11591309594475549</v>
      </c>
      <c r="Q128" s="1088">
        <f>+'Ingresos 2023'!I295+'Ingresos 2023'!I296+'Ingresos 2023'!I297+'Ingresos 2023'!I298+'Ingresos 2023'!I299+'Ingresos 2023'!I300</f>
        <v>2062546782</v>
      </c>
      <c r="R128" s="1088">
        <f>+'Ingresos 2023'!J295+'Ingresos 2023'!J296+'Ingresos 2023'!J297+'Ingresos 2023'!J298+'Ingresos 2023'!J299+'Ingresos 2023'!J300</f>
        <v>2062546782</v>
      </c>
      <c r="S128" s="1088">
        <f>+'Ingresos 2023'!K295+'Ingresos 2023'!K296+'Ingresos 2023'!K297+'Ingresos 2023'!K298+'Ingresos 2023'!K299+'Ingresos 2023'!K300</f>
        <v>886015994.96000004</v>
      </c>
      <c r="T128" s="1088">
        <f>+'Recaudo Julio Dic 2022'!E179+'Recaudo Julio Dic 2022'!E180+'Recaudo Julio Dic 2022'!E181+'Recaudo Julio Dic 2022'!E182+'Recaudo Julio Dic 2022'!E183+'Recaudo Julio Dic 2022'!E184</f>
        <v>1404013904.8699999</v>
      </c>
      <c r="U128" s="1088">
        <f t="shared" si="57"/>
        <v>2290029899.8299999</v>
      </c>
      <c r="V128" s="1111">
        <f t="shared" si="60"/>
        <v>-0.30777619779808574</v>
      </c>
      <c r="W128" s="1111">
        <f t="shared" si="61"/>
        <v>-0.11936247797932549</v>
      </c>
      <c r="X128" s="1088"/>
      <c r="Y128" s="654"/>
      <c r="Z128" s="654"/>
    </row>
    <row r="129" spans="1:26" s="54" customFormat="1" x14ac:dyDescent="0.25">
      <c r="A129" s="1141" t="s">
        <v>1133</v>
      </c>
      <c r="B129" s="898">
        <v>912762320.5</v>
      </c>
      <c r="C129" s="898">
        <v>597808425</v>
      </c>
      <c r="D129" s="1111">
        <f t="shared" si="51"/>
        <v>-0.34505575923365472</v>
      </c>
      <c r="E129" s="898">
        <v>642062850</v>
      </c>
      <c r="F129" s="1111">
        <f t="shared" si="52"/>
        <v>7.4027770685901592E-2</v>
      </c>
      <c r="G129" s="898">
        <v>563195220.63</v>
      </c>
      <c r="H129" s="1111">
        <f t="shared" si="53"/>
        <v>-0.1228347495420425</v>
      </c>
      <c r="I129" s="898">
        <v>708543122.5</v>
      </c>
      <c r="J129" s="1111">
        <f t="shared" si="54"/>
        <v>0.25807729992348177</v>
      </c>
      <c r="K129" s="898">
        <v>529115555</v>
      </c>
      <c r="L129" s="1111">
        <f t="shared" si="55"/>
        <v>-0.25323450585041846</v>
      </c>
      <c r="M129" s="1088">
        <v>722318852.79999995</v>
      </c>
      <c r="N129" s="1111">
        <f t="shared" si="48"/>
        <v>0.36514386313968777</v>
      </c>
      <c r="O129" s="1088">
        <f>+'Ingresos 2022'!AE286+'Ingresos 2022'!AE287+'Ingresos 2022'!AE288+'Ingresos 2022'!AE289</f>
        <v>836388860.5</v>
      </c>
      <c r="P129" s="1111">
        <f t="shared" si="97"/>
        <v>0.1579219582291374</v>
      </c>
      <c r="Q129" s="1088">
        <f>+'Ingresos 2023'!I284+'Ingresos 2023'!I285+'Ingresos 2023'!I286+'Ingresos 2023'!I287</f>
        <v>632179190</v>
      </c>
      <c r="R129" s="1088">
        <f>+'Ingresos 2023'!J284+'Ingresos 2023'!J285+'Ingresos 2023'!J286+'Ingresos 2023'!J287</f>
        <v>632179190</v>
      </c>
      <c r="S129" s="1088">
        <f>+'Ingresos 2023'!K284+'Ingresos 2023'!K285+'Ingresos 2023'!K286+'Ingresos 2023'!K287</f>
        <v>406134615.25</v>
      </c>
      <c r="T129" s="1088">
        <f>+'Recaudo Julio Dic 2022'!E173+'Recaudo Julio Dic 2022'!E174+'Recaudo Julio Dic 2022'!E175+'Recaudo Julio Dic 2022'!E176</f>
        <v>429318751</v>
      </c>
      <c r="U129" s="1088">
        <f t="shared" si="57"/>
        <v>835453366.25</v>
      </c>
      <c r="V129" s="1111">
        <f t="shared" si="60"/>
        <v>-1.1184920007671479E-3</v>
      </c>
      <c r="W129" s="1111">
        <f t="shared" si="61"/>
        <v>0.17398244312268604</v>
      </c>
      <c r="X129" s="1088"/>
      <c r="Y129" s="654"/>
      <c r="Z129" s="654"/>
    </row>
    <row r="130" spans="1:26" s="54" customFormat="1" x14ac:dyDescent="0.25">
      <c r="A130" s="1141" t="s">
        <v>1134</v>
      </c>
      <c r="B130" s="898"/>
      <c r="C130" s="898"/>
      <c r="D130" s="1111"/>
      <c r="E130" s="898"/>
      <c r="F130" s="1111"/>
      <c r="G130" s="898"/>
      <c r="H130" s="1111"/>
      <c r="I130" s="898"/>
      <c r="J130" s="1111"/>
      <c r="K130" s="898">
        <v>4557301442</v>
      </c>
      <c r="L130" s="1111"/>
      <c r="M130" s="1088">
        <v>175275046</v>
      </c>
      <c r="N130" s="1111">
        <f t="shared" si="48"/>
        <v>-0.96153972954593947</v>
      </c>
      <c r="O130" s="1088">
        <f>+'Ingresos 2022'!AE338+'Ingresos 2022'!AE339+'Ingresos 2022'!AE340+'Ingresos 2022'!AE341+'Ingresos 2022'!AE342+'Ingresos 2022'!AE343</f>
        <v>2820682640</v>
      </c>
      <c r="P130" s="1111">
        <f t="shared" si="97"/>
        <v>15.092893451586942</v>
      </c>
      <c r="Q130" s="1088">
        <f>+'Ingresos 2023'!I276+'Ingresos 2023'!I277+'Ingresos 2023'!I278+'Ingresos 2023'!I279+'Ingresos 2023'!I280+'Ingresos 2023'!I281</f>
        <v>1237100665</v>
      </c>
      <c r="R130" s="1088">
        <f>+'Ingresos 2023'!J276+'Ingresos 2023'!J277+'Ingresos 2023'!J278+'Ingresos 2023'!J279+'Ingresos 2023'!J280+'Ingresos 2023'!J281</f>
        <v>1237100665</v>
      </c>
      <c r="S130" s="1088">
        <f>+'Ingresos 2023'!K276+'Ingresos 2023'!K277+'Ingresos 2023'!K278+'Ingresos 2023'!K279+'Ingresos 2023'!K280+'Ingresos 2023'!K281</f>
        <v>756720524.75</v>
      </c>
      <c r="T130" s="1088">
        <f>+'Recaudo Julio Dic 2022'!E167+'Recaudo Julio Dic 2022'!E168+'Recaudo Julio Dic 2022'!E169+'Recaudo Julio Dic 2022'!E170+'Recaudo Julio Dic 2022'!E171+'Recaudo Julio Dic 2022'!E172</f>
        <v>418146306</v>
      </c>
      <c r="U130" s="1088">
        <f t="shared" si="57"/>
        <v>1174866830.75</v>
      </c>
      <c r="V130" s="1111">
        <f t="shared" si="60"/>
        <v>-0.58348138351714751</v>
      </c>
      <c r="W130" s="1111">
        <f t="shared" si="61"/>
        <v>4.5159574461746184</v>
      </c>
      <c r="X130" s="1088"/>
      <c r="Y130" s="654"/>
      <c r="Z130" s="654"/>
    </row>
    <row r="131" spans="1:26" s="54" customFormat="1" ht="25.5" x14ac:dyDescent="0.25">
      <c r="A131" s="1141" t="s">
        <v>1135</v>
      </c>
      <c r="B131" s="898"/>
      <c r="C131" s="898"/>
      <c r="D131" s="1111"/>
      <c r="E131" s="898"/>
      <c r="F131" s="1111"/>
      <c r="G131" s="898"/>
      <c r="H131" s="1111"/>
      <c r="I131" s="898"/>
      <c r="J131" s="1111"/>
      <c r="K131" s="898">
        <v>62326453</v>
      </c>
      <c r="L131" s="1111"/>
      <c r="M131" s="1088"/>
      <c r="N131" s="1111"/>
      <c r="O131" s="1088"/>
      <c r="P131" s="1111"/>
      <c r="Q131" s="1088"/>
      <c r="R131" s="1088"/>
      <c r="S131" s="1088"/>
      <c r="T131" s="1088"/>
      <c r="U131" s="1088">
        <f t="shared" si="57"/>
        <v>0</v>
      </c>
      <c r="V131" s="1111"/>
      <c r="W131" s="1111">
        <f t="shared" si="61"/>
        <v>0</v>
      </c>
      <c r="X131" s="1088"/>
      <c r="Y131" s="654"/>
      <c r="Z131" s="654"/>
    </row>
    <row r="132" spans="1:26" s="54" customFormat="1" x14ac:dyDescent="0.25">
      <c r="A132" s="1139" t="s">
        <v>1087</v>
      </c>
      <c r="B132" s="898">
        <v>0</v>
      </c>
      <c r="C132" s="898">
        <v>0</v>
      </c>
      <c r="D132" s="1111"/>
      <c r="E132" s="898">
        <v>0</v>
      </c>
      <c r="F132" s="1111"/>
      <c r="G132" s="898">
        <v>0</v>
      </c>
      <c r="H132" s="1111"/>
      <c r="I132" s="898">
        <v>0</v>
      </c>
      <c r="J132" s="1111"/>
      <c r="K132" s="898">
        <v>7530176928</v>
      </c>
      <c r="L132" s="1111"/>
      <c r="M132" s="1088"/>
      <c r="N132" s="1111"/>
      <c r="O132" s="1088"/>
      <c r="P132" s="1111"/>
      <c r="Q132" s="1088"/>
      <c r="R132" s="1088"/>
      <c r="S132" s="1088"/>
      <c r="T132" s="1088"/>
      <c r="U132" s="1088">
        <f t="shared" si="57"/>
        <v>0</v>
      </c>
      <c r="V132" s="1111"/>
      <c r="W132" s="1111">
        <f t="shared" si="61"/>
        <v>0</v>
      </c>
      <c r="X132" s="1088"/>
      <c r="Y132" s="654"/>
      <c r="Z132" s="654"/>
    </row>
    <row r="133" spans="1:26" s="54" customFormat="1" x14ac:dyDescent="0.25">
      <c r="A133" s="1141" t="s">
        <v>1136</v>
      </c>
      <c r="B133" s="898">
        <v>47138056</v>
      </c>
      <c r="C133" s="898">
        <v>1816194200</v>
      </c>
      <c r="D133" s="1111">
        <f t="shared" si="51"/>
        <v>37.529255427928554</v>
      </c>
      <c r="E133" s="898">
        <v>1955694040</v>
      </c>
      <c r="F133" s="1111">
        <f t="shared" si="52"/>
        <v>7.6808878698103975E-2</v>
      </c>
      <c r="G133" s="898">
        <v>1783764309.4000001</v>
      </c>
      <c r="H133" s="1111">
        <f t="shared" si="53"/>
        <v>-8.791238664305584E-2</v>
      </c>
      <c r="I133" s="898">
        <v>2105691489</v>
      </c>
      <c r="J133" s="1111">
        <f t="shared" si="54"/>
        <v>0.1804762982999058</v>
      </c>
      <c r="K133" s="898">
        <v>0</v>
      </c>
      <c r="L133" s="1111">
        <f t="shared" si="55"/>
        <v>-1</v>
      </c>
      <c r="M133" s="1088"/>
      <c r="N133" s="1111"/>
      <c r="O133" s="1088"/>
      <c r="P133" s="1111"/>
      <c r="Q133" s="1088">
        <f>+'Ingresos 2023'!I334+'Ingresos 2023'!I337+'Ingresos 2023'!I339</f>
        <v>1627806780</v>
      </c>
      <c r="R133" s="1088">
        <f>+'Ingresos 2023'!J334+'Ingresos 2023'!J337+'Ingresos 2023'!J339</f>
        <v>1627806780</v>
      </c>
      <c r="S133" s="1088">
        <f>+'Ingresos 2023'!K334+'Ingresos 2023'!K337+'Ingresos 2023'!K339</f>
        <v>1112447279</v>
      </c>
      <c r="T133" s="1088">
        <f>+'Recaudo Julio Dic 2022'!E206+'Recaudo Julio Dic 2022'!E207+'Recaudo Julio Dic 2022'!E208+'Recaudo Julio Dic 2022'!E209+'Recaudo Julio Dic 2022'!E210+'Recaudo Julio Dic 2022'!E211</f>
        <v>1518931054</v>
      </c>
      <c r="U133" s="1088">
        <f t="shared" si="57"/>
        <v>2631378333</v>
      </c>
      <c r="V133" s="1111"/>
      <c r="W133" s="1111">
        <f t="shared" si="61"/>
        <v>0</v>
      </c>
      <c r="X133" s="1088"/>
      <c r="Y133" s="654"/>
      <c r="Z133" s="654"/>
    </row>
    <row r="134" spans="1:26" s="54" customFormat="1" x14ac:dyDescent="0.25">
      <c r="A134" s="1143" t="s">
        <v>1137</v>
      </c>
      <c r="B134" s="898">
        <v>0</v>
      </c>
      <c r="C134" s="898">
        <v>464640827</v>
      </c>
      <c r="D134" s="1111"/>
      <c r="E134" s="898">
        <v>0</v>
      </c>
      <c r="F134" s="1111">
        <f t="shared" ref="F134:F199" si="98">+(E134-C134)/C134</f>
        <v>-1</v>
      </c>
      <c r="G134" s="898">
        <v>0</v>
      </c>
      <c r="H134" s="1111"/>
      <c r="I134" s="898">
        <v>0</v>
      </c>
      <c r="J134" s="1111"/>
      <c r="K134" s="898">
        <v>0</v>
      </c>
      <c r="L134" s="1111"/>
      <c r="M134" s="1088">
        <v>2239045157</v>
      </c>
      <c r="N134" s="1111" t="e">
        <f t="shared" ref="N134:N196" si="99">+(M134-K134)/K134</f>
        <v>#DIV/0!</v>
      </c>
      <c r="O134" s="1088"/>
      <c r="P134" s="1111">
        <f t="shared" ref="P134:P136" si="100">+(O134-M134)/M134</f>
        <v>-1</v>
      </c>
      <c r="Q134" s="1088">
        <f>+'Ingresos 2023'!I335+'Ingresos 2023'!I336+'Ingresos 2023'!I338</f>
        <v>542602260</v>
      </c>
      <c r="R134" s="1088">
        <f>+'Ingresos 2023'!J335+'Ingresos 2023'!J336+'Ingresos 2023'!J338</f>
        <v>542602260</v>
      </c>
      <c r="S134" s="1088">
        <f>+'Ingresos 2023'!K335+'Ingresos 2023'!K336+'Ingresos 2023'!K338</f>
        <v>276417600</v>
      </c>
      <c r="T134" s="1088">
        <f>+'Recaudo Julio Dic 2022'!E173+'Recaudo Julio Dic 2022'!E174+'Recaudo Julio Dic 2022'!E175+'Recaudo Julio Dic 2022'!E176</f>
        <v>429318751</v>
      </c>
      <c r="U134" s="1088">
        <f t="shared" si="57"/>
        <v>705736351</v>
      </c>
      <c r="V134" s="1111"/>
      <c r="W134" s="1111"/>
      <c r="X134" s="1088"/>
      <c r="Y134" s="654"/>
      <c r="Z134" s="654"/>
    </row>
    <row r="135" spans="1:26" s="54" customFormat="1" x14ac:dyDescent="0.25">
      <c r="A135" s="1141" t="s">
        <v>1138</v>
      </c>
      <c r="B135" s="898">
        <v>684784985</v>
      </c>
      <c r="C135" s="898">
        <v>1064354210</v>
      </c>
      <c r="D135" s="1111">
        <f>+(C135-B135)/B135</f>
        <v>0.55428964319362228</v>
      </c>
      <c r="E135" s="898">
        <v>1239020388</v>
      </c>
      <c r="F135" s="1111">
        <f t="shared" si="98"/>
        <v>0.16410531039286255</v>
      </c>
      <c r="G135" s="898">
        <v>1078823905.21</v>
      </c>
      <c r="H135" s="1111">
        <f t="shared" ref="H135:H199" si="101">+(G135-E135)/E135</f>
        <v>-0.12929285453372213</v>
      </c>
      <c r="I135" s="898">
        <v>795058320.86000001</v>
      </c>
      <c r="J135" s="1111">
        <f t="shared" ref="J135:J199" si="102">+(I135-G135)/G135</f>
        <v>-0.26303234752177951</v>
      </c>
      <c r="K135" s="898">
        <v>728514356</v>
      </c>
      <c r="L135" s="1111">
        <f t="shared" ref="L135:L199" si="103">+(K135-I135)/I135</f>
        <v>-8.3696960479604343E-2</v>
      </c>
      <c r="M135" s="1088">
        <v>739661509</v>
      </c>
      <c r="N135" s="1111">
        <f t="shared" si="99"/>
        <v>1.5301212540552873E-2</v>
      </c>
      <c r="O135" s="1088">
        <f>+'Ingresos 2022'!AE278+'Ingresos 2022'!AE279+'Ingresos 2022'!AE280+'Ingresos 2022'!AE281+'Ingresos 2022'!AE282+'Ingresos 2022'!AE283</f>
        <v>860304830</v>
      </c>
      <c r="P135" s="1111">
        <f t="shared" si="100"/>
        <v>0.16310612291168985</v>
      </c>
      <c r="Q135" s="1088"/>
      <c r="R135" s="1088"/>
      <c r="S135" s="1088"/>
      <c r="T135" s="1088"/>
      <c r="U135" s="1088">
        <f t="shared" si="57"/>
        <v>0</v>
      </c>
      <c r="V135" s="1111">
        <f t="shared" si="60"/>
        <v>-1</v>
      </c>
      <c r="W135" s="1111">
        <f t="shared" si="61"/>
        <v>-0.2738642215159191</v>
      </c>
      <c r="X135" s="1088"/>
      <c r="Y135" s="654"/>
      <c r="Z135" s="654"/>
    </row>
    <row r="136" spans="1:26" s="54" customFormat="1" x14ac:dyDescent="0.25">
      <c r="A136" s="1141" t="s">
        <v>1139</v>
      </c>
      <c r="B136" s="898">
        <v>602528086</v>
      </c>
      <c r="C136" s="898">
        <v>818609100</v>
      </c>
      <c r="D136" s="1111">
        <f>+(C136-B136)/B136</f>
        <v>0.35862396960529402</v>
      </c>
      <c r="E136" s="898">
        <v>812733409</v>
      </c>
      <c r="F136" s="1111">
        <f t="shared" si="98"/>
        <v>-7.1776517021371984E-3</v>
      </c>
      <c r="G136" s="898">
        <v>761346773.5</v>
      </c>
      <c r="H136" s="1111">
        <f t="shared" si="101"/>
        <v>-6.3226926481620746E-2</v>
      </c>
      <c r="I136" s="898">
        <v>909043192</v>
      </c>
      <c r="J136" s="1111">
        <f t="shared" si="102"/>
        <v>0.19399362240812071</v>
      </c>
      <c r="K136" s="898">
        <v>1006078654.36</v>
      </c>
      <c r="L136" s="1111">
        <f t="shared" si="103"/>
        <v>0.10674461149256373</v>
      </c>
      <c r="M136" s="1088">
        <v>871443943.11000001</v>
      </c>
      <c r="N136" s="1111">
        <f t="shared" si="99"/>
        <v>-0.13382125807613482</v>
      </c>
      <c r="O136" s="1088">
        <f>+'Ingresos 2022'!AE317+'Ingresos 2022'!AE318+'Ingresos 2022'!AE319</f>
        <v>385276117.66000003</v>
      </c>
      <c r="P136" s="1111">
        <f t="shared" si="100"/>
        <v>-0.55788766368031584</v>
      </c>
      <c r="Q136" s="1088">
        <f>+'Ingresos 2023'!I316+'Ingresos 2023'!I317+'Ingresos 2023'!I318</f>
        <v>399000000</v>
      </c>
      <c r="R136" s="1088">
        <f>+'Ingresos 2023'!J316+'Ingresos 2023'!J317+'Ingresos 2023'!J318</f>
        <v>399000000</v>
      </c>
      <c r="S136" s="1088">
        <f>+'Ingresos 2023'!K316+'Ingresos 2023'!K317+'Ingresos 2023'!K318</f>
        <v>170263193.19999999</v>
      </c>
      <c r="T136" s="1088">
        <f>+'Recaudo Julio Dic 2022'!E193+'Recaudo Julio Dic 2022'!E194+'Recaudo Julio Dic 2022'!E195</f>
        <v>211496652.34999999</v>
      </c>
      <c r="U136" s="1088">
        <f t="shared" si="57"/>
        <v>381759845.54999995</v>
      </c>
      <c r="V136" s="1111">
        <f t="shared" si="60"/>
        <v>-9.1266287963977233E-3</v>
      </c>
      <c r="W136" s="1111">
        <f t="shared" si="61"/>
        <v>-0.23361185018428277</v>
      </c>
      <c r="X136" s="1088"/>
      <c r="Y136" s="654"/>
      <c r="Z136" s="654"/>
    </row>
    <row r="137" spans="1:26" s="54" customFormat="1" x14ac:dyDescent="0.25">
      <c r="A137" s="1141" t="s">
        <v>1140</v>
      </c>
      <c r="B137" s="898">
        <v>0</v>
      </c>
      <c r="C137" s="898">
        <v>16600000</v>
      </c>
      <c r="D137" s="1111"/>
      <c r="E137" s="898">
        <v>39163732.329999998</v>
      </c>
      <c r="F137" s="1111">
        <f t="shared" si="98"/>
        <v>1.3592609837349396</v>
      </c>
      <c r="G137" s="898">
        <v>0</v>
      </c>
      <c r="H137" s="1111">
        <f t="shared" si="101"/>
        <v>-1</v>
      </c>
      <c r="I137" s="898">
        <v>0</v>
      </c>
      <c r="J137" s="1111"/>
      <c r="K137" s="898">
        <v>2310250113</v>
      </c>
      <c r="L137" s="1111"/>
      <c r="M137" s="1088"/>
      <c r="N137" s="1111"/>
      <c r="O137" s="1088"/>
      <c r="P137" s="1111"/>
      <c r="Q137" s="1088"/>
      <c r="R137" s="1088"/>
      <c r="S137" s="1088"/>
      <c r="T137" s="1088"/>
      <c r="U137" s="1088">
        <f t="shared" ref="U137:U200" si="104">+S137+T137</f>
        <v>0</v>
      </c>
      <c r="V137" s="1111"/>
      <c r="W137" s="1111">
        <f t="shared" ref="W137:W200" si="105">+(V137+P137+N137)/3</f>
        <v>0</v>
      </c>
      <c r="X137" s="1088"/>
    </row>
    <row r="138" spans="1:26" s="54" customFormat="1" x14ac:dyDescent="0.25">
      <c r="A138" s="1141" t="s">
        <v>1141</v>
      </c>
      <c r="B138" s="898">
        <v>2843942000</v>
      </c>
      <c r="C138" s="898">
        <v>3086366000</v>
      </c>
      <c r="D138" s="1111">
        <f>+(C138-B138)/B138</f>
        <v>8.5242244743387874E-2</v>
      </c>
      <c r="E138" s="898">
        <v>3937884000</v>
      </c>
      <c r="F138" s="1111">
        <f t="shared" si="98"/>
        <v>0.27589663701583028</v>
      </c>
      <c r="G138" s="898">
        <v>3706252307</v>
      </c>
      <c r="H138" s="1111">
        <f t="shared" si="101"/>
        <v>-5.8821360151797258E-2</v>
      </c>
      <c r="I138" s="898">
        <v>7650487373</v>
      </c>
      <c r="J138" s="1111">
        <f t="shared" si="102"/>
        <v>1.064211159761175</v>
      </c>
      <c r="K138" s="898">
        <v>10190311043.93</v>
      </c>
      <c r="L138" s="1111">
        <f t="shared" si="103"/>
        <v>0.33198194403842984</v>
      </c>
      <c r="M138" s="1088">
        <v>5218324702</v>
      </c>
      <c r="N138" s="1111">
        <f t="shared" si="99"/>
        <v>-0.48791310888313194</v>
      </c>
      <c r="O138" s="1088">
        <f>+'Ingresos 2022'!AE311</f>
        <v>15980359997</v>
      </c>
      <c r="P138" s="1111">
        <f t="shared" ref="P138:P140" si="106">+(O138-M138)/M138</f>
        <v>2.0623544738171029</v>
      </c>
      <c r="Q138" s="1088">
        <f>+'Ingresos 2023'!I310</f>
        <v>13809428000</v>
      </c>
      <c r="R138" s="1088">
        <f>+'Ingresos 2023'!J310</f>
        <v>13809428000</v>
      </c>
      <c r="S138" s="1088">
        <f>+'Ingresos 2023'!K310</f>
        <v>5761705452</v>
      </c>
      <c r="T138" s="1088">
        <f>+'Recaudo Julio Dic 2022'!E191</f>
        <v>8117014878</v>
      </c>
      <c r="U138" s="1088">
        <f t="shared" si="104"/>
        <v>13878720330</v>
      </c>
      <c r="V138" s="1111">
        <f t="shared" ref="V138:V196" si="107">+(U138-O138)/O138</f>
        <v>-0.13151391253980146</v>
      </c>
      <c r="W138" s="1111">
        <f t="shared" si="105"/>
        <v>0.48097581746472318</v>
      </c>
      <c r="X138" s="1088"/>
    </row>
    <row r="139" spans="1:26" s="54" customFormat="1" x14ac:dyDescent="0.2">
      <c r="A139" s="1141" t="s">
        <v>1142</v>
      </c>
      <c r="B139" s="898">
        <v>0</v>
      </c>
      <c r="C139" s="898">
        <v>0</v>
      </c>
      <c r="D139" s="1111"/>
      <c r="E139" s="898">
        <v>0</v>
      </c>
      <c r="F139" s="1111"/>
      <c r="G139" s="898">
        <v>9241365080</v>
      </c>
      <c r="H139" s="1111"/>
      <c r="I139" s="898">
        <v>0</v>
      </c>
      <c r="J139" s="1111">
        <f t="shared" si="102"/>
        <v>-1</v>
      </c>
      <c r="K139" s="898">
        <v>413634233</v>
      </c>
      <c r="L139" s="1111"/>
      <c r="M139" s="1088">
        <v>16515214542</v>
      </c>
      <c r="N139" s="1111">
        <f t="shared" si="99"/>
        <v>38.92709796338351</v>
      </c>
      <c r="O139" s="1088">
        <f>+'Ingresos 2022'!AE313</f>
        <v>4816291965</v>
      </c>
      <c r="P139" s="1111">
        <f t="shared" si="106"/>
        <v>-0.70837242515066079</v>
      </c>
      <c r="Q139" s="1088">
        <f>+'Ingresos 2023'!I312</f>
        <v>4335092423</v>
      </c>
      <c r="R139" s="1088">
        <f>+'Ingresos 2023'!J312</f>
        <v>4335092423</v>
      </c>
      <c r="S139" s="1088">
        <f>+'Ingresos 2023'!K312</f>
        <v>2271452626</v>
      </c>
      <c r="T139" s="1088">
        <f>+'Recaudo Julio Dic 2022'!E192</f>
        <v>3316197980</v>
      </c>
      <c r="U139" s="1088">
        <f t="shared" si="104"/>
        <v>5587650606</v>
      </c>
      <c r="V139" s="1111">
        <f t="shared" si="107"/>
        <v>0.16015612147383593</v>
      </c>
      <c r="W139" s="1111">
        <f t="shared" si="105"/>
        <v>12.792960553235561</v>
      </c>
      <c r="X139" s="1088"/>
      <c r="Y139" s="653"/>
    </row>
    <row r="140" spans="1:26" s="54" customFormat="1" x14ac:dyDescent="0.25">
      <c r="A140" s="1141" t="s">
        <v>1143</v>
      </c>
      <c r="B140" s="898">
        <v>417748176.28000003</v>
      </c>
      <c r="C140" s="898">
        <v>719672899</v>
      </c>
      <c r="D140" s="1111">
        <f t="shared" ref="D140:D153" si="108">+(C140-B140)/B140</f>
        <v>0.72274336517421878</v>
      </c>
      <c r="E140" s="898">
        <v>736429255</v>
      </c>
      <c r="F140" s="1111">
        <f t="shared" si="98"/>
        <v>2.3283294429015312E-2</v>
      </c>
      <c r="G140" s="898">
        <v>656436513</v>
      </c>
      <c r="H140" s="1111">
        <f t="shared" si="101"/>
        <v>-0.10862243923212964</v>
      </c>
      <c r="I140" s="898">
        <v>785124839</v>
      </c>
      <c r="J140" s="1111">
        <f t="shared" si="102"/>
        <v>0.19604077995582186</v>
      </c>
      <c r="K140" s="898">
        <v>0</v>
      </c>
      <c r="L140" s="1111">
        <f t="shared" si="103"/>
        <v>-1</v>
      </c>
      <c r="M140" s="1088">
        <v>1734657224</v>
      </c>
      <c r="N140" s="1111" t="e">
        <f t="shared" si="99"/>
        <v>#DIV/0!</v>
      </c>
      <c r="O140" s="1088">
        <f>+'Ingresos 2022'!AE406+'Ingresos 2022'!AE405+'Ingresos 2022'!AE404</f>
        <v>1591682895</v>
      </c>
      <c r="P140" s="1111">
        <f t="shared" si="106"/>
        <v>-8.2422237097834847E-2</v>
      </c>
      <c r="Q140" s="1088">
        <f>+'Ingresos 2023'!I398+'Ingresos 2023'!I395+'Ingresos 2023'!I396+'Ingresos 2023'!I397</f>
        <v>636817959</v>
      </c>
      <c r="R140" s="1088">
        <f>+'Ingresos 2023'!J398+'Ingresos 2023'!J395+'Ingresos 2023'!J396+'Ingresos 2023'!J397</f>
        <v>636817959</v>
      </c>
      <c r="S140" s="1088">
        <f>+'Ingresos 2023'!K398+'Ingresos 2023'!K395+'Ingresos 2023'!K396+'Ingresos 2023'!K397</f>
        <v>1153761022</v>
      </c>
      <c r="T140" s="1088">
        <f>+'Recaudo Julio Dic 2022'!E254+'Recaudo Julio Dic 2022'!E255+'Recaudo Julio Dic 2022'!E256</f>
        <v>780330694</v>
      </c>
      <c r="U140" s="1088">
        <f t="shared" si="104"/>
        <v>1934091716</v>
      </c>
      <c r="V140" s="1111">
        <f t="shared" si="107"/>
        <v>0.21512376747631004</v>
      </c>
      <c r="W140" s="1111"/>
      <c r="X140" s="1088"/>
    </row>
    <row r="141" spans="1:26" s="54" customFormat="1" x14ac:dyDescent="0.25">
      <c r="A141" s="1141" t="s">
        <v>1144</v>
      </c>
      <c r="B141" s="898">
        <v>166048524</v>
      </c>
      <c r="C141" s="898">
        <v>165741571.37</v>
      </c>
      <c r="D141" s="1111">
        <f t="shared" si="108"/>
        <v>-1.8485718668598055E-3</v>
      </c>
      <c r="E141" s="898">
        <v>3632811</v>
      </c>
      <c r="F141" s="1111">
        <f t="shared" si="98"/>
        <v>-0.97808147364616116</v>
      </c>
      <c r="G141" s="898">
        <v>0</v>
      </c>
      <c r="H141" s="1111">
        <f t="shared" si="101"/>
        <v>-1</v>
      </c>
      <c r="I141" s="898">
        <v>0</v>
      </c>
      <c r="J141" s="1111"/>
      <c r="K141" s="898">
        <v>0</v>
      </c>
      <c r="L141" s="1111"/>
      <c r="M141" s="1088"/>
      <c r="N141" s="1111"/>
      <c r="P141" s="1111"/>
      <c r="Q141" s="1088"/>
      <c r="R141" s="1088"/>
      <c r="S141" s="1088"/>
      <c r="T141" s="1088"/>
      <c r="U141" s="1088">
        <f t="shared" si="104"/>
        <v>0</v>
      </c>
      <c r="V141" s="1111"/>
      <c r="W141" s="1111">
        <f t="shared" si="105"/>
        <v>0</v>
      </c>
      <c r="X141" s="1088"/>
    </row>
    <row r="142" spans="1:26" s="54" customFormat="1" x14ac:dyDescent="0.25">
      <c r="A142" s="1141" t="s">
        <v>1145</v>
      </c>
      <c r="B142" s="898">
        <v>644863450</v>
      </c>
      <c r="C142" s="898">
        <v>632049200.63</v>
      </c>
      <c r="D142" s="1111">
        <f t="shared" si="108"/>
        <v>-1.9871260140421985E-2</v>
      </c>
      <c r="E142" s="898">
        <v>58652919</v>
      </c>
      <c r="F142" s="1111">
        <f t="shared" si="98"/>
        <v>-0.90720197266045544</v>
      </c>
      <c r="G142" s="898">
        <v>0</v>
      </c>
      <c r="H142" s="1111">
        <f t="shared" si="101"/>
        <v>-1</v>
      </c>
      <c r="I142" s="898">
        <v>0</v>
      </c>
      <c r="J142" s="1111"/>
      <c r="K142" s="898">
        <v>0</v>
      </c>
      <c r="L142" s="1111"/>
      <c r="M142" s="1088"/>
      <c r="N142" s="1111"/>
      <c r="O142" s="1088"/>
      <c r="P142" s="1111"/>
      <c r="Q142" s="1088"/>
      <c r="R142" s="1088"/>
      <c r="S142" s="1088"/>
      <c r="T142" s="1088"/>
      <c r="U142" s="1088">
        <f t="shared" si="104"/>
        <v>0</v>
      </c>
      <c r="V142" s="1111"/>
      <c r="W142" s="1111">
        <f t="shared" si="105"/>
        <v>0</v>
      </c>
      <c r="X142" s="1088"/>
    </row>
    <row r="143" spans="1:26" s="54" customFormat="1" x14ac:dyDescent="0.25">
      <c r="A143" s="1141" t="s">
        <v>1146</v>
      </c>
      <c r="B143" s="898">
        <v>6002766498.3300018</v>
      </c>
      <c r="C143" s="898">
        <v>2880224672</v>
      </c>
      <c r="D143" s="1111">
        <f t="shared" si="108"/>
        <v>-0.52018378979070867</v>
      </c>
      <c r="E143" s="898">
        <v>1679936750</v>
      </c>
      <c r="F143" s="1111">
        <f t="shared" si="98"/>
        <v>-0.41673412969083823</v>
      </c>
      <c r="G143" s="898">
        <v>1449982320</v>
      </c>
      <c r="H143" s="1111">
        <f t="shared" si="101"/>
        <v>-0.13688279037886397</v>
      </c>
      <c r="I143" s="898">
        <v>2597835657.9200001</v>
      </c>
      <c r="J143" s="1111">
        <f t="shared" si="102"/>
        <v>0.79163264412768841</v>
      </c>
      <c r="K143" s="898">
        <v>0</v>
      </c>
      <c r="L143" s="1111">
        <f t="shared" si="103"/>
        <v>-1</v>
      </c>
      <c r="M143" s="1088">
        <v>12033093302</v>
      </c>
      <c r="N143" s="1111" t="e">
        <f t="shared" si="99"/>
        <v>#DIV/0!</v>
      </c>
      <c r="O143" s="1088">
        <f>+'Ingresos 2022'!AE330+'Ingresos 2022'!AE329+'Ingresos 2022'!AE328+'Ingresos 2022'!AE327</f>
        <v>2459268701</v>
      </c>
      <c r="P143" s="1111">
        <f t="shared" ref="P143" si="109">+(O143-M143)/M143</f>
        <v>-0.79562456308792606</v>
      </c>
      <c r="Q143" s="1088">
        <f>+'Ingresos 2023'!I326+'Ingresos 2023'!I327+'Ingresos 2023'!I328+'Ingresos 2023'!I329+'Ingresos 2023'!I330</f>
        <v>2231975607</v>
      </c>
      <c r="R143" s="1088">
        <f>+'Ingresos 2023'!J326+'Ingresos 2023'!J327+'Ingresos 2023'!J328+'Ingresos 2023'!J329+'Ingresos 2023'!J330</f>
        <v>3963289433</v>
      </c>
      <c r="S143" s="1088">
        <f>+'Ingresos 2023'!K326+'Ingresos 2023'!K327+'Ingresos 2023'!K328+'Ingresos 2023'!K329+'Ingresos 2023'!K330</f>
        <v>3154758522</v>
      </c>
      <c r="T143" s="1088">
        <f>+'Recaudo Julio Dic 2022'!E198+'Recaudo Julio Dic 2022'!E199+'Recaudo Julio Dic 2022'!E200+'Recaudo Julio Dic 2022'!E201+'Recaudo Julio Dic 2022'!E205</f>
        <v>684191718</v>
      </c>
      <c r="U143" s="1088">
        <f t="shared" si="104"/>
        <v>3838950240</v>
      </c>
      <c r="V143" s="1111">
        <f t="shared" si="107"/>
        <v>0.56101292975386829</v>
      </c>
      <c r="W143" s="1111"/>
      <c r="X143" s="1088"/>
    </row>
    <row r="144" spans="1:26" s="54" customFormat="1" x14ac:dyDescent="0.25">
      <c r="A144" s="1141" t="s">
        <v>1147</v>
      </c>
      <c r="B144" s="898"/>
      <c r="C144" s="898"/>
      <c r="D144" s="1111"/>
      <c r="E144" s="898"/>
      <c r="F144" s="1111"/>
      <c r="G144" s="898"/>
      <c r="H144" s="1111"/>
      <c r="I144" s="898"/>
      <c r="J144" s="1111"/>
      <c r="K144" s="898"/>
      <c r="L144" s="1111"/>
      <c r="M144" s="1088"/>
      <c r="N144" s="1111"/>
      <c r="O144" s="1088">
        <v>206989528.09</v>
      </c>
      <c r="P144" s="1111"/>
      <c r="Q144" s="1088">
        <f>+'Ingresos 2023'!I380+'Ingresos 2023'!I381+'Ingresos 2023'!I382+'Ingresos 2023'!I383+'Ingresos 2023'!I384</f>
        <v>7000000</v>
      </c>
      <c r="R144" s="1088">
        <f>+'Ingresos 2023'!J380+'Ingresos 2023'!J381+'Ingresos 2023'!J382+'Ingresos 2023'!J383+'Ingresos 2023'!J384</f>
        <v>7000000</v>
      </c>
      <c r="S144" s="1088">
        <f>+'Ingresos 2023'!K380+'Ingresos 2023'!K381+'Ingresos 2023'!K382+'Ingresos 2023'!K383+'Ingresos 2023'!K384</f>
        <v>174978888.22999999</v>
      </c>
      <c r="T144" s="1088">
        <f>+'Recaudo Julio Dic 2022'!E242+'Recaudo Julio Dic 2022'!E243+'Recaudo Julio Dic 2022'!E244+'Recaudo Julio Dic 2022'!E245+'Recaudo Julio Dic 2022'!E246+'Recaudo Julio Dic 2022'!E247+'Recaudo Julio Dic 2022'!E248+'Recaudo Julio Dic 2022'!E249+'Recaudo Julio Dic 2022'!E250+'Recaudo Julio Dic 2022'!E251+'Recaudo Julio Dic 2022'!E252+'Recaudo Julio Dic 2022'!E253</f>
        <v>173933477.46000004</v>
      </c>
      <c r="U144" s="1088">
        <f t="shared" si="104"/>
        <v>348912365.69000006</v>
      </c>
      <c r="V144" s="1111">
        <f t="shared" si="107"/>
        <v>0.68565225936594898</v>
      </c>
      <c r="W144" s="1111">
        <f t="shared" si="105"/>
        <v>0.228550753121983</v>
      </c>
      <c r="X144" s="1088"/>
    </row>
    <row r="145" spans="1:24" s="54" customFormat="1" x14ac:dyDescent="0.25">
      <c r="A145" s="1139" t="s">
        <v>1065</v>
      </c>
      <c r="B145" s="890">
        <f>+B146+B147</f>
        <v>5894008780</v>
      </c>
      <c r="C145" s="890">
        <f>+C146+C147</f>
        <v>2141958658</v>
      </c>
      <c r="D145" s="1112">
        <f t="shared" si="108"/>
        <v>-0.63658712805650075</v>
      </c>
      <c r="E145" s="890">
        <f>+E146+E147</f>
        <v>2318525351</v>
      </c>
      <c r="F145" s="1112">
        <f t="shared" si="98"/>
        <v>8.2432353369912711E-2</v>
      </c>
      <c r="G145" s="890">
        <f>+G146+G147</f>
        <v>2514716632</v>
      </c>
      <c r="H145" s="1112">
        <f t="shared" si="101"/>
        <v>8.4618993238689849E-2</v>
      </c>
      <c r="I145" s="890">
        <f>+I146+I147</f>
        <v>2591680073</v>
      </c>
      <c r="J145" s="1112">
        <f t="shared" si="102"/>
        <v>3.0605214130543835E-2</v>
      </c>
      <c r="K145" s="890">
        <f>+K146+K147</f>
        <v>0</v>
      </c>
      <c r="L145" s="1112">
        <f t="shared" si="103"/>
        <v>-1</v>
      </c>
      <c r="M145" s="1089">
        <f>+M146+M147</f>
        <v>2876730086</v>
      </c>
      <c r="N145" s="1112" t="e">
        <f t="shared" si="99"/>
        <v>#DIV/0!</v>
      </c>
      <c r="O145" s="1089"/>
      <c r="P145" s="1112">
        <f t="shared" ref="P145:P146" si="110">+(O145-M145)/M145</f>
        <v>-1</v>
      </c>
      <c r="Q145" s="1089"/>
      <c r="R145" s="1089"/>
      <c r="S145" s="1089"/>
      <c r="T145" s="1088">
        <f>+T146+T147</f>
        <v>0</v>
      </c>
      <c r="U145" s="1088">
        <f t="shared" si="104"/>
        <v>0</v>
      </c>
      <c r="V145" s="1111"/>
      <c r="W145" s="1111"/>
      <c r="X145" s="1089">
        <f>+X146+X147</f>
        <v>0</v>
      </c>
    </row>
    <row r="146" spans="1:24" s="54" customFormat="1" x14ac:dyDescent="0.25">
      <c r="A146" s="1141" t="s">
        <v>1066</v>
      </c>
      <c r="B146" s="898">
        <v>1895949147</v>
      </c>
      <c r="C146" s="898">
        <v>2141958658</v>
      </c>
      <c r="D146" s="1111">
        <f t="shared" si="108"/>
        <v>0.12975533198728773</v>
      </c>
      <c r="E146" s="898">
        <v>2318525351</v>
      </c>
      <c r="F146" s="1111">
        <f t="shared" si="98"/>
        <v>8.2432353369912711E-2</v>
      </c>
      <c r="G146" s="898">
        <v>2514716632</v>
      </c>
      <c r="H146" s="1111">
        <f t="shared" si="101"/>
        <v>8.4618993238689849E-2</v>
      </c>
      <c r="I146" s="898">
        <v>2591680073</v>
      </c>
      <c r="J146" s="1111">
        <f t="shared" si="102"/>
        <v>3.0605214130543835E-2</v>
      </c>
      <c r="K146" s="898">
        <v>0</v>
      </c>
      <c r="L146" s="1111">
        <f t="shared" si="103"/>
        <v>-1</v>
      </c>
      <c r="M146" s="1088">
        <v>2876730086</v>
      </c>
      <c r="N146" s="1111" t="e">
        <f t="shared" si="99"/>
        <v>#DIV/0!</v>
      </c>
      <c r="O146" s="1088"/>
      <c r="P146" s="1111">
        <f t="shared" si="110"/>
        <v>-1</v>
      </c>
      <c r="Q146" s="1088"/>
      <c r="R146" s="1088"/>
      <c r="S146" s="1088"/>
      <c r="T146" s="1088"/>
      <c r="U146" s="1088">
        <f t="shared" si="104"/>
        <v>0</v>
      </c>
      <c r="V146" s="1111"/>
      <c r="W146" s="1111"/>
      <c r="X146" s="1088"/>
    </row>
    <row r="147" spans="1:24" s="54" customFormat="1" x14ac:dyDescent="0.25">
      <c r="A147" s="1141" t="s">
        <v>1148</v>
      </c>
      <c r="B147" s="898">
        <v>3998059633</v>
      </c>
      <c r="C147" s="898">
        <v>0</v>
      </c>
      <c r="D147" s="1111">
        <f t="shared" si="108"/>
        <v>-1</v>
      </c>
      <c r="E147" s="898">
        <v>0</v>
      </c>
      <c r="F147" s="1111"/>
      <c r="G147" s="898">
        <v>0</v>
      </c>
      <c r="H147" s="1111"/>
      <c r="I147" s="898">
        <v>0</v>
      </c>
      <c r="J147" s="1111"/>
      <c r="K147" s="898">
        <v>0</v>
      </c>
      <c r="L147" s="1111"/>
      <c r="M147" s="1088"/>
      <c r="N147" s="1111"/>
      <c r="O147" s="1088"/>
      <c r="P147" s="1111"/>
      <c r="Q147" s="1088"/>
      <c r="R147" s="1088"/>
      <c r="S147" s="1088"/>
      <c r="T147" s="1088"/>
      <c r="U147" s="1088">
        <f t="shared" si="104"/>
        <v>0</v>
      </c>
      <c r="V147" s="1111"/>
      <c r="W147" s="1111">
        <f t="shared" si="105"/>
        <v>0</v>
      </c>
      <c r="X147" s="1088"/>
    </row>
    <row r="148" spans="1:24" s="54" customFormat="1" x14ac:dyDescent="0.25">
      <c r="A148" s="1139" t="s">
        <v>961</v>
      </c>
      <c r="B148" s="890">
        <f>+B149</f>
        <v>3812635261.73</v>
      </c>
      <c r="C148" s="890">
        <f>+C149</f>
        <v>3551445354.8699999</v>
      </c>
      <c r="D148" s="1112">
        <f t="shared" si="108"/>
        <v>-6.8506397525548796E-2</v>
      </c>
      <c r="E148" s="890">
        <f>+E149</f>
        <v>1452461762.0999999</v>
      </c>
      <c r="F148" s="1112">
        <f t="shared" si="98"/>
        <v>-0.59102235372753831</v>
      </c>
      <c r="G148" s="890">
        <f>+G149</f>
        <v>2125937388.2</v>
      </c>
      <c r="H148" s="1112">
        <f t="shared" si="101"/>
        <v>0.46367873060305204</v>
      </c>
      <c r="I148" s="890">
        <f>+I149</f>
        <v>1471834403.8</v>
      </c>
      <c r="J148" s="1112">
        <f t="shared" si="102"/>
        <v>-0.30767744526748242</v>
      </c>
      <c r="K148" s="890">
        <f>+K149</f>
        <v>0</v>
      </c>
      <c r="L148" s="1112">
        <f t="shared" si="103"/>
        <v>-1</v>
      </c>
      <c r="M148" s="1089">
        <f>+M149</f>
        <v>1641312206.6300001</v>
      </c>
      <c r="N148" s="1112" t="e">
        <f t="shared" si="99"/>
        <v>#DIV/0!</v>
      </c>
      <c r="O148" s="1089">
        <f>+O149</f>
        <v>0</v>
      </c>
      <c r="P148" s="1112">
        <f t="shared" ref="P148:P150" si="111">+(O148-M148)/M148</f>
        <v>-1</v>
      </c>
      <c r="Q148" s="1089"/>
      <c r="R148" s="1089">
        <f t="shared" ref="R148:S148" si="112">+R149</f>
        <v>0</v>
      </c>
      <c r="S148" s="1089">
        <f t="shared" si="112"/>
        <v>0</v>
      </c>
      <c r="T148" s="1088">
        <f>+T149</f>
        <v>0</v>
      </c>
      <c r="U148" s="1088">
        <f t="shared" si="104"/>
        <v>0</v>
      </c>
      <c r="V148" s="1111"/>
      <c r="W148" s="1111"/>
      <c r="X148" s="1089">
        <f>+X149</f>
        <v>0</v>
      </c>
    </row>
    <row r="149" spans="1:24" x14ac:dyDescent="0.25">
      <c r="A149" s="1141" t="s">
        <v>1149</v>
      </c>
      <c r="B149" s="898">
        <v>3812635261.73</v>
      </c>
      <c r="C149" s="898">
        <v>3551445354.8699999</v>
      </c>
      <c r="D149" s="1111">
        <f t="shared" si="108"/>
        <v>-6.8506397525548796E-2</v>
      </c>
      <c r="E149" s="898">
        <v>1452461762.0999999</v>
      </c>
      <c r="F149" s="1111">
        <f t="shared" si="98"/>
        <v>-0.59102235372753831</v>
      </c>
      <c r="G149" s="898">
        <v>2125937388.2</v>
      </c>
      <c r="H149" s="1111">
        <f t="shared" si="101"/>
        <v>0.46367873060305204</v>
      </c>
      <c r="I149" s="898">
        <v>1471834403.8</v>
      </c>
      <c r="J149" s="1111">
        <f t="shared" si="102"/>
        <v>-0.30767744526748242</v>
      </c>
      <c r="K149" s="898">
        <v>0</v>
      </c>
      <c r="L149" s="1111">
        <f t="shared" si="103"/>
        <v>-1</v>
      </c>
      <c r="M149" s="1088">
        <v>1641312206.6300001</v>
      </c>
      <c r="N149" s="1111" t="e">
        <f t="shared" si="99"/>
        <v>#DIV/0!</v>
      </c>
      <c r="O149" s="1088"/>
      <c r="P149" s="1111">
        <f t="shared" si="111"/>
        <v>-1</v>
      </c>
      <c r="Q149" s="1088"/>
      <c r="R149" s="1088"/>
      <c r="S149" s="1088"/>
      <c r="T149" s="1088"/>
      <c r="U149" s="1088">
        <f t="shared" si="104"/>
        <v>0</v>
      </c>
      <c r="V149" s="1111"/>
      <c r="W149" s="1111"/>
      <c r="X149" s="1088"/>
    </row>
    <row r="150" spans="1:24" s="54" customFormat="1" x14ac:dyDescent="0.25">
      <c r="A150" s="1137" t="s">
        <v>954</v>
      </c>
      <c r="B150" s="885">
        <f t="shared" ref="B150:I150" si="113">+B151+B165</f>
        <v>24876294016.599998</v>
      </c>
      <c r="C150" s="885">
        <f t="shared" si="113"/>
        <v>960638468.73000002</v>
      </c>
      <c r="D150" s="1107">
        <f t="shared" si="108"/>
        <v>-0.96138337695763831</v>
      </c>
      <c r="E150" s="885">
        <f t="shared" si="113"/>
        <v>1627416909.9299998</v>
      </c>
      <c r="F150" s="1107">
        <f t="shared" si="98"/>
        <v>0.69409925055521238</v>
      </c>
      <c r="G150" s="885">
        <f t="shared" si="113"/>
        <v>4354629422.6199999</v>
      </c>
      <c r="H150" s="1107">
        <f t="shared" si="101"/>
        <v>1.6757921685889978</v>
      </c>
      <c r="I150" s="885">
        <f t="shared" si="113"/>
        <v>10733819210.299999</v>
      </c>
      <c r="J150" s="1107">
        <f t="shared" si="102"/>
        <v>1.4649213902205955</v>
      </c>
      <c r="K150" s="885">
        <f>+K151+K156+K165+K193+K200</f>
        <v>51604255422.519997</v>
      </c>
      <c r="L150" s="1107">
        <f t="shared" si="103"/>
        <v>3.8076322519948342</v>
      </c>
      <c r="M150" s="1084">
        <f>+M151+M156+M165+M193+M200+M195+M192+M191</f>
        <v>47257741864.820007</v>
      </c>
      <c r="N150" s="1107">
        <f t="shared" si="99"/>
        <v>-8.4227812650566392E-2</v>
      </c>
      <c r="O150" s="1084">
        <f>+O151+O156+O165+O193+O200+O195+O192+O191</f>
        <v>9305660694.8099995</v>
      </c>
      <c r="P150" s="1107">
        <f t="shared" si="111"/>
        <v>-0.80308706409568431</v>
      </c>
      <c r="Q150" s="1084"/>
      <c r="R150" s="1084"/>
      <c r="S150" s="1084"/>
      <c r="T150" s="1088">
        <f>+T151+T156+T165+T193+T200+T195+T192+T191</f>
        <v>8990548688.5</v>
      </c>
      <c r="U150" s="1088">
        <f t="shared" si="104"/>
        <v>8990548688.5</v>
      </c>
      <c r="V150" s="1111">
        <f t="shared" si="107"/>
        <v>-3.3862400171730457E-2</v>
      </c>
      <c r="W150" s="1111">
        <f t="shared" si="105"/>
        <v>-0.30705909230599371</v>
      </c>
      <c r="X150" s="1084">
        <f>+X151+X156+X165+X193+X200+X195+X192+X191</f>
        <v>0</v>
      </c>
    </row>
    <row r="151" spans="1:24" x14ac:dyDescent="0.25">
      <c r="A151" s="750" t="s">
        <v>165</v>
      </c>
      <c r="B151" s="888">
        <f>+B152</f>
        <v>24000000000</v>
      </c>
      <c r="C151" s="888">
        <f>+C152</f>
        <v>0</v>
      </c>
      <c r="D151" s="1110">
        <f t="shared" si="108"/>
        <v>-1</v>
      </c>
      <c r="E151" s="888">
        <f>+E152</f>
        <v>0</v>
      </c>
      <c r="F151" s="1110"/>
      <c r="G151" s="888">
        <f>+G152</f>
        <v>3600000000</v>
      </c>
      <c r="H151" s="1110"/>
      <c r="I151" s="888">
        <f>+I152</f>
        <v>9953658033.5</v>
      </c>
      <c r="J151" s="1110">
        <f t="shared" si="102"/>
        <v>1.7649050093055556</v>
      </c>
      <c r="K151" s="888">
        <f>+K152</f>
        <v>0</v>
      </c>
      <c r="L151" s="1110">
        <f t="shared" si="103"/>
        <v>-1</v>
      </c>
      <c r="M151" s="1087">
        <f>+M152</f>
        <v>0</v>
      </c>
      <c r="N151" s="1110"/>
      <c r="O151" s="1087">
        <f>+O152</f>
        <v>0</v>
      </c>
      <c r="P151" s="1110"/>
      <c r="Q151" s="1087"/>
      <c r="R151" s="1087"/>
      <c r="S151" s="1087"/>
      <c r="T151" s="1088">
        <f>+T152</f>
        <v>0</v>
      </c>
      <c r="U151" s="1088">
        <f t="shared" si="104"/>
        <v>0</v>
      </c>
      <c r="V151" s="1111"/>
      <c r="W151" s="1111">
        <f t="shared" si="105"/>
        <v>0</v>
      </c>
      <c r="X151" s="1087">
        <f>+X152</f>
        <v>0</v>
      </c>
    </row>
    <row r="152" spans="1:24" s="54" customFormat="1" x14ac:dyDescent="0.25">
      <c r="A152" s="750" t="s">
        <v>1150</v>
      </c>
      <c r="B152" s="890">
        <f t="shared" ref="B152:I152" si="114">SUM(B153:B154)</f>
        <v>24000000000</v>
      </c>
      <c r="C152" s="890">
        <f t="shared" si="114"/>
        <v>0</v>
      </c>
      <c r="D152" s="1112">
        <f t="shared" si="108"/>
        <v>-1</v>
      </c>
      <c r="E152" s="890">
        <f t="shared" si="114"/>
        <v>0</v>
      </c>
      <c r="F152" s="1112"/>
      <c r="G152" s="890">
        <f t="shared" si="114"/>
        <v>3600000000</v>
      </c>
      <c r="H152" s="1112"/>
      <c r="I152" s="890">
        <f t="shared" si="114"/>
        <v>9953658033.5</v>
      </c>
      <c r="J152" s="1112">
        <f t="shared" si="102"/>
        <v>1.7649050093055556</v>
      </c>
      <c r="K152" s="890">
        <f>SUM(K153:K155)</f>
        <v>0</v>
      </c>
      <c r="L152" s="1112">
        <f t="shared" si="103"/>
        <v>-1</v>
      </c>
      <c r="M152" s="1089">
        <f>SUM(M153:M155)</f>
        <v>0</v>
      </c>
      <c r="N152" s="1112"/>
      <c r="O152" s="1089">
        <f>SUM(O153:O155)</f>
        <v>0</v>
      </c>
      <c r="P152" s="1112"/>
      <c r="Q152" s="1089"/>
      <c r="R152" s="1089"/>
      <c r="S152" s="1089"/>
      <c r="T152" s="1088">
        <f>SUM(T153:T155)</f>
        <v>0</v>
      </c>
      <c r="U152" s="1088">
        <f t="shared" si="104"/>
        <v>0</v>
      </c>
      <c r="V152" s="1111"/>
      <c r="W152" s="1111">
        <f t="shared" si="105"/>
        <v>0</v>
      </c>
      <c r="X152" s="1089">
        <f>SUM(X153:X155)</f>
        <v>0</v>
      </c>
    </row>
    <row r="153" spans="1:24" s="54" customFormat="1" x14ac:dyDescent="0.25">
      <c r="A153" s="752" t="s">
        <v>1151</v>
      </c>
      <c r="B153" s="898">
        <v>24000000000</v>
      </c>
      <c r="C153" s="898">
        <v>0</v>
      </c>
      <c r="D153" s="1111">
        <f t="shared" si="108"/>
        <v>-1</v>
      </c>
      <c r="E153" s="898">
        <v>0</v>
      </c>
      <c r="F153" s="1111"/>
      <c r="G153" s="898">
        <v>0</v>
      </c>
      <c r="H153" s="1111"/>
      <c r="I153" s="898">
        <v>0</v>
      </c>
      <c r="J153" s="1111"/>
      <c r="K153" s="898">
        <v>0</v>
      </c>
      <c r="L153" s="1111"/>
      <c r="M153" s="1088"/>
      <c r="N153" s="1111"/>
      <c r="O153" s="1088"/>
      <c r="P153" s="1111"/>
      <c r="Q153" s="1088"/>
      <c r="R153" s="1088"/>
      <c r="S153" s="1088"/>
      <c r="T153" s="1088"/>
      <c r="U153" s="1088">
        <f t="shared" si="104"/>
        <v>0</v>
      </c>
      <c r="V153" s="1111"/>
      <c r="W153" s="1111">
        <f t="shared" si="105"/>
        <v>0</v>
      </c>
      <c r="X153" s="1088"/>
    </row>
    <row r="154" spans="1:24" s="54" customFormat="1" x14ac:dyDescent="0.25">
      <c r="A154" s="752" t="s">
        <v>1152</v>
      </c>
      <c r="B154" s="898">
        <v>0</v>
      </c>
      <c r="C154" s="898">
        <v>0</v>
      </c>
      <c r="D154" s="1111"/>
      <c r="E154" s="898">
        <v>0</v>
      </c>
      <c r="F154" s="1111"/>
      <c r="G154" s="898">
        <v>3600000000</v>
      </c>
      <c r="H154" s="1111"/>
      <c r="I154" s="898">
        <v>9953658033.5</v>
      </c>
      <c r="J154" s="1111">
        <f t="shared" si="102"/>
        <v>1.7649050093055556</v>
      </c>
      <c r="K154" s="898">
        <v>0</v>
      </c>
      <c r="L154" s="1111">
        <f t="shared" si="103"/>
        <v>-1</v>
      </c>
      <c r="M154" s="1088"/>
      <c r="N154" s="1111"/>
      <c r="O154" s="1088"/>
      <c r="P154" s="1111"/>
      <c r="Q154" s="1088"/>
      <c r="R154" s="1088"/>
      <c r="S154" s="1088"/>
      <c r="T154" s="1088"/>
      <c r="U154" s="1088">
        <f t="shared" si="104"/>
        <v>0</v>
      </c>
      <c r="V154" s="1111"/>
      <c r="W154" s="1111">
        <f t="shared" si="105"/>
        <v>0</v>
      </c>
      <c r="X154" s="1088"/>
    </row>
    <row r="155" spans="1:24" s="54" customFormat="1" x14ac:dyDescent="0.25">
      <c r="A155" s="778" t="s">
        <v>1153</v>
      </c>
      <c r="B155" s="890">
        <v>0</v>
      </c>
      <c r="C155" s="890">
        <v>0</v>
      </c>
      <c r="D155" s="1112"/>
      <c r="E155" s="890">
        <v>0</v>
      </c>
      <c r="F155" s="1112"/>
      <c r="G155" s="890">
        <v>0</v>
      </c>
      <c r="H155" s="1112"/>
      <c r="I155" s="890">
        <v>0</v>
      </c>
      <c r="J155" s="1112"/>
      <c r="K155" s="890">
        <v>0</v>
      </c>
      <c r="L155" s="1112"/>
      <c r="M155" s="1097"/>
      <c r="N155" s="1112"/>
      <c r="O155" s="1097"/>
      <c r="P155" s="1112"/>
      <c r="Q155" s="1097"/>
      <c r="R155" s="1097"/>
      <c r="S155" s="1097"/>
      <c r="T155" s="1088"/>
      <c r="U155" s="1088">
        <f t="shared" si="104"/>
        <v>0</v>
      </c>
      <c r="V155" s="1111"/>
      <c r="W155" s="1111">
        <f t="shared" si="105"/>
        <v>0</v>
      </c>
      <c r="X155" s="1097"/>
    </row>
    <row r="156" spans="1:24" s="54" customFormat="1" x14ac:dyDescent="0.25">
      <c r="A156" s="750" t="s">
        <v>1154</v>
      </c>
      <c r="B156" s="890">
        <f t="shared" ref="B156:I156" si="115">+B157</f>
        <v>6153080985.46</v>
      </c>
      <c r="C156" s="890">
        <f t="shared" si="115"/>
        <v>3905012763.3299999</v>
      </c>
      <c r="D156" s="1112">
        <f>+(C156-B156)/B156</f>
        <v>-0.36535651447498968</v>
      </c>
      <c r="E156" s="890">
        <f t="shared" si="115"/>
        <v>3443110206.2899995</v>
      </c>
      <c r="F156" s="1112">
        <f t="shared" si="98"/>
        <v>-0.11828451916405851</v>
      </c>
      <c r="G156" s="890">
        <f t="shared" si="115"/>
        <v>3595668921.52</v>
      </c>
      <c r="H156" s="1112">
        <f t="shared" si="101"/>
        <v>4.4308403184800955E-2</v>
      </c>
      <c r="I156" s="890">
        <f t="shared" si="115"/>
        <v>4688609197.9800005</v>
      </c>
      <c r="J156" s="1112">
        <f t="shared" si="102"/>
        <v>0.30396020888318631</v>
      </c>
      <c r="K156" s="890">
        <f>+K157+K161+K163</f>
        <v>4565106047.46</v>
      </c>
      <c r="L156" s="1112">
        <f t="shared" si="103"/>
        <v>-2.6341105710667778E-2</v>
      </c>
      <c r="M156" s="1089">
        <f>+M157+M161+M163</f>
        <v>0</v>
      </c>
      <c r="N156" s="1112"/>
      <c r="O156" s="1089">
        <f>+O157+O161+O163</f>
        <v>100405457.84</v>
      </c>
      <c r="P156" s="1112"/>
      <c r="Q156" s="1089"/>
      <c r="R156" s="1089"/>
      <c r="S156" s="1089"/>
      <c r="T156" s="1088">
        <f>+T157+T161+T163</f>
        <v>0</v>
      </c>
      <c r="U156" s="1088">
        <f t="shared" si="104"/>
        <v>0</v>
      </c>
      <c r="V156" s="1111">
        <f t="shared" si="107"/>
        <v>-1</v>
      </c>
      <c r="W156" s="1111">
        <f t="shared" si="105"/>
        <v>-0.33333333333333331</v>
      </c>
      <c r="X156" s="1089">
        <f>+X157+X161+X163</f>
        <v>0</v>
      </c>
    </row>
    <row r="157" spans="1:24" x14ac:dyDescent="0.25">
      <c r="A157" s="750" t="s">
        <v>1155</v>
      </c>
      <c r="B157" s="888">
        <f t="shared" ref="B157:I157" si="116">+B158+B159+B160+B161+B162</f>
        <v>6153080985.46</v>
      </c>
      <c r="C157" s="888">
        <f t="shared" si="116"/>
        <v>3905012763.3299999</v>
      </c>
      <c r="D157" s="1110">
        <f>+(C157-B157)/B157</f>
        <v>-0.36535651447498968</v>
      </c>
      <c r="E157" s="888">
        <f t="shared" si="116"/>
        <v>3443110206.2899995</v>
      </c>
      <c r="F157" s="1110">
        <f t="shared" si="98"/>
        <v>-0.11828451916405851</v>
      </c>
      <c r="G157" s="888">
        <f t="shared" si="116"/>
        <v>3595668921.52</v>
      </c>
      <c r="H157" s="1110">
        <f t="shared" si="101"/>
        <v>4.4308403184800955E-2</v>
      </c>
      <c r="I157" s="888">
        <f t="shared" si="116"/>
        <v>4688609197.9800005</v>
      </c>
      <c r="J157" s="1110">
        <f t="shared" si="102"/>
        <v>0.30396020888318631</v>
      </c>
      <c r="K157" s="888">
        <f>+K158+K159+K160</f>
        <v>3279067135.9799995</v>
      </c>
      <c r="L157" s="1110">
        <f t="shared" si="103"/>
        <v>-0.30063116853656213</v>
      </c>
      <c r="M157" s="1087">
        <f>+M158+M159+M160</f>
        <v>0</v>
      </c>
      <c r="N157" s="1110"/>
      <c r="O157" s="1087">
        <f>+O158+O159+O160</f>
        <v>0</v>
      </c>
      <c r="P157" s="1110"/>
      <c r="Q157" s="1087"/>
      <c r="R157" s="1087"/>
      <c r="S157" s="1087"/>
      <c r="T157" s="1088">
        <f>+T158+T159+T160</f>
        <v>0</v>
      </c>
      <c r="U157" s="1088">
        <f t="shared" si="104"/>
        <v>0</v>
      </c>
      <c r="V157" s="1111"/>
      <c r="W157" s="1111">
        <f t="shared" si="105"/>
        <v>0</v>
      </c>
      <c r="X157" s="1087">
        <f>+X158+X159+X160</f>
        <v>0</v>
      </c>
    </row>
    <row r="158" spans="1:24" ht="25.5" x14ac:dyDescent="0.25">
      <c r="A158" s="752" t="s">
        <v>1156</v>
      </c>
      <c r="B158" s="898">
        <v>5132581247.0500002</v>
      </c>
      <c r="C158" s="898">
        <v>652748755.49000001</v>
      </c>
      <c r="D158" s="1111">
        <f>+(C158-B158)/B158</f>
        <v>-0.87282251871508643</v>
      </c>
      <c r="E158" s="898">
        <v>861037129.29999995</v>
      </c>
      <c r="F158" s="1111">
        <f t="shared" si="98"/>
        <v>0.31909424883337195</v>
      </c>
      <c r="G158" s="898">
        <v>904915252.80999994</v>
      </c>
      <c r="H158" s="1111">
        <f t="shared" si="101"/>
        <v>5.0959618368224983E-2</v>
      </c>
      <c r="I158" s="898">
        <v>1359031530.9100001</v>
      </c>
      <c r="J158" s="1111">
        <f t="shared" si="102"/>
        <v>0.50183293594604539</v>
      </c>
      <c r="K158" s="898">
        <v>2258764112.2399998</v>
      </c>
      <c r="L158" s="1111">
        <f t="shared" si="103"/>
        <v>0.66203951922112036</v>
      </c>
      <c r="M158" s="1088"/>
      <c r="N158" s="1111"/>
      <c r="O158" s="1088"/>
      <c r="P158" s="1111"/>
      <c r="Q158" s="1088"/>
      <c r="R158" s="1088"/>
      <c r="S158" s="1088"/>
      <c r="T158" s="1088"/>
      <c r="U158" s="1088">
        <f t="shared" si="104"/>
        <v>0</v>
      </c>
      <c r="V158" s="1111"/>
      <c r="W158" s="1111">
        <f t="shared" si="105"/>
        <v>0</v>
      </c>
      <c r="X158" s="1088"/>
    </row>
    <row r="159" spans="1:24" x14ac:dyDescent="0.25">
      <c r="A159" s="752" t="s">
        <v>1157</v>
      </c>
      <c r="B159" s="898">
        <v>0</v>
      </c>
      <c r="C159" s="898">
        <v>459946134.55000001</v>
      </c>
      <c r="D159" s="1111"/>
      <c r="E159" s="898">
        <v>554208481.19000006</v>
      </c>
      <c r="F159" s="1111">
        <f t="shared" si="98"/>
        <v>0.20494214334951202</v>
      </c>
      <c r="G159" s="898">
        <v>481640007.06999999</v>
      </c>
      <c r="H159" s="1111">
        <f t="shared" si="101"/>
        <v>-0.13094074988563972</v>
      </c>
      <c r="I159" s="898">
        <v>724565975.5</v>
      </c>
      <c r="J159" s="1111">
        <f t="shared" si="102"/>
        <v>0.5043724874679979</v>
      </c>
      <c r="K159" s="898">
        <v>243148522.19</v>
      </c>
      <c r="L159" s="1111">
        <f t="shared" si="103"/>
        <v>-0.66442183263958687</v>
      </c>
      <c r="M159" s="1088"/>
      <c r="N159" s="1111"/>
      <c r="O159" s="1088"/>
      <c r="P159" s="1111"/>
      <c r="Q159" s="1088"/>
      <c r="R159" s="1088"/>
      <c r="S159" s="1088"/>
      <c r="T159" s="1088"/>
      <c r="U159" s="1088">
        <f t="shared" si="104"/>
        <v>0</v>
      </c>
      <c r="V159" s="1111"/>
      <c r="W159" s="1111">
        <f t="shared" si="105"/>
        <v>0</v>
      </c>
      <c r="X159" s="1088"/>
    </row>
    <row r="160" spans="1:24" x14ac:dyDescent="0.25">
      <c r="A160" s="752" t="s">
        <v>1158</v>
      </c>
      <c r="B160" s="898">
        <v>0</v>
      </c>
      <c r="C160" s="898">
        <v>1361112632.4400001</v>
      </c>
      <c r="D160" s="1111"/>
      <c r="E160" s="898">
        <v>1487037414.6199999</v>
      </c>
      <c r="F160" s="1111">
        <f t="shared" si="98"/>
        <v>9.251606309336842E-2</v>
      </c>
      <c r="G160" s="898">
        <v>1423742945.45</v>
      </c>
      <c r="H160" s="1111">
        <f t="shared" si="101"/>
        <v>-4.256414031530889E-2</v>
      </c>
      <c r="I160" s="898">
        <v>1813347131.9300001</v>
      </c>
      <c r="J160" s="1111">
        <f t="shared" si="102"/>
        <v>0.27364784333091707</v>
      </c>
      <c r="K160" s="898">
        <v>777154501.54999995</v>
      </c>
      <c r="L160" s="1111">
        <f t="shared" si="103"/>
        <v>-0.57142541112751477</v>
      </c>
      <c r="M160" s="1088"/>
      <c r="N160" s="1111"/>
      <c r="O160" s="1088"/>
      <c r="P160" s="1111"/>
      <c r="Q160" s="1088"/>
      <c r="R160" s="1088"/>
      <c r="S160" s="1088"/>
      <c r="T160" s="1088"/>
      <c r="U160" s="1088">
        <f t="shared" si="104"/>
        <v>0</v>
      </c>
      <c r="V160" s="1111"/>
      <c r="W160" s="1111">
        <f t="shared" si="105"/>
        <v>0</v>
      </c>
      <c r="X160" s="1088"/>
    </row>
    <row r="161" spans="1:25" s="54" customFormat="1" x14ac:dyDescent="0.25">
      <c r="A161" s="752" t="s">
        <v>1159</v>
      </c>
      <c r="B161" s="898">
        <v>16838327</v>
      </c>
      <c r="C161" s="898">
        <v>1431205240.8499999</v>
      </c>
      <c r="D161" s="1111">
        <f t="shared" ref="D161:D168" si="117">+(C161-B161)/B161</f>
        <v>83.99687889717309</v>
      </c>
      <c r="E161" s="898">
        <v>0</v>
      </c>
      <c r="F161" s="1111">
        <f t="shared" si="98"/>
        <v>-1</v>
      </c>
      <c r="G161" s="898">
        <v>0</v>
      </c>
      <c r="H161" s="1111"/>
      <c r="I161" s="898">
        <v>0</v>
      </c>
      <c r="J161" s="1111"/>
      <c r="K161" s="898">
        <f>+K162</f>
        <v>463984312.81999999</v>
      </c>
      <c r="L161" s="1111"/>
      <c r="M161" s="1098">
        <f>+M162</f>
        <v>0</v>
      </c>
      <c r="N161" s="1111"/>
      <c r="O161" s="1098">
        <f>+O162</f>
        <v>0</v>
      </c>
      <c r="P161" s="1111"/>
      <c r="Q161" s="1098"/>
      <c r="R161" s="1098"/>
      <c r="S161" s="1098"/>
      <c r="T161" s="1088">
        <f>+T162</f>
        <v>0</v>
      </c>
      <c r="U161" s="1088">
        <f t="shared" si="104"/>
        <v>0</v>
      </c>
      <c r="V161" s="1111"/>
      <c r="W161" s="1111">
        <f t="shared" si="105"/>
        <v>0</v>
      </c>
      <c r="X161" s="1098">
        <f>+X162</f>
        <v>0</v>
      </c>
    </row>
    <row r="162" spans="1:25" x14ac:dyDescent="0.25">
      <c r="A162" s="752" t="s">
        <v>1160</v>
      </c>
      <c r="B162" s="898">
        <v>1003661411.41</v>
      </c>
      <c r="C162" s="898">
        <v>0</v>
      </c>
      <c r="D162" s="1111">
        <f t="shared" si="117"/>
        <v>-1</v>
      </c>
      <c r="E162" s="898">
        <v>540827181.17999995</v>
      </c>
      <c r="F162" s="1111"/>
      <c r="G162" s="898">
        <v>785370716.19000006</v>
      </c>
      <c r="H162" s="1111">
        <f t="shared" si="101"/>
        <v>0.45216576296414046</v>
      </c>
      <c r="I162" s="898">
        <v>791664559.63999999</v>
      </c>
      <c r="J162" s="1111">
        <f t="shared" si="102"/>
        <v>8.0138504279007212E-3</v>
      </c>
      <c r="K162" s="898">
        <v>463984312.81999999</v>
      </c>
      <c r="L162" s="1111">
        <f t="shared" si="103"/>
        <v>-0.41391299235247903</v>
      </c>
      <c r="M162" s="1088"/>
      <c r="N162" s="1111"/>
      <c r="O162" s="1088"/>
      <c r="P162" s="1111"/>
      <c r="Q162" s="1088">
        <f>+'Ingresos 2023'!I185</f>
        <v>175218474</v>
      </c>
      <c r="R162" s="1088">
        <f>+'Ingresos 2023'!J185</f>
        <v>175218474</v>
      </c>
      <c r="S162" s="1088">
        <f>+'Ingresos 2023'!K185</f>
        <v>0</v>
      </c>
      <c r="T162" s="1088"/>
      <c r="U162" s="1088">
        <f t="shared" si="104"/>
        <v>0</v>
      </c>
      <c r="V162" s="1111"/>
      <c r="W162" s="1111">
        <f t="shared" si="105"/>
        <v>0</v>
      </c>
      <c r="X162" s="1088"/>
    </row>
    <row r="163" spans="1:25" s="54" customFormat="1" x14ac:dyDescent="0.25">
      <c r="A163" s="779" t="s">
        <v>1161</v>
      </c>
      <c r="B163" s="888">
        <f>+B164</f>
        <v>8947353002.9300003</v>
      </c>
      <c r="C163" s="888">
        <f t="shared" ref="C163:I163" si="118">+C164</f>
        <v>288578661.56999999</v>
      </c>
      <c r="D163" s="1110">
        <f t="shared" si="117"/>
        <v>-0.96774703518733429</v>
      </c>
      <c r="E163" s="888">
        <f t="shared" si="118"/>
        <v>314586355.63999999</v>
      </c>
      <c r="F163" s="1110">
        <f t="shared" si="98"/>
        <v>9.0123413590271137E-2</v>
      </c>
      <c r="G163" s="888">
        <f t="shared" si="118"/>
        <v>518340794.77999997</v>
      </c>
      <c r="H163" s="1110">
        <f t="shared" si="101"/>
        <v>0.64769000780557817</v>
      </c>
      <c r="I163" s="888">
        <f t="shared" si="118"/>
        <v>389188180.72000003</v>
      </c>
      <c r="J163" s="1110">
        <f t="shared" si="102"/>
        <v>-0.24916544358584847</v>
      </c>
      <c r="K163" s="888">
        <f>+K164</f>
        <v>822054598.65999997</v>
      </c>
      <c r="L163" s="1110">
        <f t="shared" si="103"/>
        <v>1.1122290947767093</v>
      </c>
      <c r="M163" s="1087">
        <f>+M164</f>
        <v>0</v>
      </c>
      <c r="N163" s="1110"/>
      <c r="O163" s="1087">
        <f>+O164</f>
        <v>100405457.84</v>
      </c>
      <c r="P163" s="1110"/>
      <c r="Q163" s="1087"/>
      <c r="R163" s="1087"/>
      <c r="S163" s="1087"/>
      <c r="T163" s="1088">
        <f>+T164</f>
        <v>0</v>
      </c>
      <c r="U163" s="1088">
        <f t="shared" si="104"/>
        <v>0</v>
      </c>
      <c r="V163" s="1111">
        <f t="shared" si="107"/>
        <v>-1</v>
      </c>
      <c r="W163" s="1111">
        <f t="shared" si="105"/>
        <v>-0.33333333333333331</v>
      </c>
      <c r="X163" s="1087">
        <f>+X164</f>
        <v>0</v>
      </c>
    </row>
    <row r="164" spans="1:25" s="54" customFormat="1" x14ac:dyDescent="0.25">
      <c r="A164" s="752" t="s">
        <v>606</v>
      </c>
      <c r="B164" s="898">
        <v>8947353002.9300003</v>
      </c>
      <c r="C164" s="898">
        <v>288578661.56999999</v>
      </c>
      <c r="D164" s="1111">
        <f t="shared" si="117"/>
        <v>-0.96774703518733429</v>
      </c>
      <c r="E164" s="898">
        <v>314586355.63999999</v>
      </c>
      <c r="F164" s="1111">
        <f t="shared" si="98"/>
        <v>9.0123413590271137E-2</v>
      </c>
      <c r="G164" s="898">
        <v>518340794.77999997</v>
      </c>
      <c r="H164" s="1111">
        <f t="shared" si="101"/>
        <v>0.64769000780557817</v>
      </c>
      <c r="I164" s="898">
        <v>389188180.72000003</v>
      </c>
      <c r="J164" s="1111">
        <f t="shared" si="102"/>
        <v>-0.24916544358584847</v>
      </c>
      <c r="K164" s="898">
        <v>822054598.65999997</v>
      </c>
      <c r="L164" s="1111">
        <f t="shared" si="103"/>
        <v>1.1122290947767093</v>
      </c>
      <c r="M164" s="1088"/>
      <c r="N164" s="1111"/>
      <c r="O164" s="1088">
        <f>+'Ingresos 2022'!AE223</f>
        <v>100405457.84</v>
      </c>
      <c r="P164" s="1111"/>
      <c r="Q164" s="1088"/>
      <c r="R164" s="1088"/>
      <c r="S164" s="1088"/>
      <c r="T164" s="1088"/>
      <c r="U164" s="1088">
        <f t="shared" si="104"/>
        <v>0</v>
      </c>
      <c r="V164" s="1111">
        <f t="shared" si="107"/>
        <v>-1</v>
      </c>
      <c r="W164" s="1111">
        <f t="shared" si="105"/>
        <v>-0.33333333333333331</v>
      </c>
      <c r="X164" s="1088"/>
    </row>
    <row r="165" spans="1:25" s="54" customFormat="1" x14ac:dyDescent="0.25">
      <c r="A165" s="750" t="s">
        <v>1162</v>
      </c>
      <c r="B165" s="890">
        <f t="shared" ref="B165:K165" si="119">+B166+B198</f>
        <v>876294016.60000002</v>
      </c>
      <c r="C165" s="890">
        <f t="shared" si="119"/>
        <v>960638468.73000002</v>
      </c>
      <c r="D165" s="1112">
        <f t="shared" si="117"/>
        <v>9.6251315805229928E-2</v>
      </c>
      <c r="E165" s="890">
        <f t="shared" si="119"/>
        <v>1627416909.9299998</v>
      </c>
      <c r="F165" s="1112">
        <f t="shared" si="98"/>
        <v>0.69409925055521238</v>
      </c>
      <c r="G165" s="890">
        <f t="shared" si="119"/>
        <v>754629422.62</v>
      </c>
      <c r="H165" s="1112">
        <f t="shared" si="101"/>
        <v>-0.53630233407587058</v>
      </c>
      <c r="I165" s="890">
        <f t="shared" si="119"/>
        <v>780161176.79999995</v>
      </c>
      <c r="J165" s="1112">
        <f t="shared" si="102"/>
        <v>3.3833499482906697E-2</v>
      </c>
      <c r="K165" s="890">
        <f t="shared" si="119"/>
        <v>8955844257.0100002</v>
      </c>
      <c r="L165" s="1112">
        <f t="shared" si="103"/>
        <v>10.479479527223253</v>
      </c>
      <c r="M165" s="1089">
        <f>+M166+M198</f>
        <v>8918473402.6200008</v>
      </c>
      <c r="N165" s="1112">
        <f t="shared" si="99"/>
        <v>-4.1727896686845727E-3</v>
      </c>
      <c r="O165" s="1089">
        <f>+O166+O198</f>
        <v>9205255236.9699993</v>
      </c>
      <c r="P165" s="1112">
        <f t="shared" ref="P165:P167" si="120">+(O165-M165)/M165</f>
        <v>3.2155933129289806E-2</v>
      </c>
      <c r="Q165" s="1089"/>
      <c r="R165" s="1089"/>
      <c r="S165" s="1089"/>
      <c r="T165" s="1088">
        <f>+T166+T198</f>
        <v>8990548688.5</v>
      </c>
      <c r="U165" s="1088">
        <f t="shared" si="104"/>
        <v>8990548688.5</v>
      </c>
      <c r="V165" s="1111">
        <f t="shared" si="107"/>
        <v>-2.3324344946753707E-2</v>
      </c>
      <c r="W165" s="1111">
        <f t="shared" si="105"/>
        <v>1.5529328379505086E-3</v>
      </c>
      <c r="X165" s="1089">
        <f>+X166+X198</f>
        <v>0</v>
      </c>
    </row>
    <row r="166" spans="1:25" s="54" customFormat="1" x14ac:dyDescent="0.25">
      <c r="A166" s="750" t="s">
        <v>1163</v>
      </c>
      <c r="B166" s="890">
        <f t="shared" ref="B166:I166" si="121">+B167+B168</f>
        <v>708585739.50999999</v>
      </c>
      <c r="C166" s="890">
        <f t="shared" si="121"/>
        <v>761666920.5</v>
      </c>
      <c r="D166" s="1112">
        <f t="shared" si="117"/>
        <v>7.4911444064209673E-2</v>
      </c>
      <c r="E166" s="890">
        <f t="shared" si="121"/>
        <v>1431994847.9699998</v>
      </c>
      <c r="F166" s="1112">
        <f t="shared" si="98"/>
        <v>0.88008013664287765</v>
      </c>
      <c r="G166" s="890">
        <f t="shared" si="121"/>
        <v>599536601.62</v>
      </c>
      <c r="H166" s="1112">
        <f t="shared" si="101"/>
        <v>-0.58132768251931566</v>
      </c>
      <c r="I166" s="890">
        <f t="shared" si="121"/>
        <v>558757624.79999995</v>
      </c>
      <c r="J166" s="1112">
        <f t="shared" si="102"/>
        <v>-6.8017493360391534E-2</v>
      </c>
      <c r="K166" s="890">
        <f>+K167+K168</f>
        <v>8955844257.0100002</v>
      </c>
      <c r="L166" s="1112">
        <f t="shared" si="103"/>
        <v>15.028137889331941</v>
      </c>
      <c r="M166" s="1089">
        <f>+M167+M168</f>
        <v>8918473402.6200008</v>
      </c>
      <c r="N166" s="1112">
        <f t="shared" si="99"/>
        <v>-4.1727896686845727E-3</v>
      </c>
      <c r="O166" s="1089">
        <f>+O167+O168</f>
        <v>9205255236.9699993</v>
      </c>
      <c r="P166" s="1112">
        <f t="shared" si="120"/>
        <v>3.2155933129289806E-2</v>
      </c>
      <c r="Q166" s="1089"/>
      <c r="R166" s="1089"/>
      <c r="S166" s="1089"/>
      <c r="T166" s="1088">
        <f>+T167+T168</f>
        <v>8990548688.5</v>
      </c>
      <c r="U166" s="1088">
        <f t="shared" si="104"/>
        <v>8990548688.5</v>
      </c>
      <c r="V166" s="1111">
        <f t="shared" si="107"/>
        <v>-2.3324344946753707E-2</v>
      </c>
      <c r="W166" s="1111">
        <f t="shared" si="105"/>
        <v>1.5529328379505086E-3</v>
      </c>
      <c r="X166" s="1089">
        <f>+X167+X168</f>
        <v>0</v>
      </c>
    </row>
    <row r="167" spans="1:25" s="54" customFormat="1" x14ac:dyDescent="0.25">
      <c r="A167" s="752" t="s">
        <v>1164</v>
      </c>
      <c r="B167" s="1119">
        <v>391674231.25</v>
      </c>
      <c r="C167" s="1119">
        <v>463287974.17000002</v>
      </c>
      <c r="D167" s="1120">
        <f t="shared" si="117"/>
        <v>0.18284006760273694</v>
      </c>
      <c r="E167" s="1119">
        <v>817422371.61000001</v>
      </c>
      <c r="F167" s="1120">
        <f t="shared" si="98"/>
        <v>0.76439367560629379</v>
      </c>
      <c r="G167" s="1119">
        <v>388313126.95999998</v>
      </c>
      <c r="H167" s="1120">
        <f t="shared" si="101"/>
        <v>-0.5249541235393691</v>
      </c>
      <c r="I167" s="1119">
        <v>385612146.57999998</v>
      </c>
      <c r="J167" s="1120">
        <f t="shared" si="102"/>
        <v>-6.9556762119922424E-3</v>
      </c>
      <c r="K167" s="1119">
        <v>254989335.63999999</v>
      </c>
      <c r="L167" s="1120">
        <f t="shared" si="103"/>
        <v>-0.33874143254691458</v>
      </c>
      <c r="M167" s="1094">
        <v>305194983</v>
      </c>
      <c r="N167" s="1120">
        <f t="shared" si="99"/>
        <v>0.19689312587912125</v>
      </c>
      <c r="O167" s="1094">
        <f>+'Ingresos 2022'!AE178</f>
        <v>583326652.23000002</v>
      </c>
      <c r="P167" s="1120">
        <f t="shared" si="120"/>
        <v>0.91132451292621686</v>
      </c>
      <c r="Q167" s="1094">
        <f>+'Ingresos 2023'!I175</f>
        <v>412620217</v>
      </c>
      <c r="R167" s="1094">
        <f>+'Ingresos 2023'!J175</f>
        <v>1912620217</v>
      </c>
      <c r="S167" s="1094">
        <f>+'Ingresos 2023'!K175</f>
        <v>1210595693.8</v>
      </c>
      <c r="T167" s="1088">
        <f>+'Recaudo Julio Dic 2022'!E108</f>
        <v>451364701.05000001</v>
      </c>
      <c r="U167" s="1088">
        <f t="shared" si="104"/>
        <v>1661960394.8499999</v>
      </c>
      <c r="V167" s="1111">
        <f t="shared" si="107"/>
        <v>1.8491075943409923</v>
      </c>
      <c r="W167" s="1111">
        <f t="shared" si="105"/>
        <v>0.98577507771544337</v>
      </c>
      <c r="X167" s="1094"/>
    </row>
    <row r="168" spans="1:25" s="54" customFormat="1" x14ac:dyDescent="0.25">
      <c r="A168" s="750" t="s">
        <v>1165</v>
      </c>
      <c r="B168" s="890">
        <v>316911508.25999999</v>
      </c>
      <c r="C168" s="890">
        <f>SUM(C170:C194)</f>
        <v>298378946.33000004</v>
      </c>
      <c r="D168" s="1112">
        <f t="shared" si="117"/>
        <v>-5.8478665012049659E-2</v>
      </c>
      <c r="E168" s="890">
        <f>SUM(E170:E194)</f>
        <v>614572476.3599999</v>
      </c>
      <c r="F168" s="1112">
        <f t="shared" si="98"/>
        <v>1.0597045599869412</v>
      </c>
      <c r="G168" s="890">
        <f>SUM(G170:G194)</f>
        <v>211223474.66</v>
      </c>
      <c r="H168" s="1112">
        <f t="shared" si="101"/>
        <v>-0.65630827480098375</v>
      </c>
      <c r="I168" s="890">
        <f>SUM(I170:I194)</f>
        <v>173145478.22</v>
      </c>
      <c r="J168" s="1112">
        <f t="shared" si="102"/>
        <v>-0.18027350653753324</v>
      </c>
      <c r="K168" s="890">
        <f>SUM(K170:K188)+K196</f>
        <v>8700854921.3700008</v>
      </c>
      <c r="L168" s="1112">
        <f t="shared" si="103"/>
        <v>49.251701695118058</v>
      </c>
      <c r="M168" s="1089">
        <f>SUM(M170:M188)+M196</f>
        <v>8613278419.6200008</v>
      </c>
      <c r="N168" s="890" t="e">
        <f t="shared" ref="N168" si="122">SUM(N170:N188)+N196</f>
        <v>#DIV/0!</v>
      </c>
      <c r="O168" s="1089">
        <f>SUM(O170:O188)+O196</f>
        <v>8621928584.7399998</v>
      </c>
      <c r="P168" s="890">
        <f t="shared" ref="P168" si="123">SUM(P170:P188)+P196</f>
        <v>46.800196088799758</v>
      </c>
      <c r="Q168" s="1089">
        <f>SUM(Q170:Q188)+Q196</f>
        <v>8037395727</v>
      </c>
      <c r="R168" s="1089">
        <f t="shared" ref="R168:S168" si="124">SUM(R170:R188)+R196</f>
        <v>8037395727</v>
      </c>
      <c r="S168" s="1089">
        <f t="shared" si="124"/>
        <v>719600975.21000004</v>
      </c>
      <c r="T168" s="1088">
        <f>SUM(T170:T188)+T196</f>
        <v>8539183987.4499998</v>
      </c>
      <c r="U168" s="1088">
        <f t="shared" si="104"/>
        <v>9258784962.6599998</v>
      </c>
      <c r="V168" s="1111">
        <f t="shared" si="107"/>
        <v>7.3864724308570107E-2</v>
      </c>
      <c r="W168" s="1111"/>
      <c r="X168" s="1089">
        <f>SUM(X170:X188)+X196</f>
        <v>0</v>
      </c>
    </row>
    <row r="169" spans="1:25" s="54" customFormat="1" x14ac:dyDescent="0.25">
      <c r="A169" s="750" t="s">
        <v>1166</v>
      </c>
      <c r="B169" s="887"/>
      <c r="C169" s="887"/>
      <c r="D169" s="1109"/>
      <c r="E169" s="887"/>
      <c r="F169" s="1109"/>
      <c r="G169" s="887"/>
      <c r="H169" s="1109"/>
      <c r="I169" s="887"/>
      <c r="J169" s="1109"/>
      <c r="K169" s="887"/>
      <c r="L169" s="1109"/>
      <c r="M169" s="1086"/>
      <c r="N169" s="887"/>
      <c r="O169" s="1086"/>
      <c r="P169" s="887"/>
      <c r="Q169" s="1088">
        <f>+Q170+Q171+Q172+Q173+Q174+Q175+Q176+Q177+Q178+Q179+Q180+Q181+Q182+Q183+Q184+Q185+Q186+Q187+Q188</f>
        <v>47802394</v>
      </c>
      <c r="R169" s="1088">
        <f t="shared" ref="R169:S169" si="125">+R170+R171+R172+R173+R174+R175+R176+R177+R178+R179+R180+R181+R182+R183+R184+R185+R186+R187+R188</f>
        <v>47802394</v>
      </c>
      <c r="S169" s="1088">
        <f t="shared" si="125"/>
        <v>698275575.21000004</v>
      </c>
      <c r="T169" s="1088"/>
      <c r="U169" s="1088">
        <f t="shared" si="104"/>
        <v>698275575.21000004</v>
      </c>
      <c r="V169" s="1111"/>
      <c r="W169" s="1111">
        <f t="shared" si="105"/>
        <v>0</v>
      </c>
      <c r="X169" s="1086"/>
    </row>
    <row r="170" spans="1:25" s="54" customFormat="1" x14ac:dyDescent="0.25">
      <c r="A170" s="752" t="s">
        <v>1050</v>
      </c>
      <c r="B170" s="887">
        <v>0</v>
      </c>
      <c r="C170" s="887">
        <v>93819087.760000005</v>
      </c>
      <c r="D170" s="1109"/>
      <c r="E170" s="887">
        <v>69195431.610500008</v>
      </c>
      <c r="F170" s="1109">
        <f t="shared" si="98"/>
        <v>-0.26245891680902012</v>
      </c>
      <c r="G170" s="887">
        <v>12808894.51</v>
      </c>
      <c r="H170" s="1109">
        <f t="shared" si="101"/>
        <v>-0.8148881477884109</v>
      </c>
      <c r="I170" s="887">
        <v>15150697.939999999</v>
      </c>
      <c r="J170" s="1109">
        <f t="shared" si="102"/>
        <v>0.1828263499376731</v>
      </c>
      <c r="K170" s="887">
        <v>8564550.9399999995</v>
      </c>
      <c r="L170" s="1109">
        <f t="shared" si="103"/>
        <v>-0.43470914845524272</v>
      </c>
      <c r="M170" s="1088">
        <v>18961910.350000001</v>
      </c>
      <c r="N170" s="1109">
        <f t="shared" si="99"/>
        <v>1.2139993658558359</v>
      </c>
      <c r="O170" s="1088">
        <f>+'Ingresos 2022'!AE166</f>
        <v>69803152.939999998</v>
      </c>
      <c r="P170" s="1109">
        <f t="shared" ref="P170:P181" si="126">+(O170-M170)/M170</f>
        <v>2.6812299842984961</v>
      </c>
      <c r="Q170" s="1088">
        <f>+'Ingresos 2023'!I163</f>
        <v>1664967</v>
      </c>
      <c r="R170" s="1088">
        <f>+'Ingresos 2023'!J163</f>
        <v>1664967</v>
      </c>
      <c r="S170" s="1088">
        <f>+'Ingresos 2023'!K163</f>
        <v>106398191.16</v>
      </c>
      <c r="T170" s="1088">
        <f>++'Recaudo Julio Dic 2022'!E96</f>
        <v>53314638.090000004</v>
      </c>
      <c r="U170" s="1088">
        <f t="shared" si="104"/>
        <v>159712829.25</v>
      </c>
      <c r="V170" s="1111">
        <f t="shared" si="107"/>
        <v>1.2880460627227364</v>
      </c>
      <c r="W170" s="1111">
        <f t="shared" si="105"/>
        <v>1.7277584709590228</v>
      </c>
      <c r="X170" s="1088"/>
    </row>
    <row r="171" spans="1:25" s="54" customFormat="1" x14ac:dyDescent="0.25">
      <c r="A171" s="752" t="s">
        <v>1167</v>
      </c>
      <c r="B171" s="887">
        <v>0</v>
      </c>
      <c r="C171" s="887">
        <v>0</v>
      </c>
      <c r="D171" s="1109"/>
      <c r="E171" s="887">
        <v>21290902.034000002</v>
      </c>
      <c r="F171" s="1109"/>
      <c r="G171" s="887">
        <v>3941198.31</v>
      </c>
      <c r="H171" s="1109">
        <f t="shared" si="101"/>
        <v>-0.81488814782454044</v>
      </c>
      <c r="I171" s="887">
        <v>4661753.17</v>
      </c>
      <c r="J171" s="1109">
        <f t="shared" si="102"/>
        <v>0.1828263394338053</v>
      </c>
      <c r="K171" s="887">
        <v>2635246.46</v>
      </c>
      <c r="L171" s="1109">
        <f t="shared" si="103"/>
        <v>-0.43470913969475566</v>
      </c>
      <c r="M171" s="1088">
        <v>6320426.5999999996</v>
      </c>
      <c r="N171" s="1109">
        <f t="shared" si="99"/>
        <v>1.3984195390969236</v>
      </c>
      <c r="O171" s="1088">
        <f>+'Ingresos 2022'!AE167</f>
        <v>27921261.129999999</v>
      </c>
      <c r="P171" s="1109">
        <f t="shared" si="126"/>
        <v>3.4176228753293332</v>
      </c>
      <c r="Q171" s="1088">
        <f>+'Ingresos 2023'!I164</f>
        <v>481528</v>
      </c>
      <c r="R171" s="1088">
        <f>+'Ingresos 2023'!J164</f>
        <v>481528</v>
      </c>
      <c r="S171" s="1088">
        <f>+'Ingresos 2023'!K164</f>
        <v>42559276.439999998</v>
      </c>
      <c r="T171" s="1088">
        <f>++'Recaudo Julio Dic 2022'!E97</f>
        <v>21325855.219999999</v>
      </c>
      <c r="U171" s="1088">
        <f t="shared" si="104"/>
        <v>63885131.659999996</v>
      </c>
      <c r="V171" s="1111">
        <f t="shared" si="107"/>
        <v>1.2880460650596695</v>
      </c>
      <c r="W171" s="1111">
        <f t="shared" si="105"/>
        <v>2.0346961598286417</v>
      </c>
      <c r="X171" s="1088"/>
    </row>
    <row r="172" spans="1:25" s="54" customFormat="1" ht="25.5" x14ac:dyDescent="0.25">
      <c r="A172" s="752" t="s">
        <v>1168</v>
      </c>
      <c r="B172" s="887">
        <v>0</v>
      </c>
      <c r="C172" s="887">
        <v>0</v>
      </c>
      <c r="D172" s="1109"/>
      <c r="E172" s="887">
        <v>15968176.5255</v>
      </c>
      <c r="F172" s="1109"/>
      <c r="G172" s="887">
        <v>2955898.71</v>
      </c>
      <c r="H172" s="1109">
        <f t="shared" si="101"/>
        <v>-0.81488814923359287</v>
      </c>
      <c r="I172" s="887">
        <v>3496314.8799999999</v>
      </c>
      <c r="J172" s="1109">
        <f t="shared" si="102"/>
        <v>0.18282634928312544</v>
      </c>
      <c r="K172" s="887">
        <v>1976434.84</v>
      </c>
      <c r="L172" s="1109">
        <f t="shared" si="103"/>
        <v>-0.4347091415290375</v>
      </c>
      <c r="M172" s="1088">
        <v>6319796.04</v>
      </c>
      <c r="N172" s="1109">
        <f t="shared" si="99"/>
        <v>2.1975736877821888</v>
      </c>
      <c r="O172" s="1088"/>
      <c r="P172" s="1109">
        <f t="shared" si="126"/>
        <v>-1</v>
      </c>
      <c r="Q172" s="1088"/>
      <c r="R172" s="1088"/>
      <c r="S172" s="1088"/>
      <c r="T172" s="1088"/>
      <c r="U172" s="1088">
        <f t="shared" si="104"/>
        <v>0</v>
      </c>
      <c r="V172" s="1111"/>
      <c r="W172" s="1111">
        <f t="shared" si="105"/>
        <v>0.39919122926072959</v>
      </c>
      <c r="X172" s="1088"/>
    </row>
    <row r="173" spans="1:25" s="54" customFormat="1" x14ac:dyDescent="0.25">
      <c r="A173" s="752" t="s">
        <v>1054</v>
      </c>
      <c r="B173" s="887">
        <v>0</v>
      </c>
      <c r="C173" s="887">
        <v>5351954.2820000006</v>
      </c>
      <c r="D173" s="1109"/>
      <c r="E173" s="887">
        <v>10789578.84</v>
      </c>
      <c r="F173" s="1109">
        <f t="shared" si="98"/>
        <v>1.0160072884568783</v>
      </c>
      <c r="G173" s="887">
        <v>3779495.92</v>
      </c>
      <c r="H173" s="1109">
        <f t="shared" si="101"/>
        <v>-0.64970867018568446</v>
      </c>
      <c r="I173" s="887">
        <v>3976503.65</v>
      </c>
      <c r="J173" s="1109">
        <f t="shared" si="102"/>
        <v>5.2125398246229616E-2</v>
      </c>
      <c r="K173" s="887">
        <v>866603.49</v>
      </c>
      <c r="L173" s="1109">
        <f t="shared" si="103"/>
        <v>-0.78206898162912541</v>
      </c>
      <c r="M173" s="1088">
        <v>1723833.62</v>
      </c>
      <c r="N173" s="1109">
        <f t="shared" si="99"/>
        <v>0.98918379615572527</v>
      </c>
      <c r="O173" s="1088">
        <f>+'Ingresos 2022'!AE168</f>
        <v>4007801.64</v>
      </c>
      <c r="P173" s="1109">
        <f t="shared" si="126"/>
        <v>1.3249353032109907</v>
      </c>
      <c r="Q173" s="1088">
        <f>+'Ingresos 2023'!I165</f>
        <v>316121</v>
      </c>
      <c r="R173" s="1088">
        <f>+'Ingresos 2023'!J165</f>
        <v>316121</v>
      </c>
      <c r="S173" s="1088">
        <f>+'Ingresos 2023'!K165</f>
        <v>4769097.75</v>
      </c>
      <c r="T173" s="1088">
        <f>+'Recaudo Julio Dic 2022'!E98</f>
        <v>3076381.8200000003</v>
      </c>
      <c r="U173" s="1088">
        <f t="shared" si="104"/>
        <v>7845479.5700000003</v>
      </c>
      <c r="V173" s="1111">
        <f t="shared" si="107"/>
        <v>0.95755186376938561</v>
      </c>
      <c r="W173" s="1111">
        <f t="shared" si="105"/>
        <v>1.090556987712034</v>
      </c>
      <c r="X173" s="1088"/>
      <c r="Y173" s="654"/>
    </row>
    <row r="174" spans="1:25" s="54" customFormat="1" x14ac:dyDescent="0.25">
      <c r="A174" s="752" t="s">
        <v>1055</v>
      </c>
      <c r="B174" s="887">
        <v>0</v>
      </c>
      <c r="C174" s="887">
        <v>2675977.1410000003</v>
      </c>
      <c r="D174" s="1109"/>
      <c r="E174" s="887">
        <v>5394789.4199999999</v>
      </c>
      <c r="F174" s="1109">
        <f t="shared" si="98"/>
        <v>1.0160072884568783</v>
      </c>
      <c r="G174" s="887">
        <v>1889748</v>
      </c>
      <c r="H174" s="1109">
        <f t="shared" si="101"/>
        <v>-0.6497086627711226</v>
      </c>
      <c r="I174" s="887">
        <v>1988251.74</v>
      </c>
      <c r="J174" s="1109">
        <f t="shared" si="102"/>
        <v>5.2125330996513813E-2</v>
      </c>
      <c r="K174" s="887">
        <v>433301.69</v>
      </c>
      <c r="L174" s="1109">
        <f t="shared" si="103"/>
        <v>-0.78206899997482215</v>
      </c>
      <c r="M174" s="1088">
        <v>861916.82</v>
      </c>
      <c r="N174" s="1109">
        <f t="shared" si="99"/>
        <v>0.98918407172609912</v>
      </c>
      <c r="O174" s="1088">
        <f>+'Ingresos 2022'!AE169</f>
        <v>2003900.82</v>
      </c>
      <c r="P174" s="1109">
        <f t="shared" si="126"/>
        <v>1.3249352762369808</v>
      </c>
      <c r="Q174" s="1088">
        <f>+'Ingresos 2023'!I166</f>
        <v>158060</v>
      </c>
      <c r="R174" s="1088">
        <f>+'Ingresos 2023'!J166</f>
        <v>158060</v>
      </c>
      <c r="S174" s="1088">
        <f>+'Ingresos 2023'!K166</f>
        <v>2384548.91</v>
      </c>
      <c r="T174" s="1088">
        <f>+'Recaudo Julio Dic 2022'!E99</f>
        <v>1538190.9300000002</v>
      </c>
      <c r="U174" s="1088">
        <f t="shared" si="104"/>
        <v>3922739.8400000003</v>
      </c>
      <c r="V174" s="1111">
        <f t="shared" si="107"/>
        <v>0.95755189121585382</v>
      </c>
      <c r="W174" s="1111">
        <f t="shared" si="105"/>
        <v>1.0905570797263111</v>
      </c>
      <c r="X174" s="1088"/>
    </row>
    <row r="175" spans="1:25" s="54" customFormat="1" x14ac:dyDescent="0.25">
      <c r="A175" s="752" t="s">
        <v>1056</v>
      </c>
      <c r="B175" s="887">
        <v>0</v>
      </c>
      <c r="C175" s="887">
        <v>2675977.1410000003</v>
      </c>
      <c r="D175" s="1109"/>
      <c r="E175" s="887">
        <v>5394789.4199999999</v>
      </c>
      <c r="F175" s="1109">
        <f t="shared" si="98"/>
        <v>1.0160072884568783</v>
      </c>
      <c r="G175" s="887">
        <v>1889748</v>
      </c>
      <c r="H175" s="1109">
        <f t="shared" si="101"/>
        <v>-0.6497086627711226</v>
      </c>
      <c r="I175" s="887">
        <v>1988251.74</v>
      </c>
      <c r="J175" s="1109">
        <f t="shared" si="102"/>
        <v>5.2125330996513813E-2</v>
      </c>
      <c r="K175" s="887">
        <v>433301.69</v>
      </c>
      <c r="L175" s="1109">
        <f t="shared" si="103"/>
        <v>-0.78206899997482215</v>
      </c>
      <c r="M175" s="1088">
        <v>861916.82</v>
      </c>
      <c r="N175" s="1109">
        <f t="shared" si="99"/>
        <v>0.98918407172609912</v>
      </c>
      <c r="O175" s="1088">
        <f>+'Ingresos 2022'!AE170</f>
        <v>2003900.82</v>
      </c>
      <c r="P175" s="1109">
        <f t="shared" si="126"/>
        <v>1.3249352762369808</v>
      </c>
      <c r="Q175" s="1088">
        <f>+'Ingresos 2023'!I167</f>
        <v>158060</v>
      </c>
      <c r="R175" s="1088">
        <f>+'Ingresos 2023'!J167</f>
        <v>158060</v>
      </c>
      <c r="S175" s="1088">
        <f>+'Ingresos 2023'!K167</f>
        <v>2384548.91</v>
      </c>
      <c r="T175" s="1088">
        <f>+'Recaudo Julio Dic 2022'!E100</f>
        <v>1538190.9300000002</v>
      </c>
      <c r="U175" s="1088">
        <f t="shared" si="104"/>
        <v>3922739.8400000003</v>
      </c>
      <c r="V175" s="1111">
        <f t="shared" si="107"/>
        <v>0.95755189121585382</v>
      </c>
      <c r="W175" s="1111">
        <f t="shared" si="105"/>
        <v>1.0905570797263111</v>
      </c>
      <c r="X175" s="1088"/>
    </row>
    <row r="176" spans="1:25" s="54" customFormat="1" x14ac:dyDescent="0.25">
      <c r="A176" s="752" t="s">
        <v>1057</v>
      </c>
      <c r="B176" s="887">
        <v>0</v>
      </c>
      <c r="C176" s="887">
        <v>13379885.705</v>
      </c>
      <c r="D176" s="1109"/>
      <c r="E176" s="887">
        <v>26973947.010000002</v>
      </c>
      <c r="F176" s="1109">
        <f t="shared" si="98"/>
        <v>1.0160072817303638</v>
      </c>
      <c r="G176" s="887">
        <v>9448739.9900000002</v>
      </c>
      <c r="H176" s="1109">
        <f t="shared" si="101"/>
        <v>-0.64970866197308519</v>
      </c>
      <c r="I176" s="887">
        <v>9941258.9499999993</v>
      </c>
      <c r="J176" s="1109">
        <f t="shared" si="102"/>
        <v>5.2125358568576613E-2</v>
      </c>
      <c r="K176" s="887">
        <v>2166508.64</v>
      </c>
      <c r="L176" s="1109">
        <f t="shared" si="103"/>
        <v>-0.78206898634302235</v>
      </c>
      <c r="M176" s="1088">
        <v>4309584.01</v>
      </c>
      <c r="N176" s="1109">
        <f t="shared" si="99"/>
        <v>0.98918385573574241</v>
      </c>
      <c r="O176" s="1088">
        <f>+'Ingresos 2022'!AE171</f>
        <v>9231216.7200000007</v>
      </c>
      <c r="P176" s="1109">
        <f t="shared" si="126"/>
        <v>1.1420203663694217</v>
      </c>
      <c r="Q176" s="1088">
        <f>+'Ingresos 2023'!I168</f>
        <v>790301</v>
      </c>
      <c r="R176" s="1088">
        <f>+'Ingresos 2023'!J168</f>
        <v>790301</v>
      </c>
      <c r="S176" s="1088">
        <f>+'Ingresos 2023'!K168</f>
        <v>11922744.5</v>
      </c>
      <c r="T176" s="1088">
        <f>+'Recaudo Julio Dic 2022'!E101</f>
        <v>6902667.2299999995</v>
      </c>
      <c r="U176" s="1088">
        <f t="shared" si="104"/>
        <v>18825411.73</v>
      </c>
      <c r="V176" s="1111">
        <f t="shared" si="107"/>
        <v>1.0393207418924078</v>
      </c>
      <c r="W176" s="1111">
        <f t="shared" si="105"/>
        <v>1.0568416546658572</v>
      </c>
      <c r="X176" s="1088"/>
    </row>
    <row r="177" spans="1:24" s="54" customFormat="1" x14ac:dyDescent="0.25">
      <c r="A177" s="752" t="s">
        <v>1058</v>
      </c>
      <c r="B177" s="887">
        <v>0</v>
      </c>
      <c r="C177" s="887">
        <v>2675977.1410000003</v>
      </c>
      <c r="D177" s="1109"/>
      <c r="E177" s="887">
        <v>5394789.4199999999</v>
      </c>
      <c r="F177" s="1109">
        <f t="shared" si="98"/>
        <v>1.0160072884568783</v>
      </c>
      <c r="G177" s="887">
        <v>1889748</v>
      </c>
      <c r="H177" s="1109">
        <f t="shared" si="101"/>
        <v>-0.6497086627711226</v>
      </c>
      <c r="I177" s="887">
        <v>1988251.74</v>
      </c>
      <c r="J177" s="1109">
        <f t="shared" si="102"/>
        <v>5.2125330996513813E-2</v>
      </c>
      <c r="K177" s="887">
        <v>433301.69</v>
      </c>
      <c r="L177" s="1109">
        <f t="shared" si="103"/>
        <v>-0.78206899997482215</v>
      </c>
      <c r="M177" s="1088">
        <v>861916.82</v>
      </c>
      <c r="N177" s="1109">
        <f t="shared" si="99"/>
        <v>0.98918407172609912</v>
      </c>
      <c r="O177" s="1088">
        <f>+'Ingresos 2022'!AE172</f>
        <v>2792188.18</v>
      </c>
      <c r="P177" s="1109">
        <f t="shared" si="126"/>
        <v>2.2395100260370837</v>
      </c>
      <c r="Q177" s="1088">
        <f>+'Ingresos 2023'!I169</f>
        <v>158060</v>
      </c>
      <c r="R177" s="1088">
        <f>+'Ingresos 2023'!J169</f>
        <v>158060</v>
      </c>
      <c r="S177" s="1088">
        <f>+'Ingresos 2023'!K169</f>
        <v>2384548.7999999998</v>
      </c>
      <c r="T177" s="1088">
        <f>+'Recaudo Julio Dic 2022'!E102</f>
        <v>2326478.29</v>
      </c>
      <c r="U177" s="1088">
        <f t="shared" si="104"/>
        <v>4711027.09</v>
      </c>
      <c r="V177" s="1111">
        <f t="shared" si="107"/>
        <v>0.68721690169177618</v>
      </c>
      <c r="W177" s="1111">
        <f t="shared" si="105"/>
        <v>1.3053036664849864</v>
      </c>
      <c r="X177" s="1088"/>
    </row>
    <row r="178" spans="1:24" s="54" customFormat="1" x14ac:dyDescent="0.25">
      <c r="A178" s="752" t="s">
        <v>1060</v>
      </c>
      <c r="B178" s="887">
        <v>0</v>
      </c>
      <c r="C178" s="887">
        <v>38259325.719999999</v>
      </c>
      <c r="D178" s="1109"/>
      <c r="E178" s="887">
        <v>9739380.3760000002</v>
      </c>
      <c r="F178" s="1109">
        <f t="shared" si="98"/>
        <v>-0.7454377411855756</v>
      </c>
      <c r="G178" s="887">
        <v>3334722.42</v>
      </c>
      <c r="H178" s="1109">
        <f t="shared" si="101"/>
        <v>-0.6576042529135121</v>
      </c>
      <c r="I178" s="887">
        <v>2385270.66</v>
      </c>
      <c r="J178" s="1109">
        <f t="shared" si="102"/>
        <v>-0.28471687907385101</v>
      </c>
      <c r="K178" s="887">
        <v>3407490.18</v>
      </c>
      <c r="L178" s="1109">
        <f t="shared" si="103"/>
        <v>0.42855493807985712</v>
      </c>
      <c r="M178" s="1088">
        <v>14259553.98</v>
      </c>
      <c r="N178" s="1109">
        <f t="shared" si="99"/>
        <v>3.1847674466372196</v>
      </c>
      <c r="O178" s="1088">
        <f>+'Ingresos 2022'!AE173</f>
        <v>57150560.700000003</v>
      </c>
      <c r="P178" s="1109">
        <f t="shared" si="126"/>
        <v>3.0078785619913195</v>
      </c>
      <c r="Q178" s="1088">
        <f>+'Ingresos 2023'!I170</f>
        <v>1400016</v>
      </c>
      <c r="R178" s="1088">
        <f>+'Ingresos 2023'!J170</f>
        <v>1400016</v>
      </c>
      <c r="S178" s="1088">
        <f>+'Ingresos 2023'!K170</f>
        <v>54694030.969999999</v>
      </c>
      <c r="T178" s="1088">
        <f>+'Recaudo Julio Dic 2022'!E103</f>
        <v>43410720.629999995</v>
      </c>
      <c r="U178" s="1088">
        <f t="shared" si="104"/>
        <v>98104751.599999994</v>
      </c>
      <c r="V178" s="1111">
        <f t="shared" si="107"/>
        <v>0.71660173405787753</v>
      </c>
      <c r="W178" s="1111">
        <f t="shared" si="105"/>
        <v>2.303082580895472</v>
      </c>
      <c r="X178" s="1088"/>
    </row>
    <row r="179" spans="1:24" s="54" customFormat="1" x14ac:dyDescent="0.25">
      <c r="A179" s="752" t="s">
        <v>1169</v>
      </c>
      <c r="B179" s="887">
        <v>0</v>
      </c>
      <c r="C179" s="887">
        <v>0</v>
      </c>
      <c r="D179" s="1109"/>
      <c r="E179" s="887">
        <v>2434845.094</v>
      </c>
      <c r="F179" s="1109"/>
      <c r="G179" s="887">
        <v>833680.59</v>
      </c>
      <c r="H179" s="1109">
        <f t="shared" si="101"/>
        <v>-0.65760425907406828</v>
      </c>
      <c r="I179" s="887">
        <v>596317.63</v>
      </c>
      <c r="J179" s="1109">
        <f t="shared" si="102"/>
        <v>-0.28471690818662332</v>
      </c>
      <c r="K179" s="887">
        <v>851872.54</v>
      </c>
      <c r="L179" s="1109">
        <f t="shared" si="103"/>
        <v>0.42855501354202796</v>
      </c>
      <c r="M179" s="1088">
        <v>3564888.44</v>
      </c>
      <c r="N179" s="1109">
        <f t="shared" si="99"/>
        <v>3.1847674066357388</v>
      </c>
      <c r="O179" s="1088">
        <f>+'Ingresos 2022'!AE174</f>
        <v>14287640.15</v>
      </c>
      <c r="P179" s="1109">
        <f t="shared" si="126"/>
        <v>3.0078786168130414</v>
      </c>
      <c r="Q179" s="1088">
        <f>+'Ingresos 2023'!I171</f>
        <v>325004</v>
      </c>
      <c r="R179" s="1088">
        <f>+'Ingresos 2023'!J171</f>
        <v>325004</v>
      </c>
      <c r="S179" s="1088">
        <f>+'Ingresos 2023'!K171</f>
        <v>13673507.73</v>
      </c>
      <c r="T179" s="1088">
        <f>+'Recaudo Julio Dic 2022'!E104</f>
        <v>10852680.140000001</v>
      </c>
      <c r="U179" s="1088">
        <f t="shared" si="104"/>
        <v>24526187.870000001</v>
      </c>
      <c r="V179" s="1111">
        <f t="shared" si="107"/>
        <v>0.71660173496180901</v>
      </c>
      <c r="W179" s="1111">
        <f t="shared" si="105"/>
        <v>2.3030825861368629</v>
      </c>
      <c r="X179" s="1088"/>
    </row>
    <row r="180" spans="1:24" s="54" customFormat="1" x14ac:dyDescent="0.25">
      <c r="A180" s="752" t="s">
        <v>1166</v>
      </c>
      <c r="B180" s="887"/>
      <c r="C180" s="887"/>
      <c r="D180" s="1109"/>
      <c r="E180" s="887"/>
      <c r="F180" s="1109"/>
      <c r="G180" s="887"/>
      <c r="H180" s="1109"/>
      <c r="I180" s="887"/>
      <c r="J180" s="1109"/>
      <c r="K180" s="887"/>
      <c r="L180" s="1109"/>
      <c r="M180" s="1088">
        <v>559439006.14999998</v>
      </c>
      <c r="N180" s="1109" t="e">
        <f t="shared" si="99"/>
        <v>#DIV/0!</v>
      </c>
      <c r="O180" s="1088"/>
      <c r="P180" s="1109">
        <f t="shared" si="126"/>
        <v>-1</v>
      </c>
      <c r="Q180" s="1088"/>
      <c r="R180" s="1088"/>
      <c r="S180" s="1088"/>
      <c r="T180" s="1088"/>
      <c r="U180" s="1088">
        <f t="shared" si="104"/>
        <v>0</v>
      </c>
      <c r="V180" s="1111"/>
      <c r="W180" s="1111"/>
      <c r="X180" s="1088"/>
    </row>
    <row r="181" spans="1:24" s="54" customFormat="1" x14ac:dyDescent="0.25">
      <c r="A181" s="752" t="s">
        <v>1170</v>
      </c>
      <c r="B181" s="887">
        <v>0</v>
      </c>
      <c r="C181" s="887">
        <v>100062981.03</v>
      </c>
      <c r="D181" s="1109"/>
      <c r="E181" s="887">
        <v>222303814.28</v>
      </c>
      <c r="F181" s="1109">
        <f t="shared" si="98"/>
        <v>1.221638931717923</v>
      </c>
      <c r="G181" s="887">
        <v>139166344.66999999</v>
      </c>
      <c r="H181" s="1109">
        <f t="shared" si="101"/>
        <v>-0.37398130067748298</v>
      </c>
      <c r="I181" s="887">
        <v>71809525.689999998</v>
      </c>
      <c r="J181" s="1109">
        <f t="shared" si="102"/>
        <v>-0.48400221432646467</v>
      </c>
      <c r="K181" s="887">
        <v>9183334.4499999993</v>
      </c>
      <c r="L181" s="1109">
        <f t="shared" si="103"/>
        <v>-0.8721153724139018</v>
      </c>
      <c r="M181" s="1088">
        <v>29657891.350000001</v>
      </c>
      <c r="N181" s="1109">
        <f t="shared" si="99"/>
        <v>2.2295340555738994</v>
      </c>
      <c r="O181" s="1088">
        <f>+'Ingresos 2022'!AE176</f>
        <v>115442163.69</v>
      </c>
      <c r="P181" s="1109">
        <f t="shared" si="126"/>
        <v>2.8924602672401387</v>
      </c>
      <c r="Q181" s="1088">
        <f>+'Ingresos 2023'!I173</f>
        <v>2314305</v>
      </c>
      <c r="R181" s="1088">
        <f>+'Ingresos 2023'!J173</f>
        <v>2314305</v>
      </c>
      <c r="S181" s="1088">
        <f>+'Ingresos 2023'!K173</f>
        <v>126588081.90000001</v>
      </c>
      <c r="T181" s="1088">
        <f>+'Recaudo Julio Dic 2022'!E106</f>
        <v>85082810.650000006</v>
      </c>
      <c r="U181" s="1088">
        <f t="shared" si="104"/>
        <v>211670892.55000001</v>
      </c>
      <c r="V181" s="1111">
        <f t="shared" si="107"/>
        <v>0.83356657380751853</v>
      </c>
      <c r="W181" s="1111">
        <f t="shared" si="105"/>
        <v>1.985186965540519</v>
      </c>
      <c r="X181" s="1088"/>
    </row>
    <row r="182" spans="1:24" s="54" customFormat="1" x14ac:dyDescent="0.25">
      <c r="A182" s="752" t="s">
        <v>1171</v>
      </c>
      <c r="B182" s="887">
        <v>0</v>
      </c>
      <c r="C182" s="887">
        <v>648763.80000000005</v>
      </c>
      <c r="D182" s="1109"/>
      <c r="E182" s="887">
        <v>911017.83</v>
      </c>
      <c r="F182" s="1109">
        <f t="shared" si="98"/>
        <v>0.40423653415927319</v>
      </c>
      <c r="G182" s="887">
        <v>616829.43000000005</v>
      </c>
      <c r="H182" s="1109">
        <f t="shared" si="101"/>
        <v>-0.3229227687014643</v>
      </c>
      <c r="I182" s="887">
        <v>513341.79</v>
      </c>
      <c r="J182" s="1109">
        <f t="shared" si="102"/>
        <v>-0.16777351236305321</v>
      </c>
      <c r="K182" s="887">
        <v>1104368.04</v>
      </c>
      <c r="L182" s="1109">
        <f t="shared" si="103"/>
        <v>1.1513308706076706</v>
      </c>
      <c r="M182" s="1088"/>
      <c r="N182" s="1109"/>
      <c r="O182" s="1088"/>
      <c r="P182" s="1109"/>
      <c r="Q182" s="1088"/>
      <c r="R182" s="1088"/>
      <c r="S182" s="1088"/>
      <c r="T182" s="1088">
        <f>+'Recaudo Julio Dic 2022'!E110</f>
        <v>1375262.58</v>
      </c>
      <c r="U182" s="1088">
        <f t="shared" si="104"/>
        <v>1375262.58</v>
      </c>
      <c r="V182" s="1111"/>
      <c r="W182" s="1111">
        <f t="shared" si="105"/>
        <v>0</v>
      </c>
      <c r="X182" s="1088"/>
    </row>
    <row r="183" spans="1:24" s="654" customFormat="1" x14ac:dyDescent="0.25">
      <c r="A183" s="752" t="s">
        <v>1172</v>
      </c>
      <c r="B183" s="887">
        <v>0</v>
      </c>
      <c r="C183" s="887">
        <v>5201062.96</v>
      </c>
      <c r="D183" s="1109"/>
      <c r="E183" s="887">
        <v>12693804.279999999</v>
      </c>
      <c r="F183" s="1109">
        <f t="shared" si="98"/>
        <v>1.4406173079666007</v>
      </c>
      <c r="G183" s="887">
        <v>0</v>
      </c>
      <c r="H183" s="1109">
        <f t="shared" si="101"/>
        <v>-1</v>
      </c>
      <c r="I183" s="887">
        <v>2375500.21</v>
      </c>
      <c r="J183" s="1109"/>
      <c r="K183" s="887">
        <v>0</v>
      </c>
      <c r="L183" s="1109">
        <f t="shared" si="103"/>
        <v>-1</v>
      </c>
      <c r="M183" s="1088"/>
      <c r="N183" s="1109"/>
      <c r="O183" s="1088"/>
      <c r="P183" s="1109"/>
      <c r="Q183" s="1088"/>
      <c r="R183" s="1088"/>
      <c r="S183" s="1088"/>
      <c r="T183" s="1088"/>
      <c r="U183" s="1088">
        <f t="shared" si="104"/>
        <v>0</v>
      </c>
      <c r="V183" s="1111"/>
      <c r="W183" s="1111">
        <f t="shared" si="105"/>
        <v>0</v>
      </c>
      <c r="X183" s="1088"/>
    </row>
    <row r="184" spans="1:24" s="54" customFormat="1" x14ac:dyDescent="0.25">
      <c r="A184" s="752" t="s">
        <v>1173</v>
      </c>
      <c r="B184" s="887">
        <v>0</v>
      </c>
      <c r="C184" s="887">
        <v>4233144.68</v>
      </c>
      <c r="D184" s="1109"/>
      <c r="E184" s="887">
        <v>4139524.78</v>
      </c>
      <c r="F184" s="1109">
        <f t="shared" si="98"/>
        <v>-2.2115922576971765E-2</v>
      </c>
      <c r="G184" s="887">
        <v>5187876.97</v>
      </c>
      <c r="H184" s="1109">
        <f t="shared" si="101"/>
        <v>0.25325423707211148</v>
      </c>
      <c r="I184" s="887">
        <v>1672883.23</v>
      </c>
      <c r="J184" s="1109">
        <f t="shared" si="102"/>
        <v>-0.67753991860759177</v>
      </c>
      <c r="K184" s="887">
        <v>4976678.5599999996</v>
      </c>
      <c r="L184" s="1109">
        <f t="shared" si="103"/>
        <v>1.974910902777117</v>
      </c>
      <c r="M184" s="1088">
        <v>638010.12</v>
      </c>
      <c r="N184" s="1109">
        <f t="shared" si="99"/>
        <v>-0.87180001434531063</v>
      </c>
      <c r="O184" s="1088">
        <f>+'Ingresos 2022'!AE177</f>
        <v>18387856.039999999</v>
      </c>
      <c r="P184" s="1109">
        <f t="shared" ref="P184:P186" si="127">+(O184-M184)/M184</f>
        <v>27.820633816905598</v>
      </c>
      <c r="Q184" s="1088">
        <f>+'Ingresos 2023'!I174</f>
        <v>311522</v>
      </c>
      <c r="R184" s="1088">
        <f>+'Ingresos 2023'!J174</f>
        <v>311522</v>
      </c>
      <c r="S184" s="1088">
        <f>+'Ingresos 2023'!K174</f>
        <v>14346478.640000001</v>
      </c>
      <c r="T184" s="1088">
        <f>+'Recaudo Julio Dic 2022'!E107</f>
        <v>13324736.870000001</v>
      </c>
      <c r="U184" s="1088">
        <f t="shared" si="104"/>
        <v>27671215.510000002</v>
      </c>
      <c r="V184" s="1111">
        <f t="shared" si="107"/>
        <v>0.5048636148665433</v>
      </c>
      <c r="W184" s="1111">
        <f t="shared" si="105"/>
        <v>9.1512324724756109</v>
      </c>
      <c r="X184" s="1088"/>
    </row>
    <row r="185" spans="1:24" s="54" customFormat="1" x14ac:dyDescent="0.25">
      <c r="A185" s="752" t="s">
        <v>1174</v>
      </c>
      <c r="B185" s="887">
        <v>0</v>
      </c>
      <c r="C185" s="887">
        <v>29207171</v>
      </c>
      <c r="D185" s="1109"/>
      <c r="E185" s="887">
        <v>196980313</v>
      </c>
      <c r="F185" s="1109">
        <f t="shared" si="98"/>
        <v>5.7442448637014518</v>
      </c>
      <c r="G185" s="887">
        <v>23477839.699999999</v>
      </c>
      <c r="H185" s="1109">
        <f t="shared" si="101"/>
        <v>-0.88081123771998482</v>
      </c>
      <c r="I185" s="887">
        <v>48746536.670000002</v>
      </c>
      <c r="J185" s="1109">
        <f t="shared" si="102"/>
        <v>1.0762786224321994</v>
      </c>
      <c r="K185" s="887">
        <v>92368682.219999999</v>
      </c>
      <c r="L185" s="1109">
        <f t="shared" si="103"/>
        <v>0.8948768164866634</v>
      </c>
      <c r="M185" s="1088">
        <v>26459132.280000001</v>
      </c>
      <c r="N185" s="1109">
        <f t="shared" si="99"/>
        <v>-0.71354866558580199</v>
      </c>
      <c r="O185" s="1088">
        <f>+'Ingresos 2022'!AE175</f>
        <v>41693619.909999996</v>
      </c>
      <c r="P185" s="1109">
        <f t="shared" si="127"/>
        <v>0.57577427214102106</v>
      </c>
      <c r="Q185" s="1088">
        <f>+'Ingresos 2023'!I172</f>
        <v>39724450</v>
      </c>
      <c r="R185" s="1088">
        <f>+'Ingresos 2023'!J172</f>
        <v>39724450</v>
      </c>
      <c r="S185" s="1088">
        <f>+'Ingresos 2023'!K172</f>
        <v>316170519.5</v>
      </c>
      <c r="T185" s="1088">
        <f>+'Recaudo Julio Dic 2022'!E105</f>
        <v>37893871.93</v>
      </c>
      <c r="U185" s="1088">
        <f t="shared" si="104"/>
        <v>354064391.43000001</v>
      </c>
      <c r="V185" s="1111">
        <f t="shared" si="107"/>
        <v>7.4920520740171925</v>
      </c>
      <c r="W185" s="1111">
        <f t="shared" si="105"/>
        <v>2.4514258935241373</v>
      </c>
      <c r="X185" s="1088"/>
    </row>
    <row r="186" spans="1:24" s="54" customFormat="1" x14ac:dyDescent="0.25">
      <c r="A186" s="752" t="s">
        <v>1175</v>
      </c>
      <c r="B186" s="898">
        <v>0</v>
      </c>
      <c r="C186" s="898">
        <v>187637.97</v>
      </c>
      <c r="D186" s="1111"/>
      <c r="E186" s="898">
        <v>292809.44</v>
      </c>
      <c r="F186" s="1111">
        <f t="shared" si="98"/>
        <v>0.56050206682581361</v>
      </c>
      <c r="G186" s="898">
        <v>2709.44</v>
      </c>
      <c r="H186" s="1111">
        <f t="shared" si="101"/>
        <v>-0.99074674641637239</v>
      </c>
      <c r="I186" s="898">
        <v>882.69</v>
      </c>
      <c r="J186" s="1111">
        <f t="shared" si="102"/>
        <v>-0.67421681233022324</v>
      </c>
      <c r="K186" s="898">
        <v>62.1</v>
      </c>
      <c r="L186" s="1111">
        <f t="shared" si="103"/>
        <v>-0.9296468748937905</v>
      </c>
      <c r="M186" s="1088">
        <v>84.09</v>
      </c>
      <c r="N186" s="1111">
        <f t="shared" si="99"/>
        <v>0.35410628019323676</v>
      </c>
      <c r="O186" s="1088"/>
      <c r="P186" s="1111">
        <f t="shared" si="127"/>
        <v>-1</v>
      </c>
      <c r="Q186" s="1088"/>
      <c r="R186" s="1088"/>
      <c r="S186" s="1088"/>
      <c r="T186" s="1088"/>
      <c r="U186" s="1088">
        <f t="shared" si="104"/>
        <v>0</v>
      </c>
      <c r="V186" s="1111"/>
      <c r="W186" s="1111">
        <f t="shared" si="105"/>
        <v>-0.21529790660225442</v>
      </c>
      <c r="X186" s="1088"/>
    </row>
    <row r="187" spans="1:24" s="54" customFormat="1" x14ac:dyDescent="0.25">
      <c r="A187" s="752" t="s">
        <v>1176</v>
      </c>
      <c r="B187" s="898"/>
      <c r="C187" s="898"/>
      <c r="D187" s="1111"/>
      <c r="E187" s="898"/>
      <c r="F187" s="1111"/>
      <c r="G187" s="898"/>
      <c r="H187" s="1111"/>
      <c r="I187" s="898"/>
      <c r="J187" s="1111"/>
      <c r="K187" s="898">
        <v>1438981.93</v>
      </c>
      <c r="L187" s="1111"/>
      <c r="M187" s="1088"/>
      <c r="N187" s="1111"/>
      <c r="O187" s="1088"/>
      <c r="P187" s="1111"/>
      <c r="Q187" s="1088"/>
      <c r="R187" s="1088"/>
      <c r="S187" s="1088"/>
      <c r="T187" s="1088">
        <f>+'Recaudo Julio Dic 2022'!E113</f>
        <v>18180.14</v>
      </c>
      <c r="U187" s="1088">
        <f t="shared" si="104"/>
        <v>18180.14</v>
      </c>
      <c r="V187" s="1111"/>
      <c r="W187" s="1111">
        <f t="shared" si="105"/>
        <v>0</v>
      </c>
      <c r="X187" s="1088"/>
    </row>
    <row r="188" spans="1:24" s="54" customFormat="1" x14ac:dyDescent="0.25">
      <c r="A188" s="752" t="s">
        <v>1177</v>
      </c>
      <c r="B188" s="898"/>
      <c r="C188" s="898"/>
      <c r="D188" s="1111"/>
      <c r="E188" s="898"/>
      <c r="F188" s="1111"/>
      <c r="G188" s="898"/>
      <c r="H188" s="1111"/>
      <c r="I188" s="898"/>
      <c r="J188" s="1111"/>
      <c r="K188" s="898">
        <v>2180426.91</v>
      </c>
      <c r="L188" s="1111"/>
      <c r="M188" s="1088">
        <v>2330959.13</v>
      </c>
      <c r="N188" s="1111">
        <f t="shared" si="99"/>
        <v>6.9037957342032497E-2</v>
      </c>
      <c r="O188" s="1088"/>
      <c r="P188" s="1111">
        <f t="shared" ref="P188" si="128">+(O188-M188)/M188</f>
        <v>-1</v>
      </c>
      <c r="Q188" s="1088"/>
      <c r="R188" s="1088"/>
      <c r="S188" s="1088"/>
      <c r="T188" s="1088"/>
      <c r="U188" s="1088">
        <f t="shared" si="104"/>
        <v>0</v>
      </c>
      <c r="V188" s="1111"/>
      <c r="W188" s="1111">
        <f t="shared" si="105"/>
        <v>-0.31032068088598913</v>
      </c>
      <c r="X188" s="1088"/>
    </row>
    <row r="189" spans="1:24" s="54" customFormat="1" x14ac:dyDescent="0.25">
      <c r="A189" s="752" t="s">
        <v>1178</v>
      </c>
      <c r="B189" s="898"/>
      <c r="C189" s="898"/>
      <c r="D189" s="1111"/>
      <c r="E189" s="898"/>
      <c r="F189" s="1111"/>
      <c r="G189" s="898"/>
      <c r="H189" s="1111"/>
      <c r="I189" s="898"/>
      <c r="J189" s="1111"/>
      <c r="K189" s="898">
        <v>11170164505.58</v>
      </c>
      <c r="L189" s="1111"/>
      <c r="M189" s="1088"/>
      <c r="N189" s="1111"/>
      <c r="O189" s="1088"/>
      <c r="P189" s="1111"/>
      <c r="Q189" s="1088"/>
      <c r="R189" s="1088"/>
      <c r="S189" s="1088"/>
      <c r="T189" s="1088"/>
      <c r="U189" s="1088">
        <f t="shared" si="104"/>
        <v>0</v>
      </c>
      <c r="V189" s="1111"/>
      <c r="W189" s="1111">
        <f t="shared" si="105"/>
        <v>0</v>
      </c>
      <c r="X189" s="1088"/>
    </row>
    <row r="190" spans="1:24" s="54" customFormat="1" x14ac:dyDescent="0.25">
      <c r="A190" s="752" t="s">
        <v>1179</v>
      </c>
      <c r="B190" s="898"/>
      <c r="C190" s="898"/>
      <c r="D190" s="1111"/>
      <c r="E190" s="898"/>
      <c r="F190" s="1111"/>
      <c r="G190" s="898"/>
      <c r="H190" s="1111"/>
      <c r="I190" s="898"/>
      <c r="J190" s="1111"/>
      <c r="K190" s="898">
        <v>26536575024.48</v>
      </c>
      <c r="L190" s="1111"/>
      <c r="M190" s="1088"/>
      <c r="N190" s="1111"/>
      <c r="O190" s="1088"/>
      <c r="P190" s="1111"/>
      <c r="Q190" s="1088"/>
      <c r="R190" s="1088"/>
      <c r="S190" s="1088"/>
      <c r="T190" s="1088"/>
      <c r="U190" s="1088">
        <f t="shared" si="104"/>
        <v>0</v>
      </c>
      <c r="V190" s="1111"/>
      <c r="W190" s="1111">
        <f t="shared" si="105"/>
        <v>0</v>
      </c>
      <c r="X190" s="1088"/>
    </row>
    <row r="191" spans="1:24" s="54" customFormat="1" x14ac:dyDescent="0.25">
      <c r="A191" s="752" t="s">
        <v>1180</v>
      </c>
      <c r="B191" s="898"/>
      <c r="C191" s="898"/>
      <c r="D191" s="1111"/>
      <c r="E191" s="898"/>
      <c r="F191" s="1111"/>
      <c r="G191" s="898"/>
      <c r="H191" s="1111"/>
      <c r="I191" s="898"/>
      <c r="J191" s="1111"/>
      <c r="K191" s="898"/>
      <c r="L191" s="1111"/>
      <c r="M191" s="1088">
        <v>140356392.34</v>
      </c>
      <c r="N191" s="1111" t="e">
        <f t="shared" si="99"/>
        <v>#DIV/0!</v>
      </c>
      <c r="O191" s="1088"/>
      <c r="P191" s="1111">
        <f t="shared" ref="P191:P192" si="129">+(O191-M191)/M191</f>
        <v>-1</v>
      </c>
      <c r="Q191" s="1088"/>
      <c r="R191" s="1088"/>
      <c r="S191" s="1088"/>
      <c r="T191" s="1088"/>
      <c r="U191" s="1088">
        <f t="shared" si="104"/>
        <v>0</v>
      </c>
      <c r="V191" s="1111"/>
      <c r="W191" s="1111"/>
      <c r="X191" s="1088"/>
    </row>
    <row r="192" spans="1:24" s="54" customFormat="1" x14ac:dyDescent="0.25">
      <c r="A192" s="752" t="s">
        <v>1181</v>
      </c>
      <c r="B192" s="898"/>
      <c r="C192" s="898"/>
      <c r="D192" s="1111"/>
      <c r="E192" s="898"/>
      <c r="F192" s="1111"/>
      <c r="G192" s="898"/>
      <c r="H192" s="1111"/>
      <c r="I192" s="898"/>
      <c r="J192" s="1111"/>
      <c r="K192" s="898"/>
      <c r="L192" s="1111"/>
      <c r="M192" s="1088">
        <v>38099344723.860008</v>
      </c>
      <c r="N192" s="1111" t="e">
        <f t="shared" si="99"/>
        <v>#DIV/0!</v>
      </c>
      <c r="O192" s="1088"/>
      <c r="P192" s="1111">
        <f t="shared" si="129"/>
        <v>-1</v>
      </c>
      <c r="Q192" s="1088"/>
      <c r="R192" s="1088"/>
      <c r="S192" s="1088"/>
      <c r="T192" s="1088"/>
      <c r="U192" s="1088">
        <f t="shared" si="104"/>
        <v>0</v>
      </c>
      <c r="V192" s="1111"/>
      <c r="W192" s="1111"/>
      <c r="X192" s="1088"/>
    </row>
    <row r="193" spans="1:24" s="656" customFormat="1" ht="15" x14ac:dyDescent="0.25">
      <c r="A193" s="780" t="s">
        <v>1182</v>
      </c>
      <c r="B193" s="1129"/>
      <c r="C193" s="1129"/>
      <c r="D193" s="1130"/>
      <c r="E193" s="1129"/>
      <c r="F193" s="1130"/>
      <c r="G193" s="1129"/>
      <c r="H193" s="1130"/>
      <c r="I193" s="1129"/>
      <c r="J193" s="1130"/>
      <c r="K193" s="1129">
        <v>376565587.99000001</v>
      </c>
      <c r="L193" s="1130"/>
      <c r="M193" s="1099"/>
      <c r="N193" s="1130"/>
      <c r="O193" s="1099"/>
      <c r="P193" s="1130"/>
      <c r="Q193" s="1099"/>
      <c r="R193" s="1099">
        <f t="shared" ref="R193:S193" si="130">+R194+R195</f>
        <v>0</v>
      </c>
      <c r="S193" s="1099">
        <f t="shared" si="130"/>
        <v>0</v>
      </c>
      <c r="T193" s="1088"/>
      <c r="U193" s="1088">
        <f t="shared" si="104"/>
        <v>0</v>
      </c>
      <c r="V193" s="1111"/>
      <c r="W193" s="1111">
        <f t="shared" si="105"/>
        <v>0</v>
      </c>
      <c r="X193" s="1099"/>
    </row>
    <row r="194" spans="1:24" s="654" customFormat="1" x14ac:dyDescent="0.25">
      <c r="A194" s="752" t="s">
        <v>1183</v>
      </c>
      <c r="B194" s="898">
        <v>0</v>
      </c>
      <c r="C194" s="898">
        <v>0</v>
      </c>
      <c r="D194" s="1111"/>
      <c r="E194" s="898">
        <v>4674563</v>
      </c>
      <c r="F194" s="1111"/>
      <c r="G194" s="898">
        <v>0</v>
      </c>
      <c r="H194" s="1111">
        <f t="shared" si="101"/>
        <v>-1</v>
      </c>
      <c r="I194" s="898">
        <v>1853935.84</v>
      </c>
      <c r="J194" s="1111"/>
      <c r="K194" s="898">
        <v>0</v>
      </c>
      <c r="L194" s="1111">
        <f t="shared" si="103"/>
        <v>-1</v>
      </c>
      <c r="M194" s="1088"/>
      <c r="N194" s="1111"/>
      <c r="O194" s="1088"/>
      <c r="P194" s="1111"/>
      <c r="Q194" s="1088"/>
      <c r="R194" s="1088"/>
      <c r="S194" s="1088"/>
      <c r="T194" s="1088"/>
      <c r="U194" s="1088">
        <f t="shared" si="104"/>
        <v>0</v>
      </c>
      <c r="V194" s="1111"/>
      <c r="W194" s="1111">
        <f t="shared" si="105"/>
        <v>0</v>
      </c>
      <c r="X194" s="1088"/>
    </row>
    <row r="195" spans="1:24" s="654" customFormat="1" x14ac:dyDescent="0.25">
      <c r="A195" s="750" t="s">
        <v>1184</v>
      </c>
      <c r="B195" s="898"/>
      <c r="C195" s="898"/>
      <c r="D195" s="1111"/>
      <c r="E195" s="898"/>
      <c r="F195" s="1111"/>
      <c r="G195" s="898"/>
      <c r="H195" s="1111"/>
      <c r="I195" s="898"/>
      <c r="J195" s="1111"/>
      <c r="K195" s="898">
        <v>0</v>
      </c>
      <c r="L195" s="1111"/>
      <c r="M195" s="1088">
        <v>99567346</v>
      </c>
      <c r="N195" s="1111" t="e">
        <f t="shared" si="99"/>
        <v>#DIV/0!</v>
      </c>
      <c r="O195" s="1088"/>
      <c r="P195" s="1111">
        <f t="shared" ref="P195:P196" si="131">+(O195-M195)/M195</f>
        <v>-1</v>
      </c>
      <c r="Q195" s="1088"/>
      <c r="R195" s="1088"/>
      <c r="S195" s="1088"/>
      <c r="T195" s="1088"/>
      <c r="U195" s="1088">
        <f t="shared" si="104"/>
        <v>0</v>
      </c>
      <c r="V195" s="1111"/>
      <c r="W195" s="1111"/>
      <c r="X195" s="1088"/>
    </row>
    <row r="196" spans="1:24" s="654" customFormat="1" x14ac:dyDescent="0.25">
      <c r="A196" s="750" t="s">
        <v>1185</v>
      </c>
      <c r="B196" s="898"/>
      <c r="C196" s="898"/>
      <c r="D196" s="1111"/>
      <c r="E196" s="898"/>
      <c r="F196" s="1111"/>
      <c r="G196" s="898"/>
      <c r="H196" s="1111"/>
      <c r="I196" s="898"/>
      <c r="J196" s="1111"/>
      <c r="K196" s="898">
        <v>8567833775</v>
      </c>
      <c r="L196" s="1111"/>
      <c r="M196" s="1088">
        <v>7936707593</v>
      </c>
      <c r="N196" s="1111">
        <f t="shared" si="99"/>
        <v>-7.3662281339019087E-2</v>
      </c>
      <c r="O196" s="1088">
        <f>+'Ingresos 2022'!AE220</f>
        <v>8257203322</v>
      </c>
      <c r="P196" s="1111">
        <f t="shared" si="131"/>
        <v>4.0381445989350812E-2</v>
      </c>
      <c r="Q196" s="1088">
        <f>+'Ingresos 2023'!I227</f>
        <v>7989593333</v>
      </c>
      <c r="R196" s="1088">
        <f>+'Ingresos 2023'!J227</f>
        <v>7989593333</v>
      </c>
      <c r="S196" s="1088">
        <f>+'Ingresos 2023'!K227</f>
        <v>21325400</v>
      </c>
      <c r="T196" s="1088">
        <f>+'Recaudo Julio Dic 2022'!E142</f>
        <v>8257203322</v>
      </c>
      <c r="U196" s="1088">
        <f t="shared" si="104"/>
        <v>8278528722</v>
      </c>
      <c r="V196" s="1111">
        <f t="shared" si="107"/>
        <v>2.5826419876548122E-3</v>
      </c>
      <c r="W196" s="1111">
        <f t="shared" si="105"/>
        <v>-1.0232731120671154E-2</v>
      </c>
      <c r="X196" s="1088"/>
    </row>
    <row r="197" spans="1:24" s="654" customFormat="1" x14ac:dyDescent="0.25">
      <c r="A197" s="750" t="s">
        <v>1186</v>
      </c>
      <c r="B197" s="898"/>
      <c r="C197" s="898"/>
      <c r="D197" s="1111"/>
      <c r="E197" s="898"/>
      <c r="F197" s="1111"/>
      <c r="G197" s="898"/>
      <c r="H197" s="1111"/>
      <c r="I197" s="898"/>
      <c r="J197" s="1111"/>
      <c r="K197" s="898"/>
      <c r="L197" s="1111"/>
      <c r="M197" s="1088"/>
      <c r="N197" s="1111"/>
      <c r="O197" s="1088"/>
      <c r="P197" s="1111"/>
      <c r="Q197" s="1088">
        <f>+'Ingresos 2023'!I118</f>
        <v>6500000000</v>
      </c>
      <c r="R197" s="1088">
        <f>+'Ingresos 2023'!J118</f>
        <v>6500000000</v>
      </c>
      <c r="S197" s="1088">
        <f>+'Ingresos 2023'!K118</f>
        <v>0</v>
      </c>
      <c r="T197" s="1088"/>
      <c r="U197" s="1088">
        <f t="shared" si="104"/>
        <v>0</v>
      </c>
      <c r="V197" s="1111"/>
      <c r="W197" s="1111">
        <f t="shared" si="105"/>
        <v>0</v>
      </c>
      <c r="X197" s="1088"/>
    </row>
    <row r="198" spans="1:24" s="54" customFormat="1" x14ac:dyDescent="0.25">
      <c r="A198" s="750" t="s">
        <v>1187</v>
      </c>
      <c r="B198" s="890">
        <f>+B199</f>
        <v>167708277.09</v>
      </c>
      <c r="C198" s="890">
        <f>+C199</f>
        <v>198971548.22999999</v>
      </c>
      <c r="D198" s="1112">
        <f>+(C198-B198)/B198</f>
        <v>0.18641459850680281</v>
      </c>
      <c r="E198" s="890">
        <f>+E199</f>
        <v>195422061.95999998</v>
      </c>
      <c r="F198" s="1112">
        <f t="shared" si="98"/>
        <v>-1.7839164953860655E-2</v>
      </c>
      <c r="G198" s="890">
        <f>+G199</f>
        <v>155092821</v>
      </c>
      <c r="H198" s="1112">
        <f t="shared" si="101"/>
        <v>-0.20636994899918096</v>
      </c>
      <c r="I198" s="890">
        <f>+I199</f>
        <v>221403552</v>
      </c>
      <c r="J198" s="1112">
        <f t="shared" si="102"/>
        <v>0.42755512842209503</v>
      </c>
      <c r="K198" s="890">
        <f>+K199</f>
        <v>0</v>
      </c>
      <c r="L198" s="1112">
        <f t="shared" si="103"/>
        <v>-1</v>
      </c>
      <c r="M198" s="1097"/>
      <c r="N198" s="1112"/>
      <c r="O198" s="1097"/>
      <c r="P198" s="1112"/>
      <c r="Q198" s="1097"/>
      <c r="R198" s="1097"/>
      <c r="S198" s="1097"/>
      <c r="T198" s="1088"/>
      <c r="U198" s="1088">
        <f t="shared" si="104"/>
        <v>0</v>
      </c>
      <c r="V198" s="1111"/>
      <c r="W198" s="1111">
        <f t="shared" si="105"/>
        <v>0</v>
      </c>
      <c r="X198" s="1097"/>
    </row>
    <row r="199" spans="1:24" x14ac:dyDescent="0.25">
      <c r="A199" s="783" t="s">
        <v>1184</v>
      </c>
      <c r="B199" s="898">
        <v>167708277.09</v>
      </c>
      <c r="C199" s="898">
        <v>198971548.22999999</v>
      </c>
      <c r="D199" s="1111">
        <f>+(C199-B199)/B199</f>
        <v>0.18641459850680281</v>
      </c>
      <c r="E199" s="898">
        <v>195422061.95999998</v>
      </c>
      <c r="F199" s="1111">
        <f t="shared" si="98"/>
        <v>-1.7839164953860655E-2</v>
      </c>
      <c r="G199" s="898">
        <v>155092821</v>
      </c>
      <c r="H199" s="1111">
        <f t="shared" si="101"/>
        <v>-0.20636994899918096</v>
      </c>
      <c r="I199" s="898">
        <v>221403552</v>
      </c>
      <c r="J199" s="1111">
        <f t="shared" si="102"/>
        <v>0.42755512842209503</v>
      </c>
      <c r="K199" s="898">
        <v>0</v>
      </c>
      <c r="L199" s="1111">
        <f t="shared" si="103"/>
        <v>-1</v>
      </c>
      <c r="M199" s="1088"/>
      <c r="N199" s="1111"/>
      <c r="O199" s="1088"/>
      <c r="P199" s="1111"/>
      <c r="Q199" s="1088">
        <f>+'Ingresos 2023'!I159</f>
        <v>150000000</v>
      </c>
      <c r="R199" s="1088">
        <f>+'Ingresos 2023'!J159</f>
        <v>150000000</v>
      </c>
      <c r="S199" s="1088">
        <f>+'Ingresos 2023'!K159</f>
        <v>93054010</v>
      </c>
      <c r="T199" s="1088"/>
      <c r="U199" s="1088">
        <f t="shared" si="104"/>
        <v>93054010</v>
      </c>
      <c r="V199" s="1111"/>
      <c r="W199" s="1111">
        <f t="shared" si="105"/>
        <v>0</v>
      </c>
      <c r="X199" s="1088"/>
    </row>
    <row r="200" spans="1:24" s="656" customFormat="1" ht="15" x14ac:dyDescent="0.25">
      <c r="A200" s="784" t="s">
        <v>606</v>
      </c>
      <c r="B200" s="1129"/>
      <c r="C200" s="1129"/>
      <c r="D200" s="1130"/>
      <c r="E200" s="1129"/>
      <c r="F200" s="1130"/>
      <c r="G200" s="1129"/>
      <c r="H200" s="1130"/>
      <c r="I200" s="1129"/>
      <c r="J200" s="1130"/>
      <c r="K200" s="1129">
        <v>37706739530.059998</v>
      </c>
      <c r="L200" s="1130"/>
      <c r="M200" s="1099"/>
      <c r="N200" s="1130"/>
      <c r="O200" s="1099"/>
      <c r="P200" s="1130"/>
      <c r="Q200" s="1088">
        <f>+'Ingresos 2023'!I230</f>
        <v>10000000</v>
      </c>
      <c r="R200" s="1088">
        <f>+'Ingresos 2023'!J230</f>
        <v>10000000</v>
      </c>
      <c r="S200" s="1088">
        <f>+'Ingresos 2023'!K230</f>
        <v>497353889.81999999</v>
      </c>
      <c r="T200" s="1088"/>
      <c r="U200" s="1088">
        <f t="shared" si="104"/>
        <v>497353889.81999999</v>
      </c>
      <c r="V200" s="1111"/>
      <c r="W200" s="1111">
        <f t="shared" si="105"/>
        <v>0</v>
      </c>
      <c r="X200" s="1099"/>
    </row>
  </sheetData>
  <autoFilter ref="A2:AA200" xr:uid="{00000000-0001-0000-0B00-000000000000}"/>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030A0"/>
  </sheetPr>
  <dimension ref="A1:I39"/>
  <sheetViews>
    <sheetView topLeftCell="A55" workbookViewId="0"/>
  </sheetViews>
  <sheetFormatPr baseColWidth="10" defaultColWidth="11.42578125" defaultRowHeight="15" x14ac:dyDescent="0.25"/>
  <cols>
    <col min="1" max="1" width="45.7109375" style="10" customWidth="1"/>
    <col min="2" max="2" width="15.28515625" style="10" customWidth="1"/>
    <col min="3" max="3" width="17.140625" style="10" customWidth="1"/>
    <col min="4" max="4" width="15.140625" style="10" customWidth="1"/>
    <col min="5" max="5" width="16.5703125" style="10" customWidth="1"/>
    <col min="6" max="6" width="17.140625" style="10" customWidth="1"/>
    <col min="7" max="7" width="15.42578125" style="10" customWidth="1"/>
    <col min="8" max="8" width="22.140625" style="10" customWidth="1"/>
    <col min="9" max="9" width="21.42578125" style="10" customWidth="1"/>
  </cols>
  <sheetData>
    <row r="1" spans="1:9" s="10" customFormat="1" ht="30" x14ac:dyDescent="0.25">
      <c r="A1" s="488" t="s">
        <v>2122</v>
      </c>
      <c r="B1" s="488" t="s">
        <v>2391</v>
      </c>
      <c r="C1" s="488" t="s">
        <v>2392</v>
      </c>
      <c r="D1" s="488" t="s">
        <v>2393</v>
      </c>
      <c r="E1" s="488" t="s">
        <v>2394</v>
      </c>
      <c r="F1" s="488" t="s">
        <v>2395</v>
      </c>
      <c r="G1" s="488" t="s">
        <v>2396</v>
      </c>
      <c r="H1" s="488" t="s">
        <v>2397</v>
      </c>
      <c r="I1" s="488" t="s">
        <v>2398</v>
      </c>
    </row>
    <row r="2" spans="1:9" x14ac:dyDescent="0.25">
      <c r="A2" s="490" t="s">
        <v>2124</v>
      </c>
      <c r="B2" s="490"/>
      <c r="C2" s="490"/>
      <c r="D2" s="490"/>
      <c r="E2" s="490"/>
      <c r="F2" s="490"/>
      <c r="G2" s="490"/>
      <c r="H2" s="490"/>
      <c r="I2" s="490"/>
    </row>
    <row r="3" spans="1:9" x14ac:dyDescent="0.25">
      <c r="A3" s="564" t="s">
        <v>2126</v>
      </c>
      <c r="B3" s="564"/>
      <c r="C3" s="564"/>
      <c r="D3" s="564"/>
      <c r="E3" s="564"/>
      <c r="F3" s="564"/>
      <c r="G3" s="564"/>
      <c r="H3" s="564"/>
      <c r="I3" s="564"/>
    </row>
    <row r="4" spans="1:9" x14ac:dyDescent="0.25">
      <c r="A4" s="560" t="s">
        <v>2129</v>
      </c>
      <c r="B4" s="560"/>
      <c r="C4" s="560"/>
      <c r="D4" s="560"/>
      <c r="E4" s="560"/>
      <c r="F4" s="560"/>
      <c r="G4" s="560"/>
      <c r="H4" s="560"/>
      <c r="I4" s="560"/>
    </row>
    <row r="5" spans="1:9" x14ac:dyDescent="0.25">
      <c r="A5" s="560" t="s">
        <v>2131</v>
      </c>
      <c r="B5" s="560"/>
      <c r="C5" s="560"/>
      <c r="D5" s="560"/>
      <c r="E5" s="560"/>
      <c r="F5" s="560"/>
      <c r="G5" s="560"/>
      <c r="H5" s="560"/>
      <c r="I5" s="560"/>
    </row>
    <row r="6" spans="1:9" x14ac:dyDescent="0.25">
      <c r="A6" s="494" t="s">
        <v>2133</v>
      </c>
      <c r="B6" s="494"/>
      <c r="C6" s="494"/>
      <c r="D6" s="494"/>
      <c r="E6" s="494"/>
      <c r="F6" s="494"/>
      <c r="G6" s="494"/>
      <c r="H6" s="494"/>
      <c r="I6" s="494"/>
    </row>
    <row r="7" spans="1:9" x14ac:dyDescent="0.25">
      <c r="A7" s="561" t="s">
        <v>2135</v>
      </c>
      <c r="B7" s="561"/>
      <c r="C7" s="561"/>
      <c r="D7" s="561"/>
      <c r="E7" s="561"/>
      <c r="F7" s="561"/>
      <c r="G7" s="561"/>
      <c r="H7" s="561"/>
      <c r="I7" s="561"/>
    </row>
    <row r="8" spans="1:9" x14ac:dyDescent="0.25">
      <c r="A8" s="561" t="s">
        <v>2137</v>
      </c>
      <c r="B8" s="561"/>
      <c r="C8" s="561"/>
      <c r="D8" s="561"/>
      <c r="E8" s="561"/>
      <c r="F8" s="561"/>
      <c r="G8" s="561"/>
      <c r="H8" s="561"/>
      <c r="I8" s="561"/>
    </row>
    <row r="9" spans="1:9" ht="26.25" x14ac:dyDescent="0.25">
      <c r="A9" s="561" t="s">
        <v>2139</v>
      </c>
      <c r="B9" s="561"/>
      <c r="C9" s="561"/>
      <c r="D9" s="561"/>
      <c r="E9" s="561"/>
      <c r="F9" s="561"/>
      <c r="G9" s="561"/>
      <c r="H9" s="561"/>
      <c r="I9" s="561"/>
    </row>
    <row r="10" spans="1:9" x14ac:dyDescent="0.25">
      <c r="A10" s="561" t="s">
        <v>2141</v>
      </c>
      <c r="B10" s="561"/>
      <c r="C10" s="561"/>
      <c r="D10" s="561"/>
      <c r="E10" s="561"/>
      <c r="F10" s="561"/>
      <c r="G10" s="561"/>
      <c r="H10" s="561"/>
      <c r="I10" s="561"/>
    </row>
    <row r="11" spans="1:9" ht="26.25" x14ac:dyDescent="0.25">
      <c r="A11" s="561" t="s">
        <v>2143</v>
      </c>
      <c r="B11" s="561"/>
      <c r="C11" s="561"/>
      <c r="D11" s="561"/>
      <c r="E11" s="561"/>
      <c r="F11" s="561"/>
      <c r="G11" s="561"/>
      <c r="H11" s="561"/>
      <c r="I11" s="561"/>
    </row>
    <row r="12" spans="1:9" x14ac:dyDescent="0.25">
      <c r="A12" s="561" t="s">
        <v>2145</v>
      </c>
      <c r="B12" s="561"/>
      <c r="C12" s="561"/>
      <c r="D12" s="561"/>
      <c r="E12" s="561"/>
      <c r="F12" s="561"/>
      <c r="G12" s="561"/>
      <c r="H12" s="561"/>
      <c r="I12" s="561"/>
    </row>
    <row r="13" spans="1:9" x14ac:dyDescent="0.25">
      <c r="A13" s="561" t="s">
        <v>2147</v>
      </c>
      <c r="B13" s="561"/>
      <c r="C13" s="561"/>
      <c r="D13" s="561"/>
      <c r="E13" s="561"/>
      <c r="F13" s="561"/>
      <c r="G13" s="561"/>
      <c r="H13" s="561"/>
      <c r="I13" s="561"/>
    </row>
    <row r="14" spans="1:9" x14ac:dyDescent="0.25">
      <c r="A14" s="561" t="s">
        <v>2149</v>
      </c>
      <c r="B14" s="561"/>
      <c r="C14" s="561"/>
      <c r="D14" s="561"/>
      <c r="E14" s="561"/>
      <c r="F14" s="561"/>
      <c r="G14" s="561"/>
      <c r="H14" s="561"/>
      <c r="I14" s="561"/>
    </row>
    <row r="15" spans="1:9" ht="26.25" x14ac:dyDescent="0.25">
      <c r="A15" s="561" t="s">
        <v>2151</v>
      </c>
      <c r="B15" s="561"/>
      <c r="C15" s="561"/>
      <c r="D15" s="561"/>
      <c r="E15" s="561"/>
      <c r="F15" s="561"/>
      <c r="G15" s="561"/>
      <c r="H15" s="561"/>
      <c r="I15" s="561"/>
    </row>
    <row r="16" spans="1:9" x14ac:dyDescent="0.25">
      <c r="A16" s="561" t="s">
        <v>2153</v>
      </c>
      <c r="B16" s="561"/>
      <c r="C16" s="561"/>
      <c r="D16" s="561"/>
      <c r="E16" s="561"/>
      <c r="F16" s="561"/>
      <c r="G16" s="561"/>
      <c r="H16" s="561"/>
      <c r="I16" s="561"/>
    </row>
    <row r="17" spans="1:9" ht="30" x14ac:dyDescent="0.25">
      <c r="A17" s="494" t="s">
        <v>2156</v>
      </c>
      <c r="B17" s="494"/>
      <c r="C17" s="494"/>
      <c r="D17" s="494"/>
      <c r="E17" s="494"/>
      <c r="F17" s="494"/>
      <c r="G17" s="494"/>
      <c r="H17" s="494"/>
      <c r="I17" s="494"/>
    </row>
    <row r="18" spans="1:9" ht="30" x14ac:dyDescent="0.25">
      <c r="A18" s="494" t="s">
        <v>2159</v>
      </c>
      <c r="B18" s="494"/>
      <c r="C18" s="494"/>
      <c r="D18" s="494"/>
      <c r="E18" s="494"/>
      <c r="F18" s="494"/>
      <c r="G18" s="494"/>
      <c r="H18" s="494"/>
      <c r="I18" s="494"/>
    </row>
    <row r="19" spans="1:9" ht="45" x14ac:dyDescent="0.25">
      <c r="A19" s="564" t="s">
        <v>2161</v>
      </c>
      <c r="B19" s="564"/>
      <c r="C19" s="564"/>
      <c r="D19" s="564"/>
      <c r="E19" s="564"/>
      <c r="F19" s="564"/>
      <c r="G19" s="564"/>
      <c r="H19" s="564"/>
      <c r="I19" s="564"/>
    </row>
    <row r="20" spans="1:9" x14ac:dyDescent="0.25">
      <c r="A20" s="561" t="s">
        <v>2164</v>
      </c>
      <c r="B20" s="561"/>
      <c r="C20" s="561"/>
      <c r="D20" s="561"/>
      <c r="E20" s="561"/>
      <c r="F20" s="561"/>
      <c r="G20" s="561"/>
      <c r="H20" s="561"/>
      <c r="I20" s="561"/>
    </row>
    <row r="21" spans="1:9" x14ac:dyDescent="0.25">
      <c r="A21" s="561" t="s">
        <v>2166</v>
      </c>
      <c r="B21" s="561"/>
      <c r="C21" s="561"/>
      <c r="D21" s="561"/>
      <c r="E21" s="561"/>
      <c r="F21" s="561"/>
      <c r="G21" s="561"/>
      <c r="H21" s="561"/>
      <c r="I21" s="561"/>
    </row>
    <row r="22" spans="1:9" x14ac:dyDescent="0.25">
      <c r="A22" s="561" t="s">
        <v>2168</v>
      </c>
      <c r="B22" s="561"/>
      <c r="C22" s="561"/>
      <c r="D22" s="561"/>
      <c r="E22" s="561"/>
      <c r="F22" s="561"/>
      <c r="G22" s="561"/>
      <c r="H22" s="561"/>
      <c r="I22" s="561"/>
    </row>
    <row r="23" spans="1:9" x14ac:dyDescent="0.25">
      <c r="A23" s="561" t="s">
        <v>2170</v>
      </c>
      <c r="B23" s="561"/>
      <c r="C23" s="561"/>
      <c r="D23" s="561"/>
      <c r="E23" s="561"/>
      <c r="F23" s="561"/>
      <c r="G23" s="561"/>
      <c r="H23" s="561"/>
      <c r="I23" s="561"/>
    </row>
    <row r="24" spans="1:9" x14ac:dyDescent="0.25">
      <c r="A24" s="561" t="s">
        <v>2172</v>
      </c>
      <c r="B24" s="561"/>
      <c r="C24" s="561"/>
      <c r="D24" s="561"/>
      <c r="E24" s="561"/>
      <c r="F24" s="561"/>
      <c r="G24" s="561"/>
      <c r="H24" s="561"/>
      <c r="I24" s="561"/>
    </row>
    <row r="25" spans="1:9" x14ac:dyDescent="0.25">
      <c r="A25" s="564" t="s">
        <v>2174</v>
      </c>
      <c r="B25" s="564"/>
      <c r="C25" s="564"/>
      <c r="D25" s="564"/>
      <c r="E25" s="564"/>
      <c r="F25" s="564"/>
      <c r="G25" s="564"/>
      <c r="H25" s="564"/>
      <c r="I25" s="564"/>
    </row>
    <row r="26" spans="1:9" x14ac:dyDescent="0.25">
      <c r="A26" s="561" t="s">
        <v>2176</v>
      </c>
      <c r="B26" s="561"/>
      <c r="C26" s="561"/>
      <c r="D26" s="561"/>
      <c r="E26" s="561"/>
      <c r="F26" s="561"/>
      <c r="G26" s="561"/>
      <c r="H26" s="561"/>
      <c r="I26" s="561"/>
    </row>
    <row r="27" spans="1:9" x14ac:dyDescent="0.25">
      <c r="A27" s="561" t="s">
        <v>2178</v>
      </c>
      <c r="B27" s="561"/>
      <c r="C27" s="561"/>
      <c r="D27" s="561"/>
      <c r="E27" s="561"/>
      <c r="F27" s="561"/>
      <c r="G27" s="561"/>
      <c r="H27" s="561"/>
      <c r="I27" s="561"/>
    </row>
    <row r="28" spans="1:9" x14ac:dyDescent="0.25">
      <c r="A28" s="490" t="s">
        <v>2206</v>
      </c>
      <c r="B28" s="490"/>
      <c r="C28" s="490"/>
      <c r="D28" s="490"/>
      <c r="E28" s="490"/>
      <c r="F28" s="490"/>
      <c r="G28" s="490"/>
      <c r="H28" s="490"/>
      <c r="I28" s="490"/>
    </row>
    <row r="29" spans="1:9" ht="30" x14ac:dyDescent="0.25">
      <c r="A29" s="564" t="s">
        <v>2208</v>
      </c>
      <c r="B29" s="564"/>
      <c r="C29" s="564"/>
      <c r="D29" s="564"/>
      <c r="E29" s="564"/>
      <c r="F29" s="564"/>
      <c r="G29" s="564"/>
      <c r="H29" s="564"/>
      <c r="I29" s="564"/>
    </row>
    <row r="30" spans="1:9" x14ac:dyDescent="0.25">
      <c r="A30" s="561" t="s">
        <v>2210</v>
      </c>
      <c r="B30" s="561"/>
      <c r="C30" s="561"/>
      <c r="D30" s="561"/>
      <c r="E30" s="561"/>
      <c r="F30" s="561"/>
      <c r="G30" s="561"/>
      <c r="H30" s="561"/>
      <c r="I30" s="561"/>
    </row>
    <row r="31" spans="1:9" x14ac:dyDescent="0.25">
      <c r="A31" s="561" t="s">
        <v>2212</v>
      </c>
      <c r="B31" s="561"/>
      <c r="C31" s="561"/>
      <c r="D31" s="561"/>
      <c r="E31" s="561"/>
      <c r="F31" s="561"/>
      <c r="G31" s="561"/>
      <c r="H31" s="561"/>
      <c r="I31" s="561"/>
    </row>
    <row r="32" spans="1:9" x14ac:dyDescent="0.25">
      <c r="A32" s="561" t="s">
        <v>2214</v>
      </c>
      <c r="B32" s="561"/>
      <c r="C32" s="561"/>
      <c r="D32" s="561"/>
      <c r="E32" s="561"/>
      <c r="F32" s="561"/>
      <c r="G32" s="561"/>
      <c r="H32" s="561"/>
      <c r="I32" s="561"/>
    </row>
    <row r="33" spans="1:9" x14ac:dyDescent="0.25">
      <c r="A33" s="561" t="s">
        <v>2216</v>
      </c>
      <c r="B33" s="561"/>
      <c r="C33" s="561"/>
      <c r="D33" s="561"/>
      <c r="E33" s="561"/>
      <c r="F33" s="561"/>
      <c r="G33" s="561"/>
      <c r="H33" s="561"/>
      <c r="I33" s="561"/>
    </row>
    <row r="34" spans="1:9" x14ac:dyDescent="0.25">
      <c r="A34" s="561" t="s">
        <v>2218</v>
      </c>
      <c r="B34" s="561"/>
      <c r="C34" s="561"/>
      <c r="D34" s="561"/>
      <c r="E34" s="561"/>
      <c r="F34" s="561"/>
      <c r="G34" s="561"/>
      <c r="H34" s="561"/>
      <c r="I34" s="561"/>
    </row>
    <row r="35" spans="1:9" x14ac:dyDescent="0.25">
      <c r="A35" s="561" t="s">
        <v>2220</v>
      </c>
      <c r="B35" s="561"/>
      <c r="C35" s="561"/>
      <c r="D35" s="561"/>
      <c r="E35" s="561"/>
      <c r="F35" s="561"/>
      <c r="G35" s="561"/>
      <c r="H35" s="561"/>
      <c r="I35" s="561"/>
    </row>
    <row r="36" spans="1:9" x14ac:dyDescent="0.25">
      <c r="A36" s="563" t="s">
        <v>2222</v>
      </c>
      <c r="B36" s="563"/>
      <c r="C36" s="563"/>
      <c r="D36" s="563"/>
      <c r="E36" s="563"/>
      <c r="F36" s="563"/>
      <c r="G36" s="563"/>
      <c r="H36" s="563"/>
      <c r="I36" s="563"/>
    </row>
    <row r="37" spans="1:9" ht="26.25" x14ac:dyDescent="0.25">
      <c r="A37" s="562" t="s">
        <v>2242</v>
      </c>
      <c r="B37" s="562"/>
      <c r="C37" s="562"/>
      <c r="D37" s="562"/>
      <c r="E37" s="562"/>
      <c r="F37" s="562"/>
      <c r="G37" s="562"/>
      <c r="H37" s="562"/>
      <c r="I37" s="562"/>
    </row>
    <row r="38" spans="1:9" x14ac:dyDescent="0.25">
      <c r="A38" s="562" t="s">
        <v>2244</v>
      </c>
      <c r="B38" s="562"/>
      <c r="C38" s="562"/>
      <c r="D38" s="562"/>
      <c r="E38" s="562"/>
      <c r="F38" s="562"/>
      <c r="G38" s="562"/>
      <c r="H38" s="562"/>
      <c r="I38" s="562"/>
    </row>
    <row r="39" spans="1:9" x14ac:dyDescent="0.25">
      <c r="A39" s="562" t="s">
        <v>2246</v>
      </c>
      <c r="B39" s="562"/>
      <c r="C39" s="562"/>
      <c r="D39" s="562"/>
      <c r="E39" s="562"/>
      <c r="F39" s="562"/>
      <c r="G39" s="562"/>
      <c r="H39" s="562"/>
      <c r="I39" s="562"/>
    </row>
  </sheetData>
  <pageMargins left="0.7" right="0.7" top="0.75" bottom="0.75" header="0.3" footer="0.3"/>
  <pageSetup paperSize="9" orientation="portrait" horizontalDpi="0"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30A0"/>
  </sheetPr>
  <dimension ref="A1:D23"/>
  <sheetViews>
    <sheetView workbookViewId="0">
      <selection sqref="A1:D1"/>
    </sheetView>
  </sheetViews>
  <sheetFormatPr baseColWidth="10" defaultColWidth="11.42578125" defaultRowHeight="12" x14ac:dyDescent="0.2"/>
  <cols>
    <col min="1" max="1" width="16.140625" style="539" customWidth="1"/>
    <col min="2" max="4" width="15" style="539" customWidth="1"/>
    <col min="5" max="16384" width="11.42578125" style="539"/>
  </cols>
  <sheetData>
    <row r="1" spans="1:4" x14ac:dyDescent="0.2">
      <c r="A1" s="1813"/>
      <c r="B1" s="1814"/>
      <c r="C1" s="1814"/>
      <c r="D1" s="1814"/>
    </row>
    <row r="2" spans="1:4" x14ac:dyDescent="0.2">
      <c r="A2" s="540"/>
      <c r="B2" s="541"/>
      <c r="C2" s="541"/>
      <c r="D2" s="541"/>
    </row>
    <row r="3" spans="1:4" x14ac:dyDescent="0.2">
      <c r="A3" s="1815" t="s">
        <v>2399</v>
      </c>
      <c r="B3" s="1816"/>
      <c r="C3" s="1816"/>
      <c r="D3" s="1816"/>
    </row>
    <row r="4" spans="1:4" x14ac:dyDescent="0.2">
      <c r="A4" s="1815"/>
      <c r="B4" s="1816"/>
      <c r="C4" s="1816"/>
      <c r="D4" s="1816"/>
    </row>
    <row r="5" spans="1:4" x14ac:dyDescent="0.2">
      <c r="A5" s="1817" t="s">
        <v>2400</v>
      </c>
      <c r="B5" s="1818"/>
      <c r="C5" s="1818"/>
      <c r="D5" s="1818"/>
    </row>
    <row r="6" spans="1:4" x14ac:dyDescent="0.2">
      <c r="A6" s="1817"/>
      <c r="B6" s="1818"/>
      <c r="C6" s="1818"/>
      <c r="D6" s="1818"/>
    </row>
    <row r="7" spans="1:4" x14ac:dyDescent="0.2">
      <c r="A7" s="1819" t="s">
        <v>2401</v>
      </c>
      <c r="B7" s="1820"/>
      <c r="C7" s="1820"/>
      <c r="D7" s="1821"/>
    </row>
    <row r="8" spans="1:4" x14ac:dyDescent="0.2">
      <c r="A8" s="1822" t="s">
        <v>2402</v>
      </c>
      <c r="B8" s="1824" t="s">
        <v>2403</v>
      </c>
      <c r="C8" s="1824"/>
      <c r="D8" s="1825"/>
    </row>
    <row r="9" spans="1:4" x14ac:dyDescent="0.2">
      <c r="A9" s="1823"/>
      <c r="B9" s="542" t="s">
        <v>2404</v>
      </c>
      <c r="C9" s="542" t="s">
        <v>2405</v>
      </c>
      <c r="D9" s="543" t="s">
        <v>2406</v>
      </c>
    </row>
    <row r="10" spans="1:4" x14ac:dyDescent="0.2">
      <c r="A10" s="544">
        <v>2012</v>
      </c>
      <c r="B10" s="545">
        <v>0.08</v>
      </c>
      <c r="C10" s="546">
        <v>2.0099999999999998</v>
      </c>
      <c r="D10" s="547">
        <v>3.2</v>
      </c>
    </row>
    <row r="11" spans="1:4" x14ac:dyDescent="0.2">
      <c r="A11" s="548">
        <v>2013</v>
      </c>
      <c r="B11" s="549">
        <v>0.23</v>
      </c>
      <c r="C11" s="550">
        <v>1.73</v>
      </c>
      <c r="D11" s="551">
        <v>2.16</v>
      </c>
    </row>
    <row r="12" spans="1:4" x14ac:dyDescent="0.2">
      <c r="A12" s="544">
        <v>2014</v>
      </c>
      <c r="B12" s="545">
        <v>0.09</v>
      </c>
      <c r="C12" s="546">
        <v>2.57</v>
      </c>
      <c r="D12" s="547">
        <v>2.79</v>
      </c>
    </row>
    <row r="13" spans="1:4" x14ac:dyDescent="0.2">
      <c r="A13" s="548">
        <v>2015</v>
      </c>
      <c r="B13" s="549">
        <v>0.1</v>
      </c>
      <c r="C13" s="550">
        <v>3.33</v>
      </c>
      <c r="D13" s="551">
        <v>4.42</v>
      </c>
    </row>
    <row r="14" spans="1:4" x14ac:dyDescent="0.2">
      <c r="A14" s="544">
        <v>2016</v>
      </c>
      <c r="B14" s="545">
        <v>0.48</v>
      </c>
      <c r="C14" s="546">
        <v>5.0999999999999996</v>
      </c>
      <c r="D14" s="547">
        <v>8.6</v>
      </c>
    </row>
    <row r="15" spans="1:4" x14ac:dyDescent="0.2">
      <c r="A15" s="548">
        <v>2017</v>
      </c>
      <c r="B15" s="549">
        <v>0.11</v>
      </c>
      <c r="C15" s="550">
        <v>3.35</v>
      </c>
      <c r="D15" s="551">
        <v>3.99</v>
      </c>
    </row>
    <row r="16" spans="1:4" x14ac:dyDescent="0.2">
      <c r="A16" s="544">
        <v>2018</v>
      </c>
      <c r="B16" s="545">
        <v>0.15</v>
      </c>
      <c r="C16" s="546">
        <v>2.4700000000000002</v>
      </c>
      <c r="D16" s="547">
        <v>3.2</v>
      </c>
    </row>
    <row r="17" spans="1:4" x14ac:dyDescent="0.2">
      <c r="A17" s="548">
        <v>2019</v>
      </c>
      <c r="B17" s="549">
        <v>0.27</v>
      </c>
      <c r="C17" s="550">
        <v>2.71</v>
      </c>
      <c r="D17" s="551">
        <v>3.43</v>
      </c>
    </row>
    <row r="18" spans="1:4" x14ac:dyDescent="0.2">
      <c r="A18" s="544">
        <v>2020</v>
      </c>
      <c r="B18" s="545">
        <v>-0.38</v>
      </c>
      <c r="C18" s="546">
        <v>1.1200000000000001</v>
      </c>
      <c r="D18" s="547">
        <v>2.19</v>
      </c>
    </row>
    <row r="19" spans="1:4" x14ac:dyDescent="0.2">
      <c r="A19" s="552">
        <v>2021</v>
      </c>
      <c r="B19" s="553">
        <v>-4.9139257713781699E-2</v>
      </c>
      <c r="C19" s="554">
        <v>3.1342393369789661</v>
      </c>
      <c r="D19" s="555">
        <v>3.6347619565580742</v>
      </c>
    </row>
    <row r="20" spans="1:4" x14ac:dyDescent="0.2">
      <c r="A20" s="556"/>
      <c r="B20" s="557"/>
      <c r="C20" s="557"/>
      <c r="D20" s="557"/>
    </row>
    <row r="21" spans="1:4" x14ac:dyDescent="0.2">
      <c r="A21" s="1811" t="s">
        <v>2407</v>
      </c>
      <c r="B21" s="1811"/>
      <c r="C21" s="1811"/>
      <c r="D21" s="1811"/>
    </row>
    <row r="22" spans="1:4" x14ac:dyDescent="0.2">
      <c r="A22" s="558" t="s">
        <v>2408</v>
      </c>
      <c r="B22" s="559"/>
      <c r="C22" s="559"/>
      <c r="D22" s="559"/>
    </row>
    <row r="23" spans="1:4" x14ac:dyDescent="0.2">
      <c r="A23" s="1812" t="s">
        <v>2409</v>
      </c>
      <c r="B23" s="1812"/>
      <c r="C23" s="1812"/>
      <c r="D23" s="1812"/>
    </row>
  </sheetData>
  <mergeCells count="8">
    <mergeCell ref="A21:D21"/>
    <mergeCell ref="A23:D23"/>
    <mergeCell ref="A1:D1"/>
    <mergeCell ref="A3:D4"/>
    <mergeCell ref="A5:D6"/>
    <mergeCell ref="A7:D7"/>
    <mergeCell ref="A8:A9"/>
    <mergeCell ref="B8:D8"/>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030A0"/>
  </sheetPr>
  <dimension ref="A1:U171"/>
  <sheetViews>
    <sheetView topLeftCell="E1" workbookViewId="0">
      <selection sqref="A1:D1"/>
    </sheetView>
  </sheetViews>
  <sheetFormatPr baseColWidth="10" defaultColWidth="11.42578125" defaultRowHeight="12" x14ac:dyDescent="0.25"/>
  <cols>
    <col min="1" max="1" width="49.5703125" style="526" customWidth="1"/>
    <col min="2" max="2" width="18.42578125" style="527" bestFit="1" customWidth="1"/>
    <col min="3" max="3" width="18.28515625" style="527" customWidth="1"/>
    <col min="4" max="5" width="16.85546875" style="487" customWidth="1"/>
    <col min="6" max="6" width="16" style="487" bestFit="1" customWidth="1"/>
    <col min="7" max="7" width="15.5703125" style="487" customWidth="1"/>
    <col min="8" max="8" width="16" style="487" bestFit="1" customWidth="1"/>
    <col min="9" max="9" width="17" style="487" customWidth="1"/>
    <col min="10" max="10" width="17" style="487" bestFit="1" customWidth="1"/>
    <col min="11" max="12" width="17" style="487" customWidth="1"/>
    <col min="13" max="13" width="15.5703125" style="487" customWidth="1"/>
    <col min="14" max="14" width="15.85546875" style="487" customWidth="1"/>
    <col min="15" max="15" width="11.28515625" style="487" customWidth="1"/>
    <col min="16" max="17" width="15.85546875" style="487" customWidth="1"/>
    <col min="18" max="18" width="11.42578125" style="487"/>
    <col min="19" max="19" width="15.5703125" style="528" customWidth="1"/>
    <col min="20" max="20" width="15.5703125" style="487" customWidth="1"/>
    <col min="21" max="21" width="14.28515625" style="487" customWidth="1"/>
    <col min="22" max="22" width="10.85546875" style="487" customWidth="1"/>
    <col min="23" max="23" width="45.42578125" style="487" customWidth="1"/>
    <col min="24" max="25" width="14.28515625" style="487" customWidth="1"/>
    <col min="26" max="257" width="11.42578125" style="487"/>
    <col min="258" max="258" width="49.5703125" style="487" customWidth="1"/>
    <col min="259" max="259" width="18.42578125" style="487" bestFit="1" customWidth="1"/>
    <col min="260" max="260" width="18.28515625" style="487" customWidth="1"/>
    <col min="261" max="262" width="16.85546875" style="487" customWidth="1"/>
    <col min="263" max="263" width="16" style="487" bestFit="1" customWidth="1"/>
    <col min="264" max="264" width="15.5703125" style="487" customWidth="1"/>
    <col min="265" max="265" width="16" style="487" bestFit="1" customWidth="1"/>
    <col min="266" max="266" width="17" style="487" customWidth="1"/>
    <col min="267" max="267" width="17" style="487" bestFit="1" customWidth="1"/>
    <col min="268" max="268" width="17" style="487" customWidth="1"/>
    <col min="269" max="269" width="15.5703125" style="487" customWidth="1"/>
    <col min="270" max="270" width="15.85546875" style="487" customWidth="1"/>
    <col min="271" max="271" width="11.28515625" style="487" customWidth="1"/>
    <col min="272" max="273" width="15.85546875" style="487" customWidth="1"/>
    <col min="274" max="274" width="11.42578125" style="487"/>
    <col min="275" max="276" width="15.5703125" style="487" customWidth="1"/>
    <col min="277" max="277" width="14.28515625" style="487" customWidth="1"/>
    <col min="278" max="278" width="10.85546875" style="487" customWidth="1"/>
    <col min="279" max="279" width="45.42578125" style="487" customWidth="1"/>
    <col min="280" max="281" width="14.28515625" style="487" customWidth="1"/>
    <col min="282" max="513" width="11.42578125" style="487"/>
    <col min="514" max="514" width="49.5703125" style="487" customWidth="1"/>
    <col min="515" max="515" width="18.42578125" style="487" bestFit="1" customWidth="1"/>
    <col min="516" max="516" width="18.28515625" style="487" customWidth="1"/>
    <col min="517" max="518" width="16.85546875" style="487" customWidth="1"/>
    <col min="519" max="519" width="16" style="487" bestFit="1" customWidth="1"/>
    <col min="520" max="520" width="15.5703125" style="487" customWidth="1"/>
    <col min="521" max="521" width="16" style="487" bestFit="1" customWidth="1"/>
    <col min="522" max="522" width="17" style="487" customWidth="1"/>
    <col min="523" max="523" width="17" style="487" bestFit="1" customWidth="1"/>
    <col min="524" max="524" width="17" style="487" customWidth="1"/>
    <col min="525" max="525" width="15.5703125" style="487" customWidth="1"/>
    <col min="526" max="526" width="15.85546875" style="487" customWidth="1"/>
    <col min="527" max="527" width="11.28515625" style="487" customWidth="1"/>
    <col min="528" max="529" width="15.85546875" style="487" customWidth="1"/>
    <col min="530" max="530" width="11.42578125" style="487"/>
    <col min="531" max="532" width="15.5703125" style="487" customWidth="1"/>
    <col min="533" max="533" width="14.28515625" style="487" customWidth="1"/>
    <col min="534" max="534" width="10.85546875" style="487" customWidth="1"/>
    <col min="535" max="535" width="45.42578125" style="487" customWidth="1"/>
    <col min="536" max="537" width="14.28515625" style="487" customWidth="1"/>
    <col min="538" max="769" width="11.42578125" style="487"/>
    <col min="770" max="770" width="49.5703125" style="487" customWidth="1"/>
    <col min="771" max="771" width="18.42578125" style="487" bestFit="1" customWidth="1"/>
    <col min="772" max="772" width="18.28515625" style="487" customWidth="1"/>
    <col min="773" max="774" width="16.85546875" style="487" customWidth="1"/>
    <col min="775" max="775" width="16" style="487" bestFit="1" customWidth="1"/>
    <col min="776" max="776" width="15.5703125" style="487" customWidth="1"/>
    <col min="777" max="777" width="16" style="487" bestFit="1" customWidth="1"/>
    <col min="778" max="778" width="17" style="487" customWidth="1"/>
    <col min="779" max="779" width="17" style="487" bestFit="1" customWidth="1"/>
    <col min="780" max="780" width="17" style="487" customWidth="1"/>
    <col min="781" max="781" width="15.5703125" style="487" customWidth="1"/>
    <col min="782" max="782" width="15.85546875" style="487" customWidth="1"/>
    <col min="783" max="783" width="11.28515625" style="487" customWidth="1"/>
    <col min="784" max="785" width="15.85546875" style="487" customWidth="1"/>
    <col min="786" max="786" width="11.42578125" style="487"/>
    <col min="787" max="788" width="15.5703125" style="487" customWidth="1"/>
    <col min="789" max="789" width="14.28515625" style="487" customWidth="1"/>
    <col min="790" max="790" width="10.85546875" style="487" customWidth="1"/>
    <col min="791" max="791" width="45.42578125" style="487" customWidth="1"/>
    <col min="792" max="793" width="14.28515625" style="487" customWidth="1"/>
    <col min="794" max="1025" width="11.42578125" style="487"/>
    <col min="1026" max="1026" width="49.5703125" style="487" customWidth="1"/>
    <col min="1027" max="1027" width="18.42578125" style="487" bestFit="1" customWidth="1"/>
    <col min="1028" max="1028" width="18.28515625" style="487" customWidth="1"/>
    <col min="1029" max="1030" width="16.85546875" style="487" customWidth="1"/>
    <col min="1031" max="1031" width="16" style="487" bestFit="1" customWidth="1"/>
    <col min="1032" max="1032" width="15.5703125" style="487" customWidth="1"/>
    <col min="1033" max="1033" width="16" style="487" bestFit="1" customWidth="1"/>
    <col min="1034" max="1034" width="17" style="487" customWidth="1"/>
    <col min="1035" max="1035" width="17" style="487" bestFit="1" customWidth="1"/>
    <col min="1036" max="1036" width="17" style="487" customWidth="1"/>
    <col min="1037" max="1037" width="15.5703125" style="487" customWidth="1"/>
    <col min="1038" max="1038" width="15.85546875" style="487" customWidth="1"/>
    <col min="1039" max="1039" width="11.28515625" style="487" customWidth="1"/>
    <col min="1040" max="1041" width="15.85546875" style="487" customWidth="1"/>
    <col min="1042" max="1042" width="11.42578125" style="487"/>
    <col min="1043" max="1044" width="15.5703125" style="487" customWidth="1"/>
    <col min="1045" max="1045" width="14.28515625" style="487" customWidth="1"/>
    <col min="1046" max="1046" width="10.85546875" style="487" customWidth="1"/>
    <col min="1047" max="1047" width="45.42578125" style="487" customWidth="1"/>
    <col min="1048" max="1049" width="14.28515625" style="487" customWidth="1"/>
    <col min="1050" max="1281" width="11.42578125" style="487"/>
    <col min="1282" max="1282" width="49.5703125" style="487" customWidth="1"/>
    <col min="1283" max="1283" width="18.42578125" style="487" bestFit="1" customWidth="1"/>
    <col min="1284" max="1284" width="18.28515625" style="487" customWidth="1"/>
    <col min="1285" max="1286" width="16.85546875" style="487" customWidth="1"/>
    <col min="1287" max="1287" width="16" style="487" bestFit="1" customWidth="1"/>
    <col min="1288" max="1288" width="15.5703125" style="487" customWidth="1"/>
    <col min="1289" max="1289" width="16" style="487" bestFit="1" customWidth="1"/>
    <col min="1290" max="1290" width="17" style="487" customWidth="1"/>
    <col min="1291" max="1291" width="17" style="487" bestFit="1" customWidth="1"/>
    <col min="1292" max="1292" width="17" style="487" customWidth="1"/>
    <col min="1293" max="1293" width="15.5703125" style="487" customWidth="1"/>
    <col min="1294" max="1294" width="15.85546875" style="487" customWidth="1"/>
    <col min="1295" max="1295" width="11.28515625" style="487" customWidth="1"/>
    <col min="1296" max="1297" width="15.85546875" style="487" customWidth="1"/>
    <col min="1298" max="1298" width="11.42578125" style="487"/>
    <col min="1299" max="1300" width="15.5703125" style="487" customWidth="1"/>
    <col min="1301" max="1301" width="14.28515625" style="487" customWidth="1"/>
    <col min="1302" max="1302" width="10.85546875" style="487" customWidth="1"/>
    <col min="1303" max="1303" width="45.42578125" style="487" customWidth="1"/>
    <col min="1304" max="1305" width="14.28515625" style="487" customWidth="1"/>
    <col min="1306" max="1537" width="11.42578125" style="487"/>
    <col min="1538" max="1538" width="49.5703125" style="487" customWidth="1"/>
    <col min="1539" max="1539" width="18.42578125" style="487" bestFit="1" customWidth="1"/>
    <col min="1540" max="1540" width="18.28515625" style="487" customWidth="1"/>
    <col min="1541" max="1542" width="16.85546875" style="487" customWidth="1"/>
    <col min="1543" max="1543" width="16" style="487" bestFit="1" customWidth="1"/>
    <col min="1544" max="1544" width="15.5703125" style="487" customWidth="1"/>
    <col min="1545" max="1545" width="16" style="487" bestFit="1" customWidth="1"/>
    <col min="1546" max="1546" width="17" style="487" customWidth="1"/>
    <col min="1547" max="1547" width="17" style="487" bestFit="1" customWidth="1"/>
    <col min="1548" max="1548" width="17" style="487" customWidth="1"/>
    <col min="1549" max="1549" width="15.5703125" style="487" customWidth="1"/>
    <col min="1550" max="1550" width="15.85546875" style="487" customWidth="1"/>
    <col min="1551" max="1551" width="11.28515625" style="487" customWidth="1"/>
    <col min="1552" max="1553" width="15.85546875" style="487" customWidth="1"/>
    <col min="1554" max="1554" width="11.42578125" style="487"/>
    <col min="1555" max="1556" width="15.5703125" style="487" customWidth="1"/>
    <col min="1557" max="1557" width="14.28515625" style="487" customWidth="1"/>
    <col min="1558" max="1558" width="10.85546875" style="487" customWidth="1"/>
    <col min="1559" max="1559" width="45.42578125" style="487" customWidth="1"/>
    <col min="1560" max="1561" width="14.28515625" style="487" customWidth="1"/>
    <col min="1562" max="1793" width="11.42578125" style="487"/>
    <col min="1794" max="1794" width="49.5703125" style="487" customWidth="1"/>
    <col min="1795" max="1795" width="18.42578125" style="487" bestFit="1" customWidth="1"/>
    <col min="1796" max="1796" width="18.28515625" style="487" customWidth="1"/>
    <col min="1797" max="1798" width="16.85546875" style="487" customWidth="1"/>
    <col min="1799" max="1799" width="16" style="487" bestFit="1" customWidth="1"/>
    <col min="1800" max="1800" width="15.5703125" style="487" customWidth="1"/>
    <col min="1801" max="1801" width="16" style="487" bestFit="1" customWidth="1"/>
    <col min="1802" max="1802" width="17" style="487" customWidth="1"/>
    <col min="1803" max="1803" width="17" style="487" bestFit="1" customWidth="1"/>
    <col min="1804" max="1804" width="17" style="487" customWidth="1"/>
    <col min="1805" max="1805" width="15.5703125" style="487" customWidth="1"/>
    <col min="1806" max="1806" width="15.85546875" style="487" customWidth="1"/>
    <col min="1807" max="1807" width="11.28515625" style="487" customWidth="1"/>
    <col min="1808" max="1809" width="15.85546875" style="487" customWidth="1"/>
    <col min="1810" max="1810" width="11.42578125" style="487"/>
    <col min="1811" max="1812" width="15.5703125" style="487" customWidth="1"/>
    <col min="1813" max="1813" width="14.28515625" style="487" customWidth="1"/>
    <col min="1814" max="1814" width="10.85546875" style="487" customWidth="1"/>
    <col min="1815" max="1815" width="45.42578125" style="487" customWidth="1"/>
    <col min="1816" max="1817" width="14.28515625" style="487" customWidth="1"/>
    <col min="1818" max="2049" width="11.42578125" style="487"/>
    <col min="2050" max="2050" width="49.5703125" style="487" customWidth="1"/>
    <col min="2051" max="2051" width="18.42578125" style="487" bestFit="1" customWidth="1"/>
    <col min="2052" max="2052" width="18.28515625" style="487" customWidth="1"/>
    <col min="2053" max="2054" width="16.85546875" style="487" customWidth="1"/>
    <col min="2055" max="2055" width="16" style="487" bestFit="1" customWidth="1"/>
    <col min="2056" max="2056" width="15.5703125" style="487" customWidth="1"/>
    <col min="2057" max="2057" width="16" style="487" bestFit="1" customWidth="1"/>
    <col min="2058" max="2058" width="17" style="487" customWidth="1"/>
    <col min="2059" max="2059" width="17" style="487" bestFit="1" customWidth="1"/>
    <col min="2060" max="2060" width="17" style="487" customWidth="1"/>
    <col min="2061" max="2061" width="15.5703125" style="487" customWidth="1"/>
    <col min="2062" max="2062" width="15.85546875" style="487" customWidth="1"/>
    <col min="2063" max="2063" width="11.28515625" style="487" customWidth="1"/>
    <col min="2064" max="2065" width="15.85546875" style="487" customWidth="1"/>
    <col min="2066" max="2066" width="11.42578125" style="487"/>
    <col min="2067" max="2068" width="15.5703125" style="487" customWidth="1"/>
    <col min="2069" max="2069" width="14.28515625" style="487" customWidth="1"/>
    <col min="2070" max="2070" width="10.85546875" style="487" customWidth="1"/>
    <col min="2071" max="2071" width="45.42578125" style="487" customWidth="1"/>
    <col min="2072" max="2073" width="14.28515625" style="487" customWidth="1"/>
    <col min="2074" max="2305" width="11.42578125" style="487"/>
    <col min="2306" max="2306" width="49.5703125" style="487" customWidth="1"/>
    <col min="2307" max="2307" width="18.42578125" style="487" bestFit="1" customWidth="1"/>
    <col min="2308" max="2308" width="18.28515625" style="487" customWidth="1"/>
    <col min="2309" max="2310" width="16.85546875" style="487" customWidth="1"/>
    <col min="2311" max="2311" width="16" style="487" bestFit="1" customWidth="1"/>
    <col min="2312" max="2312" width="15.5703125" style="487" customWidth="1"/>
    <col min="2313" max="2313" width="16" style="487" bestFit="1" customWidth="1"/>
    <col min="2314" max="2314" width="17" style="487" customWidth="1"/>
    <col min="2315" max="2315" width="17" style="487" bestFit="1" customWidth="1"/>
    <col min="2316" max="2316" width="17" style="487" customWidth="1"/>
    <col min="2317" max="2317" width="15.5703125" style="487" customWidth="1"/>
    <col min="2318" max="2318" width="15.85546875" style="487" customWidth="1"/>
    <col min="2319" max="2319" width="11.28515625" style="487" customWidth="1"/>
    <col min="2320" max="2321" width="15.85546875" style="487" customWidth="1"/>
    <col min="2322" max="2322" width="11.42578125" style="487"/>
    <col min="2323" max="2324" width="15.5703125" style="487" customWidth="1"/>
    <col min="2325" max="2325" width="14.28515625" style="487" customWidth="1"/>
    <col min="2326" max="2326" width="10.85546875" style="487" customWidth="1"/>
    <col min="2327" max="2327" width="45.42578125" style="487" customWidth="1"/>
    <col min="2328" max="2329" width="14.28515625" style="487" customWidth="1"/>
    <col min="2330" max="2561" width="11.42578125" style="487"/>
    <col min="2562" max="2562" width="49.5703125" style="487" customWidth="1"/>
    <col min="2563" max="2563" width="18.42578125" style="487" bestFit="1" customWidth="1"/>
    <col min="2564" max="2564" width="18.28515625" style="487" customWidth="1"/>
    <col min="2565" max="2566" width="16.85546875" style="487" customWidth="1"/>
    <col min="2567" max="2567" width="16" style="487" bestFit="1" customWidth="1"/>
    <col min="2568" max="2568" width="15.5703125" style="487" customWidth="1"/>
    <col min="2569" max="2569" width="16" style="487" bestFit="1" customWidth="1"/>
    <col min="2570" max="2570" width="17" style="487" customWidth="1"/>
    <col min="2571" max="2571" width="17" style="487" bestFit="1" customWidth="1"/>
    <col min="2572" max="2572" width="17" style="487" customWidth="1"/>
    <col min="2573" max="2573" width="15.5703125" style="487" customWidth="1"/>
    <col min="2574" max="2574" width="15.85546875" style="487" customWidth="1"/>
    <col min="2575" max="2575" width="11.28515625" style="487" customWidth="1"/>
    <col min="2576" max="2577" width="15.85546875" style="487" customWidth="1"/>
    <col min="2578" max="2578" width="11.42578125" style="487"/>
    <col min="2579" max="2580" width="15.5703125" style="487" customWidth="1"/>
    <col min="2581" max="2581" width="14.28515625" style="487" customWidth="1"/>
    <col min="2582" max="2582" width="10.85546875" style="487" customWidth="1"/>
    <col min="2583" max="2583" width="45.42578125" style="487" customWidth="1"/>
    <col min="2584" max="2585" width="14.28515625" style="487" customWidth="1"/>
    <col min="2586" max="2817" width="11.42578125" style="487"/>
    <col min="2818" max="2818" width="49.5703125" style="487" customWidth="1"/>
    <col min="2819" max="2819" width="18.42578125" style="487" bestFit="1" customWidth="1"/>
    <col min="2820" max="2820" width="18.28515625" style="487" customWidth="1"/>
    <col min="2821" max="2822" width="16.85546875" style="487" customWidth="1"/>
    <col min="2823" max="2823" width="16" style="487" bestFit="1" customWidth="1"/>
    <col min="2824" max="2824" width="15.5703125" style="487" customWidth="1"/>
    <col min="2825" max="2825" width="16" style="487" bestFit="1" customWidth="1"/>
    <col min="2826" max="2826" width="17" style="487" customWidth="1"/>
    <col min="2827" max="2827" width="17" style="487" bestFit="1" customWidth="1"/>
    <col min="2828" max="2828" width="17" style="487" customWidth="1"/>
    <col min="2829" max="2829" width="15.5703125" style="487" customWidth="1"/>
    <col min="2830" max="2830" width="15.85546875" style="487" customWidth="1"/>
    <col min="2831" max="2831" width="11.28515625" style="487" customWidth="1"/>
    <col min="2832" max="2833" width="15.85546875" style="487" customWidth="1"/>
    <col min="2834" max="2834" width="11.42578125" style="487"/>
    <col min="2835" max="2836" width="15.5703125" style="487" customWidth="1"/>
    <col min="2837" max="2837" width="14.28515625" style="487" customWidth="1"/>
    <col min="2838" max="2838" width="10.85546875" style="487" customWidth="1"/>
    <col min="2839" max="2839" width="45.42578125" style="487" customWidth="1"/>
    <col min="2840" max="2841" width="14.28515625" style="487" customWidth="1"/>
    <col min="2842" max="3073" width="11.42578125" style="487"/>
    <col min="3074" max="3074" width="49.5703125" style="487" customWidth="1"/>
    <col min="3075" max="3075" width="18.42578125" style="487" bestFit="1" customWidth="1"/>
    <col min="3076" max="3076" width="18.28515625" style="487" customWidth="1"/>
    <col min="3077" max="3078" width="16.85546875" style="487" customWidth="1"/>
    <col min="3079" max="3079" width="16" style="487" bestFit="1" customWidth="1"/>
    <col min="3080" max="3080" width="15.5703125" style="487" customWidth="1"/>
    <col min="3081" max="3081" width="16" style="487" bestFit="1" customWidth="1"/>
    <col min="3082" max="3082" width="17" style="487" customWidth="1"/>
    <col min="3083" max="3083" width="17" style="487" bestFit="1" customWidth="1"/>
    <col min="3084" max="3084" width="17" style="487" customWidth="1"/>
    <col min="3085" max="3085" width="15.5703125" style="487" customWidth="1"/>
    <col min="3086" max="3086" width="15.85546875" style="487" customWidth="1"/>
    <col min="3087" max="3087" width="11.28515625" style="487" customWidth="1"/>
    <col min="3088" max="3089" width="15.85546875" style="487" customWidth="1"/>
    <col min="3090" max="3090" width="11.42578125" style="487"/>
    <col min="3091" max="3092" width="15.5703125" style="487" customWidth="1"/>
    <col min="3093" max="3093" width="14.28515625" style="487" customWidth="1"/>
    <col min="3094" max="3094" width="10.85546875" style="487" customWidth="1"/>
    <col min="3095" max="3095" width="45.42578125" style="487" customWidth="1"/>
    <col min="3096" max="3097" width="14.28515625" style="487" customWidth="1"/>
    <col min="3098" max="3329" width="11.42578125" style="487"/>
    <col min="3330" max="3330" width="49.5703125" style="487" customWidth="1"/>
    <col min="3331" max="3331" width="18.42578125" style="487" bestFit="1" customWidth="1"/>
    <col min="3332" max="3332" width="18.28515625" style="487" customWidth="1"/>
    <col min="3333" max="3334" width="16.85546875" style="487" customWidth="1"/>
    <col min="3335" max="3335" width="16" style="487" bestFit="1" customWidth="1"/>
    <col min="3336" max="3336" width="15.5703125" style="487" customWidth="1"/>
    <col min="3337" max="3337" width="16" style="487" bestFit="1" customWidth="1"/>
    <col min="3338" max="3338" width="17" style="487" customWidth="1"/>
    <col min="3339" max="3339" width="17" style="487" bestFit="1" customWidth="1"/>
    <col min="3340" max="3340" width="17" style="487" customWidth="1"/>
    <col min="3341" max="3341" width="15.5703125" style="487" customWidth="1"/>
    <col min="3342" max="3342" width="15.85546875" style="487" customWidth="1"/>
    <col min="3343" max="3343" width="11.28515625" style="487" customWidth="1"/>
    <col min="3344" max="3345" width="15.85546875" style="487" customWidth="1"/>
    <col min="3346" max="3346" width="11.42578125" style="487"/>
    <col min="3347" max="3348" width="15.5703125" style="487" customWidth="1"/>
    <col min="3349" max="3349" width="14.28515625" style="487" customWidth="1"/>
    <col min="3350" max="3350" width="10.85546875" style="487" customWidth="1"/>
    <col min="3351" max="3351" width="45.42578125" style="487" customWidth="1"/>
    <col min="3352" max="3353" width="14.28515625" style="487" customWidth="1"/>
    <col min="3354" max="3585" width="11.42578125" style="487"/>
    <col min="3586" max="3586" width="49.5703125" style="487" customWidth="1"/>
    <col min="3587" max="3587" width="18.42578125" style="487" bestFit="1" customWidth="1"/>
    <col min="3588" max="3588" width="18.28515625" style="487" customWidth="1"/>
    <col min="3589" max="3590" width="16.85546875" style="487" customWidth="1"/>
    <col min="3591" max="3591" width="16" style="487" bestFit="1" customWidth="1"/>
    <col min="3592" max="3592" width="15.5703125" style="487" customWidth="1"/>
    <col min="3593" max="3593" width="16" style="487" bestFit="1" customWidth="1"/>
    <col min="3594" max="3594" width="17" style="487" customWidth="1"/>
    <col min="3595" max="3595" width="17" style="487" bestFit="1" customWidth="1"/>
    <col min="3596" max="3596" width="17" style="487" customWidth="1"/>
    <col min="3597" max="3597" width="15.5703125" style="487" customWidth="1"/>
    <col min="3598" max="3598" width="15.85546875" style="487" customWidth="1"/>
    <col min="3599" max="3599" width="11.28515625" style="487" customWidth="1"/>
    <col min="3600" max="3601" width="15.85546875" style="487" customWidth="1"/>
    <col min="3602" max="3602" width="11.42578125" style="487"/>
    <col min="3603" max="3604" width="15.5703125" style="487" customWidth="1"/>
    <col min="3605" max="3605" width="14.28515625" style="487" customWidth="1"/>
    <col min="3606" max="3606" width="10.85546875" style="487" customWidth="1"/>
    <col min="3607" max="3607" width="45.42578125" style="487" customWidth="1"/>
    <col min="3608" max="3609" width="14.28515625" style="487" customWidth="1"/>
    <col min="3610" max="3841" width="11.42578125" style="487"/>
    <col min="3842" max="3842" width="49.5703125" style="487" customWidth="1"/>
    <col min="3843" max="3843" width="18.42578125" style="487" bestFit="1" customWidth="1"/>
    <col min="3844" max="3844" width="18.28515625" style="487" customWidth="1"/>
    <col min="3845" max="3846" width="16.85546875" style="487" customWidth="1"/>
    <col min="3847" max="3847" width="16" style="487" bestFit="1" customWidth="1"/>
    <col min="3848" max="3848" width="15.5703125" style="487" customWidth="1"/>
    <col min="3849" max="3849" width="16" style="487" bestFit="1" customWidth="1"/>
    <col min="3850" max="3850" width="17" style="487" customWidth="1"/>
    <col min="3851" max="3851" width="17" style="487" bestFit="1" customWidth="1"/>
    <col min="3852" max="3852" width="17" style="487" customWidth="1"/>
    <col min="3853" max="3853" width="15.5703125" style="487" customWidth="1"/>
    <col min="3854" max="3854" width="15.85546875" style="487" customWidth="1"/>
    <col min="3855" max="3855" width="11.28515625" style="487" customWidth="1"/>
    <col min="3856" max="3857" width="15.85546875" style="487" customWidth="1"/>
    <col min="3858" max="3858" width="11.42578125" style="487"/>
    <col min="3859" max="3860" width="15.5703125" style="487" customWidth="1"/>
    <col min="3861" max="3861" width="14.28515625" style="487" customWidth="1"/>
    <col min="3862" max="3862" width="10.85546875" style="487" customWidth="1"/>
    <col min="3863" max="3863" width="45.42578125" style="487" customWidth="1"/>
    <col min="3864" max="3865" width="14.28515625" style="487" customWidth="1"/>
    <col min="3866" max="4097" width="11.42578125" style="487"/>
    <col min="4098" max="4098" width="49.5703125" style="487" customWidth="1"/>
    <col min="4099" max="4099" width="18.42578125" style="487" bestFit="1" customWidth="1"/>
    <col min="4100" max="4100" width="18.28515625" style="487" customWidth="1"/>
    <col min="4101" max="4102" width="16.85546875" style="487" customWidth="1"/>
    <col min="4103" max="4103" width="16" style="487" bestFit="1" customWidth="1"/>
    <col min="4104" max="4104" width="15.5703125" style="487" customWidth="1"/>
    <col min="4105" max="4105" width="16" style="487" bestFit="1" customWidth="1"/>
    <col min="4106" max="4106" width="17" style="487" customWidth="1"/>
    <col min="4107" max="4107" width="17" style="487" bestFit="1" customWidth="1"/>
    <col min="4108" max="4108" width="17" style="487" customWidth="1"/>
    <col min="4109" max="4109" width="15.5703125" style="487" customWidth="1"/>
    <col min="4110" max="4110" width="15.85546875" style="487" customWidth="1"/>
    <col min="4111" max="4111" width="11.28515625" style="487" customWidth="1"/>
    <col min="4112" max="4113" width="15.85546875" style="487" customWidth="1"/>
    <col min="4114" max="4114" width="11.42578125" style="487"/>
    <col min="4115" max="4116" width="15.5703125" style="487" customWidth="1"/>
    <col min="4117" max="4117" width="14.28515625" style="487" customWidth="1"/>
    <col min="4118" max="4118" width="10.85546875" style="487" customWidth="1"/>
    <col min="4119" max="4119" width="45.42578125" style="487" customWidth="1"/>
    <col min="4120" max="4121" width="14.28515625" style="487" customWidth="1"/>
    <col min="4122" max="4353" width="11.42578125" style="487"/>
    <col min="4354" max="4354" width="49.5703125" style="487" customWidth="1"/>
    <col min="4355" max="4355" width="18.42578125" style="487" bestFit="1" customWidth="1"/>
    <col min="4356" max="4356" width="18.28515625" style="487" customWidth="1"/>
    <col min="4357" max="4358" width="16.85546875" style="487" customWidth="1"/>
    <col min="4359" max="4359" width="16" style="487" bestFit="1" customWidth="1"/>
    <col min="4360" max="4360" width="15.5703125" style="487" customWidth="1"/>
    <col min="4361" max="4361" width="16" style="487" bestFit="1" customWidth="1"/>
    <col min="4362" max="4362" width="17" style="487" customWidth="1"/>
    <col min="4363" max="4363" width="17" style="487" bestFit="1" customWidth="1"/>
    <col min="4364" max="4364" width="17" style="487" customWidth="1"/>
    <col min="4365" max="4365" width="15.5703125" style="487" customWidth="1"/>
    <col min="4366" max="4366" width="15.85546875" style="487" customWidth="1"/>
    <col min="4367" max="4367" width="11.28515625" style="487" customWidth="1"/>
    <col min="4368" max="4369" width="15.85546875" style="487" customWidth="1"/>
    <col min="4370" max="4370" width="11.42578125" style="487"/>
    <col min="4371" max="4372" width="15.5703125" style="487" customWidth="1"/>
    <col min="4373" max="4373" width="14.28515625" style="487" customWidth="1"/>
    <col min="4374" max="4374" width="10.85546875" style="487" customWidth="1"/>
    <col min="4375" max="4375" width="45.42578125" style="487" customWidth="1"/>
    <col min="4376" max="4377" width="14.28515625" style="487" customWidth="1"/>
    <col min="4378" max="4609" width="11.42578125" style="487"/>
    <col min="4610" max="4610" width="49.5703125" style="487" customWidth="1"/>
    <col min="4611" max="4611" width="18.42578125" style="487" bestFit="1" customWidth="1"/>
    <col min="4612" max="4612" width="18.28515625" style="487" customWidth="1"/>
    <col min="4613" max="4614" width="16.85546875" style="487" customWidth="1"/>
    <col min="4615" max="4615" width="16" style="487" bestFit="1" customWidth="1"/>
    <col min="4616" max="4616" width="15.5703125" style="487" customWidth="1"/>
    <col min="4617" max="4617" width="16" style="487" bestFit="1" customWidth="1"/>
    <col min="4618" max="4618" width="17" style="487" customWidth="1"/>
    <col min="4619" max="4619" width="17" style="487" bestFit="1" customWidth="1"/>
    <col min="4620" max="4620" width="17" style="487" customWidth="1"/>
    <col min="4621" max="4621" width="15.5703125" style="487" customWidth="1"/>
    <col min="4622" max="4622" width="15.85546875" style="487" customWidth="1"/>
    <col min="4623" max="4623" width="11.28515625" style="487" customWidth="1"/>
    <col min="4624" max="4625" width="15.85546875" style="487" customWidth="1"/>
    <col min="4626" max="4626" width="11.42578125" style="487"/>
    <col min="4627" max="4628" width="15.5703125" style="487" customWidth="1"/>
    <col min="4629" max="4629" width="14.28515625" style="487" customWidth="1"/>
    <col min="4630" max="4630" width="10.85546875" style="487" customWidth="1"/>
    <col min="4631" max="4631" width="45.42578125" style="487" customWidth="1"/>
    <col min="4632" max="4633" width="14.28515625" style="487" customWidth="1"/>
    <col min="4634" max="4865" width="11.42578125" style="487"/>
    <col min="4866" max="4866" width="49.5703125" style="487" customWidth="1"/>
    <col min="4867" max="4867" width="18.42578125" style="487" bestFit="1" customWidth="1"/>
    <col min="4868" max="4868" width="18.28515625" style="487" customWidth="1"/>
    <col min="4869" max="4870" width="16.85546875" style="487" customWidth="1"/>
    <col min="4871" max="4871" width="16" style="487" bestFit="1" customWidth="1"/>
    <col min="4872" max="4872" width="15.5703125" style="487" customWidth="1"/>
    <col min="4873" max="4873" width="16" style="487" bestFit="1" customWidth="1"/>
    <col min="4874" max="4874" width="17" style="487" customWidth="1"/>
    <col min="4875" max="4875" width="17" style="487" bestFit="1" customWidth="1"/>
    <col min="4876" max="4876" width="17" style="487" customWidth="1"/>
    <col min="4877" max="4877" width="15.5703125" style="487" customWidth="1"/>
    <col min="4878" max="4878" width="15.85546875" style="487" customWidth="1"/>
    <col min="4879" max="4879" width="11.28515625" style="487" customWidth="1"/>
    <col min="4880" max="4881" width="15.85546875" style="487" customWidth="1"/>
    <col min="4882" max="4882" width="11.42578125" style="487"/>
    <col min="4883" max="4884" width="15.5703125" style="487" customWidth="1"/>
    <col min="4885" max="4885" width="14.28515625" style="487" customWidth="1"/>
    <col min="4886" max="4886" width="10.85546875" style="487" customWidth="1"/>
    <col min="4887" max="4887" width="45.42578125" style="487" customWidth="1"/>
    <col min="4888" max="4889" width="14.28515625" style="487" customWidth="1"/>
    <col min="4890" max="5121" width="11.42578125" style="487"/>
    <col min="5122" max="5122" width="49.5703125" style="487" customWidth="1"/>
    <col min="5123" max="5123" width="18.42578125" style="487" bestFit="1" customWidth="1"/>
    <col min="5124" max="5124" width="18.28515625" style="487" customWidth="1"/>
    <col min="5125" max="5126" width="16.85546875" style="487" customWidth="1"/>
    <col min="5127" max="5127" width="16" style="487" bestFit="1" customWidth="1"/>
    <col min="5128" max="5128" width="15.5703125" style="487" customWidth="1"/>
    <col min="5129" max="5129" width="16" style="487" bestFit="1" customWidth="1"/>
    <col min="5130" max="5130" width="17" style="487" customWidth="1"/>
    <col min="5131" max="5131" width="17" style="487" bestFit="1" customWidth="1"/>
    <col min="5132" max="5132" width="17" style="487" customWidth="1"/>
    <col min="5133" max="5133" width="15.5703125" style="487" customWidth="1"/>
    <col min="5134" max="5134" width="15.85546875" style="487" customWidth="1"/>
    <col min="5135" max="5135" width="11.28515625" style="487" customWidth="1"/>
    <col min="5136" max="5137" width="15.85546875" style="487" customWidth="1"/>
    <col min="5138" max="5138" width="11.42578125" style="487"/>
    <col min="5139" max="5140" width="15.5703125" style="487" customWidth="1"/>
    <col min="5141" max="5141" width="14.28515625" style="487" customWidth="1"/>
    <col min="5142" max="5142" width="10.85546875" style="487" customWidth="1"/>
    <col min="5143" max="5143" width="45.42578125" style="487" customWidth="1"/>
    <col min="5144" max="5145" width="14.28515625" style="487" customWidth="1"/>
    <col min="5146" max="5377" width="11.42578125" style="487"/>
    <col min="5378" max="5378" width="49.5703125" style="487" customWidth="1"/>
    <col min="5379" max="5379" width="18.42578125" style="487" bestFit="1" customWidth="1"/>
    <col min="5380" max="5380" width="18.28515625" style="487" customWidth="1"/>
    <col min="5381" max="5382" width="16.85546875" style="487" customWidth="1"/>
    <col min="5383" max="5383" width="16" style="487" bestFit="1" customWidth="1"/>
    <col min="5384" max="5384" width="15.5703125" style="487" customWidth="1"/>
    <col min="5385" max="5385" width="16" style="487" bestFit="1" customWidth="1"/>
    <col min="5386" max="5386" width="17" style="487" customWidth="1"/>
    <col min="5387" max="5387" width="17" style="487" bestFit="1" customWidth="1"/>
    <col min="5388" max="5388" width="17" style="487" customWidth="1"/>
    <col min="5389" max="5389" width="15.5703125" style="487" customWidth="1"/>
    <col min="5390" max="5390" width="15.85546875" style="487" customWidth="1"/>
    <col min="5391" max="5391" width="11.28515625" style="487" customWidth="1"/>
    <col min="5392" max="5393" width="15.85546875" style="487" customWidth="1"/>
    <col min="5394" max="5394" width="11.42578125" style="487"/>
    <col min="5395" max="5396" width="15.5703125" style="487" customWidth="1"/>
    <col min="5397" max="5397" width="14.28515625" style="487" customWidth="1"/>
    <col min="5398" max="5398" width="10.85546875" style="487" customWidth="1"/>
    <col min="5399" max="5399" width="45.42578125" style="487" customWidth="1"/>
    <col min="5400" max="5401" width="14.28515625" style="487" customWidth="1"/>
    <col min="5402" max="5633" width="11.42578125" style="487"/>
    <col min="5634" max="5634" width="49.5703125" style="487" customWidth="1"/>
    <col min="5635" max="5635" width="18.42578125" style="487" bestFit="1" customWidth="1"/>
    <col min="5636" max="5636" width="18.28515625" style="487" customWidth="1"/>
    <col min="5637" max="5638" width="16.85546875" style="487" customWidth="1"/>
    <col min="5639" max="5639" width="16" style="487" bestFit="1" customWidth="1"/>
    <col min="5640" max="5640" width="15.5703125" style="487" customWidth="1"/>
    <col min="5641" max="5641" width="16" style="487" bestFit="1" customWidth="1"/>
    <col min="5642" max="5642" width="17" style="487" customWidth="1"/>
    <col min="5643" max="5643" width="17" style="487" bestFit="1" customWidth="1"/>
    <col min="5644" max="5644" width="17" style="487" customWidth="1"/>
    <col min="5645" max="5645" width="15.5703125" style="487" customWidth="1"/>
    <col min="5646" max="5646" width="15.85546875" style="487" customWidth="1"/>
    <col min="5647" max="5647" width="11.28515625" style="487" customWidth="1"/>
    <col min="5648" max="5649" width="15.85546875" style="487" customWidth="1"/>
    <col min="5650" max="5650" width="11.42578125" style="487"/>
    <col min="5651" max="5652" width="15.5703125" style="487" customWidth="1"/>
    <col min="5653" max="5653" width="14.28515625" style="487" customWidth="1"/>
    <col min="5654" max="5654" width="10.85546875" style="487" customWidth="1"/>
    <col min="5655" max="5655" width="45.42578125" style="487" customWidth="1"/>
    <col min="5656" max="5657" width="14.28515625" style="487" customWidth="1"/>
    <col min="5658" max="5889" width="11.42578125" style="487"/>
    <col min="5890" max="5890" width="49.5703125" style="487" customWidth="1"/>
    <col min="5891" max="5891" width="18.42578125" style="487" bestFit="1" customWidth="1"/>
    <col min="5892" max="5892" width="18.28515625" style="487" customWidth="1"/>
    <col min="5893" max="5894" width="16.85546875" style="487" customWidth="1"/>
    <col min="5895" max="5895" width="16" style="487" bestFit="1" customWidth="1"/>
    <col min="5896" max="5896" width="15.5703125" style="487" customWidth="1"/>
    <col min="5897" max="5897" width="16" style="487" bestFit="1" customWidth="1"/>
    <col min="5898" max="5898" width="17" style="487" customWidth="1"/>
    <col min="5899" max="5899" width="17" style="487" bestFit="1" customWidth="1"/>
    <col min="5900" max="5900" width="17" style="487" customWidth="1"/>
    <col min="5901" max="5901" width="15.5703125" style="487" customWidth="1"/>
    <col min="5902" max="5902" width="15.85546875" style="487" customWidth="1"/>
    <col min="5903" max="5903" width="11.28515625" style="487" customWidth="1"/>
    <col min="5904" max="5905" width="15.85546875" style="487" customWidth="1"/>
    <col min="5906" max="5906" width="11.42578125" style="487"/>
    <col min="5907" max="5908" width="15.5703125" style="487" customWidth="1"/>
    <col min="5909" max="5909" width="14.28515625" style="487" customWidth="1"/>
    <col min="5910" max="5910" width="10.85546875" style="487" customWidth="1"/>
    <col min="5911" max="5911" width="45.42578125" style="487" customWidth="1"/>
    <col min="5912" max="5913" width="14.28515625" style="487" customWidth="1"/>
    <col min="5914" max="6145" width="11.42578125" style="487"/>
    <col min="6146" max="6146" width="49.5703125" style="487" customWidth="1"/>
    <col min="6147" max="6147" width="18.42578125" style="487" bestFit="1" customWidth="1"/>
    <col min="6148" max="6148" width="18.28515625" style="487" customWidth="1"/>
    <col min="6149" max="6150" width="16.85546875" style="487" customWidth="1"/>
    <col min="6151" max="6151" width="16" style="487" bestFit="1" customWidth="1"/>
    <col min="6152" max="6152" width="15.5703125" style="487" customWidth="1"/>
    <col min="6153" max="6153" width="16" style="487" bestFit="1" customWidth="1"/>
    <col min="6154" max="6154" width="17" style="487" customWidth="1"/>
    <col min="6155" max="6155" width="17" style="487" bestFit="1" customWidth="1"/>
    <col min="6156" max="6156" width="17" style="487" customWidth="1"/>
    <col min="6157" max="6157" width="15.5703125" style="487" customWidth="1"/>
    <col min="6158" max="6158" width="15.85546875" style="487" customWidth="1"/>
    <col min="6159" max="6159" width="11.28515625" style="487" customWidth="1"/>
    <col min="6160" max="6161" width="15.85546875" style="487" customWidth="1"/>
    <col min="6162" max="6162" width="11.42578125" style="487"/>
    <col min="6163" max="6164" width="15.5703125" style="487" customWidth="1"/>
    <col min="6165" max="6165" width="14.28515625" style="487" customWidth="1"/>
    <col min="6166" max="6166" width="10.85546875" style="487" customWidth="1"/>
    <col min="6167" max="6167" width="45.42578125" style="487" customWidth="1"/>
    <col min="6168" max="6169" width="14.28515625" style="487" customWidth="1"/>
    <col min="6170" max="6401" width="11.42578125" style="487"/>
    <col min="6402" max="6402" width="49.5703125" style="487" customWidth="1"/>
    <col min="6403" max="6403" width="18.42578125" style="487" bestFit="1" customWidth="1"/>
    <col min="6404" max="6404" width="18.28515625" style="487" customWidth="1"/>
    <col min="6405" max="6406" width="16.85546875" style="487" customWidth="1"/>
    <col min="6407" max="6407" width="16" style="487" bestFit="1" customWidth="1"/>
    <col min="6408" max="6408" width="15.5703125" style="487" customWidth="1"/>
    <col min="6409" max="6409" width="16" style="487" bestFit="1" customWidth="1"/>
    <col min="6410" max="6410" width="17" style="487" customWidth="1"/>
    <col min="6411" max="6411" width="17" style="487" bestFit="1" customWidth="1"/>
    <col min="6412" max="6412" width="17" style="487" customWidth="1"/>
    <col min="6413" max="6413" width="15.5703125" style="487" customWidth="1"/>
    <col min="6414" max="6414" width="15.85546875" style="487" customWidth="1"/>
    <col min="6415" max="6415" width="11.28515625" style="487" customWidth="1"/>
    <col min="6416" max="6417" width="15.85546875" style="487" customWidth="1"/>
    <col min="6418" max="6418" width="11.42578125" style="487"/>
    <col min="6419" max="6420" width="15.5703125" style="487" customWidth="1"/>
    <col min="6421" max="6421" width="14.28515625" style="487" customWidth="1"/>
    <col min="6422" max="6422" width="10.85546875" style="487" customWidth="1"/>
    <col min="6423" max="6423" width="45.42578125" style="487" customWidth="1"/>
    <col min="6424" max="6425" width="14.28515625" style="487" customWidth="1"/>
    <col min="6426" max="6657" width="11.42578125" style="487"/>
    <col min="6658" max="6658" width="49.5703125" style="487" customWidth="1"/>
    <col min="6659" max="6659" width="18.42578125" style="487" bestFit="1" customWidth="1"/>
    <col min="6660" max="6660" width="18.28515625" style="487" customWidth="1"/>
    <col min="6661" max="6662" width="16.85546875" style="487" customWidth="1"/>
    <col min="6663" max="6663" width="16" style="487" bestFit="1" customWidth="1"/>
    <col min="6664" max="6664" width="15.5703125" style="487" customWidth="1"/>
    <col min="6665" max="6665" width="16" style="487" bestFit="1" customWidth="1"/>
    <col min="6666" max="6666" width="17" style="487" customWidth="1"/>
    <col min="6667" max="6667" width="17" style="487" bestFit="1" customWidth="1"/>
    <col min="6668" max="6668" width="17" style="487" customWidth="1"/>
    <col min="6669" max="6669" width="15.5703125" style="487" customWidth="1"/>
    <col min="6670" max="6670" width="15.85546875" style="487" customWidth="1"/>
    <col min="6671" max="6671" width="11.28515625" style="487" customWidth="1"/>
    <col min="6672" max="6673" width="15.85546875" style="487" customWidth="1"/>
    <col min="6674" max="6674" width="11.42578125" style="487"/>
    <col min="6675" max="6676" width="15.5703125" style="487" customWidth="1"/>
    <col min="6677" max="6677" width="14.28515625" style="487" customWidth="1"/>
    <col min="6678" max="6678" width="10.85546875" style="487" customWidth="1"/>
    <col min="6679" max="6679" width="45.42578125" style="487" customWidth="1"/>
    <col min="6680" max="6681" width="14.28515625" style="487" customWidth="1"/>
    <col min="6682" max="6913" width="11.42578125" style="487"/>
    <col min="6914" max="6914" width="49.5703125" style="487" customWidth="1"/>
    <col min="6915" max="6915" width="18.42578125" style="487" bestFit="1" customWidth="1"/>
    <col min="6916" max="6916" width="18.28515625" style="487" customWidth="1"/>
    <col min="6917" max="6918" width="16.85546875" style="487" customWidth="1"/>
    <col min="6919" max="6919" width="16" style="487" bestFit="1" customWidth="1"/>
    <col min="6920" max="6920" width="15.5703125" style="487" customWidth="1"/>
    <col min="6921" max="6921" width="16" style="487" bestFit="1" customWidth="1"/>
    <col min="6922" max="6922" width="17" style="487" customWidth="1"/>
    <col min="6923" max="6923" width="17" style="487" bestFit="1" customWidth="1"/>
    <col min="6924" max="6924" width="17" style="487" customWidth="1"/>
    <col min="6925" max="6925" width="15.5703125" style="487" customWidth="1"/>
    <col min="6926" max="6926" width="15.85546875" style="487" customWidth="1"/>
    <col min="6927" max="6927" width="11.28515625" style="487" customWidth="1"/>
    <col min="6928" max="6929" width="15.85546875" style="487" customWidth="1"/>
    <col min="6930" max="6930" width="11.42578125" style="487"/>
    <col min="6931" max="6932" width="15.5703125" style="487" customWidth="1"/>
    <col min="6933" max="6933" width="14.28515625" style="487" customWidth="1"/>
    <col min="6934" max="6934" width="10.85546875" style="487" customWidth="1"/>
    <col min="6935" max="6935" width="45.42578125" style="487" customWidth="1"/>
    <col min="6936" max="6937" width="14.28515625" style="487" customWidth="1"/>
    <col min="6938" max="7169" width="11.42578125" style="487"/>
    <col min="7170" max="7170" width="49.5703125" style="487" customWidth="1"/>
    <col min="7171" max="7171" width="18.42578125" style="487" bestFit="1" customWidth="1"/>
    <col min="7172" max="7172" width="18.28515625" style="487" customWidth="1"/>
    <col min="7173" max="7174" width="16.85546875" style="487" customWidth="1"/>
    <col min="7175" max="7175" width="16" style="487" bestFit="1" customWidth="1"/>
    <col min="7176" max="7176" width="15.5703125" style="487" customWidth="1"/>
    <col min="7177" max="7177" width="16" style="487" bestFit="1" customWidth="1"/>
    <col min="7178" max="7178" width="17" style="487" customWidth="1"/>
    <col min="7179" max="7179" width="17" style="487" bestFit="1" customWidth="1"/>
    <col min="7180" max="7180" width="17" style="487" customWidth="1"/>
    <col min="7181" max="7181" width="15.5703125" style="487" customWidth="1"/>
    <col min="7182" max="7182" width="15.85546875" style="487" customWidth="1"/>
    <col min="7183" max="7183" width="11.28515625" style="487" customWidth="1"/>
    <col min="7184" max="7185" width="15.85546875" style="487" customWidth="1"/>
    <col min="7186" max="7186" width="11.42578125" style="487"/>
    <col min="7187" max="7188" width="15.5703125" style="487" customWidth="1"/>
    <col min="7189" max="7189" width="14.28515625" style="487" customWidth="1"/>
    <col min="7190" max="7190" width="10.85546875" style="487" customWidth="1"/>
    <col min="7191" max="7191" width="45.42578125" style="487" customWidth="1"/>
    <col min="7192" max="7193" width="14.28515625" style="487" customWidth="1"/>
    <col min="7194" max="7425" width="11.42578125" style="487"/>
    <col min="7426" max="7426" width="49.5703125" style="487" customWidth="1"/>
    <col min="7427" max="7427" width="18.42578125" style="487" bestFit="1" customWidth="1"/>
    <col min="7428" max="7428" width="18.28515625" style="487" customWidth="1"/>
    <col min="7429" max="7430" width="16.85546875" style="487" customWidth="1"/>
    <col min="7431" max="7431" width="16" style="487" bestFit="1" customWidth="1"/>
    <col min="7432" max="7432" width="15.5703125" style="487" customWidth="1"/>
    <col min="7433" max="7433" width="16" style="487" bestFit="1" customWidth="1"/>
    <col min="7434" max="7434" width="17" style="487" customWidth="1"/>
    <col min="7435" max="7435" width="17" style="487" bestFit="1" customWidth="1"/>
    <col min="7436" max="7436" width="17" style="487" customWidth="1"/>
    <col min="7437" max="7437" width="15.5703125" style="487" customWidth="1"/>
    <col min="7438" max="7438" width="15.85546875" style="487" customWidth="1"/>
    <col min="7439" max="7439" width="11.28515625" style="487" customWidth="1"/>
    <col min="7440" max="7441" width="15.85546875" style="487" customWidth="1"/>
    <col min="7442" max="7442" width="11.42578125" style="487"/>
    <col min="7443" max="7444" width="15.5703125" style="487" customWidth="1"/>
    <col min="7445" max="7445" width="14.28515625" style="487" customWidth="1"/>
    <col min="7446" max="7446" width="10.85546875" style="487" customWidth="1"/>
    <col min="7447" max="7447" width="45.42578125" style="487" customWidth="1"/>
    <col min="7448" max="7449" width="14.28515625" style="487" customWidth="1"/>
    <col min="7450" max="7681" width="11.42578125" style="487"/>
    <col min="7682" max="7682" width="49.5703125" style="487" customWidth="1"/>
    <col min="7683" max="7683" width="18.42578125" style="487" bestFit="1" customWidth="1"/>
    <col min="7684" max="7684" width="18.28515625" style="487" customWidth="1"/>
    <col min="7685" max="7686" width="16.85546875" style="487" customWidth="1"/>
    <col min="7687" max="7687" width="16" style="487" bestFit="1" customWidth="1"/>
    <col min="7688" max="7688" width="15.5703125" style="487" customWidth="1"/>
    <col min="7689" max="7689" width="16" style="487" bestFit="1" customWidth="1"/>
    <col min="7690" max="7690" width="17" style="487" customWidth="1"/>
    <col min="7691" max="7691" width="17" style="487" bestFit="1" customWidth="1"/>
    <col min="7692" max="7692" width="17" style="487" customWidth="1"/>
    <col min="7693" max="7693" width="15.5703125" style="487" customWidth="1"/>
    <col min="7694" max="7694" width="15.85546875" style="487" customWidth="1"/>
    <col min="7695" max="7695" width="11.28515625" style="487" customWidth="1"/>
    <col min="7696" max="7697" width="15.85546875" style="487" customWidth="1"/>
    <col min="7698" max="7698" width="11.42578125" style="487"/>
    <col min="7699" max="7700" width="15.5703125" style="487" customWidth="1"/>
    <col min="7701" max="7701" width="14.28515625" style="487" customWidth="1"/>
    <col min="7702" max="7702" width="10.85546875" style="487" customWidth="1"/>
    <col min="7703" max="7703" width="45.42578125" style="487" customWidth="1"/>
    <col min="7704" max="7705" width="14.28515625" style="487" customWidth="1"/>
    <col min="7706" max="7937" width="11.42578125" style="487"/>
    <col min="7938" max="7938" width="49.5703125" style="487" customWidth="1"/>
    <col min="7939" max="7939" width="18.42578125" style="487" bestFit="1" customWidth="1"/>
    <col min="7940" max="7940" width="18.28515625" style="487" customWidth="1"/>
    <col min="7941" max="7942" width="16.85546875" style="487" customWidth="1"/>
    <col min="7943" max="7943" width="16" style="487" bestFit="1" customWidth="1"/>
    <col min="7944" max="7944" width="15.5703125" style="487" customWidth="1"/>
    <col min="7945" max="7945" width="16" style="487" bestFit="1" customWidth="1"/>
    <col min="7946" max="7946" width="17" style="487" customWidth="1"/>
    <col min="7947" max="7947" width="17" style="487" bestFit="1" customWidth="1"/>
    <col min="7948" max="7948" width="17" style="487" customWidth="1"/>
    <col min="7949" max="7949" width="15.5703125" style="487" customWidth="1"/>
    <col min="7950" max="7950" width="15.85546875" style="487" customWidth="1"/>
    <col min="7951" max="7951" width="11.28515625" style="487" customWidth="1"/>
    <col min="7952" max="7953" width="15.85546875" style="487" customWidth="1"/>
    <col min="7954" max="7954" width="11.42578125" style="487"/>
    <col min="7955" max="7956" width="15.5703125" style="487" customWidth="1"/>
    <col min="7957" max="7957" width="14.28515625" style="487" customWidth="1"/>
    <col min="7958" max="7958" width="10.85546875" style="487" customWidth="1"/>
    <col min="7959" max="7959" width="45.42578125" style="487" customWidth="1"/>
    <col min="7960" max="7961" width="14.28515625" style="487" customWidth="1"/>
    <col min="7962" max="8193" width="11.42578125" style="487"/>
    <col min="8194" max="8194" width="49.5703125" style="487" customWidth="1"/>
    <col min="8195" max="8195" width="18.42578125" style="487" bestFit="1" customWidth="1"/>
    <col min="8196" max="8196" width="18.28515625" style="487" customWidth="1"/>
    <col min="8197" max="8198" width="16.85546875" style="487" customWidth="1"/>
    <col min="8199" max="8199" width="16" style="487" bestFit="1" customWidth="1"/>
    <col min="8200" max="8200" width="15.5703125" style="487" customWidth="1"/>
    <col min="8201" max="8201" width="16" style="487" bestFit="1" customWidth="1"/>
    <col min="8202" max="8202" width="17" style="487" customWidth="1"/>
    <col min="8203" max="8203" width="17" style="487" bestFit="1" customWidth="1"/>
    <col min="8204" max="8204" width="17" style="487" customWidth="1"/>
    <col min="8205" max="8205" width="15.5703125" style="487" customWidth="1"/>
    <col min="8206" max="8206" width="15.85546875" style="487" customWidth="1"/>
    <col min="8207" max="8207" width="11.28515625" style="487" customWidth="1"/>
    <col min="8208" max="8209" width="15.85546875" style="487" customWidth="1"/>
    <col min="8210" max="8210" width="11.42578125" style="487"/>
    <col min="8211" max="8212" width="15.5703125" style="487" customWidth="1"/>
    <col min="8213" max="8213" width="14.28515625" style="487" customWidth="1"/>
    <col min="8214" max="8214" width="10.85546875" style="487" customWidth="1"/>
    <col min="8215" max="8215" width="45.42578125" style="487" customWidth="1"/>
    <col min="8216" max="8217" width="14.28515625" style="487" customWidth="1"/>
    <col min="8218" max="8449" width="11.42578125" style="487"/>
    <col min="8450" max="8450" width="49.5703125" style="487" customWidth="1"/>
    <col min="8451" max="8451" width="18.42578125" style="487" bestFit="1" customWidth="1"/>
    <col min="8452" max="8452" width="18.28515625" style="487" customWidth="1"/>
    <col min="8453" max="8454" width="16.85546875" style="487" customWidth="1"/>
    <col min="8455" max="8455" width="16" style="487" bestFit="1" customWidth="1"/>
    <col min="8456" max="8456" width="15.5703125" style="487" customWidth="1"/>
    <col min="8457" max="8457" width="16" style="487" bestFit="1" customWidth="1"/>
    <col min="8458" max="8458" width="17" style="487" customWidth="1"/>
    <col min="8459" max="8459" width="17" style="487" bestFit="1" customWidth="1"/>
    <col min="8460" max="8460" width="17" style="487" customWidth="1"/>
    <col min="8461" max="8461" width="15.5703125" style="487" customWidth="1"/>
    <col min="8462" max="8462" width="15.85546875" style="487" customWidth="1"/>
    <col min="8463" max="8463" width="11.28515625" style="487" customWidth="1"/>
    <col min="8464" max="8465" width="15.85546875" style="487" customWidth="1"/>
    <col min="8466" max="8466" width="11.42578125" style="487"/>
    <col min="8467" max="8468" width="15.5703125" style="487" customWidth="1"/>
    <col min="8469" max="8469" width="14.28515625" style="487" customWidth="1"/>
    <col min="8470" max="8470" width="10.85546875" style="487" customWidth="1"/>
    <col min="8471" max="8471" width="45.42578125" style="487" customWidth="1"/>
    <col min="8472" max="8473" width="14.28515625" style="487" customWidth="1"/>
    <col min="8474" max="8705" width="11.42578125" style="487"/>
    <col min="8706" max="8706" width="49.5703125" style="487" customWidth="1"/>
    <col min="8707" max="8707" width="18.42578125" style="487" bestFit="1" customWidth="1"/>
    <col min="8708" max="8708" width="18.28515625" style="487" customWidth="1"/>
    <col min="8709" max="8710" width="16.85546875" style="487" customWidth="1"/>
    <col min="8711" max="8711" width="16" style="487" bestFit="1" customWidth="1"/>
    <col min="8712" max="8712" width="15.5703125" style="487" customWidth="1"/>
    <col min="8713" max="8713" width="16" style="487" bestFit="1" customWidth="1"/>
    <col min="8714" max="8714" width="17" style="487" customWidth="1"/>
    <col min="8715" max="8715" width="17" style="487" bestFit="1" customWidth="1"/>
    <col min="8716" max="8716" width="17" style="487" customWidth="1"/>
    <col min="8717" max="8717" width="15.5703125" style="487" customWidth="1"/>
    <col min="8718" max="8718" width="15.85546875" style="487" customWidth="1"/>
    <col min="8719" max="8719" width="11.28515625" style="487" customWidth="1"/>
    <col min="8720" max="8721" width="15.85546875" style="487" customWidth="1"/>
    <col min="8722" max="8722" width="11.42578125" style="487"/>
    <col min="8723" max="8724" width="15.5703125" style="487" customWidth="1"/>
    <col min="8725" max="8725" width="14.28515625" style="487" customWidth="1"/>
    <col min="8726" max="8726" width="10.85546875" style="487" customWidth="1"/>
    <col min="8727" max="8727" width="45.42578125" style="487" customWidth="1"/>
    <col min="8728" max="8729" width="14.28515625" style="487" customWidth="1"/>
    <col min="8730" max="8961" width="11.42578125" style="487"/>
    <col min="8962" max="8962" width="49.5703125" style="487" customWidth="1"/>
    <col min="8963" max="8963" width="18.42578125" style="487" bestFit="1" customWidth="1"/>
    <col min="8964" max="8964" width="18.28515625" style="487" customWidth="1"/>
    <col min="8965" max="8966" width="16.85546875" style="487" customWidth="1"/>
    <col min="8967" max="8967" width="16" style="487" bestFit="1" customWidth="1"/>
    <col min="8968" max="8968" width="15.5703125" style="487" customWidth="1"/>
    <col min="8969" max="8969" width="16" style="487" bestFit="1" customWidth="1"/>
    <col min="8970" max="8970" width="17" style="487" customWidth="1"/>
    <col min="8971" max="8971" width="17" style="487" bestFit="1" customWidth="1"/>
    <col min="8972" max="8972" width="17" style="487" customWidth="1"/>
    <col min="8973" max="8973" width="15.5703125" style="487" customWidth="1"/>
    <col min="8974" max="8974" width="15.85546875" style="487" customWidth="1"/>
    <col min="8975" max="8975" width="11.28515625" style="487" customWidth="1"/>
    <col min="8976" max="8977" width="15.85546875" style="487" customWidth="1"/>
    <col min="8978" max="8978" width="11.42578125" style="487"/>
    <col min="8979" max="8980" width="15.5703125" style="487" customWidth="1"/>
    <col min="8981" max="8981" width="14.28515625" style="487" customWidth="1"/>
    <col min="8982" max="8982" width="10.85546875" style="487" customWidth="1"/>
    <col min="8983" max="8983" width="45.42578125" style="487" customWidth="1"/>
    <col min="8984" max="8985" width="14.28515625" style="487" customWidth="1"/>
    <col min="8986" max="9217" width="11.42578125" style="487"/>
    <col min="9218" max="9218" width="49.5703125" style="487" customWidth="1"/>
    <col min="9219" max="9219" width="18.42578125" style="487" bestFit="1" customWidth="1"/>
    <col min="9220" max="9220" width="18.28515625" style="487" customWidth="1"/>
    <col min="9221" max="9222" width="16.85546875" style="487" customWidth="1"/>
    <col min="9223" max="9223" width="16" style="487" bestFit="1" customWidth="1"/>
    <col min="9224" max="9224" width="15.5703125" style="487" customWidth="1"/>
    <col min="9225" max="9225" width="16" style="487" bestFit="1" customWidth="1"/>
    <col min="9226" max="9226" width="17" style="487" customWidth="1"/>
    <col min="9227" max="9227" width="17" style="487" bestFit="1" customWidth="1"/>
    <col min="9228" max="9228" width="17" style="487" customWidth="1"/>
    <col min="9229" max="9229" width="15.5703125" style="487" customWidth="1"/>
    <col min="9230" max="9230" width="15.85546875" style="487" customWidth="1"/>
    <col min="9231" max="9231" width="11.28515625" style="487" customWidth="1"/>
    <col min="9232" max="9233" width="15.85546875" style="487" customWidth="1"/>
    <col min="9234" max="9234" width="11.42578125" style="487"/>
    <col min="9235" max="9236" width="15.5703125" style="487" customWidth="1"/>
    <col min="9237" max="9237" width="14.28515625" style="487" customWidth="1"/>
    <col min="9238" max="9238" width="10.85546875" style="487" customWidth="1"/>
    <col min="9239" max="9239" width="45.42578125" style="487" customWidth="1"/>
    <col min="9240" max="9241" width="14.28515625" style="487" customWidth="1"/>
    <col min="9242" max="9473" width="11.42578125" style="487"/>
    <col min="9474" max="9474" width="49.5703125" style="487" customWidth="1"/>
    <col min="9475" max="9475" width="18.42578125" style="487" bestFit="1" customWidth="1"/>
    <col min="9476" max="9476" width="18.28515625" style="487" customWidth="1"/>
    <col min="9477" max="9478" width="16.85546875" style="487" customWidth="1"/>
    <col min="9479" max="9479" width="16" style="487" bestFit="1" customWidth="1"/>
    <col min="9480" max="9480" width="15.5703125" style="487" customWidth="1"/>
    <col min="9481" max="9481" width="16" style="487" bestFit="1" customWidth="1"/>
    <col min="9482" max="9482" width="17" style="487" customWidth="1"/>
    <col min="9483" max="9483" width="17" style="487" bestFit="1" customWidth="1"/>
    <col min="9484" max="9484" width="17" style="487" customWidth="1"/>
    <col min="9485" max="9485" width="15.5703125" style="487" customWidth="1"/>
    <col min="9486" max="9486" width="15.85546875" style="487" customWidth="1"/>
    <col min="9487" max="9487" width="11.28515625" style="487" customWidth="1"/>
    <col min="9488" max="9489" width="15.85546875" style="487" customWidth="1"/>
    <col min="9490" max="9490" width="11.42578125" style="487"/>
    <col min="9491" max="9492" width="15.5703125" style="487" customWidth="1"/>
    <col min="9493" max="9493" width="14.28515625" style="487" customWidth="1"/>
    <col min="9494" max="9494" width="10.85546875" style="487" customWidth="1"/>
    <col min="9495" max="9495" width="45.42578125" style="487" customWidth="1"/>
    <col min="9496" max="9497" width="14.28515625" style="487" customWidth="1"/>
    <col min="9498" max="9729" width="11.42578125" style="487"/>
    <col min="9730" max="9730" width="49.5703125" style="487" customWidth="1"/>
    <col min="9731" max="9731" width="18.42578125" style="487" bestFit="1" customWidth="1"/>
    <col min="9732" max="9732" width="18.28515625" style="487" customWidth="1"/>
    <col min="9733" max="9734" width="16.85546875" style="487" customWidth="1"/>
    <col min="9735" max="9735" width="16" style="487" bestFit="1" customWidth="1"/>
    <col min="9736" max="9736" width="15.5703125" style="487" customWidth="1"/>
    <col min="9737" max="9737" width="16" style="487" bestFit="1" customWidth="1"/>
    <col min="9738" max="9738" width="17" style="487" customWidth="1"/>
    <col min="9739" max="9739" width="17" style="487" bestFit="1" customWidth="1"/>
    <col min="9740" max="9740" width="17" style="487" customWidth="1"/>
    <col min="9741" max="9741" width="15.5703125" style="487" customWidth="1"/>
    <col min="9742" max="9742" width="15.85546875" style="487" customWidth="1"/>
    <col min="9743" max="9743" width="11.28515625" style="487" customWidth="1"/>
    <col min="9744" max="9745" width="15.85546875" style="487" customWidth="1"/>
    <col min="9746" max="9746" width="11.42578125" style="487"/>
    <col min="9747" max="9748" width="15.5703125" style="487" customWidth="1"/>
    <col min="9749" max="9749" width="14.28515625" style="487" customWidth="1"/>
    <col min="9750" max="9750" width="10.85546875" style="487" customWidth="1"/>
    <col min="9751" max="9751" width="45.42578125" style="487" customWidth="1"/>
    <col min="9752" max="9753" width="14.28515625" style="487" customWidth="1"/>
    <col min="9754" max="9985" width="11.42578125" style="487"/>
    <col min="9986" max="9986" width="49.5703125" style="487" customWidth="1"/>
    <col min="9987" max="9987" width="18.42578125" style="487" bestFit="1" customWidth="1"/>
    <col min="9988" max="9988" width="18.28515625" style="487" customWidth="1"/>
    <col min="9989" max="9990" width="16.85546875" style="487" customWidth="1"/>
    <col min="9991" max="9991" width="16" style="487" bestFit="1" customWidth="1"/>
    <col min="9992" max="9992" width="15.5703125" style="487" customWidth="1"/>
    <col min="9993" max="9993" width="16" style="487" bestFit="1" customWidth="1"/>
    <col min="9994" max="9994" width="17" style="487" customWidth="1"/>
    <col min="9995" max="9995" width="17" style="487" bestFit="1" customWidth="1"/>
    <col min="9996" max="9996" width="17" style="487" customWidth="1"/>
    <col min="9997" max="9997" width="15.5703125" style="487" customWidth="1"/>
    <col min="9998" max="9998" width="15.85546875" style="487" customWidth="1"/>
    <col min="9999" max="9999" width="11.28515625" style="487" customWidth="1"/>
    <col min="10000" max="10001" width="15.85546875" style="487" customWidth="1"/>
    <col min="10002" max="10002" width="11.42578125" style="487"/>
    <col min="10003" max="10004" width="15.5703125" style="487" customWidth="1"/>
    <col min="10005" max="10005" width="14.28515625" style="487" customWidth="1"/>
    <col min="10006" max="10006" width="10.85546875" style="487" customWidth="1"/>
    <col min="10007" max="10007" width="45.42578125" style="487" customWidth="1"/>
    <col min="10008" max="10009" width="14.28515625" style="487" customWidth="1"/>
    <col min="10010" max="10241" width="11.42578125" style="487"/>
    <col min="10242" max="10242" width="49.5703125" style="487" customWidth="1"/>
    <col min="10243" max="10243" width="18.42578125" style="487" bestFit="1" customWidth="1"/>
    <col min="10244" max="10244" width="18.28515625" style="487" customWidth="1"/>
    <col min="10245" max="10246" width="16.85546875" style="487" customWidth="1"/>
    <col min="10247" max="10247" width="16" style="487" bestFit="1" customWidth="1"/>
    <col min="10248" max="10248" width="15.5703125" style="487" customWidth="1"/>
    <col min="10249" max="10249" width="16" style="487" bestFit="1" customWidth="1"/>
    <col min="10250" max="10250" width="17" style="487" customWidth="1"/>
    <col min="10251" max="10251" width="17" style="487" bestFit="1" customWidth="1"/>
    <col min="10252" max="10252" width="17" style="487" customWidth="1"/>
    <col min="10253" max="10253" width="15.5703125" style="487" customWidth="1"/>
    <col min="10254" max="10254" width="15.85546875" style="487" customWidth="1"/>
    <col min="10255" max="10255" width="11.28515625" style="487" customWidth="1"/>
    <col min="10256" max="10257" width="15.85546875" style="487" customWidth="1"/>
    <col min="10258" max="10258" width="11.42578125" style="487"/>
    <col min="10259" max="10260" width="15.5703125" style="487" customWidth="1"/>
    <col min="10261" max="10261" width="14.28515625" style="487" customWidth="1"/>
    <col min="10262" max="10262" width="10.85546875" style="487" customWidth="1"/>
    <col min="10263" max="10263" width="45.42578125" style="487" customWidth="1"/>
    <col min="10264" max="10265" width="14.28515625" style="487" customWidth="1"/>
    <col min="10266" max="10497" width="11.42578125" style="487"/>
    <col min="10498" max="10498" width="49.5703125" style="487" customWidth="1"/>
    <col min="10499" max="10499" width="18.42578125" style="487" bestFit="1" customWidth="1"/>
    <col min="10500" max="10500" width="18.28515625" style="487" customWidth="1"/>
    <col min="10501" max="10502" width="16.85546875" style="487" customWidth="1"/>
    <col min="10503" max="10503" width="16" style="487" bestFit="1" customWidth="1"/>
    <col min="10504" max="10504" width="15.5703125" style="487" customWidth="1"/>
    <col min="10505" max="10505" width="16" style="487" bestFit="1" customWidth="1"/>
    <col min="10506" max="10506" width="17" style="487" customWidth="1"/>
    <col min="10507" max="10507" width="17" style="487" bestFit="1" customWidth="1"/>
    <col min="10508" max="10508" width="17" style="487" customWidth="1"/>
    <col min="10509" max="10509" width="15.5703125" style="487" customWidth="1"/>
    <col min="10510" max="10510" width="15.85546875" style="487" customWidth="1"/>
    <col min="10511" max="10511" width="11.28515625" style="487" customWidth="1"/>
    <col min="10512" max="10513" width="15.85546875" style="487" customWidth="1"/>
    <col min="10514" max="10514" width="11.42578125" style="487"/>
    <col min="10515" max="10516" width="15.5703125" style="487" customWidth="1"/>
    <col min="10517" max="10517" width="14.28515625" style="487" customWidth="1"/>
    <col min="10518" max="10518" width="10.85546875" style="487" customWidth="1"/>
    <col min="10519" max="10519" width="45.42578125" style="487" customWidth="1"/>
    <col min="10520" max="10521" width="14.28515625" style="487" customWidth="1"/>
    <col min="10522" max="10753" width="11.42578125" style="487"/>
    <col min="10754" max="10754" width="49.5703125" style="487" customWidth="1"/>
    <col min="10755" max="10755" width="18.42578125" style="487" bestFit="1" customWidth="1"/>
    <col min="10756" max="10756" width="18.28515625" style="487" customWidth="1"/>
    <col min="10757" max="10758" width="16.85546875" style="487" customWidth="1"/>
    <col min="10759" max="10759" width="16" style="487" bestFit="1" customWidth="1"/>
    <col min="10760" max="10760" width="15.5703125" style="487" customWidth="1"/>
    <col min="10761" max="10761" width="16" style="487" bestFit="1" customWidth="1"/>
    <col min="10762" max="10762" width="17" style="487" customWidth="1"/>
    <col min="10763" max="10763" width="17" style="487" bestFit="1" customWidth="1"/>
    <col min="10764" max="10764" width="17" style="487" customWidth="1"/>
    <col min="10765" max="10765" width="15.5703125" style="487" customWidth="1"/>
    <col min="10766" max="10766" width="15.85546875" style="487" customWidth="1"/>
    <col min="10767" max="10767" width="11.28515625" style="487" customWidth="1"/>
    <col min="10768" max="10769" width="15.85546875" style="487" customWidth="1"/>
    <col min="10770" max="10770" width="11.42578125" style="487"/>
    <col min="10771" max="10772" width="15.5703125" style="487" customWidth="1"/>
    <col min="10773" max="10773" width="14.28515625" style="487" customWidth="1"/>
    <col min="10774" max="10774" width="10.85546875" style="487" customWidth="1"/>
    <col min="10775" max="10775" width="45.42578125" style="487" customWidth="1"/>
    <col min="10776" max="10777" width="14.28515625" style="487" customWidth="1"/>
    <col min="10778" max="11009" width="11.42578125" style="487"/>
    <col min="11010" max="11010" width="49.5703125" style="487" customWidth="1"/>
    <col min="11011" max="11011" width="18.42578125" style="487" bestFit="1" customWidth="1"/>
    <col min="11012" max="11012" width="18.28515625" style="487" customWidth="1"/>
    <col min="11013" max="11014" width="16.85546875" style="487" customWidth="1"/>
    <col min="11015" max="11015" width="16" style="487" bestFit="1" customWidth="1"/>
    <col min="11016" max="11016" width="15.5703125" style="487" customWidth="1"/>
    <col min="11017" max="11017" width="16" style="487" bestFit="1" customWidth="1"/>
    <col min="11018" max="11018" width="17" style="487" customWidth="1"/>
    <col min="11019" max="11019" width="17" style="487" bestFit="1" customWidth="1"/>
    <col min="11020" max="11020" width="17" style="487" customWidth="1"/>
    <col min="11021" max="11021" width="15.5703125" style="487" customWidth="1"/>
    <col min="11022" max="11022" width="15.85546875" style="487" customWidth="1"/>
    <col min="11023" max="11023" width="11.28515625" style="487" customWidth="1"/>
    <col min="11024" max="11025" width="15.85546875" style="487" customWidth="1"/>
    <col min="11026" max="11026" width="11.42578125" style="487"/>
    <col min="11027" max="11028" width="15.5703125" style="487" customWidth="1"/>
    <col min="11029" max="11029" width="14.28515625" style="487" customWidth="1"/>
    <col min="11030" max="11030" width="10.85546875" style="487" customWidth="1"/>
    <col min="11031" max="11031" width="45.42578125" style="487" customWidth="1"/>
    <col min="11032" max="11033" width="14.28515625" style="487" customWidth="1"/>
    <col min="11034" max="11265" width="11.42578125" style="487"/>
    <col min="11266" max="11266" width="49.5703125" style="487" customWidth="1"/>
    <col min="11267" max="11267" width="18.42578125" style="487" bestFit="1" customWidth="1"/>
    <col min="11268" max="11268" width="18.28515625" style="487" customWidth="1"/>
    <col min="11269" max="11270" width="16.85546875" style="487" customWidth="1"/>
    <col min="11271" max="11271" width="16" style="487" bestFit="1" customWidth="1"/>
    <col min="11272" max="11272" width="15.5703125" style="487" customWidth="1"/>
    <col min="11273" max="11273" width="16" style="487" bestFit="1" customWidth="1"/>
    <col min="11274" max="11274" width="17" style="487" customWidth="1"/>
    <col min="11275" max="11275" width="17" style="487" bestFit="1" customWidth="1"/>
    <col min="11276" max="11276" width="17" style="487" customWidth="1"/>
    <col min="11277" max="11277" width="15.5703125" style="487" customWidth="1"/>
    <col min="11278" max="11278" width="15.85546875" style="487" customWidth="1"/>
    <col min="11279" max="11279" width="11.28515625" style="487" customWidth="1"/>
    <col min="11280" max="11281" width="15.85546875" style="487" customWidth="1"/>
    <col min="11282" max="11282" width="11.42578125" style="487"/>
    <col min="11283" max="11284" width="15.5703125" style="487" customWidth="1"/>
    <col min="11285" max="11285" width="14.28515625" style="487" customWidth="1"/>
    <col min="11286" max="11286" width="10.85546875" style="487" customWidth="1"/>
    <col min="11287" max="11287" width="45.42578125" style="487" customWidth="1"/>
    <col min="11288" max="11289" width="14.28515625" style="487" customWidth="1"/>
    <col min="11290" max="11521" width="11.42578125" style="487"/>
    <col min="11522" max="11522" width="49.5703125" style="487" customWidth="1"/>
    <col min="11523" max="11523" width="18.42578125" style="487" bestFit="1" customWidth="1"/>
    <col min="11524" max="11524" width="18.28515625" style="487" customWidth="1"/>
    <col min="11525" max="11526" width="16.85546875" style="487" customWidth="1"/>
    <col min="11527" max="11527" width="16" style="487" bestFit="1" customWidth="1"/>
    <col min="11528" max="11528" width="15.5703125" style="487" customWidth="1"/>
    <col min="11529" max="11529" width="16" style="487" bestFit="1" customWidth="1"/>
    <col min="11530" max="11530" width="17" style="487" customWidth="1"/>
    <col min="11531" max="11531" width="17" style="487" bestFit="1" customWidth="1"/>
    <col min="11532" max="11532" width="17" style="487" customWidth="1"/>
    <col min="11533" max="11533" width="15.5703125" style="487" customWidth="1"/>
    <col min="11534" max="11534" width="15.85546875" style="487" customWidth="1"/>
    <col min="11535" max="11535" width="11.28515625" style="487" customWidth="1"/>
    <col min="11536" max="11537" width="15.85546875" style="487" customWidth="1"/>
    <col min="11538" max="11538" width="11.42578125" style="487"/>
    <col min="11539" max="11540" width="15.5703125" style="487" customWidth="1"/>
    <col min="11541" max="11541" width="14.28515625" style="487" customWidth="1"/>
    <col min="11542" max="11542" width="10.85546875" style="487" customWidth="1"/>
    <col min="11543" max="11543" width="45.42578125" style="487" customWidth="1"/>
    <col min="11544" max="11545" width="14.28515625" style="487" customWidth="1"/>
    <col min="11546" max="11777" width="11.42578125" style="487"/>
    <col min="11778" max="11778" width="49.5703125" style="487" customWidth="1"/>
    <col min="11779" max="11779" width="18.42578125" style="487" bestFit="1" customWidth="1"/>
    <col min="11780" max="11780" width="18.28515625" style="487" customWidth="1"/>
    <col min="11781" max="11782" width="16.85546875" style="487" customWidth="1"/>
    <col min="11783" max="11783" width="16" style="487" bestFit="1" customWidth="1"/>
    <col min="11784" max="11784" width="15.5703125" style="487" customWidth="1"/>
    <col min="11785" max="11785" width="16" style="487" bestFit="1" customWidth="1"/>
    <col min="11786" max="11786" width="17" style="487" customWidth="1"/>
    <col min="11787" max="11787" width="17" style="487" bestFit="1" customWidth="1"/>
    <col min="11788" max="11788" width="17" style="487" customWidth="1"/>
    <col min="11789" max="11789" width="15.5703125" style="487" customWidth="1"/>
    <col min="11790" max="11790" width="15.85546875" style="487" customWidth="1"/>
    <col min="11791" max="11791" width="11.28515625" style="487" customWidth="1"/>
    <col min="11792" max="11793" width="15.85546875" style="487" customWidth="1"/>
    <col min="11794" max="11794" width="11.42578125" style="487"/>
    <col min="11795" max="11796" width="15.5703125" style="487" customWidth="1"/>
    <col min="11797" max="11797" width="14.28515625" style="487" customWidth="1"/>
    <col min="11798" max="11798" width="10.85546875" style="487" customWidth="1"/>
    <col min="11799" max="11799" width="45.42578125" style="487" customWidth="1"/>
    <col min="11800" max="11801" width="14.28515625" style="487" customWidth="1"/>
    <col min="11802" max="12033" width="11.42578125" style="487"/>
    <col min="12034" max="12034" width="49.5703125" style="487" customWidth="1"/>
    <col min="12035" max="12035" width="18.42578125" style="487" bestFit="1" customWidth="1"/>
    <col min="12036" max="12036" width="18.28515625" style="487" customWidth="1"/>
    <col min="12037" max="12038" width="16.85546875" style="487" customWidth="1"/>
    <col min="12039" max="12039" width="16" style="487" bestFit="1" customWidth="1"/>
    <col min="12040" max="12040" width="15.5703125" style="487" customWidth="1"/>
    <col min="12041" max="12041" width="16" style="487" bestFit="1" customWidth="1"/>
    <col min="12042" max="12042" width="17" style="487" customWidth="1"/>
    <col min="12043" max="12043" width="17" style="487" bestFit="1" customWidth="1"/>
    <col min="12044" max="12044" width="17" style="487" customWidth="1"/>
    <col min="12045" max="12045" width="15.5703125" style="487" customWidth="1"/>
    <col min="12046" max="12046" width="15.85546875" style="487" customWidth="1"/>
    <col min="12047" max="12047" width="11.28515625" style="487" customWidth="1"/>
    <col min="12048" max="12049" width="15.85546875" style="487" customWidth="1"/>
    <col min="12050" max="12050" width="11.42578125" style="487"/>
    <col min="12051" max="12052" width="15.5703125" style="487" customWidth="1"/>
    <col min="12053" max="12053" width="14.28515625" style="487" customWidth="1"/>
    <col min="12054" max="12054" width="10.85546875" style="487" customWidth="1"/>
    <col min="12055" max="12055" width="45.42578125" style="487" customWidth="1"/>
    <col min="12056" max="12057" width="14.28515625" style="487" customWidth="1"/>
    <col min="12058" max="12289" width="11.42578125" style="487"/>
    <col min="12290" max="12290" width="49.5703125" style="487" customWidth="1"/>
    <col min="12291" max="12291" width="18.42578125" style="487" bestFit="1" customWidth="1"/>
    <col min="12292" max="12292" width="18.28515625" style="487" customWidth="1"/>
    <col min="12293" max="12294" width="16.85546875" style="487" customWidth="1"/>
    <col min="12295" max="12295" width="16" style="487" bestFit="1" customWidth="1"/>
    <col min="12296" max="12296" width="15.5703125" style="487" customWidth="1"/>
    <col min="12297" max="12297" width="16" style="487" bestFit="1" customWidth="1"/>
    <col min="12298" max="12298" width="17" style="487" customWidth="1"/>
    <col min="12299" max="12299" width="17" style="487" bestFit="1" customWidth="1"/>
    <col min="12300" max="12300" width="17" style="487" customWidth="1"/>
    <col min="12301" max="12301" width="15.5703125" style="487" customWidth="1"/>
    <col min="12302" max="12302" width="15.85546875" style="487" customWidth="1"/>
    <col min="12303" max="12303" width="11.28515625" style="487" customWidth="1"/>
    <col min="12304" max="12305" width="15.85546875" style="487" customWidth="1"/>
    <col min="12306" max="12306" width="11.42578125" style="487"/>
    <col min="12307" max="12308" width="15.5703125" style="487" customWidth="1"/>
    <col min="12309" max="12309" width="14.28515625" style="487" customWidth="1"/>
    <col min="12310" max="12310" width="10.85546875" style="487" customWidth="1"/>
    <col min="12311" max="12311" width="45.42578125" style="487" customWidth="1"/>
    <col min="12312" max="12313" width="14.28515625" style="487" customWidth="1"/>
    <col min="12314" max="12545" width="11.42578125" style="487"/>
    <col min="12546" max="12546" width="49.5703125" style="487" customWidth="1"/>
    <col min="12547" max="12547" width="18.42578125" style="487" bestFit="1" customWidth="1"/>
    <col min="12548" max="12548" width="18.28515625" style="487" customWidth="1"/>
    <col min="12549" max="12550" width="16.85546875" style="487" customWidth="1"/>
    <col min="12551" max="12551" width="16" style="487" bestFit="1" customWidth="1"/>
    <col min="12552" max="12552" width="15.5703125" style="487" customWidth="1"/>
    <col min="12553" max="12553" width="16" style="487" bestFit="1" customWidth="1"/>
    <col min="12554" max="12554" width="17" style="487" customWidth="1"/>
    <col min="12555" max="12555" width="17" style="487" bestFit="1" customWidth="1"/>
    <col min="12556" max="12556" width="17" style="487" customWidth="1"/>
    <col min="12557" max="12557" width="15.5703125" style="487" customWidth="1"/>
    <col min="12558" max="12558" width="15.85546875" style="487" customWidth="1"/>
    <col min="12559" max="12559" width="11.28515625" style="487" customWidth="1"/>
    <col min="12560" max="12561" width="15.85546875" style="487" customWidth="1"/>
    <col min="12562" max="12562" width="11.42578125" style="487"/>
    <col min="12563" max="12564" width="15.5703125" style="487" customWidth="1"/>
    <col min="12565" max="12565" width="14.28515625" style="487" customWidth="1"/>
    <col min="12566" max="12566" width="10.85546875" style="487" customWidth="1"/>
    <col min="12567" max="12567" width="45.42578125" style="487" customWidth="1"/>
    <col min="12568" max="12569" width="14.28515625" style="487" customWidth="1"/>
    <col min="12570" max="12801" width="11.42578125" style="487"/>
    <col min="12802" max="12802" width="49.5703125" style="487" customWidth="1"/>
    <col min="12803" max="12803" width="18.42578125" style="487" bestFit="1" customWidth="1"/>
    <col min="12804" max="12804" width="18.28515625" style="487" customWidth="1"/>
    <col min="12805" max="12806" width="16.85546875" style="487" customWidth="1"/>
    <col min="12807" max="12807" width="16" style="487" bestFit="1" customWidth="1"/>
    <col min="12808" max="12808" width="15.5703125" style="487" customWidth="1"/>
    <col min="12809" max="12809" width="16" style="487" bestFit="1" customWidth="1"/>
    <col min="12810" max="12810" width="17" style="487" customWidth="1"/>
    <col min="12811" max="12811" width="17" style="487" bestFit="1" customWidth="1"/>
    <col min="12812" max="12812" width="17" style="487" customWidth="1"/>
    <col min="12813" max="12813" width="15.5703125" style="487" customWidth="1"/>
    <col min="12814" max="12814" width="15.85546875" style="487" customWidth="1"/>
    <col min="12815" max="12815" width="11.28515625" style="487" customWidth="1"/>
    <col min="12816" max="12817" width="15.85546875" style="487" customWidth="1"/>
    <col min="12818" max="12818" width="11.42578125" style="487"/>
    <col min="12819" max="12820" width="15.5703125" style="487" customWidth="1"/>
    <col min="12821" max="12821" width="14.28515625" style="487" customWidth="1"/>
    <col min="12822" max="12822" width="10.85546875" style="487" customWidth="1"/>
    <col min="12823" max="12823" width="45.42578125" style="487" customWidth="1"/>
    <col min="12824" max="12825" width="14.28515625" style="487" customWidth="1"/>
    <col min="12826" max="13057" width="11.42578125" style="487"/>
    <col min="13058" max="13058" width="49.5703125" style="487" customWidth="1"/>
    <col min="13059" max="13059" width="18.42578125" style="487" bestFit="1" customWidth="1"/>
    <col min="13060" max="13060" width="18.28515625" style="487" customWidth="1"/>
    <col min="13061" max="13062" width="16.85546875" style="487" customWidth="1"/>
    <col min="13063" max="13063" width="16" style="487" bestFit="1" customWidth="1"/>
    <col min="13064" max="13064" width="15.5703125" style="487" customWidth="1"/>
    <col min="13065" max="13065" width="16" style="487" bestFit="1" customWidth="1"/>
    <col min="13066" max="13066" width="17" style="487" customWidth="1"/>
    <col min="13067" max="13067" width="17" style="487" bestFit="1" customWidth="1"/>
    <col min="13068" max="13068" width="17" style="487" customWidth="1"/>
    <col min="13069" max="13069" width="15.5703125" style="487" customWidth="1"/>
    <col min="13070" max="13070" width="15.85546875" style="487" customWidth="1"/>
    <col min="13071" max="13071" width="11.28515625" style="487" customWidth="1"/>
    <col min="13072" max="13073" width="15.85546875" style="487" customWidth="1"/>
    <col min="13074" max="13074" width="11.42578125" style="487"/>
    <col min="13075" max="13076" width="15.5703125" style="487" customWidth="1"/>
    <col min="13077" max="13077" width="14.28515625" style="487" customWidth="1"/>
    <col min="13078" max="13078" width="10.85546875" style="487" customWidth="1"/>
    <col min="13079" max="13079" width="45.42578125" style="487" customWidth="1"/>
    <col min="13080" max="13081" width="14.28515625" style="487" customWidth="1"/>
    <col min="13082" max="13313" width="11.42578125" style="487"/>
    <col min="13314" max="13314" width="49.5703125" style="487" customWidth="1"/>
    <col min="13315" max="13315" width="18.42578125" style="487" bestFit="1" customWidth="1"/>
    <col min="13316" max="13316" width="18.28515625" style="487" customWidth="1"/>
    <col min="13317" max="13318" width="16.85546875" style="487" customWidth="1"/>
    <col min="13319" max="13319" width="16" style="487" bestFit="1" customWidth="1"/>
    <col min="13320" max="13320" width="15.5703125" style="487" customWidth="1"/>
    <col min="13321" max="13321" width="16" style="487" bestFit="1" customWidth="1"/>
    <col min="13322" max="13322" width="17" style="487" customWidth="1"/>
    <col min="13323" max="13323" width="17" style="487" bestFit="1" customWidth="1"/>
    <col min="13324" max="13324" width="17" style="487" customWidth="1"/>
    <col min="13325" max="13325" width="15.5703125" style="487" customWidth="1"/>
    <col min="13326" max="13326" width="15.85546875" style="487" customWidth="1"/>
    <col min="13327" max="13327" width="11.28515625" style="487" customWidth="1"/>
    <col min="13328" max="13329" width="15.85546875" style="487" customWidth="1"/>
    <col min="13330" max="13330" width="11.42578125" style="487"/>
    <col min="13331" max="13332" width="15.5703125" style="487" customWidth="1"/>
    <col min="13333" max="13333" width="14.28515625" style="487" customWidth="1"/>
    <col min="13334" max="13334" width="10.85546875" style="487" customWidth="1"/>
    <col min="13335" max="13335" width="45.42578125" style="487" customWidth="1"/>
    <col min="13336" max="13337" width="14.28515625" style="487" customWidth="1"/>
    <col min="13338" max="13569" width="11.42578125" style="487"/>
    <col min="13570" max="13570" width="49.5703125" style="487" customWidth="1"/>
    <col min="13571" max="13571" width="18.42578125" style="487" bestFit="1" customWidth="1"/>
    <col min="13572" max="13572" width="18.28515625" style="487" customWidth="1"/>
    <col min="13573" max="13574" width="16.85546875" style="487" customWidth="1"/>
    <col min="13575" max="13575" width="16" style="487" bestFit="1" customWidth="1"/>
    <col min="13576" max="13576" width="15.5703125" style="487" customWidth="1"/>
    <col min="13577" max="13577" width="16" style="487" bestFit="1" customWidth="1"/>
    <col min="13578" max="13578" width="17" style="487" customWidth="1"/>
    <col min="13579" max="13579" width="17" style="487" bestFit="1" customWidth="1"/>
    <col min="13580" max="13580" width="17" style="487" customWidth="1"/>
    <col min="13581" max="13581" width="15.5703125" style="487" customWidth="1"/>
    <col min="13582" max="13582" width="15.85546875" style="487" customWidth="1"/>
    <col min="13583" max="13583" width="11.28515625" style="487" customWidth="1"/>
    <col min="13584" max="13585" width="15.85546875" style="487" customWidth="1"/>
    <col min="13586" max="13586" width="11.42578125" style="487"/>
    <col min="13587" max="13588" width="15.5703125" style="487" customWidth="1"/>
    <col min="13589" max="13589" width="14.28515625" style="487" customWidth="1"/>
    <col min="13590" max="13590" width="10.85546875" style="487" customWidth="1"/>
    <col min="13591" max="13591" width="45.42578125" style="487" customWidth="1"/>
    <col min="13592" max="13593" width="14.28515625" style="487" customWidth="1"/>
    <col min="13594" max="13825" width="11.42578125" style="487"/>
    <col min="13826" max="13826" width="49.5703125" style="487" customWidth="1"/>
    <col min="13827" max="13827" width="18.42578125" style="487" bestFit="1" customWidth="1"/>
    <col min="13828" max="13828" width="18.28515625" style="487" customWidth="1"/>
    <col min="13829" max="13830" width="16.85546875" style="487" customWidth="1"/>
    <col min="13831" max="13831" width="16" style="487" bestFit="1" customWidth="1"/>
    <col min="13832" max="13832" width="15.5703125" style="487" customWidth="1"/>
    <col min="13833" max="13833" width="16" style="487" bestFit="1" customWidth="1"/>
    <col min="13834" max="13834" width="17" style="487" customWidth="1"/>
    <col min="13835" max="13835" width="17" style="487" bestFit="1" customWidth="1"/>
    <col min="13836" max="13836" width="17" style="487" customWidth="1"/>
    <col min="13837" max="13837" width="15.5703125" style="487" customWidth="1"/>
    <col min="13838" max="13838" width="15.85546875" style="487" customWidth="1"/>
    <col min="13839" max="13839" width="11.28515625" style="487" customWidth="1"/>
    <col min="13840" max="13841" width="15.85546875" style="487" customWidth="1"/>
    <col min="13842" max="13842" width="11.42578125" style="487"/>
    <col min="13843" max="13844" width="15.5703125" style="487" customWidth="1"/>
    <col min="13845" max="13845" width="14.28515625" style="487" customWidth="1"/>
    <col min="13846" max="13846" width="10.85546875" style="487" customWidth="1"/>
    <col min="13847" max="13847" width="45.42578125" style="487" customWidth="1"/>
    <col min="13848" max="13849" width="14.28515625" style="487" customWidth="1"/>
    <col min="13850" max="14081" width="11.42578125" style="487"/>
    <col min="14082" max="14082" width="49.5703125" style="487" customWidth="1"/>
    <col min="14083" max="14083" width="18.42578125" style="487" bestFit="1" customWidth="1"/>
    <col min="14084" max="14084" width="18.28515625" style="487" customWidth="1"/>
    <col min="14085" max="14086" width="16.85546875" style="487" customWidth="1"/>
    <col min="14087" max="14087" width="16" style="487" bestFit="1" customWidth="1"/>
    <col min="14088" max="14088" width="15.5703125" style="487" customWidth="1"/>
    <col min="14089" max="14089" width="16" style="487" bestFit="1" customWidth="1"/>
    <col min="14090" max="14090" width="17" style="487" customWidth="1"/>
    <col min="14091" max="14091" width="17" style="487" bestFit="1" customWidth="1"/>
    <col min="14092" max="14092" width="17" style="487" customWidth="1"/>
    <col min="14093" max="14093" width="15.5703125" style="487" customWidth="1"/>
    <col min="14094" max="14094" width="15.85546875" style="487" customWidth="1"/>
    <col min="14095" max="14095" width="11.28515625" style="487" customWidth="1"/>
    <col min="14096" max="14097" width="15.85546875" style="487" customWidth="1"/>
    <col min="14098" max="14098" width="11.42578125" style="487"/>
    <col min="14099" max="14100" width="15.5703125" style="487" customWidth="1"/>
    <col min="14101" max="14101" width="14.28515625" style="487" customWidth="1"/>
    <col min="14102" max="14102" width="10.85546875" style="487" customWidth="1"/>
    <col min="14103" max="14103" width="45.42578125" style="487" customWidth="1"/>
    <col min="14104" max="14105" width="14.28515625" style="487" customWidth="1"/>
    <col min="14106" max="14337" width="11.42578125" style="487"/>
    <col min="14338" max="14338" width="49.5703125" style="487" customWidth="1"/>
    <col min="14339" max="14339" width="18.42578125" style="487" bestFit="1" customWidth="1"/>
    <col min="14340" max="14340" width="18.28515625" style="487" customWidth="1"/>
    <col min="14341" max="14342" width="16.85546875" style="487" customWidth="1"/>
    <col min="14343" max="14343" width="16" style="487" bestFit="1" customWidth="1"/>
    <col min="14344" max="14344" width="15.5703125" style="487" customWidth="1"/>
    <col min="14345" max="14345" width="16" style="487" bestFit="1" customWidth="1"/>
    <col min="14346" max="14346" width="17" style="487" customWidth="1"/>
    <col min="14347" max="14347" width="17" style="487" bestFit="1" customWidth="1"/>
    <col min="14348" max="14348" width="17" style="487" customWidth="1"/>
    <col min="14349" max="14349" width="15.5703125" style="487" customWidth="1"/>
    <col min="14350" max="14350" width="15.85546875" style="487" customWidth="1"/>
    <col min="14351" max="14351" width="11.28515625" style="487" customWidth="1"/>
    <col min="14352" max="14353" width="15.85546875" style="487" customWidth="1"/>
    <col min="14354" max="14354" width="11.42578125" style="487"/>
    <col min="14355" max="14356" width="15.5703125" style="487" customWidth="1"/>
    <col min="14357" max="14357" width="14.28515625" style="487" customWidth="1"/>
    <col min="14358" max="14358" width="10.85546875" style="487" customWidth="1"/>
    <col min="14359" max="14359" width="45.42578125" style="487" customWidth="1"/>
    <col min="14360" max="14361" width="14.28515625" style="487" customWidth="1"/>
    <col min="14362" max="14593" width="11.42578125" style="487"/>
    <col min="14594" max="14594" width="49.5703125" style="487" customWidth="1"/>
    <col min="14595" max="14595" width="18.42578125" style="487" bestFit="1" customWidth="1"/>
    <col min="14596" max="14596" width="18.28515625" style="487" customWidth="1"/>
    <col min="14597" max="14598" width="16.85546875" style="487" customWidth="1"/>
    <col min="14599" max="14599" width="16" style="487" bestFit="1" customWidth="1"/>
    <col min="14600" max="14600" width="15.5703125" style="487" customWidth="1"/>
    <col min="14601" max="14601" width="16" style="487" bestFit="1" customWidth="1"/>
    <col min="14602" max="14602" width="17" style="487" customWidth="1"/>
    <col min="14603" max="14603" width="17" style="487" bestFit="1" customWidth="1"/>
    <col min="14604" max="14604" width="17" style="487" customWidth="1"/>
    <col min="14605" max="14605" width="15.5703125" style="487" customWidth="1"/>
    <col min="14606" max="14606" width="15.85546875" style="487" customWidth="1"/>
    <col min="14607" max="14607" width="11.28515625" style="487" customWidth="1"/>
    <col min="14608" max="14609" width="15.85546875" style="487" customWidth="1"/>
    <col min="14610" max="14610" width="11.42578125" style="487"/>
    <col min="14611" max="14612" width="15.5703125" style="487" customWidth="1"/>
    <col min="14613" max="14613" width="14.28515625" style="487" customWidth="1"/>
    <col min="14614" max="14614" width="10.85546875" style="487" customWidth="1"/>
    <col min="14615" max="14615" width="45.42578125" style="487" customWidth="1"/>
    <col min="14616" max="14617" width="14.28515625" style="487" customWidth="1"/>
    <col min="14618" max="14849" width="11.42578125" style="487"/>
    <col min="14850" max="14850" width="49.5703125" style="487" customWidth="1"/>
    <col min="14851" max="14851" width="18.42578125" style="487" bestFit="1" customWidth="1"/>
    <col min="14852" max="14852" width="18.28515625" style="487" customWidth="1"/>
    <col min="14853" max="14854" width="16.85546875" style="487" customWidth="1"/>
    <col min="14855" max="14855" width="16" style="487" bestFit="1" customWidth="1"/>
    <col min="14856" max="14856" width="15.5703125" style="487" customWidth="1"/>
    <col min="14857" max="14857" width="16" style="487" bestFit="1" customWidth="1"/>
    <col min="14858" max="14858" width="17" style="487" customWidth="1"/>
    <col min="14859" max="14859" width="17" style="487" bestFit="1" customWidth="1"/>
    <col min="14860" max="14860" width="17" style="487" customWidth="1"/>
    <col min="14861" max="14861" width="15.5703125" style="487" customWidth="1"/>
    <col min="14862" max="14862" width="15.85546875" style="487" customWidth="1"/>
    <col min="14863" max="14863" width="11.28515625" style="487" customWidth="1"/>
    <col min="14864" max="14865" width="15.85546875" style="487" customWidth="1"/>
    <col min="14866" max="14866" width="11.42578125" style="487"/>
    <col min="14867" max="14868" width="15.5703125" style="487" customWidth="1"/>
    <col min="14869" max="14869" width="14.28515625" style="487" customWidth="1"/>
    <col min="14870" max="14870" width="10.85546875" style="487" customWidth="1"/>
    <col min="14871" max="14871" width="45.42578125" style="487" customWidth="1"/>
    <col min="14872" max="14873" width="14.28515625" style="487" customWidth="1"/>
    <col min="14874" max="15105" width="11.42578125" style="487"/>
    <col min="15106" max="15106" width="49.5703125" style="487" customWidth="1"/>
    <col min="15107" max="15107" width="18.42578125" style="487" bestFit="1" customWidth="1"/>
    <col min="15108" max="15108" width="18.28515625" style="487" customWidth="1"/>
    <col min="15109" max="15110" width="16.85546875" style="487" customWidth="1"/>
    <col min="15111" max="15111" width="16" style="487" bestFit="1" customWidth="1"/>
    <col min="15112" max="15112" width="15.5703125" style="487" customWidth="1"/>
    <col min="15113" max="15113" width="16" style="487" bestFit="1" customWidth="1"/>
    <col min="15114" max="15114" width="17" style="487" customWidth="1"/>
    <col min="15115" max="15115" width="17" style="487" bestFit="1" customWidth="1"/>
    <col min="15116" max="15116" width="17" style="487" customWidth="1"/>
    <col min="15117" max="15117" width="15.5703125" style="487" customWidth="1"/>
    <col min="15118" max="15118" width="15.85546875" style="487" customWidth="1"/>
    <col min="15119" max="15119" width="11.28515625" style="487" customWidth="1"/>
    <col min="15120" max="15121" width="15.85546875" style="487" customWidth="1"/>
    <col min="15122" max="15122" width="11.42578125" style="487"/>
    <col min="15123" max="15124" width="15.5703125" style="487" customWidth="1"/>
    <col min="15125" max="15125" width="14.28515625" style="487" customWidth="1"/>
    <col min="15126" max="15126" width="10.85546875" style="487" customWidth="1"/>
    <col min="15127" max="15127" width="45.42578125" style="487" customWidth="1"/>
    <col min="15128" max="15129" width="14.28515625" style="487" customWidth="1"/>
    <col min="15130" max="15361" width="11.42578125" style="487"/>
    <col min="15362" max="15362" width="49.5703125" style="487" customWidth="1"/>
    <col min="15363" max="15363" width="18.42578125" style="487" bestFit="1" customWidth="1"/>
    <col min="15364" max="15364" width="18.28515625" style="487" customWidth="1"/>
    <col min="15365" max="15366" width="16.85546875" style="487" customWidth="1"/>
    <col min="15367" max="15367" width="16" style="487" bestFit="1" customWidth="1"/>
    <col min="15368" max="15368" width="15.5703125" style="487" customWidth="1"/>
    <col min="15369" max="15369" width="16" style="487" bestFit="1" customWidth="1"/>
    <col min="15370" max="15370" width="17" style="487" customWidth="1"/>
    <col min="15371" max="15371" width="17" style="487" bestFit="1" customWidth="1"/>
    <col min="15372" max="15372" width="17" style="487" customWidth="1"/>
    <col min="15373" max="15373" width="15.5703125" style="487" customWidth="1"/>
    <col min="15374" max="15374" width="15.85546875" style="487" customWidth="1"/>
    <col min="15375" max="15375" width="11.28515625" style="487" customWidth="1"/>
    <col min="15376" max="15377" width="15.85546875" style="487" customWidth="1"/>
    <col min="15378" max="15378" width="11.42578125" style="487"/>
    <col min="15379" max="15380" width="15.5703125" style="487" customWidth="1"/>
    <col min="15381" max="15381" width="14.28515625" style="487" customWidth="1"/>
    <col min="15382" max="15382" width="10.85546875" style="487" customWidth="1"/>
    <col min="15383" max="15383" width="45.42578125" style="487" customWidth="1"/>
    <col min="15384" max="15385" width="14.28515625" style="487" customWidth="1"/>
    <col min="15386" max="15617" width="11.42578125" style="487"/>
    <col min="15618" max="15618" width="49.5703125" style="487" customWidth="1"/>
    <col min="15619" max="15619" width="18.42578125" style="487" bestFit="1" customWidth="1"/>
    <col min="15620" max="15620" width="18.28515625" style="487" customWidth="1"/>
    <col min="15621" max="15622" width="16.85546875" style="487" customWidth="1"/>
    <col min="15623" max="15623" width="16" style="487" bestFit="1" customWidth="1"/>
    <col min="15624" max="15624" width="15.5703125" style="487" customWidth="1"/>
    <col min="15625" max="15625" width="16" style="487" bestFit="1" customWidth="1"/>
    <col min="15626" max="15626" width="17" style="487" customWidth="1"/>
    <col min="15627" max="15627" width="17" style="487" bestFit="1" customWidth="1"/>
    <col min="15628" max="15628" width="17" style="487" customWidth="1"/>
    <col min="15629" max="15629" width="15.5703125" style="487" customWidth="1"/>
    <col min="15630" max="15630" width="15.85546875" style="487" customWidth="1"/>
    <col min="15631" max="15631" width="11.28515625" style="487" customWidth="1"/>
    <col min="15632" max="15633" width="15.85546875" style="487" customWidth="1"/>
    <col min="15634" max="15634" width="11.42578125" style="487"/>
    <col min="15635" max="15636" width="15.5703125" style="487" customWidth="1"/>
    <col min="15637" max="15637" width="14.28515625" style="487" customWidth="1"/>
    <col min="15638" max="15638" width="10.85546875" style="487" customWidth="1"/>
    <col min="15639" max="15639" width="45.42578125" style="487" customWidth="1"/>
    <col min="15640" max="15641" width="14.28515625" style="487" customWidth="1"/>
    <col min="15642" max="15873" width="11.42578125" style="487"/>
    <col min="15874" max="15874" width="49.5703125" style="487" customWidth="1"/>
    <col min="15875" max="15875" width="18.42578125" style="487" bestFit="1" customWidth="1"/>
    <col min="15876" max="15876" width="18.28515625" style="487" customWidth="1"/>
    <col min="15877" max="15878" width="16.85546875" style="487" customWidth="1"/>
    <col min="15879" max="15879" width="16" style="487" bestFit="1" customWidth="1"/>
    <col min="15880" max="15880" width="15.5703125" style="487" customWidth="1"/>
    <col min="15881" max="15881" width="16" style="487" bestFit="1" customWidth="1"/>
    <col min="15882" max="15882" width="17" style="487" customWidth="1"/>
    <col min="15883" max="15883" width="17" style="487" bestFit="1" customWidth="1"/>
    <col min="15884" max="15884" width="17" style="487" customWidth="1"/>
    <col min="15885" max="15885" width="15.5703125" style="487" customWidth="1"/>
    <col min="15886" max="15886" width="15.85546875" style="487" customWidth="1"/>
    <col min="15887" max="15887" width="11.28515625" style="487" customWidth="1"/>
    <col min="15888" max="15889" width="15.85546875" style="487" customWidth="1"/>
    <col min="15890" max="15890" width="11.42578125" style="487"/>
    <col min="15891" max="15892" width="15.5703125" style="487" customWidth="1"/>
    <col min="15893" max="15893" width="14.28515625" style="487" customWidth="1"/>
    <col min="15894" max="15894" width="10.85546875" style="487" customWidth="1"/>
    <col min="15895" max="15895" width="45.42578125" style="487" customWidth="1"/>
    <col min="15896" max="15897" width="14.28515625" style="487" customWidth="1"/>
    <col min="15898" max="16129" width="11.42578125" style="487"/>
    <col min="16130" max="16130" width="49.5703125" style="487" customWidth="1"/>
    <col min="16131" max="16131" width="18.42578125" style="487" bestFit="1" customWidth="1"/>
    <col min="16132" max="16132" width="18.28515625" style="487" customWidth="1"/>
    <col min="16133" max="16134" width="16.85546875" style="487" customWidth="1"/>
    <col min="16135" max="16135" width="16" style="487" bestFit="1" customWidth="1"/>
    <col min="16136" max="16136" width="15.5703125" style="487" customWidth="1"/>
    <col min="16137" max="16137" width="16" style="487" bestFit="1" customWidth="1"/>
    <col min="16138" max="16138" width="17" style="487" customWidth="1"/>
    <col min="16139" max="16139" width="17" style="487" bestFit="1" customWidth="1"/>
    <col min="16140" max="16140" width="17" style="487" customWidth="1"/>
    <col min="16141" max="16141" width="15.5703125" style="487" customWidth="1"/>
    <col min="16142" max="16142" width="15.85546875" style="487" customWidth="1"/>
    <col min="16143" max="16143" width="11.28515625" style="487" customWidth="1"/>
    <col min="16144" max="16145" width="15.85546875" style="487" customWidth="1"/>
    <col min="16146" max="16146" width="11.42578125" style="487"/>
    <col min="16147" max="16148" width="15.5703125" style="487" customWidth="1"/>
    <col min="16149" max="16149" width="14.28515625" style="487" customWidth="1"/>
    <col min="16150" max="16150" width="10.85546875" style="487" customWidth="1"/>
    <col min="16151" max="16151" width="45.42578125" style="487" customWidth="1"/>
    <col min="16152" max="16153" width="14.28515625" style="487" customWidth="1"/>
    <col min="16154" max="16384" width="11.42578125" style="487"/>
  </cols>
  <sheetData>
    <row r="1" spans="1:21" ht="15" customHeight="1" x14ac:dyDescent="0.25">
      <c r="A1" s="1826"/>
      <c r="B1" s="1826"/>
      <c r="C1" s="1826"/>
      <c r="D1" s="1826"/>
      <c r="E1" s="250"/>
    </row>
    <row r="2" spans="1:21" s="358" customFormat="1" ht="48" customHeight="1" x14ac:dyDescent="0.25">
      <c r="A2" s="529" t="s">
        <v>946</v>
      </c>
      <c r="B2" s="530" t="s">
        <v>1000</v>
      </c>
      <c r="C2" s="530" t="s">
        <v>2410</v>
      </c>
      <c r="D2" s="530" t="s">
        <v>1001</v>
      </c>
      <c r="E2" s="530" t="s">
        <v>2411</v>
      </c>
      <c r="F2" s="530" t="s">
        <v>1003</v>
      </c>
      <c r="G2" s="530" t="s">
        <v>2412</v>
      </c>
      <c r="H2" s="530" t="s">
        <v>1005</v>
      </c>
      <c r="I2" s="530" t="s">
        <v>2413</v>
      </c>
      <c r="J2" s="530" t="s">
        <v>1007</v>
      </c>
      <c r="K2" s="530" t="s">
        <v>2414</v>
      </c>
      <c r="L2" s="530" t="s">
        <v>2414</v>
      </c>
      <c r="M2" s="530" t="s">
        <v>2415</v>
      </c>
      <c r="N2" s="530" t="s">
        <v>2416</v>
      </c>
      <c r="O2" s="530" t="s">
        <v>2417</v>
      </c>
      <c r="P2" s="530" t="s">
        <v>2418</v>
      </c>
      <c r="Q2" s="530" t="s">
        <v>2419</v>
      </c>
      <c r="R2" s="530" t="s">
        <v>2420</v>
      </c>
      <c r="S2" s="530" t="s">
        <v>2421</v>
      </c>
      <c r="T2" s="530" t="s">
        <v>2422</v>
      </c>
    </row>
    <row r="3" spans="1:21" s="253" customFormat="1" x14ac:dyDescent="0.25">
      <c r="A3" s="496" t="s">
        <v>949</v>
      </c>
      <c r="B3" s="531">
        <f t="shared" ref="B3:M3" si="0">+B4+B80+B134</f>
        <v>281317707775.85999</v>
      </c>
      <c r="C3" s="531">
        <f t="shared" si="0"/>
        <v>306764790292.24335</v>
      </c>
      <c r="D3" s="531">
        <f t="shared" si="0"/>
        <v>269299032046.10001</v>
      </c>
      <c r="E3" s="531">
        <f t="shared" si="0"/>
        <v>303601325248.40631</v>
      </c>
      <c r="F3" s="531">
        <f t="shared" si="0"/>
        <v>296746834875.20001</v>
      </c>
      <c r="G3" s="531">
        <f t="shared" si="0"/>
        <v>321394090557.67383</v>
      </c>
      <c r="H3" s="531">
        <f t="shared" si="0"/>
        <v>317040324562.40002</v>
      </c>
      <c r="I3" s="531">
        <f t="shared" si="0"/>
        <v>332797228693.15131</v>
      </c>
      <c r="J3" s="531">
        <f t="shared" si="0"/>
        <v>341899568234.72003</v>
      </c>
      <c r="K3" s="531">
        <f t="shared" si="0"/>
        <v>345753349495.16913</v>
      </c>
      <c r="L3" s="531"/>
      <c r="M3" s="531">
        <f t="shared" si="0"/>
        <v>306696562072.29333</v>
      </c>
      <c r="N3" s="531"/>
      <c r="O3" s="531"/>
      <c r="P3" s="531"/>
      <c r="Q3" s="531"/>
      <c r="R3" s="531"/>
      <c r="S3" s="531">
        <f>+S4+S80+S134</f>
        <v>343050866819.76678</v>
      </c>
      <c r="T3" s="531" t="e">
        <f>+T4+T80+T134</f>
        <v>#REF!</v>
      </c>
    </row>
    <row r="4" spans="1:21" s="253" customFormat="1" x14ac:dyDescent="0.25">
      <c r="A4" s="498" t="s">
        <v>950</v>
      </c>
      <c r="B4" s="497">
        <f t="shared" ref="B4:M4" si="1">+B5+B46</f>
        <v>101389654267.79001</v>
      </c>
      <c r="C4" s="497">
        <f t="shared" si="1"/>
        <v>120873049500.1694</v>
      </c>
      <c r="D4" s="497">
        <f t="shared" si="1"/>
        <v>102892732044.44</v>
      </c>
      <c r="E4" s="497">
        <f t="shared" si="1"/>
        <v>115998819489.90298</v>
      </c>
      <c r="F4" s="497">
        <f t="shared" si="1"/>
        <v>112750103088.58</v>
      </c>
      <c r="G4" s="497">
        <f t="shared" si="1"/>
        <v>122114922835.41315</v>
      </c>
      <c r="H4" s="497">
        <f t="shared" si="1"/>
        <v>115202345676.91</v>
      </c>
      <c r="I4" s="497">
        <f t="shared" si="1"/>
        <v>120927902257.05241</v>
      </c>
      <c r="J4" s="497">
        <f t="shared" si="1"/>
        <v>118101069231.75</v>
      </c>
      <c r="K4" s="497">
        <f t="shared" si="1"/>
        <v>119432266254.88243</v>
      </c>
      <c r="L4" s="497"/>
      <c r="M4" s="497">
        <f t="shared" si="1"/>
        <v>90867875877.960007</v>
      </c>
      <c r="N4" s="497"/>
      <c r="O4" s="497"/>
      <c r="P4" s="497"/>
      <c r="Q4" s="497"/>
      <c r="R4" s="497"/>
      <c r="S4" s="497">
        <f>+S5+S46</f>
        <v>106173229668.6543</v>
      </c>
      <c r="T4" s="497">
        <f>+T5+T46</f>
        <v>124794393144.69604</v>
      </c>
    </row>
    <row r="5" spans="1:21" s="253" customFormat="1" x14ac:dyDescent="0.25">
      <c r="A5" s="496" t="s">
        <v>951</v>
      </c>
      <c r="B5" s="531">
        <f>+B6+B16</f>
        <v>86350066972</v>
      </c>
      <c r="C5" s="531">
        <f t="shared" ref="C5:M5" si="2">+C6+C16</f>
        <v>102943401817.72675</v>
      </c>
      <c r="D5" s="531">
        <f t="shared" si="2"/>
        <v>86675913374.399994</v>
      </c>
      <c r="E5" s="531">
        <f t="shared" si="2"/>
        <v>97716363730.112427</v>
      </c>
      <c r="F5" s="531">
        <f t="shared" si="2"/>
        <v>96019427659.580002</v>
      </c>
      <c r="G5" s="531">
        <f t="shared" si="2"/>
        <v>103994627748.9281</v>
      </c>
      <c r="H5" s="531">
        <f t="shared" si="2"/>
        <v>97897983249.669998</v>
      </c>
      <c r="I5" s="531">
        <f t="shared" si="2"/>
        <v>102763513017.17859</v>
      </c>
      <c r="J5" s="531">
        <f t="shared" si="2"/>
        <v>100421479501</v>
      </c>
      <c r="K5" s="531">
        <f t="shared" si="2"/>
        <v>101553397911.56039</v>
      </c>
      <c r="L5" s="531"/>
      <c r="M5" s="531">
        <f t="shared" si="2"/>
        <v>73858678682.330002</v>
      </c>
      <c r="N5" s="531"/>
      <c r="O5" s="531"/>
      <c r="P5" s="531"/>
      <c r="Q5" s="531"/>
      <c r="R5" s="531"/>
      <c r="S5" s="531">
        <f>+S6+S16</f>
        <v>87005422389.850891</v>
      </c>
      <c r="T5" s="531">
        <f>+T6+T16</f>
        <v>96997701829.877747</v>
      </c>
    </row>
    <row r="6" spans="1:21" s="253" customFormat="1" x14ac:dyDescent="0.25">
      <c r="A6" s="496" t="s">
        <v>1021</v>
      </c>
      <c r="B6" s="497">
        <f>+B7+B9</f>
        <v>19411067015</v>
      </c>
      <c r="C6" s="497">
        <f t="shared" ref="C6:M6" si="3">+C7+C9</f>
        <v>23141166434.577511</v>
      </c>
      <c r="D6" s="497">
        <f t="shared" si="3"/>
        <v>21250473507</v>
      </c>
      <c r="E6" s="497">
        <f t="shared" si="3"/>
        <v>23957278531.090004</v>
      </c>
      <c r="F6" s="497">
        <f t="shared" si="3"/>
        <v>24831928061.5</v>
      </c>
      <c r="G6" s="497">
        <f t="shared" si="3"/>
        <v>26894423118.197014</v>
      </c>
      <c r="H6" s="497">
        <f t="shared" si="3"/>
        <v>26406651569.419998</v>
      </c>
      <c r="I6" s="497">
        <f t="shared" si="3"/>
        <v>27719062152.420174</v>
      </c>
      <c r="J6" s="497">
        <f t="shared" si="3"/>
        <v>29966697788</v>
      </c>
      <c r="K6" s="497">
        <f t="shared" si="3"/>
        <v>30304472705.263584</v>
      </c>
      <c r="L6" s="497"/>
      <c r="M6" s="497">
        <f t="shared" si="3"/>
        <v>24586257711</v>
      </c>
      <c r="N6" s="497"/>
      <c r="O6" s="497"/>
      <c r="P6" s="497"/>
      <c r="Q6" s="497"/>
      <c r="R6" s="497"/>
      <c r="S6" s="497">
        <f>+S7+S9</f>
        <v>32578898622.079155</v>
      </c>
      <c r="T6" s="497">
        <f>+T7+T9</f>
        <v>33556265580.741531</v>
      </c>
    </row>
    <row r="7" spans="1:21" s="253" customFormat="1" x14ac:dyDescent="0.25">
      <c r="A7" s="498" t="s">
        <v>1022</v>
      </c>
      <c r="B7" s="499">
        <f>SUM(B8:B8)</f>
        <v>8853239996</v>
      </c>
      <c r="C7" s="499">
        <f t="shared" ref="C7:M7" si="4">SUM(C8:C8)</f>
        <v>10554509964.56695</v>
      </c>
      <c r="D7" s="499">
        <f t="shared" si="4"/>
        <v>9951188398</v>
      </c>
      <c r="E7" s="499">
        <f t="shared" si="4"/>
        <v>11218733177.296316</v>
      </c>
      <c r="F7" s="499">
        <f t="shared" si="4"/>
        <v>11766990269.299999</v>
      </c>
      <c r="G7" s="499">
        <f t="shared" si="4"/>
        <v>12744335210.157045</v>
      </c>
      <c r="H7" s="499">
        <f t="shared" si="4"/>
        <v>12835717964.42</v>
      </c>
      <c r="I7" s="499">
        <f t="shared" si="4"/>
        <v>13473653147.251675</v>
      </c>
      <c r="J7" s="499">
        <f t="shared" si="4"/>
        <v>14906182505</v>
      </c>
      <c r="K7" s="499">
        <f t="shared" si="4"/>
        <v>15074200169.0737</v>
      </c>
      <c r="L7" s="499"/>
      <c r="M7" s="499">
        <f t="shared" si="4"/>
        <v>12217057711</v>
      </c>
      <c r="N7" s="499"/>
      <c r="O7" s="499"/>
      <c r="P7" s="499"/>
      <c r="Q7" s="499"/>
      <c r="R7" s="499"/>
      <c r="S7" s="499">
        <f>SUM(S8:S8)</f>
        <v>16441221346.333136</v>
      </c>
      <c r="T7" s="499">
        <f>SUM(T8:T8)</f>
        <v>16934457986.723129</v>
      </c>
    </row>
    <row r="8" spans="1:21" x14ac:dyDescent="0.25">
      <c r="A8" s="500" t="s">
        <v>1023</v>
      </c>
      <c r="B8" s="501">
        <v>8853239996</v>
      </c>
      <c r="C8" s="501">
        <f>+B8*([8]IPC!$S$15/[8]IPC!$N$21)</f>
        <v>10554509964.56695</v>
      </c>
      <c r="D8" s="502">
        <v>9951188398</v>
      </c>
      <c r="E8" s="501">
        <f>+D8*([8]IPC!$S$15/[8]IPC!$O$21)</f>
        <v>11218733177.296316</v>
      </c>
      <c r="F8" s="503">
        <v>11766990269.299999</v>
      </c>
      <c r="G8" s="501">
        <f>+F8*([8]IPC!$S$15/[8]IPC!$P$21)</f>
        <v>12744335210.157045</v>
      </c>
      <c r="H8" s="504">
        <v>12835717964.42</v>
      </c>
      <c r="I8" s="501">
        <f>+H8*([8]IPC!$S$15/[8]IPC!$Q$21)</f>
        <v>13473653147.251675</v>
      </c>
      <c r="J8" s="505">
        <v>14906182505</v>
      </c>
      <c r="K8" s="501">
        <f>+J8*([8]IPC!$S$15/[8]IPC!$R$21)</f>
        <v>15074200169.0737</v>
      </c>
      <c r="L8" s="501"/>
      <c r="M8" s="510">
        <f>+'[8]Ejecucion Ingresos 2020'!D7</f>
        <v>12217057711</v>
      </c>
      <c r="N8" s="532">
        <f>+(D8-B8)/D8</f>
        <v>0.11033339517727016</v>
      </c>
      <c r="O8" s="532">
        <f>+(F8-D8)/F8</f>
        <v>0.15431319562126386</v>
      </c>
      <c r="P8" s="532">
        <f>+(H8-F8)/H8</f>
        <v>8.326201137189701E-2</v>
      </c>
      <c r="Q8" s="532">
        <f>+(J8-H8)/J8</f>
        <v>0.13889971760948863</v>
      </c>
      <c r="R8" s="532">
        <f>+(N8+O8+P8+Q8)/4</f>
        <v>0.12170207994497992</v>
      </c>
      <c r="S8" s="533">
        <f>+((C8+E8+G8+I8+K8)/5)*R8+J8</f>
        <v>16441221346.333136</v>
      </c>
      <c r="T8" s="510">
        <f>+S8*1.03</f>
        <v>16934457986.723129</v>
      </c>
      <c r="U8" s="487">
        <f>+T8</f>
        <v>16934457986.723129</v>
      </c>
    </row>
    <row r="9" spans="1:21" s="253" customFormat="1" x14ac:dyDescent="0.25">
      <c r="A9" s="498" t="s">
        <v>1024</v>
      </c>
      <c r="B9" s="506">
        <f t="shared" ref="B9:T9" si="5">+B10+B11</f>
        <v>10557827019</v>
      </c>
      <c r="C9" s="506">
        <f t="shared" si="5"/>
        <v>12586656470.010561</v>
      </c>
      <c r="D9" s="506">
        <f t="shared" si="5"/>
        <v>11299285109</v>
      </c>
      <c r="E9" s="506">
        <f t="shared" si="5"/>
        <v>12738545353.793686</v>
      </c>
      <c r="F9" s="506">
        <f t="shared" si="5"/>
        <v>13064937792.199999</v>
      </c>
      <c r="G9" s="506">
        <f t="shared" si="5"/>
        <v>14150087908.03997</v>
      </c>
      <c r="H9" s="506">
        <f t="shared" si="5"/>
        <v>13570933605</v>
      </c>
      <c r="I9" s="506">
        <f t="shared" si="5"/>
        <v>14245409005.168501</v>
      </c>
      <c r="J9" s="506">
        <f t="shared" si="5"/>
        <v>15060515283</v>
      </c>
      <c r="K9" s="506">
        <f t="shared" si="5"/>
        <v>15230272536.189884</v>
      </c>
      <c r="L9" s="506"/>
      <c r="M9" s="506">
        <f t="shared" si="5"/>
        <v>12369200000</v>
      </c>
      <c r="N9" s="532">
        <f>+(D9-B9)/D9</f>
        <v>6.5619911600373795E-2</v>
      </c>
      <c r="O9" s="532">
        <f>+(E9-C9)/E9</f>
        <v>1.1923565804779324E-2</v>
      </c>
      <c r="P9" s="532">
        <f>+(F9-D9)/F9</f>
        <v>0.13514436205384192</v>
      </c>
      <c r="Q9" s="532">
        <f>+(G9-E9)/G9</f>
        <v>9.9755037807521818E-2</v>
      </c>
      <c r="R9" s="532">
        <f>+(N9+O9+P9+Q9)/4</f>
        <v>7.8110719316629218E-2</v>
      </c>
      <c r="S9" s="531">
        <f>+((C9+E9+G9+I9+K9)/5)*R9+J9</f>
        <v>16137677275.746019</v>
      </c>
      <c r="T9" s="506">
        <f t="shared" si="5"/>
        <v>16621807594.018402</v>
      </c>
      <c r="U9" s="487">
        <f t="shared" ref="U9:U73" si="6">+T9</f>
        <v>16621807594.018402</v>
      </c>
    </row>
    <row r="10" spans="1:21" x14ac:dyDescent="0.25">
      <c r="A10" s="500" t="s">
        <v>1025</v>
      </c>
      <c r="B10" s="507">
        <v>8542748119.4099998</v>
      </c>
      <c r="C10" s="501">
        <f>+B10*([8]IPC!$S$15/[8]IPC!$N$21)</f>
        <v>10184352868.7617</v>
      </c>
      <c r="D10" s="507">
        <v>8361470980.4200001</v>
      </c>
      <c r="E10" s="501">
        <f>+D10*([8]IPC!$S$15/[8]IPC!$O$21)</f>
        <v>9426523561.5367565</v>
      </c>
      <c r="F10" s="507">
        <v>9668053966.2199993</v>
      </c>
      <c r="G10" s="501">
        <f>+F10*([8]IPC!$S$15/[8]IPC!$P$21)</f>
        <v>10471065051.940914</v>
      </c>
      <c r="H10" s="507">
        <v>8929674312</v>
      </c>
      <c r="I10" s="501">
        <f>+H10*([8]IPC!$S$15/[8]IPC!$Q$21)</f>
        <v>9373479125.3064003</v>
      </c>
      <c r="J10" s="507">
        <v>9909819056</v>
      </c>
      <c r="K10" s="501">
        <f>+J10*([8]IPC!$S$15/[8]IPC!$R$21)</f>
        <v>10021519328.596531</v>
      </c>
      <c r="L10" s="501"/>
      <c r="M10" s="507">
        <f>+'[8]Ejecucion Ingresos 2020'!D10</f>
        <v>8138933600</v>
      </c>
      <c r="N10" s="532"/>
      <c r="O10" s="532"/>
      <c r="P10" s="532"/>
      <c r="Q10" s="532"/>
      <c r="R10" s="532"/>
      <c r="S10" s="533">
        <f>+S9-S11</f>
        <v>10747693065.646849</v>
      </c>
      <c r="T10" s="510">
        <f>+S10*1.03</f>
        <v>11070123857.616255</v>
      </c>
      <c r="U10" s="487">
        <f t="shared" si="6"/>
        <v>11070123857.616255</v>
      </c>
    </row>
    <row r="11" spans="1:21" s="253" customFormat="1" x14ac:dyDescent="0.25">
      <c r="A11" s="496" t="s">
        <v>1026</v>
      </c>
      <c r="B11" s="508">
        <f t="shared" ref="B11:M11" si="7">SUM(B12:B15)</f>
        <v>2015078899.5900002</v>
      </c>
      <c r="C11" s="508">
        <f t="shared" si="7"/>
        <v>2402303601.2488618</v>
      </c>
      <c r="D11" s="508">
        <f t="shared" si="7"/>
        <v>2937814128.5799999</v>
      </c>
      <c r="E11" s="508">
        <f t="shared" si="7"/>
        <v>3312021792.2569284</v>
      </c>
      <c r="F11" s="508">
        <f t="shared" si="7"/>
        <v>3396883825.98</v>
      </c>
      <c r="G11" s="508">
        <f t="shared" si="7"/>
        <v>3679022856.0990567</v>
      </c>
      <c r="H11" s="508">
        <f t="shared" si="7"/>
        <v>4641259293</v>
      </c>
      <c r="I11" s="508">
        <f t="shared" si="7"/>
        <v>4871929879.8621006</v>
      </c>
      <c r="J11" s="508">
        <f t="shared" si="7"/>
        <v>5150696227</v>
      </c>
      <c r="K11" s="508">
        <f t="shared" si="7"/>
        <v>5208753207.5933533</v>
      </c>
      <c r="L11" s="508"/>
      <c r="M11" s="508">
        <f t="shared" si="7"/>
        <v>4230266400</v>
      </c>
      <c r="N11" s="508"/>
      <c r="O11" s="508"/>
      <c r="P11" s="508"/>
      <c r="Q11" s="508"/>
      <c r="R11" s="508"/>
      <c r="S11" s="531">
        <f>+S12+S13+S14+S15</f>
        <v>5389984210.0991707</v>
      </c>
      <c r="T11" s="531">
        <f>+T12+T13+T14+T15</f>
        <v>5551683736.4021463</v>
      </c>
      <c r="U11" s="487">
        <f t="shared" si="6"/>
        <v>5551683736.4021463</v>
      </c>
    </row>
    <row r="12" spans="1:21" x14ac:dyDescent="0.25">
      <c r="A12" s="500" t="s">
        <v>1027</v>
      </c>
      <c r="B12" s="509">
        <v>591238313.05999994</v>
      </c>
      <c r="C12" s="501">
        <f>+B12*([8]IPC!$S$15/[8]IPC!$N$21)</f>
        <v>704852762.31582272</v>
      </c>
      <c r="D12" s="510">
        <v>677957105.70000005</v>
      </c>
      <c r="E12" s="501">
        <f>+D12*([8]IPC!$S$15/[8]IPC!$O$21)</f>
        <v>764312720.2806251</v>
      </c>
      <c r="F12" s="510">
        <v>783896267.51999998</v>
      </c>
      <c r="G12" s="501">
        <f>+F12*([8]IPC!$S$15/[8]IPC!$P$21)</f>
        <v>849005274.4694016</v>
      </c>
      <c r="H12" s="504">
        <v>1927072572</v>
      </c>
      <c r="I12" s="501">
        <f>+H12*([8]IPC!$S$15/[8]IPC!$Q$21)</f>
        <v>2022848078.8284001</v>
      </c>
      <c r="J12" s="511">
        <v>2138593170</v>
      </c>
      <c r="K12" s="501">
        <f>+J12*([8]IPC!$S$15/[8]IPC!$R$21)</f>
        <v>2162698699.9508672</v>
      </c>
      <c r="L12" s="501"/>
      <c r="M12" s="510">
        <f>+'[8]Ejecucion Ingresos 2020'!D14</f>
        <v>1756426400</v>
      </c>
      <c r="N12" s="532"/>
      <c r="O12" s="532"/>
      <c r="P12" s="532"/>
      <c r="Q12" s="532"/>
      <c r="R12" s="532"/>
      <c r="S12" s="533">
        <f>+S9*0.067*2</f>
        <v>2162448754.9499669</v>
      </c>
      <c r="T12" s="510">
        <f>+S12*1.03</f>
        <v>2227322217.5984659</v>
      </c>
      <c r="U12" s="487">
        <f t="shared" si="6"/>
        <v>2227322217.5984659</v>
      </c>
    </row>
    <row r="13" spans="1:21" x14ac:dyDescent="0.25">
      <c r="A13" s="500" t="s">
        <v>1028</v>
      </c>
      <c r="B13" s="509">
        <v>422313080.75999999</v>
      </c>
      <c r="C13" s="501">
        <f>+B13*([8]IPC!$S$15/[8]IPC!$N$21)</f>
        <v>503466258.80042249</v>
      </c>
      <c r="D13" s="510">
        <v>451971404.01999998</v>
      </c>
      <c r="E13" s="501">
        <f>+D13*([8]IPC!$S$15/[8]IPC!$O$21)</f>
        <v>509541813.76843947</v>
      </c>
      <c r="F13" s="510">
        <v>522597511.70999998</v>
      </c>
      <c r="G13" s="501">
        <f>+F13*([8]IPC!$S$15/[8]IPC!$P$21)</f>
        <v>566003516.34542608</v>
      </c>
      <c r="H13" s="504">
        <v>542837344</v>
      </c>
      <c r="I13" s="501">
        <f>+H13*([8]IPC!$S$15/[8]IPC!$Q$21)</f>
        <v>569816359.99680007</v>
      </c>
      <c r="J13" s="511">
        <v>602420611</v>
      </c>
      <c r="K13" s="501">
        <f>+J13*([8]IPC!$S$15/[8]IPC!$R$21)</f>
        <v>609210901.12398839</v>
      </c>
      <c r="L13" s="501"/>
      <c r="M13" s="510">
        <f>+'[8]Ejecucion Ingresos 2020'!D11</f>
        <v>494768000</v>
      </c>
      <c r="N13" s="532"/>
      <c r="O13" s="532"/>
      <c r="P13" s="532"/>
      <c r="Q13" s="532"/>
      <c r="R13" s="532"/>
      <c r="S13" s="533">
        <f>+S9*0.04</f>
        <v>645507091.02984083</v>
      </c>
      <c r="T13" s="510">
        <f>+S13*1.03</f>
        <v>664872303.76073611</v>
      </c>
      <c r="U13" s="487">
        <f t="shared" si="6"/>
        <v>664872303.76073611</v>
      </c>
    </row>
    <row r="14" spans="1:21" x14ac:dyDescent="0.25">
      <c r="A14" s="500" t="s">
        <v>1029</v>
      </c>
      <c r="B14" s="509">
        <v>633469621.13999999</v>
      </c>
      <c r="C14" s="501">
        <f>+B14*([8]IPC!$S$15/[8]IPC!$N$21)</f>
        <v>755199388.20063365</v>
      </c>
      <c r="D14" s="510">
        <v>677957107.36000001</v>
      </c>
      <c r="E14" s="501">
        <f>+D14*([8]IPC!$S$15/[8]IPC!$O$21)</f>
        <v>764312722.15206957</v>
      </c>
      <c r="F14" s="510">
        <v>783896267.52999997</v>
      </c>
      <c r="G14" s="501">
        <f>+F14*([8]IPC!$S$15/[8]IPC!$P$21)</f>
        <v>849005274.48023212</v>
      </c>
      <c r="H14" s="504">
        <v>814256016</v>
      </c>
      <c r="I14" s="501">
        <f>+H14*([8]IPC!$S$15/[8]IPC!$Q$21)</f>
        <v>854724539.99520004</v>
      </c>
      <c r="J14" s="511">
        <v>903630917</v>
      </c>
      <c r="K14" s="501">
        <f>+J14*([8]IPC!$S$15/[8]IPC!$R$21)</f>
        <v>913816352.19161844</v>
      </c>
      <c r="L14" s="501"/>
      <c r="M14" s="510">
        <f>+'[8]Ejecucion Ingresos 2020'!D12</f>
        <v>742152000</v>
      </c>
      <c r="N14" s="532"/>
      <c r="O14" s="532"/>
      <c r="P14" s="532"/>
      <c r="Q14" s="532"/>
      <c r="R14" s="532"/>
      <c r="S14" s="533">
        <f>+S9*0.06</f>
        <v>968260636.54476118</v>
      </c>
      <c r="T14" s="510">
        <f>+S14*1.03</f>
        <v>997308455.64110398</v>
      </c>
      <c r="U14" s="487">
        <f t="shared" si="6"/>
        <v>997308455.64110398</v>
      </c>
    </row>
    <row r="15" spans="1:21" ht="24" x14ac:dyDescent="0.25">
      <c r="A15" s="500" t="s">
        <v>1030</v>
      </c>
      <c r="B15" s="509">
        <v>368057884.63</v>
      </c>
      <c r="C15" s="501">
        <f>+B15*([8]IPC!$S$15/[8]IPC!$N$21)</f>
        <v>438785191.93198293</v>
      </c>
      <c r="D15" s="510">
        <v>1129928511.5</v>
      </c>
      <c r="E15" s="501">
        <f>+D15*([8]IPC!$S$15/[8]IPC!$O$21)</f>
        <v>1273854536.0557942</v>
      </c>
      <c r="F15" s="510">
        <v>1306493779.22</v>
      </c>
      <c r="G15" s="501">
        <f>+F15*([8]IPC!$S$15/[8]IPC!$P$21)</f>
        <v>1415008790.803997</v>
      </c>
      <c r="H15" s="504">
        <v>1357093361</v>
      </c>
      <c r="I15" s="501">
        <f>+H15*([8]IPC!$S$15/[8]IPC!$Q$21)</f>
        <v>1424540901.0417001</v>
      </c>
      <c r="J15" s="511">
        <v>1506051529</v>
      </c>
      <c r="K15" s="501">
        <f>+J15*([8]IPC!$S$15/[8]IPC!$R$21)</f>
        <v>1523027254.3268785</v>
      </c>
      <c r="L15" s="501"/>
      <c r="M15" s="510">
        <f>+'[8]Ejecucion Ingresos 2020'!D13</f>
        <v>1236920000</v>
      </c>
      <c r="N15" s="532"/>
      <c r="O15" s="532"/>
      <c r="P15" s="532"/>
      <c r="Q15" s="532"/>
      <c r="R15" s="532"/>
      <c r="S15" s="533">
        <f>+S9*0.1</f>
        <v>1613767727.5746021</v>
      </c>
      <c r="T15" s="510">
        <f>+S15*1.03</f>
        <v>1662180759.4018402</v>
      </c>
      <c r="U15" s="487">
        <f t="shared" si="6"/>
        <v>1662180759.4018402</v>
      </c>
    </row>
    <row r="16" spans="1:21" s="253" customFormat="1" x14ac:dyDescent="0.25">
      <c r="A16" s="496" t="s">
        <v>1031</v>
      </c>
      <c r="B16" s="497">
        <f t="shared" ref="B16:M16" si="8">+B17+B20+B23+B26+B28+B30</f>
        <v>66938999957</v>
      </c>
      <c r="C16" s="497">
        <f t="shared" si="8"/>
        <v>79802235383.149231</v>
      </c>
      <c r="D16" s="497">
        <f t="shared" si="8"/>
        <v>65425439867.400002</v>
      </c>
      <c r="E16" s="497">
        <f t="shared" si="8"/>
        <v>73759085199.02243</v>
      </c>
      <c r="F16" s="497">
        <f t="shared" si="8"/>
        <v>71187499598.080002</v>
      </c>
      <c r="G16" s="497">
        <f t="shared" si="8"/>
        <v>77100204630.731094</v>
      </c>
      <c r="H16" s="497">
        <f t="shared" si="8"/>
        <v>71491331680.25</v>
      </c>
      <c r="I16" s="497">
        <f t="shared" si="8"/>
        <v>75044450864.758423</v>
      </c>
      <c r="J16" s="497">
        <f t="shared" si="8"/>
        <v>70454781713</v>
      </c>
      <c r="K16" s="497">
        <f t="shared" si="8"/>
        <v>71248925206.296814</v>
      </c>
      <c r="L16" s="497"/>
      <c r="M16" s="497">
        <f t="shared" si="8"/>
        <v>49272420971.330002</v>
      </c>
      <c r="N16" s="497"/>
      <c r="O16" s="497"/>
      <c r="P16" s="497"/>
      <c r="Q16" s="497"/>
      <c r="R16" s="497"/>
      <c r="S16" s="497">
        <f>+S17+S20+S23+S26+S28+S30</f>
        <v>54426523767.771729</v>
      </c>
      <c r="T16" s="497">
        <f>+T17+T20+T23+T26+T28+T30</f>
        <v>63441436249.136223</v>
      </c>
      <c r="U16" s="487">
        <f t="shared" si="6"/>
        <v>63441436249.136223</v>
      </c>
    </row>
    <row r="17" spans="1:21" s="253" customFormat="1" x14ac:dyDescent="0.25">
      <c r="A17" s="498" t="s">
        <v>1032</v>
      </c>
      <c r="B17" s="512">
        <f>+B18+B19</f>
        <v>2588048042</v>
      </c>
      <c r="C17" s="512">
        <f t="shared" ref="C17:M17" si="9">+C18+C19</f>
        <v>3085376524.3468485</v>
      </c>
      <c r="D17" s="512">
        <f t="shared" si="9"/>
        <v>2581582049.4000001</v>
      </c>
      <c r="E17" s="512">
        <f t="shared" si="9"/>
        <v>2910414216.79216</v>
      </c>
      <c r="F17" s="512">
        <f t="shared" si="9"/>
        <v>3517938239</v>
      </c>
      <c r="G17" s="512">
        <f t="shared" si="9"/>
        <v>3810131829.8372889</v>
      </c>
      <c r="H17" s="512">
        <f t="shared" si="9"/>
        <v>3024300667.1999998</v>
      </c>
      <c r="I17" s="512">
        <f t="shared" si="9"/>
        <v>3174608410.3598404</v>
      </c>
      <c r="J17" s="512">
        <f t="shared" si="9"/>
        <v>4518440568</v>
      </c>
      <c r="K17" s="512">
        <f t="shared" si="9"/>
        <v>4569370967.4658957</v>
      </c>
      <c r="L17" s="512"/>
      <c r="M17" s="512">
        <f t="shared" si="9"/>
        <v>3692237580</v>
      </c>
      <c r="N17" s="512"/>
      <c r="O17" s="512"/>
      <c r="P17" s="512"/>
      <c r="Q17" s="512"/>
      <c r="R17" s="512"/>
      <c r="S17" s="512">
        <f>+S18+S19</f>
        <v>4883419452.6591568</v>
      </c>
      <c r="T17" s="512">
        <f>+T18+T19</f>
        <v>5029922036.2389317</v>
      </c>
      <c r="U17" s="487">
        <f t="shared" si="6"/>
        <v>5029922036.2389317</v>
      </c>
    </row>
    <row r="18" spans="1:21" x14ac:dyDescent="0.25">
      <c r="A18" s="500" t="s">
        <v>1867</v>
      </c>
      <c r="B18" s="509">
        <v>818895042</v>
      </c>
      <c r="C18" s="501">
        <f>+B18*([8]IPC!$S$15/[8]IPC!$N$21)</f>
        <v>976256814.97717202</v>
      </c>
      <c r="D18" s="510">
        <v>690710961.39999998</v>
      </c>
      <c r="E18" s="501">
        <f>+D18*([8]IPC!$S$15/[8]IPC!$O$21)</f>
        <v>778691113.9314574</v>
      </c>
      <c r="F18" s="510">
        <v>710935239</v>
      </c>
      <c r="G18" s="501">
        <f>+F18*([8]IPC!$S$15/[8]IPC!$P$21)</f>
        <v>769984234.81046224</v>
      </c>
      <c r="H18" s="504">
        <v>645603667.20000005</v>
      </c>
      <c r="I18" s="501">
        <f>+H18*([8]IPC!$S$15/[8]IPC!$Q$21)</f>
        <v>677690169.45984006</v>
      </c>
      <c r="J18" s="511">
        <v>695202442</v>
      </c>
      <c r="K18" s="501">
        <f>+J18*([8]IPC!$S$15/[8]IPC!$R$21)</f>
        <v>703038538.88959539</v>
      </c>
      <c r="L18" s="501"/>
      <c r="M18" s="510">
        <f>+'[8]Ejecucion Ingresos 2020'!D17</f>
        <v>738447516</v>
      </c>
      <c r="N18" s="532">
        <f>+(D18-B18)/D18</f>
        <v>-0.18558280925524057</v>
      </c>
      <c r="O18" s="532">
        <f>+(F18-D18)/F18</f>
        <v>2.8447425996842482E-2</v>
      </c>
      <c r="P18" s="532">
        <f>+(H18-F18)/H18</f>
        <v>-0.10119454879081571</v>
      </c>
      <c r="Q18" s="532">
        <f>+(J18-H18)/J18</f>
        <v>7.1344362164941805E-2</v>
      </c>
      <c r="R18" s="532">
        <f>+(N18+O18+P18+Q18)/4</f>
        <v>-4.6746392471068009E-2</v>
      </c>
      <c r="S18" s="533">
        <f>+((C18+E18+G18+I18+K18)/5)*R18+J18</f>
        <v>658687330.80307817</v>
      </c>
      <c r="T18" s="510">
        <f>+S18*1.03</f>
        <v>678447950.72717059</v>
      </c>
      <c r="U18" s="487">
        <f t="shared" si="6"/>
        <v>678447950.72717059</v>
      </c>
    </row>
    <row r="19" spans="1:21" x14ac:dyDescent="0.25">
      <c r="A19" s="500" t="s">
        <v>1868</v>
      </c>
      <c r="B19" s="513">
        <v>1769153000</v>
      </c>
      <c r="C19" s="501">
        <f>+B19*([8]IPC!$S$15/[8]IPC!$N$21)</f>
        <v>2109119709.3696764</v>
      </c>
      <c r="D19" s="510">
        <v>1890871088</v>
      </c>
      <c r="E19" s="501">
        <f>+D19*([8]IPC!$S$15/[8]IPC!$O$21)</f>
        <v>2131723102.8607025</v>
      </c>
      <c r="F19" s="510">
        <v>2807003000</v>
      </c>
      <c r="G19" s="501">
        <f>+F19*([8]IPC!$S$15/[8]IPC!$P$21)</f>
        <v>3040147595.0268264</v>
      </c>
      <c r="H19" s="504">
        <v>2378697000</v>
      </c>
      <c r="I19" s="501">
        <f>+H19*([8]IPC!$S$15/[8]IPC!$Q$21)</f>
        <v>2496918240.9000001</v>
      </c>
      <c r="J19" s="511">
        <v>3823238126</v>
      </c>
      <c r="K19" s="501">
        <f>+J19*([8]IPC!$S$15/[8]IPC!$R$21)</f>
        <v>3866332428.5763006</v>
      </c>
      <c r="L19" s="501"/>
      <c r="M19" s="510">
        <f>+'[8]Ejecucion Ingresos 2020'!D18</f>
        <v>2953790064</v>
      </c>
      <c r="N19" s="532">
        <f>+(D19-B19)/D19</f>
        <v>6.4371436409630056E-2</v>
      </c>
      <c r="O19" s="532">
        <f>+(F19-D19)/F19</f>
        <v>0.32637368467365374</v>
      </c>
      <c r="P19" s="532">
        <f>+(H19-F19)/H19</f>
        <v>-0.18005908276674162</v>
      </c>
      <c r="Q19" s="532">
        <f>+(J19-H19)/J19</f>
        <v>0.37783184787166979</v>
      </c>
      <c r="R19" s="532">
        <f>+(N19+O19+P19+Q19)/4</f>
        <v>0.147129471547053</v>
      </c>
      <c r="S19" s="533">
        <f>+((C19+E19+G19+I19+K19)/5)*R19+J19</f>
        <v>4224732121.8560786</v>
      </c>
      <c r="T19" s="510">
        <f>+S19*1.03</f>
        <v>4351474085.5117607</v>
      </c>
      <c r="U19" s="487">
        <f t="shared" si="6"/>
        <v>4351474085.5117607</v>
      </c>
    </row>
    <row r="20" spans="1:21" s="253" customFormat="1" x14ac:dyDescent="0.25">
      <c r="A20" s="498" t="s">
        <v>1037</v>
      </c>
      <c r="B20" s="512">
        <f>+B21+B22</f>
        <v>14297751000</v>
      </c>
      <c r="C20" s="512">
        <f t="shared" ref="C20:M20" si="10">+C21+C22</f>
        <v>17045257495.400339</v>
      </c>
      <c r="D20" s="512">
        <f t="shared" si="10"/>
        <v>15955521000</v>
      </c>
      <c r="E20" s="512">
        <f t="shared" si="10"/>
        <v>17987874979.80883</v>
      </c>
      <c r="F20" s="512">
        <f t="shared" si="10"/>
        <v>16661517001</v>
      </c>
      <c r="G20" s="512">
        <f t="shared" si="10"/>
        <v>18045392484.47142</v>
      </c>
      <c r="H20" s="512">
        <f t="shared" si="10"/>
        <v>15264790000</v>
      </c>
      <c r="I20" s="512">
        <f t="shared" si="10"/>
        <v>16023450063</v>
      </c>
      <c r="J20" s="512">
        <f t="shared" si="10"/>
        <v>16634310844</v>
      </c>
      <c r="K20" s="512">
        <f t="shared" si="10"/>
        <v>16821807411.316763</v>
      </c>
      <c r="L20" s="512"/>
      <c r="M20" s="512">
        <f t="shared" si="10"/>
        <v>15614868750.33</v>
      </c>
      <c r="N20" s="512"/>
      <c r="O20" s="512"/>
      <c r="P20" s="512"/>
      <c r="Q20" s="512"/>
      <c r="R20" s="512"/>
      <c r="S20" s="531">
        <f>+((C20+E20+G20+I20+K20)/5)*R20+J20</f>
        <v>16634310844</v>
      </c>
      <c r="T20" s="512">
        <f>+T21+T22</f>
        <v>17698214958.73098</v>
      </c>
      <c r="U20" s="487">
        <f t="shared" si="6"/>
        <v>17698214958.73098</v>
      </c>
    </row>
    <row r="21" spans="1:21" x14ac:dyDescent="0.25">
      <c r="A21" s="500" t="s">
        <v>1038</v>
      </c>
      <c r="B21" s="513">
        <v>13974970000</v>
      </c>
      <c r="C21" s="501">
        <f>+B21*([8]IPC!$S$15/[8]IPC!$N$21)</f>
        <v>16660449754.684837</v>
      </c>
      <c r="D21" s="510">
        <v>15690084000</v>
      </c>
      <c r="E21" s="501">
        <f>+D21*([8]IPC!$S$15/[8]IPC!$O$21)</f>
        <v>17688627617.656536</v>
      </c>
      <c r="F21" s="510">
        <v>16221634000</v>
      </c>
      <c r="G21" s="501">
        <f>+F21*([8]IPC!$S$15/[8]IPC!$P$21)</f>
        <v>17568973596.574493</v>
      </c>
      <c r="H21" s="504">
        <v>14697388000</v>
      </c>
      <c r="I21" s="501">
        <f>+H21*([8]IPC!$S$15/[8]IPC!$Q$21)</f>
        <v>15427848183.6</v>
      </c>
      <c r="J21" s="511">
        <v>15833930416</v>
      </c>
      <c r="K21" s="501">
        <f>+J21*([8]IPC!$S$15/[8]IPC!$R$21)</f>
        <v>16012405354.215029</v>
      </c>
      <c r="L21" s="501"/>
      <c r="M21" s="510">
        <f>+'[8]Ejecucion Ingresos 2020'!D20</f>
        <v>15146422687.83</v>
      </c>
      <c r="N21" s="532">
        <f>+(D21-B21)/D21</f>
        <v>0.10931197054139417</v>
      </c>
      <c r="O21" s="532">
        <f>+(F21-D21)/F21</f>
        <v>3.2767968997451179E-2</v>
      </c>
      <c r="P21" s="532">
        <f>+(H21-F21)/H21</f>
        <v>-0.10370863176504559</v>
      </c>
      <c r="Q21" s="532">
        <f>+(J21-H21)/J21</f>
        <v>7.1778919455875417E-2</v>
      </c>
      <c r="R21" s="532">
        <f>+(N21+O21+P21+Q21)/4</f>
        <v>2.7537556807418793E-2</v>
      </c>
      <c r="S21" s="533">
        <f>+((C21+E21+G21+I21+K21)/5)*R21+J21</f>
        <v>16293027225.144844</v>
      </c>
      <c r="T21" s="510">
        <f>+S21*1.03</f>
        <v>16781818041.899189</v>
      </c>
      <c r="U21" s="487">
        <f t="shared" si="6"/>
        <v>16781818041.899189</v>
      </c>
    </row>
    <row r="22" spans="1:21" x14ac:dyDescent="0.25">
      <c r="A22" s="500" t="s">
        <v>1039</v>
      </c>
      <c r="B22" s="513">
        <v>322781000</v>
      </c>
      <c r="C22" s="501">
        <f>+B22*([8]IPC!$S$15/[8]IPC!$N$21)</f>
        <v>384807740.71550256</v>
      </c>
      <c r="D22" s="510">
        <v>265437000</v>
      </c>
      <c r="E22" s="501">
        <f>+D22*([8]IPC!$S$15/[8]IPC!$O$21)</f>
        <v>299247362.15229297</v>
      </c>
      <c r="F22" s="510">
        <v>439883001</v>
      </c>
      <c r="G22" s="501">
        <f>+F22*([8]IPC!$S$15/[8]IPC!$P$21)</f>
        <v>476418887.89692527</v>
      </c>
      <c r="H22" s="504">
        <v>567402000</v>
      </c>
      <c r="I22" s="501">
        <f>+H22*([8]IPC!$S$15/[8]IPC!$Q$21)</f>
        <v>595601879.4000001</v>
      </c>
      <c r="J22" s="511">
        <v>800380428</v>
      </c>
      <c r="K22" s="501">
        <f>+J22*([8]IPC!$S$15/[8]IPC!$R$21)</f>
        <v>809402057.10173404</v>
      </c>
      <c r="L22" s="501"/>
      <c r="M22" s="510">
        <f>+'[8]Ejecucion Ingresos 2020'!D21</f>
        <v>468446062.5</v>
      </c>
      <c r="N22" s="532">
        <f>+(D22-B22)/D22</f>
        <v>-0.21603619691301515</v>
      </c>
      <c r="O22" s="532">
        <f>+(F22-D22)/F22</f>
        <v>0.39657363572455939</v>
      </c>
      <c r="P22" s="532">
        <f>+(H22-F22)/H22</f>
        <v>0.22474189199192107</v>
      </c>
      <c r="Q22" s="532">
        <f>+(J22-H22)/J22</f>
        <v>0.29108461407804442</v>
      </c>
      <c r="R22" s="532">
        <f>+(N22+O22+P22+Q22)/4</f>
        <v>0.17409098622037744</v>
      </c>
      <c r="S22" s="533">
        <f>+((C22+E22+G22+I22+K22)/5)*R22+J22</f>
        <v>889705744.49688542</v>
      </c>
      <c r="T22" s="510">
        <f>+S22*1.03</f>
        <v>916396916.831792</v>
      </c>
      <c r="U22" s="487">
        <f t="shared" si="6"/>
        <v>916396916.831792</v>
      </c>
    </row>
    <row r="23" spans="1:21" s="253" customFormat="1" x14ac:dyDescent="0.25">
      <c r="A23" s="498" t="s">
        <v>1040</v>
      </c>
      <c r="B23" s="512">
        <f>+B24+B25</f>
        <v>8116773000</v>
      </c>
      <c r="C23" s="512">
        <f t="shared" ref="C23:M23" si="11">+C24+C25</f>
        <v>9676520860.9880753</v>
      </c>
      <c r="D23" s="512">
        <f t="shared" si="11"/>
        <v>8807068000</v>
      </c>
      <c r="E23" s="512">
        <f t="shared" si="11"/>
        <v>9928879045.8597355</v>
      </c>
      <c r="F23" s="512">
        <f t="shared" si="11"/>
        <v>17783575000</v>
      </c>
      <c r="G23" s="512">
        <f t="shared" si="11"/>
        <v>19260646592.550556</v>
      </c>
      <c r="H23" s="512">
        <f t="shared" si="11"/>
        <v>18477533760</v>
      </c>
      <c r="I23" s="512">
        <f t="shared" si="11"/>
        <v>19395867187.872002</v>
      </c>
      <c r="J23" s="512">
        <f t="shared" si="11"/>
        <v>15212004711</v>
      </c>
      <c r="K23" s="512">
        <f t="shared" si="11"/>
        <v>15383469503.98526</v>
      </c>
      <c r="L23" s="512"/>
      <c r="M23" s="512">
        <f t="shared" si="11"/>
        <v>1853566183</v>
      </c>
      <c r="N23" s="512"/>
      <c r="O23" s="512"/>
      <c r="P23" s="512"/>
      <c r="Q23" s="512"/>
      <c r="R23" s="512"/>
      <c r="S23" s="531">
        <f>+S24+S25</f>
        <v>1924001697.954</v>
      </c>
      <c r="T23" s="531">
        <f>+T24+T25</f>
        <v>9248945181.4008999</v>
      </c>
      <c r="U23" s="487">
        <f t="shared" si="6"/>
        <v>9248945181.4008999</v>
      </c>
    </row>
    <row r="24" spans="1:21" x14ac:dyDescent="0.25">
      <c r="A24" s="500" t="s">
        <v>1869</v>
      </c>
      <c r="B24" s="513">
        <v>6964307000</v>
      </c>
      <c r="C24" s="501">
        <f>+B24*([8]IPC!$S$15/[8]IPC!$N$21)</f>
        <v>8302592910.7325382</v>
      </c>
      <c r="D24" s="510">
        <v>7267520000</v>
      </c>
      <c r="E24" s="501">
        <f>+D24*([8]IPC!$S$15/[8]IPC!$O$21)</f>
        <v>8193229238.5350657</v>
      </c>
      <c r="F24" s="510">
        <v>15285292000</v>
      </c>
      <c r="G24" s="501">
        <f>+F24*([8]IPC!$S$15/[8]IPC!$P$21)</f>
        <v>16554860722.657862</v>
      </c>
      <c r="H24" s="504">
        <v>16281139560</v>
      </c>
      <c r="I24" s="501">
        <f>+H24*([8]IPC!$S$15/[8]IPC!$Q$21)</f>
        <v>17090312196.132002</v>
      </c>
      <c r="J24" s="511">
        <v>8127488794</v>
      </c>
      <c r="K24" s="501">
        <f>+J24*([8]IPC!$S$15/[8]IPC!$R$21)</f>
        <v>8219099216.8225431</v>
      </c>
      <c r="L24" s="501"/>
      <c r="M24" s="510">
        <f>+'[8]Ejecucion Ingresos 2020'!D23</f>
        <v>0</v>
      </c>
      <c r="N24" s="532">
        <f>+(D24-B24)/D24</f>
        <v>4.1721660208709439E-2</v>
      </c>
      <c r="O24" s="532">
        <f>+(F24-D24)/F24</f>
        <v>0.52454163126226183</v>
      </c>
      <c r="P24" s="532">
        <f>+(H24-F24)/H24</f>
        <v>6.116571609315534E-2</v>
      </c>
      <c r="Q24" s="532">
        <f>+(J24-H24)/J24</f>
        <v>-1.0032189490091101</v>
      </c>
      <c r="R24" s="532">
        <v>0</v>
      </c>
      <c r="S24" s="533">
        <v>0</v>
      </c>
      <c r="T24" s="510">
        <f>+S24*1.03</f>
        <v>0</v>
      </c>
      <c r="U24" s="487">
        <f t="shared" si="6"/>
        <v>0</v>
      </c>
    </row>
    <row r="25" spans="1:21" x14ac:dyDescent="0.25">
      <c r="A25" s="500" t="s">
        <v>1870</v>
      </c>
      <c r="B25" s="513">
        <v>1152466000</v>
      </c>
      <c r="C25" s="501">
        <f>+B25*([8]IPC!$S$15/[8]IPC!$N$21)</f>
        <v>1373927950.2555366</v>
      </c>
      <c r="D25" s="510">
        <v>1539548000</v>
      </c>
      <c r="E25" s="501">
        <f>+D25*([8]IPC!$S$15/[8]IPC!$O$21)</f>
        <v>1735649807.3246698</v>
      </c>
      <c r="F25" s="510">
        <v>2498283000</v>
      </c>
      <c r="G25" s="501">
        <f>+F25*([8]IPC!$S$15/[8]IPC!$P$21)</f>
        <v>2705785869.892695</v>
      </c>
      <c r="H25" s="504">
        <v>2196394200</v>
      </c>
      <c r="I25" s="501">
        <f>+H25*([8]IPC!$S$15/[8]IPC!$Q$21)</f>
        <v>2305554991.7400002</v>
      </c>
      <c r="J25" s="511">
        <v>7084515917</v>
      </c>
      <c r="K25" s="501">
        <f>+J25*([8]IPC!$S$15/[8]IPC!$R$21)</f>
        <v>7164370287.1627169</v>
      </c>
      <c r="L25" s="501"/>
      <c r="M25" s="510">
        <f>+'[8]Ejecucion Ingresos 2020'!D24</f>
        <v>1853566183</v>
      </c>
      <c r="N25" s="532">
        <f>+(D25-B25)/D25</f>
        <v>0.25142574314019439</v>
      </c>
      <c r="O25" s="532">
        <f>+(F25-D25)/F25</f>
        <v>0.38375756469543282</v>
      </c>
      <c r="P25" s="532">
        <f>+(H25-F25)/H25</f>
        <v>-0.13744745820217519</v>
      </c>
      <c r="Q25" s="532">
        <f>+(J25-H25)/J25</f>
        <v>0.68997257882792895</v>
      </c>
      <c r="R25" s="532">
        <f>+(N25+O25+P25+Q25)/4</f>
        <v>0.29692710711534526</v>
      </c>
      <c r="S25" s="533">
        <f>+M25*[8]IPC!R21/100</f>
        <v>1924001697.954</v>
      </c>
      <c r="T25" s="510">
        <v>9248945181.4008999</v>
      </c>
      <c r="U25" s="487">
        <f t="shared" si="6"/>
        <v>9248945181.4008999</v>
      </c>
    </row>
    <row r="26" spans="1:21" s="253" customFormat="1" x14ac:dyDescent="0.25">
      <c r="A26" s="498" t="s">
        <v>1044</v>
      </c>
      <c r="B26" s="506">
        <f t="shared" ref="B26:T26" si="12">+B27</f>
        <v>610335310</v>
      </c>
      <c r="C26" s="506">
        <f t="shared" si="12"/>
        <v>727619505.8568995</v>
      </c>
      <c r="D26" s="506">
        <f t="shared" si="12"/>
        <v>615511700</v>
      </c>
      <c r="E26" s="506">
        <f t="shared" si="12"/>
        <v>693913254.74170339</v>
      </c>
      <c r="F26" s="506">
        <f t="shared" si="12"/>
        <v>537403800</v>
      </c>
      <c r="G26" s="506">
        <f t="shared" si="12"/>
        <v>582039588.17581511</v>
      </c>
      <c r="H26" s="506">
        <f t="shared" si="12"/>
        <v>565645500</v>
      </c>
      <c r="I26" s="506">
        <f t="shared" si="12"/>
        <v>593758081.35000002</v>
      </c>
      <c r="J26" s="506">
        <f t="shared" si="12"/>
        <v>647439300</v>
      </c>
      <c r="K26" s="506">
        <f t="shared" si="12"/>
        <v>654737026.21387279</v>
      </c>
      <c r="L26" s="506"/>
      <c r="M26" s="506">
        <f t="shared" si="12"/>
        <v>573295500</v>
      </c>
      <c r="N26" s="506"/>
      <c r="O26" s="506"/>
      <c r="P26" s="506"/>
      <c r="Q26" s="506"/>
      <c r="R26" s="506"/>
      <c r="S26" s="506">
        <f t="shared" si="12"/>
        <v>653834400.0486294</v>
      </c>
      <c r="T26" s="506">
        <f t="shared" si="12"/>
        <v>673449432.05008829</v>
      </c>
      <c r="U26" s="487">
        <f t="shared" si="6"/>
        <v>673449432.05008829</v>
      </c>
    </row>
    <row r="27" spans="1:21" x14ac:dyDescent="0.25">
      <c r="A27" s="500" t="s">
        <v>1045</v>
      </c>
      <c r="B27" s="509">
        <v>610335310</v>
      </c>
      <c r="C27" s="501">
        <f>+B27*([8]IPC!$S$15/[8]IPC!$N$21)</f>
        <v>727619505.8568995</v>
      </c>
      <c r="D27" s="510">
        <v>615511700</v>
      </c>
      <c r="E27" s="501">
        <f>+D27*([8]IPC!$S$15/[8]IPC!$O$21)</f>
        <v>693913254.74170339</v>
      </c>
      <c r="F27" s="510">
        <v>537403800</v>
      </c>
      <c r="G27" s="501">
        <f>+F27*([8]IPC!$S$15/[8]IPC!$P$21)</f>
        <v>582039588.17581511</v>
      </c>
      <c r="H27" s="504">
        <v>565645500</v>
      </c>
      <c r="I27" s="501">
        <f>+H27*([8]IPC!$S$15/[8]IPC!$Q$21)</f>
        <v>593758081.35000002</v>
      </c>
      <c r="J27" s="511">
        <v>647439300</v>
      </c>
      <c r="K27" s="501">
        <f>+J27*([8]IPC!$S$15/[8]IPC!$R$21)</f>
        <v>654737026.21387279</v>
      </c>
      <c r="L27" s="501"/>
      <c r="M27" s="510">
        <f>+'[8]Ejecucion Ingresos 2020'!D26</f>
        <v>573295500</v>
      </c>
      <c r="N27" s="532">
        <f>+(D27-B27)/D27</f>
        <v>8.4098970011455502E-3</v>
      </c>
      <c r="O27" s="532">
        <f>+(F27-D27)/F27</f>
        <v>-0.14534303627923734</v>
      </c>
      <c r="P27" s="532">
        <f>+(H27-F27)/H27</f>
        <v>4.9928267793167273E-2</v>
      </c>
      <c r="Q27" s="532">
        <f>+(J27-H27)/J27</f>
        <v>0.1263343142747127</v>
      </c>
      <c r="R27" s="532">
        <f>+(N27+O27+P27+Q27)/4</f>
        <v>9.8323606974470498E-3</v>
      </c>
      <c r="S27" s="533">
        <f>+((C27+E27+G27+I27+K27)/5)*R27+J27</f>
        <v>653834400.0486294</v>
      </c>
      <c r="T27" s="510">
        <f>+S27*1.03</f>
        <v>673449432.05008829</v>
      </c>
      <c r="U27" s="487">
        <f t="shared" si="6"/>
        <v>673449432.05008829</v>
      </c>
    </row>
    <row r="28" spans="1:21" s="253" customFormat="1" x14ac:dyDescent="0.25">
      <c r="A28" s="498" t="s">
        <v>1046</v>
      </c>
      <c r="B28" s="506">
        <f t="shared" ref="B28:T28" si="13">+B29</f>
        <v>5986710600</v>
      </c>
      <c r="C28" s="506">
        <f t="shared" si="13"/>
        <v>7137138122.4531517</v>
      </c>
      <c r="D28" s="506">
        <f t="shared" si="13"/>
        <v>6704117400</v>
      </c>
      <c r="E28" s="506">
        <f t="shared" si="13"/>
        <v>7558062544.0661583</v>
      </c>
      <c r="F28" s="506">
        <f t="shared" si="13"/>
        <v>6713558000</v>
      </c>
      <c r="G28" s="506">
        <f t="shared" si="13"/>
        <v>7271173991.5394135</v>
      </c>
      <c r="H28" s="506">
        <f t="shared" si="13"/>
        <v>6992548550</v>
      </c>
      <c r="I28" s="506">
        <f t="shared" si="13"/>
        <v>7340078212.9350004</v>
      </c>
      <c r="J28" s="506">
        <f t="shared" si="13"/>
        <v>7173915300</v>
      </c>
      <c r="K28" s="506">
        <f t="shared" si="13"/>
        <v>7254777351.0693636</v>
      </c>
      <c r="L28" s="506"/>
      <c r="M28" s="506">
        <f t="shared" si="13"/>
        <v>6143552800</v>
      </c>
      <c r="N28" s="506"/>
      <c r="O28" s="506"/>
      <c r="P28" s="506"/>
      <c r="Q28" s="506"/>
      <c r="R28" s="506"/>
      <c r="S28" s="506">
        <f t="shared" si="13"/>
        <v>7491259030.1312151</v>
      </c>
      <c r="T28" s="506">
        <f t="shared" si="13"/>
        <v>7715996801.0351515</v>
      </c>
      <c r="U28" s="487">
        <f t="shared" si="6"/>
        <v>7715996801.0351515</v>
      </c>
    </row>
    <row r="29" spans="1:21" x14ac:dyDescent="0.25">
      <c r="A29" s="500" t="s">
        <v>1047</v>
      </c>
      <c r="B29" s="509">
        <v>5986710600</v>
      </c>
      <c r="C29" s="501">
        <f>+B29*([8]IPC!$S$15/[8]IPC!$N$21)</f>
        <v>7137138122.4531517</v>
      </c>
      <c r="D29" s="510">
        <v>6704117400</v>
      </c>
      <c r="E29" s="501">
        <f>+D29*([8]IPC!$S$15/[8]IPC!$O$21)</f>
        <v>7558062544.0661583</v>
      </c>
      <c r="F29" s="510">
        <v>6713558000</v>
      </c>
      <c r="G29" s="501">
        <f>+F29*([8]IPC!$S$15/[8]IPC!$P$21)</f>
        <v>7271173991.5394135</v>
      </c>
      <c r="H29" s="504">
        <v>6992548550</v>
      </c>
      <c r="I29" s="501">
        <f>+H29*([8]IPC!$S$15/[8]IPC!$Q$21)</f>
        <v>7340078212.9350004</v>
      </c>
      <c r="J29" s="511">
        <v>7173915300</v>
      </c>
      <c r="K29" s="501">
        <f>+J29*([8]IPC!$S$15/[8]IPC!$R$21)</f>
        <v>7254777351.0693636</v>
      </c>
      <c r="L29" s="501"/>
      <c r="M29" s="510">
        <f>+'[8]Ejecucion Ingresos 2020'!D28</f>
        <v>6143552800</v>
      </c>
      <c r="N29" s="532">
        <f>+(D29-B29)/D29</f>
        <v>0.10700988022673946</v>
      </c>
      <c r="O29" s="532">
        <f>+(F29-D29)/F29</f>
        <v>1.4061992165704086E-3</v>
      </c>
      <c r="P29" s="532">
        <f>+(H29-F29)/H29</f>
        <v>3.9898264274475431E-2</v>
      </c>
      <c r="Q29" s="532">
        <f>+(J29-H29)/J29</f>
        <v>2.5281417805420703E-2</v>
      </c>
      <c r="R29" s="532">
        <f>+(N29+O29+P29+Q29)/4</f>
        <v>4.3398940380801498E-2</v>
      </c>
      <c r="S29" s="533">
        <f>+((C29+E29+G29+I29+K29)/5)*R29+J29</f>
        <v>7491259030.1312151</v>
      </c>
      <c r="T29" s="510">
        <f>+S29*1.03</f>
        <v>7715996801.0351515</v>
      </c>
      <c r="U29" s="487">
        <f t="shared" si="6"/>
        <v>7715996801.0351515</v>
      </c>
    </row>
    <row r="30" spans="1:21" s="253" customFormat="1" x14ac:dyDescent="0.25">
      <c r="A30" s="496" t="s">
        <v>1048</v>
      </c>
      <c r="B30" s="514">
        <f t="shared" ref="B30:M30" si="14">+B31+B35+B41+B44+B45</f>
        <v>35339382005</v>
      </c>
      <c r="C30" s="514">
        <f t="shared" si="14"/>
        <v>42130322874.10392</v>
      </c>
      <c r="D30" s="514">
        <f t="shared" si="14"/>
        <v>30761639718</v>
      </c>
      <c r="E30" s="514">
        <f t="shared" si="14"/>
        <v>34679941157.753838</v>
      </c>
      <c r="F30" s="514">
        <f t="shared" si="14"/>
        <v>25973507558.080002</v>
      </c>
      <c r="G30" s="514">
        <f t="shared" si="14"/>
        <v>28130820144.156597</v>
      </c>
      <c r="H30" s="514">
        <f t="shared" si="14"/>
        <v>27166513203.050003</v>
      </c>
      <c r="I30" s="514">
        <f t="shared" si="14"/>
        <v>28516688909.241585</v>
      </c>
      <c r="J30" s="514">
        <f t="shared" si="14"/>
        <v>26268670990</v>
      </c>
      <c r="K30" s="514">
        <f t="shared" si="14"/>
        <v>26564762946.245663</v>
      </c>
      <c r="L30" s="514"/>
      <c r="M30" s="514">
        <f t="shared" si="14"/>
        <v>21394900158</v>
      </c>
      <c r="N30" s="514"/>
      <c r="O30" s="514"/>
      <c r="P30" s="514"/>
      <c r="Q30" s="514"/>
      <c r="R30" s="514"/>
      <c r="S30" s="514">
        <f>+S31+S35+S41+S44+S45</f>
        <v>22839698342.978729</v>
      </c>
      <c r="T30" s="514">
        <f>+T31+T35+T41+T44+T45</f>
        <v>23074907839.680176</v>
      </c>
      <c r="U30" s="487">
        <f t="shared" si="6"/>
        <v>23074907839.680176</v>
      </c>
    </row>
    <row r="31" spans="1:21" s="253" customFormat="1" x14ac:dyDescent="0.25">
      <c r="A31" s="498" t="s">
        <v>1049</v>
      </c>
      <c r="B31" s="508">
        <v>11403197500</v>
      </c>
      <c r="C31" s="515">
        <f>+B31*([8]IPC!$S$15/[8]IPC!$N$21)</f>
        <v>13594476338.160135</v>
      </c>
      <c r="D31" s="508">
        <f t="shared" ref="D31:M31" si="15">SUM(D32:D34)</f>
        <v>10458539226</v>
      </c>
      <c r="E31" s="508">
        <f t="shared" si="15"/>
        <v>11790708436.829771</v>
      </c>
      <c r="F31" s="508">
        <f t="shared" si="15"/>
        <v>10153842971.08</v>
      </c>
      <c r="G31" s="508">
        <f t="shared" si="15"/>
        <v>10997202813.39525</v>
      </c>
      <c r="H31" s="508">
        <f t="shared" si="15"/>
        <v>10604713000.050001</v>
      </c>
      <c r="I31" s="508">
        <f t="shared" si="15"/>
        <v>11131767236.152485</v>
      </c>
      <c r="J31" s="508">
        <f t="shared" si="15"/>
        <v>9996886200</v>
      </c>
      <c r="K31" s="508">
        <f t="shared" si="15"/>
        <v>10109567865.260115</v>
      </c>
      <c r="L31" s="508"/>
      <c r="M31" s="508">
        <f t="shared" si="15"/>
        <v>6457880058</v>
      </c>
      <c r="N31" s="508"/>
      <c r="O31" s="508"/>
      <c r="P31" s="508"/>
      <c r="Q31" s="508"/>
      <c r="R31" s="508"/>
      <c r="S31" s="508">
        <f>+M31*1.03</f>
        <v>6651616459.7399998</v>
      </c>
      <c r="T31" s="508">
        <f>SUM(T32:T34)</f>
        <v>6851164953.5322008</v>
      </c>
      <c r="U31" s="487">
        <f t="shared" si="6"/>
        <v>6851164953.5322008</v>
      </c>
    </row>
    <row r="32" spans="1:21" x14ac:dyDescent="0.25">
      <c r="A32" s="500" t="s">
        <v>1050</v>
      </c>
      <c r="B32" s="509">
        <v>0</v>
      </c>
      <c r="C32" s="501">
        <f>+B32*([8]IPC!$S$15/[8]IPC!$N$21)</f>
        <v>0</v>
      </c>
      <c r="D32" s="516">
        <v>6798050496.8699999</v>
      </c>
      <c r="E32" s="501">
        <f>+D32*([8]IPC!$S$15/[8]IPC!$O$21)</f>
        <v>7663960483.90553</v>
      </c>
      <c r="F32" s="510">
        <v>6599997931.1999998</v>
      </c>
      <c r="G32" s="501">
        <f>+F32*([8]IPC!$S$15/[8]IPC!$P$21)</f>
        <v>7148181828.7047462</v>
      </c>
      <c r="H32" s="504">
        <v>6893063450.0299997</v>
      </c>
      <c r="I32" s="501">
        <f>+H32*([8]IPC!$S$15/[8]IPC!$Q$21)</f>
        <v>7235648703.4964914</v>
      </c>
      <c r="J32" s="511">
        <v>6497976030</v>
      </c>
      <c r="K32" s="501">
        <f>+J32*([8]IPC!$S$15/[8]IPC!$R$21)</f>
        <v>6571219112.419075</v>
      </c>
      <c r="L32" s="501"/>
      <c r="M32" s="510">
        <f>+'[8]Ejecucion Ingresos 2020'!D30</f>
        <v>4197621848.5</v>
      </c>
      <c r="N32" s="532"/>
      <c r="O32" s="532"/>
      <c r="P32" s="532"/>
      <c r="Q32" s="532"/>
      <c r="R32" s="532"/>
      <c r="S32" s="533">
        <f>+S31*0.65</f>
        <v>4323550698.8310003</v>
      </c>
      <c r="T32" s="510">
        <f>+S32*1.03</f>
        <v>4453257219.7959309</v>
      </c>
      <c r="U32" s="487">
        <f t="shared" si="6"/>
        <v>4453257219.7959309</v>
      </c>
    </row>
    <row r="33" spans="1:21" x14ac:dyDescent="0.25">
      <c r="A33" s="500" t="s">
        <v>1051</v>
      </c>
      <c r="B33" s="509">
        <v>0</v>
      </c>
      <c r="C33" s="501">
        <f>+B33*([8]IPC!$S$15/[8]IPC!$N$21)</f>
        <v>0</v>
      </c>
      <c r="D33" s="516">
        <v>2091707845.1900001</v>
      </c>
      <c r="E33" s="501">
        <f>+D33*([8]IPC!$S$15/[8]IPC!$O$21)</f>
        <v>2358141687.3546805</v>
      </c>
      <c r="F33" s="510">
        <v>2030768594.23</v>
      </c>
      <c r="G33" s="501">
        <f>+F33*([8]IPC!$S$15/[8]IPC!$P$21)</f>
        <v>2199440562.6942129</v>
      </c>
      <c r="H33" s="504">
        <v>2120942599.99</v>
      </c>
      <c r="I33" s="501">
        <f>+H33*([8]IPC!$S$15/[8]IPC!$Q$21)</f>
        <v>2226353447.2095032</v>
      </c>
      <c r="J33" s="511">
        <v>1999377240</v>
      </c>
      <c r="K33" s="501">
        <f>+J33*([8]IPC!$S$15/[8]IPC!$R$21)</f>
        <v>2021913573.0520232</v>
      </c>
      <c r="L33" s="501"/>
      <c r="M33" s="510">
        <f>+'[8]Ejecucion Ingresos 2020'!D31</f>
        <v>1291576120</v>
      </c>
      <c r="N33" s="532"/>
      <c r="O33" s="532"/>
      <c r="P33" s="532"/>
      <c r="Q33" s="532"/>
      <c r="R33" s="532"/>
      <c r="S33" s="533">
        <f>+S31*0.2</f>
        <v>1330323291.948</v>
      </c>
      <c r="T33" s="510">
        <f>+S33*1.03</f>
        <v>1370232990.70644</v>
      </c>
      <c r="U33" s="487">
        <f t="shared" si="6"/>
        <v>1370232990.70644</v>
      </c>
    </row>
    <row r="34" spans="1:21" x14ac:dyDescent="0.25">
      <c r="A34" s="500" t="s">
        <v>1871</v>
      </c>
      <c r="B34" s="509">
        <v>0</v>
      </c>
      <c r="C34" s="501">
        <f>+B34*([8]IPC!$S$15/[8]IPC!$N$21)</f>
        <v>0</v>
      </c>
      <c r="D34" s="516">
        <v>1568780883.9400001</v>
      </c>
      <c r="E34" s="501">
        <f>+D34*([8]IPC!$S$15/[8]IPC!$O$21)</f>
        <v>1768606265.5695608</v>
      </c>
      <c r="F34" s="510">
        <v>1523076445.6500001</v>
      </c>
      <c r="G34" s="501">
        <f>+F34*([8]IPC!$S$15/[8]IPC!$P$21)</f>
        <v>1649580421.9962909</v>
      </c>
      <c r="H34" s="504">
        <v>1590706950.03</v>
      </c>
      <c r="I34" s="501">
        <f>+H34*([8]IPC!$S$15/[8]IPC!$Q$21)</f>
        <v>1669765085.446491</v>
      </c>
      <c r="J34" s="511">
        <v>1499532930</v>
      </c>
      <c r="K34" s="501">
        <f>+J34*([8]IPC!$S$15/[8]IPC!$R$21)</f>
        <v>1516435179.7890172</v>
      </c>
      <c r="L34" s="501"/>
      <c r="M34" s="510">
        <f>+'[8]Ejecucion Ingresos 2020'!D32</f>
        <v>968682089.5</v>
      </c>
      <c r="N34" s="532"/>
      <c r="O34" s="532"/>
      <c r="P34" s="532"/>
      <c r="Q34" s="532"/>
      <c r="R34" s="532"/>
      <c r="S34" s="533">
        <f>+S31*0.15</f>
        <v>997742468.96099997</v>
      </c>
      <c r="T34" s="510">
        <f>+S34*1.03</f>
        <v>1027674743.02983</v>
      </c>
      <c r="U34" s="487">
        <f t="shared" si="6"/>
        <v>1027674743.02983</v>
      </c>
    </row>
    <row r="35" spans="1:21" s="253" customFormat="1" x14ac:dyDescent="0.25">
      <c r="A35" s="498" t="s">
        <v>1053</v>
      </c>
      <c r="B35" s="497">
        <v>2289938416</v>
      </c>
      <c r="C35" s="515">
        <f>+B35*([8]IPC!$S$15/[8]IPC!$N$21)</f>
        <v>2729981096.2807493</v>
      </c>
      <c r="D35" s="497">
        <f t="shared" ref="D35:M35" si="16">SUM(D36:D40)</f>
        <v>1599285121</v>
      </c>
      <c r="E35" s="497">
        <f t="shared" si="16"/>
        <v>1802996017.09129</v>
      </c>
      <c r="F35" s="497">
        <f t="shared" si="16"/>
        <v>1479244550</v>
      </c>
      <c r="G35" s="497">
        <f t="shared" si="16"/>
        <v>1602107928.3274865</v>
      </c>
      <c r="H35" s="497">
        <f t="shared" si="16"/>
        <v>1829394900</v>
      </c>
      <c r="I35" s="497">
        <f t="shared" si="16"/>
        <v>1920315826.53</v>
      </c>
      <c r="J35" s="497">
        <f t="shared" si="16"/>
        <v>1746077600</v>
      </c>
      <c r="K35" s="497">
        <f t="shared" si="16"/>
        <v>1765758821.5028901</v>
      </c>
      <c r="L35" s="497"/>
      <c r="M35" s="497">
        <f t="shared" si="16"/>
        <v>1660310100</v>
      </c>
      <c r="N35" s="532">
        <f>+(D35-B35)/D35</f>
        <v>-0.43185126024817183</v>
      </c>
      <c r="O35" s="532">
        <f>+(F35-D35)/F35</f>
        <v>-8.1149916016253029E-2</v>
      </c>
      <c r="P35" s="532">
        <f>+(H35-F35)/H35</f>
        <v>0.19140227733224796</v>
      </c>
      <c r="Q35" s="532">
        <f>+(J35-H35)/J35</f>
        <v>-4.7716836869105932E-2</v>
      </c>
      <c r="R35" s="532">
        <f>+(N35+O35+P35+Q35)/4</f>
        <v>-9.2328933950320713E-2</v>
      </c>
      <c r="S35" s="531">
        <f>+J35*1.03</f>
        <v>1798459928</v>
      </c>
      <c r="T35" s="531">
        <f>+K35*1.03</f>
        <v>1818731586.1479769</v>
      </c>
      <c r="U35" s="487">
        <f t="shared" si="6"/>
        <v>1818731586.1479769</v>
      </c>
    </row>
    <row r="36" spans="1:21" x14ac:dyDescent="0.25">
      <c r="A36" s="500" t="s">
        <v>1054</v>
      </c>
      <c r="B36" s="509">
        <v>0</v>
      </c>
      <c r="C36" s="501">
        <f>+B36*([8]IPC!$S$15/[8]IPC!$N$21)</f>
        <v>0</v>
      </c>
      <c r="D36" s="510">
        <v>319857024.24000001</v>
      </c>
      <c r="E36" s="501">
        <f>+D36*([8]IPC!$S$15/[8]IPC!$O$21)</f>
        <v>360599203.46335304</v>
      </c>
      <c r="F36" s="510">
        <v>295848910.00999999</v>
      </c>
      <c r="G36" s="501">
        <f>+F36*([8]IPC!$S$15/[8]IPC!$P$21)</f>
        <v>320421585.67632788</v>
      </c>
      <c r="H36" s="504">
        <v>365878980.06</v>
      </c>
      <c r="I36" s="501">
        <f>+H36*([8]IPC!$S$15/[8]IPC!$Q$21)</f>
        <v>384063165.36898202</v>
      </c>
      <c r="J36" s="511">
        <v>349215520</v>
      </c>
      <c r="K36" s="501">
        <f>+J36*([8]IPC!$S$15/[8]IPC!$R$21)</f>
        <v>353151764.300578</v>
      </c>
      <c r="L36" s="501"/>
      <c r="M36" s="510">
        <f>+'[8]Ejecucion Ingresos 2020'!D34</f>
        <v>332062020</v>
      </c>
      <c r="N36" s="532"/>
      <c r="O36" s="532"/>
      <c r="P36" s="532"/>
      <c r="Q36" s="532"/>
      <c r="R36" s="532"/>
      <c r="S36" s="533">
        <f>+S35*0.2</f>
        <v>359691985.60000002</v>
      </c>
      <c r="T36" s="533">
        <f>+T35*0.2</f>
        <v>363746317.22959542</v>
      </c>
      <c r="U36" s="487">
        <f t="shared" si="6"/>
        <v>363746317.22959542</v>
      </c>
    </row>
    <row r="37" spans="1:21" x14ac:dyDescent="0.25">
      <c r="A37" s="500" t="s">
        <v>1055</v>
      </c>
      <c r="B37" s="509">
        <v>0</v>
      </c>
      <c r="C37" s="501">
        <f>+B37*([8]IPC!$S$15/[8]IPC!$N$21)</f>
        <v>0</v>
      </c>
      <c r="D37" s="510">
        <v>159928512.06</v>
      </c>
      <c r="E37" s="501">
        <f>+D37*([8]IPC!$S$15/[8]IPC!$O$21)</f>
        <v>180299601.66403395</v>
      </c>
      <c r="F37" s="510">
        <v>147924455</v>
      </c>
      <c r="G37" s="501">
        <f>+F37*([8]IPC!$S$15/[8]IPC!$P$21)</f>
        <v>160210792.83274865</v>
      </c>
      <c r="H37" s="504">
        <v>182939489.97</v>
      </c>
      <c r="I37" s="501">
        <f>+H37*([8]IPC!$S$15/[8]IPC!$Q$21)</f>
        <v>192031582.62150902</v>
      </c>
      <c r="J37" s="511">
        <v>174607760</v>
      </c>
      <c r="K37" s="501">
        <f>+J37*([8]IPC!$S$15/[8]IPC!$R$21)</f>
        <v>176575882.150289</v>
      </c>
      <c r="L37" s="501"/>
      <c r="M37" s="510">
        <f>+'[8]Ejecucion Ingresos 2020'!D35</f>
        <v>166031010</v>
      </c>
      <c r="N37" s="532"/>
      <c r="O37" s="532"/>
      <c r="P37" s="532"/>
      <c r="Q37" s="532"/>
      <c r="R37" s="532"/>
      <c r="S37" s="533">
        <f>+S35*0.1</f>
        <v>179845992.80000001</v>
      </c>
      <c r="T37" s="533">
        <f>+T35*0.1</f>
        <v>181873158.61479771</v>
      </c>
      <c r="U37" s="487">
        <f t="shared" si="6"/>
        <v>181873158.61479771</v>
      </c>
    </row>
    <row r="38" spans="1:21" x14ac:dyDescent="0.25">
      <c r="A38" s="500" t="s">
        <v>1056</v>
      </c>
      <c r="B38" s="509">
        <v>0</v>
      </c>
      <c r="C38" s="501">
        <f>+B38*([8]IPC!$S$15/[8]IPC!$N$21)</f>
        <v>0</v>
      </c>
      <c r="D38" s="510">
        <v>159928512.06</v>
      </c>
      <c r="E38" s="501">
        <f>+D38*([8]IPC!$S$15/[8]IPC!$O$21)</f>
        <v>180299601.66403395</v>
      </c>
      <c r="F38" s="510">
        <v>147924455</v>
      </c>
      <c r="G38" s="501">
        <f>+F38*([8]IPC!$S$15/[8]IPC!$P$21)</f>
        <v>160210792.83274865</v>
      </c>
      <c r="H38" s="504">
        <v>182939489.97</v>
      </c>
      <c r="I38" s="501">
        <f>+H38*([8]IPC!$S$15/[8]IPC!$Q$21)</f>
        <v>192031582.62150902</v>
      </c>
      <c r="J38" s="511">
        <v>174607760</v>
      </c>
      <c r="K38" s="501">
        <f>+J38*([8]IPC!$S$15/[8]IPC!$R$21)</f>
        <v>176575882.150289</v>
      </c>
      <c r="L38" s="501"/>
      <c r="M38" s="510">
        <f>+'[8]Ejecucion Ingresos 2020'!D36</f>
        <v>166031010</v>
      </c>
      <c r="N38" s="532"/>
      <c r="O38" s="532"/>
      <c r="P38" s="532"/>
      <c r="Q38" s="532"/>
      <c r="R38" s="532"/>
      <c r="S38" s="533">
        <f>+S35*0.1</f>
        <v>179845992.80000001</v>
      </c>
      <c r="T38" s="533">
        <f>+T35*0.1</f>
        <v>181873158.61479771</v>
      </c>
      <c r="U38" s="487">
        <f t="shared" si="6"/>
        <v>181873158.61479771</v>
      </c>
    </row>
    <row r="39" spans="1:21" x14ac:dyDescent="0.25">
      <c r="A39" s="500" t="s">
        <v>1057</v>
      </c>
      <c r="B39" s="509">
        <v>0</v>
      </c>
      <c r="C39" s="501">
        <f>+B39*([8]IPC!$S$15/[8]IPC!$N$21)</f>
        <v>0</v>
      </c>
      <c r="D39" s="510">
        <v>799642560.58000004</v>
      </c>
      <c r="E39" s="501">
        <f>+D39*([8]IPC!$S$15/[8]IPC!$O$21)</f>
        <v>901498008.63583505</v>
      </c>
      <c r="F39" s="510">
        <v>739622275</v>
      </c>
      <c r="G39" s="501">
        <f>+F39*([8]IPC!$S$15/[8]IPC!$P$21)</f>
        <v>801053964.16374326</v>
      </c>
      <c r="H39" s="504">
        <v>914697450.01999998</v>
      </c>
      <c r="I39" s="501">
        <f>+H39*([8]IPC!$S$15/[8]IPC!$Q$21)</f>
        <v>960157913.28599405</v>
      </c>
      <c r="J39" s="511">
        <v>873038800</v>
      </c>
      <c r="K39" s="501">
        <f>+J39*([8]IPC!$S$15/[8]IPC!$R$21)</f>
        <v>882879410.75144506</v>
      </c>
      <c r="L39" s="501"/>
      <c r="M39" s="510">
        <f>+'[8]Ejecucion Ingresos 2020'!D37</f>
        <v>830155050</v>
      </c>
      <c r="N39" s="532"/>
      <c r="O39" s="532"/>
      <c r="P39" s="532"/>
      <c r="Q39" s="532"/>
      <c r="R39" s="532"/>
      <c r="S39" s="533">
        <f>+S35*0.5</f>
        <v>899229964</v>
      </c>
      <c r="T39" s="533">
        <f>+T35*0.5</f>
        <v>909365793.07398844</v>
      </c>
      <c r="U39" s="487">
        <f t="shared" si="6"/>
        <v>909365793.07398844</v>
      </c>
    </row>
    <row r="40" spans="1:21" x14ac:dyDescent="0.25">
      <c r="A40" s="500" t="s">
        <v>1058</v>
      </c>
      <c r="B40" s="509">
        <v>0</v>
      </c>
      <c r="C40" s="501">
        <f>+B40*([8]IPC!$S$15/[8]IPC!$N$21)</f>
        <v>0</v>
      </c>
      <c r="D40" s="510">
        <v>159928512.06</v>
      </c>
      <c r="E40" s="501">
        <f>+D40*([8]IPC!$S$15/[8]IPC!$O$21)</f>
        <v>180299601.66403395</v>
      </c>
      <c r="F40" s="510">
        <v>147924454.99000001</v>
      </c>
      <c r="G40" s="501">
        <f>+F40*([8]IPC!$S$15/[8]IPC!$P$21)</f>
        <v>160210792.8219181</v>
      </c>
      <c r="H40" s="504">
        <v>182939489.97999999</v>
      </c>
      <c r="I40" s="501">
        <f>+H40*([8]IPC!$S$15/[8]IPC!$Q$21)</f>
        <v>192031582.63200599</v>
      </c>
      <c r="J40" s="511">
        <v>174607760</v>
      </c>
      <c r="K40" s="501">
        <f>+J40*([8]IPC!$S$15/[8]IPC!$R$21)</f>
        <v>176575882.150289</v>
      </c>
      <c r="L40" s="501"/>
      <c r="M40" s="510">
        <f>+'[8]Ejecucion Ingresos 2020'!D38</f>
        <v>166031010</v>
      </c>
      <c r="N40" s="532"/>
      <c r="O40" s="532"/>
      <c r="P40" s="532"/>
      <c r="Q40" s="532"/>
      <c r="R40" s="532"/>
      <c r="S40" s="533">
        <f>+S35*0.1</f>
        <v>179845992.80000001</v>
      </c>
      <c r="T40" s="533">
        <f>+T35*0.1</f>
        <v>181873158.61479771</v>
      </c>
      <c r="U40" s="487">
        <f t="shared" si="6"/>
        <v>181873158.61479771</v>
      </c>
    </row>
    <row r="41" spans="1:21" s="253" customFormat="1" x14ac:dyDescent="0.25">
      <c r="A41" s="498" t="s">
        <v>1059</v>
      </c>
      <c r="B41" s="512">
        <v>5579890950</v>
      </c>
      <c r="C41" s="515">
        <f>+B41*([8]IPC!$S$15/[8]IPC!$N$21)</f>
        <v>6652142566.9676323</v>
      </c>
      <c r="D41" s="512">
        <f>SUM(D42:D43)</f>
        <v>3908511362</v>
      </c>
      <c r="E41" s="512">
        <f t="shared" ref="E41:M41" si="17">SUM(E42:E43)</f>
        <v>4406362771.6586828</v>
      </c>
      <c r="F41" s="512">
        <f t="shared" si="17"/>
        <v>3579000900</v>
      </c>
      <c r="G41" s="512">
        <f t="shared" si="17"/>
        <v>3876266245.0784154</v>
      </c>
      <c r="H41" s="512">
        <f t="shared" si="17"/>
        <v>4454135799</v>
      </c>
      <c r="I41" s="512">
        <f t="shared" si="17"/>
        <v>4675506348.2103004</v>
      </c>
      <c r="J41" s="512">
        <f t="shared" si="17"/>
        <v>4141927200</v>
      </c>
      <c r="K41" s="512">
        <f t="shared" si="17"/>
        <v>4188613662.6589594</v>
      </c>
      <c r="L41" s="512"/>
      <c r="M41" s="512">
        <f t="shared" si="17"/>
        <v>4276710000</v>
      </c>
      <c r="N41" s="532">
        <f>+(D41-B41)/D41</f>
        <v>-0.42762561834916829</v>
      </c>
      <c r="O41" s="532">
        <f>+(E41-C41)/E41</f>
        <v>-0.50966747671199408</v>
      </c>
      <c r="P41" s="532">
        <f>+(F41-D41)/F41</f>
        <v>-9.2067722587049358E-2</v>
      </c>
      <c r="Q41" s="532">
        <f>+(G41-E41)/G41</f>
        <v>-0.13675441599330693</v>
      </c>
      <c r="R41" s="532">
        <f>+(H41-F41)/H41</f>
        <v>0.19647692358110791</v>
      </c>
      <c r="S41" s="531">
        <f>+K41*1.03</f>
        <v>4314272072.5387287</v>
      </c>
      <c r="T41" s="531">
        <f>+M41*1.03</f>
        <v>4405011300</v>
      </c>
      <c r="U41" s="487">
        <f t="shared" si="6"/>
        <v>4405011300</v>
      </c>
    </row>
    <row r="42" spans="1:21" x14ac:dyDescent="0.25">
      <c r="A42" s="500" t="s">
        <v>1060</v>
      </c>
      <c r="B42" s="509">
        <v>0</v>
      </c>
      <c r="C42" s="501">
        <f>+B42*([8]IPC!$S$15/[8]IPC!$N$21)</f>
        <v>0</v>
      </c>
      <c r="D42" s="510">
        <v>3126809089.6199999</v>
      </c>
      <c r="E42" s="501">
        <f>+D42*([8]IPC!$S$15/[8]IPC!$O$21)</f>
        <v>3525090217.349494</v>
      </c>
      <c r="F42" s="510">
        <v>2863200720</v>
      </c>
      <c r="G42" s="501">
        <f>+F42*([8]IPC!$S$15/[8]IPC!$P$21)</f>
        <v>3101012996.0627322</v>
      </c>
      <c r="H42" s="504">
        <v>3563308639.25</v>
      </c>
      <c r="I42" s="501">
        <f>+H42*([8]IPC!$S$15/[8]IPC!$Q$21)</f>
        <v>3740405078.6207252</v>
      </c>
      <c r="J42" s="511">
        <v>3313541760</v>
      </c>
      <c r="K42" s="501">
        <f>+J42*([8]IPC!$S$15/[8]IPC!$R$21)</f>
        <v>3350890930.1271677</v>
      </c>
      <c r="L42" s="501"/>
      <c r="M42" s="510">
        <f>+'[8]Ejecucion Ingresos 2020'!D40</f>
        <v>3421368000</v>
      </c>
      <c r="N42" s="532"/>
      <c r="O42" s="532"/>
      <c r="P42" s="532"/>
      <c r="Q42" s="532"/>
      <c r="R42" s="532"/>
      <c r="S42" s="533">
        <f>+S41*0.8</f>
        <v>3451417658.030983</v>
      </c>
      <c r="T42" s="533">
        <f>+T41*0.8</f>
        <v>3524009040</v>
      </c>
      <c r="U42" s="487">
        <f t="shared" si="6"/>
        <v>3524009040</v>
      </c>
    </row>
    <row r="43" spans="1:21" x14ac:dyDescent="0.25">
      <c r="A43" s="500" t="s">
        <v>1061</v>
      </c>
      <c r="B43" s="509">
        <v>0</v>
      </c>
      <c r="C43" s="501">
        <f>+B43*([8]IPC!$S$15/[8]IPC!$N$21)</f>
        <v>0</v>
      </c>
      <c r="D43" s="510">
        <v>781702272.38</v>
      </c>
      <c r="E43" s="501">
        <f>+D43*([8]IPC!$S$15/[8]IPC!$O$21)</f>
        <v>881272554.30918908</v>
      </c>
      <c r="F43" s="510">
        <v>715800180</v>
      </c>
      <c r="G43" s="501">
        <f>+F43*([8]IPC!$S$15/[8]IPC!$P$21)</f>
        <v>775253249.01568305</v>
      </c>
      <c r="H43" s="504">
        <v>890827159.75</v>
      </c>
      <c r="I43" s="501">
        <f>+H43*([8]IPC!$S$15/[8]IPC!$Q$21)</f>
        <v>935101269.58957505</v>
      </c>
      <c r="J43" s="511">
        <v>828385440</v>
      </c>
      <c r="K43" s="501">
        <f>+J43*([8]IPC!$S$15/[8]IPC!$R$21)</f>
        <v>837722732.53179193</v>
      </c>
      <c r="L43" s="501"/>
      <c r="M43" s="510">
        <f>+'[8]Ejecucion Ingresos 2020'!D41</f>
        <v>855342000</v>
      </c>
      <c r="N43" s="532"/>
      <c r="O43" s="532"/>
      <c r="P43" s="532"/>
      <c r="Q43" s="532"/>
      <c r="R43" s="532"/>
      <c r="S43" s="533">
        <f>+S41*0.2</f>
        <v>862854414.50774574</v>
      </c>
      <c r="T43" s="533">
        <f>+T41*0.2</f>
        <v>881002260</v>
      </c>
      <c r="U43" s="487">
        <f t="shared" si="6"/>
        <v>881002260</v>
      </c>
    </row>
    <row r="44" spans="1:21" s="253" customFormat="1" x14ac:dyDescent="0.25">
      <c r="A44" s="498" t="s">
        <v>1062</v>
      </c>
      <c r="B44" s="512">
        <v>15422931239</v>
      </c>
      <c r="C44" s="515">
        <f>+B44*([8]IPC!$S$15/[8]IPC!$N$21)</f>
        <v>18386656356.136627</v>
      </c>
      <c r="D44" s="517">
        <v>14148929209</v>
      </c>
      <c r="E44" s="515">
        <f>+D44*([8]IPC!$S$15/[8]IPC!$O$21)</f>
        <v>15951166352.365267</v>
      </c>
      <c r="F44" s="517">
        <v>10219955337</v>
      </c>
      <c r="G44" s="515">
        <f>+F44*([8]IPC!$S$15/[8]IPC!$P$21)</f>
        <v>11068806352.918798</v>
      </c>
      <c r="H44" s="506">
        <v>9685315504</v>
      </c>
      <c r="I44" s="515">
        <f>+H44*([8]IPC!$S$15/[8]IPC!$Q$21)</f>
        <v>10166675684.548801</v>
      </c>
      <c r="J44" s="518">
        <v>9781893090</v>
      </c>
      <c r="K44" s="515">
        <f>+J44*([8]IPC!$S$15/[8]IPC!$R$21)</f>
        <v>9892151422.5173416</v>
      </c>
      <c r="L44" s="515"/>
      <c r="M44" s="517">
        <f>+'[8]Ejecucion Ingresos 2020'!D43</f>
        <v>9000000000</v>
      </c>
      <c r="N44" s="532">
        <f>+(D44-B44)/D44</f>
        <v>-9.0042293037244078E-2</v>
      </c>
      <c r="O44" s="532">
        <f>+(E44-C44)/E44</f>
        <v>-0.15268413293239974</v>
      </c>
      <c r="P44" s="532">
        <f>+(F44-D44)/F44</f>
        <v>-0.38444139357201185</v>
      </c>
      <c r="Q44" s="532">
        <f>+(G44-E44)/G44</f>
        <v>-0.44109182542153791</v>
      </c>
      <c r="R44" s="532">
        <f>+(H44-F44)/H44</f>
        <v>-5.5201075564259697E-2</v>
      </c>
      <c r="S44" s="531">
        <f>+J44*1.03</f>
        <v>10075349882.700001</v>
      </c>
      <c r="T44" s="534">
        <v>10000000000</v>
      </c>
      <c r="U44" s="487">
        <f t="shared" si="6"/>
        <v>10000000000</v>
      </c>
    </row>
    <row r="45" spans="1:21" s="253" customFormat="1" x14ac:dyDescent="0.25">
      <c r="A45" s="498" t="s">
        <v>1063</v>
      </c>
      <c r="B45" s="512">
        <v>643423900</v>
      </c>
      <c r="C45" s="515">
        <f>+B45*([8]IPC!$S$15/[8]IPC!$N$21)</f>
        <v>767066516.5587734</v>
      </c>
      <c r="D45" s="517">
        <v>646374800</v>
      </c>
      <c r="E45" s="515">
        <f>+D45*([8]IPC!$S$15/[8]IPC!$O$21)</f>
        <v>728707579.80882823</v>
      </c>
      <c r="F45" s="517">
        <v>541463800</v>
      </c>
      <c r="G45" s="515">
        <f>+F45*([8]IPC!$S$15/[8]IPC!$P$21)</f>
        <v>586436804.43664873</v>
      </c>
      <c r="H45" s="506">
        <v>592954000</v>
      </c>
      <c r="I45" s="515">
        <f>+H45*([8]IPC!$S$15/[8]IPC!$Q$21)</f>
        <v>622423813.80000007</v>
      </c>
      <c r="J45" s="518">
        <v>601886900</v>
      </c>
      <c r="K45" s="501">
        <f>+J45*([8]IPC!$S$15/[8]IPC!$R$21)</f>
        <v>608671174.30635834</v>
      </c>
      <c r="L45" s="501"/>
      <c r="M45" s="517">
        <v>0</v>
      </c>
      <c r="N45" s="532"/>
      <c r="O45" s="532"/>
      <c r="P45" s="532"/>
      <c r="Q45" s="532"/>
      <c r="R45" s="532"/>
      <c r="S45" s="533"/>
      <c r="T45" s="510"/>
      <c r="U45" s="487">
        <f t="shared" si="6"/>
        <v>0</v>
      </c>
    </row>
    <row r="46" spans="1:21" s="253" customFormat="1" x14ac:dyDescent="0.25">
      <c r="A46" s="496" t="s">
        <v>952</v>
      </c>
      <c r="B46" s="531">
        <f>+B47+B59+B64+B67</f>
        <v>15039587295.790001</v>
      </c>
      <c r="C46" s="501">
        <f>+B46*([8]IPC!$S$15/[8]IPC!$N$21)</f>
        <v>17929647682.442661</v>
      </c>
      <c r="D46" s="531">
        <f t="shared" ref="D46:M46" si="18">+D47+D59+D64+D67</f>
        <v>16216818670.040001</v>
      </c>
      <c r="E46" s="531">
        <f t="shared" si="18"/>
        <v>18282455759.790558</v>
      </c>
      <c r="F46" s="531">
        <f t="shared" si="18"/>
        <v>16730675429</v>
      </c>
      <c r="G46" s="531">
        <f t="shared" si="18"/>
        <v>18120295086.485039</v>
      </c>
      <c r="H46" s="531">
        <f t="shared" si="18"/>
        <v>17304362427.239998</v>
      </c>
      <c r="I46" s="531">
        <f t="shared" si="18"/>
        <v>18164389239.873829</v>
      </c>
      <c r="J46" s="531">
        <f t="shared" si="18"/>
        <v>17679589730.75</v>
      </c>
      <c r="K46" s="531">
        <f t="shared" si="18"/>
        <v>17878868343.322037</v>
      </c>
      <c r="L46" s="531"/>
      <c r="M46" s="531">
        <f t="shared" si="18"/>
        <v>17009197195.629999</v>
      </c>
      <c r="N46" s="531"/>
      <c r="O46" s="531"/>
      <c r="P46" s="531"/>
      <c r="Q46" s="531"/>
      <c r="R46" s="531"/>
      <c r="S46" s="531">
        <f>+S47+S59+S64+S67</f>
        <v>19167807278.803413</v>
      </c>
      <c r="T46" s="531">
        <f>+T47+T59+T64+T67</f>
        <v>27796691314.818302</v>
      </c>
      <c r="U46" s="487">
        <f t="shared" si="6"/>
        <v>27796691314.818302</v>
      </c>
    </row>
    <row r="47" spans="1:21" s="253" customFormat="1" x14ac:dyDescent="0.25">
      <c r="A47" s="498" t="s">
        <v>1872</v>
      </c>
      <c r="B47" s="514">
        <f>+B48+B54</f>
        <v>1285161700.79</v>
      </c>
      <c r="C47" s="514">
        <f t="shared" ref="C47:M47" si="19">+C48+C54</f>
        <v>1532122927.1087599</v>
      </c>
      <c r="D47" s="514">
        <f t="shared" si="19"/>
        <v>2167872203.2399998</v>
      </c>
      <c r="E47" s="514">
        <f t="shared" si="19"/>
        <v>2444007573.5592613</v>
      </c>
      <c r="F47" s="514">
        <f t="shared" si="19"/>
        <v>2582221902.5999999</v>
      </c>
      <c r="G47" s="514">
        <f t="shared" si="19"/>
        <v>2796696586.008275</v>
      </c>
      <c r="H47" s="514">
        <f t="shared" si="19"/>
        <v>2435895854.6000004</v>
      </c>
      <c r="I47" s="514">
        <f t="shared" si="19"/>
        <v>2556959878.5736198</v>
      </c>
      <c r="J47" s="514">
        <f t="shared" si="19"/>
        <v>2167457724.8899999</v>
      </c>
      <c r="K47" s="514">
        <f t="shared" si="19"/>
        <v>2191888606.7601471</v>
      </c>
      <c r="L47" s="514"/>
      <c r="M47" s="514">
        <f t="shared" si="19"/>
        <v>2800940607</v>
      </c>
      <c r="N47" s="514"/>
      <c r="O47" s="514"/>
      <c r="P47" s="514"/>
      <c r="Q47" s="514"/>
      <c r="R47" s="514"/>
      <c r="S47" s="514">
        <f>+S48+S54</f>
        <v>2034378872.3711703</v>
      </c>
      <c r="T47" s="514">
        <f>+T48+T54</f>
        <v>2514380908.1520195</v>
      </c>
      <c r="U47" s="487">
        <f t="shared" si="6"/>
        <v>2514380908.1520195</v>
      </c>
    </row>
    <row r="48" spans="1:21" s="253" customFormat="1" x14ac:dyDescent="0.25">
      <c r="A48" s="498" t="s">
        <v>1067</v>
      </c>
      <c r="B48" s="514">
        <f t="shared" ref="B48:T48" si="20">SUM(B49:B53)</f>
        <v>960882495.78999996</v>
      </c>
      <c r="C48" s="514">
        <f t="shared" si="20"/>
        <v>1145529081.0116558</v>
      </c>
      <c r="D48" s="514">
        <f t="shared" si="20"/>
        <v>1144636706.24</v>
      </c>
      <c r="E48" s="514">
        <f t="shared" si="20"/>
        <v>1290436205.0694103</v>
      </c>
      <c r="F48" s="514">
        <f t="shared" si="20"/>
        <v>1591770949.5999999</v>
      </c>
      <c r="G48" s="514">
        <f t="shared" si="20"/>
        <v>1723980567.2669418</v>
      </c>
      <c r="H48" s="514">
        <f t="shared" si="20"/>
        <v>1085680231.97</v>
      </c>
      <c r="I48" s="514">
        <f t="shared" si="20"/>
        <v>1139638539.498909</v>
      </c>
      <c r="J48" s="514">
        <f t="shared" si="20"/>
        <v>745848808.88999999</v>
      </c>
      <c r="K48" s="514">
        <f t="shared" si="20"/>
        <v>754255775.23297966</v>
      </c>
      <c r="L48" s="514"/>
      <c r="M48" s="514">
        <f t="shared" si="20"/>
        <v>319230607</v>
      </c>
      <c r="N48" s="514"/>
      <c r="O48" s="514"/>
      <c r="P48" s="514"/>
      <c r="Q48" s="514"/>
      <c r="R48" s="514"/>
      <c r="S48" s="514">
        <f t="shared" si="20"/>
        <v>612769956.37117028</v>
      </c>
      <c r="T48" s="514">
        <f t="shared" si="20"/>
        <v>735673852.87854099</v>
      </c>
      <c r="U48" s="487">
        <f t="shared" si="6"/>
        <v>735673852.87854099</v>
      </c>
    </row>
    <row r="49" spans="1:21" x14ac:dyDescent="0.25">
      <c r="A49" s="500" t="s">
        <v>1068</v>
      </c>
      <c r="B49" s="509">
        <v>578981062.78999996</v>
      </c>
      <c r="C49" s="501">
        <f>+B49*([8]IPC!$S$15/[8]IPC!$N$21)</f>
        <v>690240115.4010936</v>
      </c>
      <c r="D49" s="510">
        <v>90545486.239999995</v>
      </c>
      <c r="E49" s="501">
        <f>+D49*([8]IPC!$S$15/[8]IPC!$O$21)</f>
        <v>102078828.16682203</v>
      </c>
      <c r="F49" s="510">
        <v>260275664.59999999</v>
      </c>
      <c r="G49" s="501">
        <f>+F49*([8]IPC!$S$15/[8]IPC!$P$21)</f>
        <v>281893690.80749071</v>
      </c>
      <c r="H49" s="504">
        <v>230565301.97</v>
      </c>
      <c r="I49" s="501">
        <f>+H49*([8]IPC!$S$15/[8]IPC!$Q$21)</f>
        <v>242024397.47790903</v>
      </c>
      <c r="J49" s="511">
        <v>365701944.88999999</v>
      </c>
      <c r="K49" s="501">
        <f>+J49*([8]IPC!$S$15/[8]IPC!$R$21)</f>
        <v>369824018.83529186</v>
      </c>
      <c r="L49" s="501"/>
      <c r="M49" s="510">
        <f>+'[8]Ejecucion Ingresos 2020'!D47</f>
        <v>200000000</v>
      </c>
      <c r="N49" s="532">
        <f>+(D49-B49)/D49</f>
        <v>-5.3943669290742102</v>
      </c>
      <c r="O49" s="532">
        <f>+(F49-D49)/F49</f>
        <v>0.65211697229107768</v>
      </c>
      <c r="P49" s="532">
        <f>+(H49-F49)/H49</f>
        <v>-0.12885877613044203</v>
      </c>
      <c r="Q49" s="532">
        <f>+(J49-H49)/J49</f>
        <v>0.36952672745737769</v>
      </c>
      <c r="R49" s="532">
        <f>+(N49+O49+P49+Q49)/4</f>
        <v>-1.1253955013640493</v>
      </c>
      <c r="S49" s="533">
        <f>+M49</f>
        <v>200000000</v>
      </c>
      <c r="T49" s="510">
        <f>+S49*1.03</f>
        <v>206000000</v>
      </c>
      <c r="U49" s="487">
        <f t="shared" si="6"/>
        <v>206000000</v>
      </c>
    </row>
    <row r="50" spans="1:21" x14ac:dyDescent="0.25">
      <c r="A50" s="500" t="s">
        <v>1069</v>
      </c>
      <c r="B50" s="509">
        <v>162098133</v>
      </c>
      <c r="C50" s="501">
        <f>+B50*([8]IPC!$S$15/[8]IPC!$N$21)</f>
        <v>193247484.62248722</v>
      </c>
      <c r="D50" s="510">
        <v>232799993</v>
      </c>
      <c r="E50" s="501">
        <f>+D50*([8]IPC!$S$15/[8]IPC!$O$21)</f>
        <v>262453176.51390827</v>
      </c>
      <c r="F50" s="510">
        <v>164764687</v>
      </c>
      <c r="G50" s="501">
        <f>+F50*([8]IPC!$S$15/[8]IPC!$P$21)</f>
        <v>178449744.06097811</v>
      </c>
      <c r="H50" s="504">
        <v>127539819</v>
      </c>
      <c r="I50" s="501">
        <f>+H50*([8]IPC!$S$15/[8]IPC!$Q$21)</f>
        <v>133878548.00430001</v>
      </c>
      <c r="J50" s="511">
        <v>155876324</v>
      </c>
      <c r="K50" s="501">
        <f>+J50*([8]IPC!$S$15/[8]IPC!$R$21)</f>
        <v>157633311.46705201</v>
      </c>
      <c r="L50" s="501"/>
      <c r="M50" s="510">
        <f>+'[8]Ejecucion Ingresos 2020'!D71</f>
        <v>14580826</v>
      </c>
      <c r="N50" s="532">
        <f>+(D50-B50)/D50</f>
        <v>0.30370215689826074</v>
      </c>
      <c r="O50" s="532">
        <f>+(F50-D50)/F50</f>
        <v>-0.41292407516909252</v>
      </c>
      <c r="P50" s="532">
        <f>+(H50-F50)/H50</f>
        <v>-0.29186859673997184</v>
      </c>
      <c r="Q50" s="532">
        <f>+(J50-H50)/J50</f>
        <v>0.18178838371887701</v>
      </c>
      <c r="R50" s="532">
        <f>+(N50+O50+P50+Q50)/4</f>
        <v>-5.4825532822981651E-2</v>
      </c>
      <c r="S50" s="533">
        <f t="shared" ref="S50:S63" si="21">+((C50+E50+G50+I50+K50)/5)*R50+J50</f>
        <v>145726338.62508184</v>
      </c>
      <c r="T50" s="535">
        <v>244827263</v>
      </c>
      <c r="U50" s="487">
        <f t="shared" si="6"/>
        <v>244827263</v>
      </c>
    </row>
    <row r="51" spans="1:21" x14ac:dyDescent="0.25">
      <c r="A51" s="500" t="s">
        <v>1070</v>
      </c>
      <c r="B51" s="509">
        <v>0</v>
      </c>
      <c r="C51" s="501">
        <f>+B51*([8]IPC!$S$15/[8]IPC!$N$21)</f>
        <v>0</v>
      </c>
      <c r="D51" s="510">
        <v>162286351</v>
      </c>
      <c r="E51" s="501">
        <f>+D51*([8]IPC!$S$15/[8]IPC!$O$21)</f>
        <v>182957773.21952531</v>
      </c>
      <c r="F51" s="510">
        <v>97053613</v>
      </c>
      <c r="G51" s="501">
        <f>+F51*([8]IPC!$S$15/[8]IPC!$P$21)</f>
        <v>105114710.65425093</v>
      </c>
      <c r="H51" s="504">
        <v>94828941</v>
      </c>
      <c r="I51" s="501">
        <f>+H51*([8]IPC!$S$15/[8]IPC!$Q$21)</f>
        <v>99541939.367700011</v>
      </c>
      <c r="J51" s="511">
        <v>114793540</v>
      </c>
      <c r="K51" s="501">
        <f>+J51*([8]IPC!$S$15/[8]IPC!$R$21)</f>
        <v>116087455.62427746</v>
      </c>
      <c r="L51" s="501"/>
      <c r="M51" s="510">
        <f>+'[8]Ejecucion Ingresos 2020'!D72</f>
        <v>6649781</v>
      </c>
      <c r="N51" s="532">
        <f>+(D51-B51)/D51</f>
        <v>1</v>
      </c>
      <c r="O51" s="532">
        <f>+(F51-D51)/F51</f>
        <v>-0.67213095920499111</v>
      </c>
      <c r="P51" s="532">
        <f>+(H51-F51)/H51</f>
        <v>-2.3459842285911428E-2</v>
      </c>
      <c r="Q51" s="532">
        <f>+(J51-H51)/J51</f>
        <v>0.17391744343801924</v>
      </c>
      <c r="R51" s="532">
        <f>+(N51+O51+P51+Q51)/4</f>
        <v>0.11958166048677918</v>
      </c>
      <c r="S51" s="533">
        <f t="shared" si="21"/>
        <v>126840241.41301547</v>
      </c>
      <c r="T51" s="535">
        <v>118460356</v>
      </c>
      <c r="U51" s="487">
        <f t="shared" si="6"/>
        <v>118460356</v>
      </c>
    </row>
    <row r="52" spans="1:21" x14ac:dyDescent="0.25">
      <c r="A52" s="500" t="s">
        <v>1071</v>
      </c>
      <c r="B52" s="504">
        <v>0</v>
      </c>
      <c r="C52" s="501">
        <f>+B52*([8]IPC!$S$15/[8]IPC!$N$21)</f>
        <v>0</v>
      </c>
      <c r="D52" s="509">
        <v>514557468</v>
      </c>
      <c r="E52" s="501">
        <f>+D52*([8]IPC!$S$15/[8]IPC!$O$21)</f>
        <v>580099854.10761464</v>
      </c>
      <c r="F52" s="510">
        <v>948728685</v>
      </c>
      <c r="G52" s="501">
        <f>+F52*([8]IPC!$S$15/[8]IPC!$P$21)</f>
        <v>1027528374.5816137</v>
      </c>
      <c r="H52" s="504">
        <v>508891370</v>
      </c>
      <c r="I52" s="501">
        <f>+H52*([8]IPC!$S$15/[8]IPC!$Q$21)</f>
        <v>534183271.08900005</v>
      </c>
      <c r="J52" s="511">
        <v>0</v>
      </c>
      <c r="K52" s="501">
        <f>+J52*([8]IPC!$S$15/[8]IPC!$R$21)</f>
        <v>0</v>
      </c>
      <c r="L52" s="501"/>
      <c r="M52" s="510">
        <v>0</v>
      </c>
      <c r="N52" s="532">
        <f>+(D52-B52)/D52</f>
        <v>1</v>
      </c>
      <c r="O52" s="532">
        <f>+(F52-D52)/F52</f>
        <v>0.45763475255309688</v>
      </c>
      <c r="P52" s="532">
        <f>+(H52-F52)/H52</f>
        <v>-0.8643049203212072</v>
      </c>
      <c r="Q52" s="532">
        <v>0</v>
      </c>
      <c r="R52" s="532">
        <f>+(N52+O52+P52+Q52)/4</f>
        <v>0.14833245805797241</v>
      </c>
      <c r="S52" s="533">
        <f t="shared" si="21"/>
        <v>63540032.89178741</v>
      </c>
      <c r="T52" s="510">
        <f>+S52*1.03</f>
        <v>65446233.878541037</v>
      </c>
      <c r="U52" s="487">
        <f t="shared" si="6"/>
        <v>65446233.878541037</v>
      </c>
    </row>
    <row r="53" spans="1:21" x14ac:dyDescent="0.25">
      <c r="A53" s="500" t="s">
        <v>1072</v>
      </c>
      <c r="B53" s="509">
        <v>219803300</v>
      </c>
      <c r="C53" s="501">
        <f>+B53*([8]IPC!$S$15/[8]IPC!$N$21)</f>
        <v>262041480.98807496</v>
      </c>
      <c r="D53" s="510">
        <v>144447408</v>
      </c>
      <c r="E53" s="501">
        <f>+D53*([8]IPC!$S$15/[8]IPC!$O$21)</f>
        <v>162846573.06154013</v>
      </c>
      <c r="F53" s="510">
        <v>120948300</v>
      </c>
      <c r="G53" s="501">
        <f>+F53*([8]IPC!$S$15/[8]IPC!$P$21)</f>
        <v>130994047.16260834</v>
      </c>
      <c r="H53" s="504">
        <v>123854800</v>
      </c>
      <c r="I53" s="501">
        <f>+H53*([8]IPC!$S$15/[8]IPC!$Q$21)</f>
        <v>130010383.56</v>
      </c>
      <c r="J53" s="511">
        <v>109477000</v>
      </c>
      <c r="K53" s="501">
        <f>+J53*([8]IPC!$S$15/[8]IPC!$R$21)</f>
        <v>110710989.30635838</v>
      </c>
      <c r="L53" s="501"/>
      <c r="M53" s="510">
        <f>+'[8]Ejecucion Ingresos 2020'!D73</f>
        <v>98000000</v>
      </c>
      <c r="N53" s="532">
        <f>+(D53-B53)/D53</f>
        <v>-0.52168393357394127</v>
      </c>
      <c r="O53" s="532">
        <f>+(F53-D53)/F53</f>
        <v>-0.19429051917224135</v>
      </c>
      <c r="P53" s="532">
        <f>+(H53-F53)/H53</f>
        <v>2.346699522343906E-2</v>
      </c>
      <c r="Q53" s="532">
        <f>+(J53-H53)/J53</f>
        <v>-0.13133169524192295</v>
      </c>
      <c r="R53" s="532">
        <f>+(N53+O53+P53+Q53)/4</f>
        <v>-0.20595978819116662</v>
      </c>
      <c r="S53" s="533">
        <f t="shared" si="21"/>
        <v>76663343.441285565</v>
      </c>
      <c r="T53" s="535">
        <v>100940000</v>
      </c>
      <c r="U53" s="487">
        <f t="shared" si="6"/>
        <v>100940000</v>
      </c>
    </row>
    <row r="54" spans="1:21" x14ac:dyDescent="0.25">
      <c r="A54" s="498" t="s">
        <v>1873</v>
      </c>
      <c r="B54" s="517">
        <f>SUM(B55:B58)</f>
        <v>324279205</v>
      </c>
      <c r="C54" s="517">
        <f t="shared" ref="C54:M54" si="22">SUM(C55:C58)</f>
        <v>386593846.09710395</v>
      </c>
      <c r="D54" s="517">
        <f t="shared" si="22"/>
        <v>1023235497</v>
      </c>
      <c r="E54" s="517">
        <f t="shared" si="22"/>
        <v>1153571368.4898508</v>
      </c>
      <c r="F54" s="517">
        <f t="shared" si="22"/>
        <v>990450953</v>
      </c>
      <c r="G54" s="517">
        <f t="shared" si="22"/>
        <v>1072716018.741333</v>
      </c>
      <c r="H54" s="517">
        <f t="shared" si="22"/>
        <v>1350215622.6300001</v>
      </c>
      <c r="I54" s="517">
        <f t="shared" si="22"/>
        <v>1417321339.0747111</v>
      </c>
      <c r="J54" s="517">
        <f t="shared" si="22"/>
        <v>1421608916</v>
      </c>
      <c r="K54" s="517">
        <f t="shared" si="22"/>
        <v>1437632831.5271676</v>
      </c>
      <c r="L54" s="517"/>
      <c r="M54" s="517">
        <f t="shared" si="22"/>
        <v>2481710000</v>
      </c>
      <c r="N54" s="517"/>
      <c r="O54" s="517"/>
      <c r="P54" s="517"/>
      <c r="Q54" s="517"/>
      <c r="R54" s="517"/>
      <c r="S54" s="533">
        <f t="shared" si="21"/>
        <v>1421608916</v>
      </c>
      <c r="T54" s="517">
        <f>SUM(T55:T58)</f>
        <v>1778707055.2734785</v>
      </c>
      <c r="U54" s="487">
        <f t="shared" si="6"/>
        <v>1778707055.2734785</v>
      </c>
    </row>
    <row r="55" spans="1:21" ht="24" x14ac:dyDescent="0.25">
      <c r="A55" s="500" t="s">
        <v>1074</v>
      </c>
      <c r="B55" s="509">
        <v>19580046</v>
      </c>
      <c r="C55" s="501">
        <f>+B55*([8]IPC!$S$15/[8]IPC!$N$21)</f>
        <v>23342617.020102214</v>
      </c>
      <c r="D55" s="510">
        <v>166920338</v>
      </c>
      <c r="E55" s="501">
        <f>+D55*([8]IPC!$S$15/[8]IPC!$O$21)</f>
        <v>188182019.97486845</v>
      </c>
      <c r="F55" s="510">
        <v>122557632</v>
      </c>
      <c r="G55" s="501">
        <f>+F55*([8]IPC!$S$15/[8]IPC!$P$21)</f>
        <v>132737047.36937681</v>
      </c>
      <c r="H55" s="504">
        <v>176255892.97999999</v>
      </c>
      <c r="I55" s="501">
        <f>+H55*([8]IPC!$S$15/[8]IPC!$Q$21)</f>
        <v>185015810.86110601</v>
      </c>
      <c r="J55" s="504">
        <v>195298958</v>
      </c>
      <c r="K55" s="501">
        <f>+J55*([8]IPC!$S$15/[8]IPC!$R$21)</f>
        <v>197500304.63641617</v>
      </c>
      <c r="L55" s="501"/>
      <c r="M55" s="510">
        <f>+'[8]Ejecucion Ingresos 2020'!D50</f>
        <v>680000000</v>
      </c>
      <c r="N55" s="532">
        <f>+(D55-B55)/D55</f>
        <v>0.88269826053191913</v>
      </c>
      <c r="O55" s="532">
        <f>+(F55-D55)/F55</f>
        <v>-0.36197424245272625</v>
      </c>
      <c r="P55" s="532">
        <f>+(H55-F55)/H55</f>
        <v>0.30466079784403693</v>
      </c>
      <c r="Q55" s="532">
        <f>+(J55-H55)/J55</f>
        <v>9.7507253571726737E-2</v>
      </c>
      <c r="R55" s="532">
        <f t="shared" ref="R55:R100" si="23">+(N55+O55+P55+Q55)/4</f>
        <v>0.23072301737373913</v>
      </c>
      <c r="S55" s="533">
        <f t="shared" si="21"/>
        <v>228835831.3888756</v>
      </c>
      <c r="T55" s="510">
        <f>+S55*1.03</f>
        <v>235700906.33054188</v>
      </c>
      <c r="U55" s="487">
        <f t="shared" si="6"/>
        <v>235700906.33054188</v>
      </c>
    </row>
    <row r="56" spans="1:21" ht="24" x14ac:dyDescent="0.25">
      <c r="A56" s="500" t="s">
        <v>1075</v>
      </c>
      <c r="B56" s="509">
        <v>89801666</v>
      </c>
      <c r="C56" s="501">
        <f>+B56*([8]IPC!$S$15/[8]IPC!$N$21)</f>
        <v>107058272.34548552</v>
      </c>
      <c r="D56" s="510">
        <v>856315159</v>
      </c>
      <c r="E56" s="501">
        <f>+D56*([8]IPC!$S$15/[8]IPC!$O$21)</f>
        <v>965389348.51498222</v>
      </c>
      <c r="F56" s="510">
        <v>867893321</v>
      </c>
      <c r="G56" s="501">
        <f>+F56*([8]IPC!$S$15/[8]IPC!$P$21)</f>
        <v>939978971.37195623</v>
      </c>
      <c r="H56" s="504">
        <v>1173959729.6500001</v>
      </c>
      <c r="I56" s="501">
        <f>+H56*([8]IPC!$S$15/[8]IPC!$Q$21)</f>
        <v>1232305528.2136052</v>
      </c>
      <c r="J56" s="504">
        <v>1226309958</v>
      </c>
      <c r="K56" s="501">
        <f>+J56*([8]IPC!$S$15/[8]IPC!$R$21)</f>
        <v>1240132526.8907514</v>
      </c>
      <c r="L56" s="501"/>
      <c r="M56" s="510">
        <f>+'[8]Ejecucion Ingresos 2020'!D53</f>
        <v>1801710000</v>
      </c>
      <c r="N56" s="532">
        <f>+(D56-B56)/D56</f>
        <v>0.89513012229648037</v>
      </c>
      <c r="O56" s="532">
        <f>+(F56-D56)/F56</f>
        <v>1.3340535892889997E-2</v>
      </c>
      <c r="P56" s="532">
        <f>+(H56-F56)/H56</f>
        <v>0.26071286852509801</v>
      </c>
      <c r="Q56" s="532">
        <f>+(J56-H56)/J56</f>
        <v>4.2689230409070772E-2</v>
      </c>
      <c r="R56" s="532">
        <f t="shared" si="23"/>
        <v>0.30296818928088476</v>
      </c>
      <c r="S56" s="533">
        <f t="shared" si="21"/>
        <v>1498064222.2746956</v>
      </c>
      <c r="T56" s="510">
        <f>+S56*1.03</f>
        <v>1543006148.9429367</v>
      </c>
      <c r="U56" s="487">
        <f t="shared" si="6"/>
        <v>1543006148.9429367</v>
      </c>
    </row>
    <row r="57" spans="1:21" s="253" customFormat="1" x14ac:dyDescent="0.25">
      <c r="A57" s="500" t="s">
        <v>1077</v>
      </c>
      <c r="B57" s="509">
        <v>2564610</v>
      </c>
      <c r="C57" s="501">
        <f>+B57*([8]IPC!$S$15/[8]IPC!$N$21)</f>
        <v>3057434.5451448038</v>
      </c>
      <c r="D57" s="510">
        <v>0</v>
      </c>
      <c r="E57" s="501">
        <f>+D57*([8]IPC!$S$15/[8]IPC!$O$21)</f>
        <v>0</v>
      </c>
      <c r="F57" s="510">
        <v>0</v>
      </c>
      <c r="G57" s="501">
        <f>+F57*([8]IPC!$S$15/[8]IPC!$P$21)</f>
        <v>0</v>
      </c>
      <c r="H57" s="506">
        <v>0</v>
      </c>
      <c r="I57" s="501">
        <f>+H57*([8]IPC!$S$15/[8]IPC!$Q$21)</f>
        <v>0</v>
      </c>
      <c r="J57" s="511">
        <v>0</v>
      </c>
      <c r="K57" s="501">
        <f>+J57*([8]IPC!$S$15/[8]IPC!$R$21)</f>
        <v>0</v>
      </c>
      <c r="L57" s="501"/>
      <c r="M57" s="510">
        <v>0</v>
      </c>
      <c r="N57" s="532">
        <v>0</v>
      </c>
      <c r="O57" s="532">
        <v>0</v>
      </c>
      <c r="P57" s="532">
        <v>0</v>
      </c>
      <c r="Q57" s="532">
        <v>0</v>
      </c>
      <c r="R57" s="532">
        <v>0</v>
      </c>
      <c r="S57" s="533">
        <f t="shared" si="21"/>
        <v>0</v>
      </c>
      <c r="T57" s="510">
        <f>+S57*1.03</f>
        <v>0</v>
      </c>
      <c r="U57" s="487">
        <f t="shared" si="6"/>
        <v>0</v>
      </c>
    </row>
    <row r="58" spans="1:21" s="520" customFormat="1" x14ac:dyDescent="0.25">
      <c r="A58" s="500" t="s">
        <v>1078</v>
      </c>
      <c r="B58" s="509">
        <v>212332883</v>
      </c>
      <c r="C58" s="501">
        <f>+B58*([8]IPC!$S$15/[8]IPC!$N$21)</f>
        <v>253135522.18637139</v>
      </c>
      <c r="D58" s="510">
        <v>0</v>
      </c>
      <c r="E58" s="501">
        <f>+D58*([8]IPC!$S$15/[8]IPC!$O$21)</f>
        <v>0</v>
      </c>
      <c r="F58" s="510">
        <v>0</v>
      </c>
      <c r="G58" s="501">
        <f>+F58*([8]IPC!$S$15/[8]IPC!$P$21)</f>
        <v>0</v>
      </c>
      <c r="H58" s="519">
        <v>0</v>
      </c>
      <c r="I58" s="501">
        <f>+H58*([8]IPC!$S$15/[8]IPC!$Q$21)</f>
        <v>0</v>
      </c>
      <c r="J58" s="511">
        <v>0</v>
      </c>
      <c r="K58" s="501">
        <f>+J58*([8]IPC!$S$15/[8]IPC!$R$21)</f>
        <v>0</v>
      </c>
      <c r="L58" s="501"/>
      <c r="M58" s="510">
        <v>0</v>
      </c>
      <c r="N58" s="532">
        <v>0</v>
      </c>
      <c r="O58" s="532">
        <v>0</v>
      </c>
      <c r="P58" s="532">
        <v>0</v>
      </c>
      <c r="Q58" s="532">
        <v>0</v>
      </c>
      <c r="R58" s="532">
        <v>0</v>
      </c>
      <c r="S58" s="533">
        <f t="shared" si="21"/>
        <v>0</v>
      </c>
      <c r="T58" s="510">
        <f>+S58*1.03</f>
        <v>0</v>
      </c>
      <c r="U58" s="487">
        <f t="shared" si="6"/>
        <v>0</v>
      </c>
    </row>
    <row r="59" spans="1:21" s="253" customFormat="1" x14ac:dyDescent="0.25">
      <c r="A59" s="498" t="s">
        <v>1079</v>
      </c>
      <c r="B59" s="514">
        <f t="shared" ref="B59:T59" si="24">SUM(B60:B63)</f>
        <v>10116967147</v>
      </c>
      <c r="C59" s="514">
        <f t="shared" si="24"/>
        <v>12061079402.845997</v>
      </c>
      <c r="D59" s="514">
        <f t="shared" si="24"/>
        <v>9917557263.6000004</v>
      </c>
      <c r="E59" s="514">
        <f t="shared" si="24"/>
        <v>11180818236.065859</v>
      </c>
      <c r="F59" s="514">
        <f t="shared" si="24"/>
        <v>9840903469.9699993</v>
      </c>
      <c r="G59" s="514">
        <f t="shared" si="24"/>
        <v>10658271123.016415</v>
      </c>
      <c r="H59" s="514">
        <f t="shared" si="24"/>
        <v>9955374237.0599995</v>
      </c>
      <c r="I59" s="514">
        <f t="shared" si="24"/>
        <v>10450156336.641882</v>
      </c>
      <c r="J59" s="514">
        <f t="shared" si="24"/>
        <v>11359495674</v>
      </c>
      <c r="K59" s="514">
        <f t="shared" si="24"/>
        <v>11487536232.175144</v>
      </c>
      <c r="L59" s="514"/>
      <c r="M59" s="514">
        <f t="shared" si="24"/>
        <v>10026810180</v>
      </c>
      <c r="N59" s="514"/>
      <c r="O59" s="514"/>
      <c r="P59" s="514"/>
      <c r="Q59" s="514"/>
      <c r="R59" s="514"/>
      <c r="S59" s="533">
        <f t="shared" si="21"/>
        <v>11359495674</v>
      </c>
      <c r="T59" s="514">
        <f t="shared" si="24"/>
        <v>11282087994.493216</v>
      </c>
      <c r="U59" s="487">
        <f t="shared" si="6"/>
        <v>11282087994.493216</v>
      </c>
    </row>
    <row r="60" spans="1:21" s="253" customFormat="1" x14ac:dyDescent="0.25">
      <c r="A60" s="500" t="s">
        <v>1080</v>
      </c>
      <c r="B60" s="509">
        <v>4957313901.6400003</v>
      </c>
      <c r="C60" s="501">
        <f>+B60*([8]IPC!$S$15/[8]IPC!$N$21)</f>
        <v>5909928906.929595</v>
      </c>
      <c r="D60" s="510">
        <v>4859603059.3299999</v>
      </c>
      <c r="E60" s="501">
        <f>+D60*([8]IPC!$S$15/[8]IPC!$O$21)</f>
        <v>5478600935.8594151</v>
      </c>
      <c r="F60" s="510">
        <v>4822042700.2799997</v>
      </c>
      <c r="G60" s="501">
        <f>+F60*([8]IPC!$S$15/[8]IPC!$P$21)</f>
        <v>5222552850.2723026</v>
      </c>
      <c r="H60" s="504">
        <v>7598599257.4799995</v>
      </c>
      <c r="I60" s="501">
        <f>+H60*([8]IPC!$S$15/[8]IPC!$Q$21)</f>
        <v>7976249640.5767565</v>
      </c>
      <c r="J60" s="511">
        <v>8552032883.1999998</v>
      </c>
      <c r="K60" s="501">
        <f>+J60*([8]IPC!$S$15/[8]IPC!$R$21)</f>
        <v>8648428629.5713291</v>
      </c>
      <c r="L60" s="501"/>
      <c r="M60" s="510">
        <f>+'[8]Ejecucion Ingresos 2020'!D59</f>
        <v>7687221138</v>
      </c>
      <c r="N60" s="532">
        <f>+(D60-B60)/D60</f>
        <v>-2.0106753806240288E-2</v>
      </c>
      <c r="O60" s="532">
        <f>+(F60-D60)/F60</f>
        <v>-7.7893045301774674E-3</v>
      </c>
      <c r="P60" s="532">
        <f>+(H60-F60)/H60</f>
        <v>0.36540373601973813</v>
      </c>
      <c r="Q60" s="532">
        <f>+(J60-H60)/J60</f>
        <v>0.11148619734530821</v>
      </c>
      <c r="R60" s="532">
        <f t="shared" si="23"/>
        <v>0.11224846875715713</v>
      </c>
      <c r="S60" s="533">
        <f t="shared" si="21"/>
        <v>9298165538.4198303</v>
      </c>
      <c r="T60" s="510">
        <f>+S60*1.03</f>
        <v>9577110504.5724258</v>
      </c>
      <c r="U60" s="487">
        <f t="shared" si="6"/>
        <v>9577110504.5724258</v>
      </c>
    </row>
    <row r="61" spans="1:21" s="253" customFormat="1" x14ac:dyDescent="0.25">
      <c r="A61" s="500" t="s">
        <v>1081</v>
      </c>
      <c r="B61" s="509">
        <v>5159653245.3599997</v>
      </c>
      <c r="C61" s="501">
        <f>+B61*([8]IPC!$S$15/[8]IPC!$N$21)</f>
        <v>6151150495.9164019</v>
      </c>
      <c r="D61" s="510">
        <v>5057954204.2700005</v>
      </c>
      <c r="E61" s="501">
        <f>+D61*([8]IPC!$S$15/[8]IPC!$O$21)</f>
        <v>5702217300.2064438</v>
      </c>
      <c r="F61" s="510">
        <v>5018860769.6899996</v>
      </c>
      <c r="G61" s="501">
        <f>+F61*([8]IPC!$S$15/[8]IPC!$P$21)</f>
        <v>5435718272.7441111</v>
      </c>
      <c r="H61" s="504">
        <v>2313077275.3200002</v>
      </c>
      <c r="I61" s="501">
        <f>+H61*([8]IPC!$S$15/[8]IPC!$Q$21)</f>
        <v>2428037215.9034042</v>
      </c>
      <c r="J61" s="511">
        <v>2807462790.8000002</v>
      </c>
      <c r="K61" s="501">
        <f>+J61*([8]IPC!$S$15/[8]IPC!$R$21)</f>
        <v>2839107602.6038151</v>
      </c>
      <c r="L61" s="501"/>
      <c r="M61" s="510">
        <f>+'[8]Ejecucion Ingresos 2020'!D56</f>
        <v>2339589042</v>
      </c>
      <c r="N61" s="532">
        <f>+(D61-B61)/D61</f>
        <v>-2.0106754031925269E-2</v>
      </c>
      <c r="O61" s="532">
        <f>+(F61-D61)/F61</f>
        <v>-7.7893044605052003E-3</v>
      </c>
      <c r="P61" s="532">
        <f>+(H61-F61)/H61</f>
        <v>-1.169776523785039</v>
      </c>
      <c r="Q61" s="532">
        <f>+(J61-H61)/J61</f>
        <v>0.17609690753519211</v>
      </c>
      <c r="R61" s="532">
        <f t="shared" si="23"/>
        <v>-0.25539391868556932</v>
      </c>
      <c r="S61" s="533">
        <f t="shared" si="21"/>
        <v>1655317951.3794067</v>
      </c>
      <c r="T61" s="510">
        <f>+S61*1.03</f>
        <v>1704977489.920789</v>
      </c>
      <c r="U61" s="487">
        <f t="shared" si="6"/>
        <v>1704977489.920789</v>
      </c>
    </row>
    <row r="62" spans="1:21" x14ac:dyDescent="0.25">
      <c r="A62" s="500" t="s">
        <v>1874</v>
      </c>
      <c r="B62" s="509">
        <v>0</v>
      </c>
      <c r="C62" s="501">
        <f>+B62*([8]IPC!$S$15/[8]IPC!$N$21)</f>
        <v>0</v>
      </c>
      <c r="D62" s="510">
        <v>0</v>
      </c>
      <c r="E62" s="501">
        <f>+D62*([8]IPC!$S$15/[8]IPC!$O$21)</f>
        <v>0</v>
      </c>
      <c r="F62" s="510">
        <v>0</v>
      </c>
      <c r="G62" s="501">
        <f>+F62*([8]IPC!$S$15/[8]IPC!$P$21)</f>
        <v>0</v>
      </c>
      <c r="H62" s="504">
        <v>33501573.48</v>
      </c>
      <c r="I62" s="501">
        <f>+H62*([8]IPC!$S$15/[8]IPC!$Q$21)</f>
        <v>35166601.681956001</v>
      </c>
      <c r="J62" s="511">
        <v>0</v>
      </c>
      <c r="K62" s="501">
        <f>+J62*([8]IPC!$S$15/[8]IPC!$R$21)</f>
        <v>0</v>
      </c>
      <c r="L62" s="501"/>
      <c r="M62" s="510">
        <v>0</v>
      </c>
      <c r="N62" s="532">
        <v>0</v>
      </c>
      <c r="O62" s="532">
        <v>0</v>
      </c>
      <c r="P62" s="532">
        <f>+(H62-F62)/H62</f>
        <v>1</v>
      </c>
      <c r="Q62" s="532">
        <v>0</v>
      </c>
      <c r="R62" s="532">
        <v>0</v>
      </c>
      <c r="S62" s="533">
        <f t="shared" si="21"/>
        <v>0</v>
      </c>
      <c r="T62" s="510">
        <f>+S62*1.03</f>
        <v>0</v>
      </c>
      <c r="U62" s="487">
        <f t="shared" si="6"/>
        <v>0</v>
      </c>
    </row>
    <row r="63" spans="1:21" x14ac:dyDescent="0.25">
      <c r="A63" s="500" t="s">
        <v>1083</v>
      </c>
      <c r="B63" s="509">
        <v>0</v>
      </c>
      <c r="C63" s="501">
        <f>+B63*([8]IPC!$S$15/[8]IPC!$N$21)</f>
        <v>0</v>
      </c>
      <c r="D63" s="510">
        <v>0</v>
      </c>
      <c r="E63" s="501">
        <f>+D63*([8]IPC!$S$15/[8]IPC!$O$21)</f>
        <v>0</v>
      </c>
      <c r="F63" s="510">
        <v>0</v>
      </c>
      <c r="G63" s="501">
        <f>+F63*([8]IPC!$S$15/[8]IPC!$P$21)</f>
        <v>0</v>
      </c>
      <c r="H63" s="504">
        <v>10196130.779999999</v>
      </c>
      <c r="I63" s="501">
        <f>+H63*([8]IPC!$S$15/[8]IPC!$Q$21)</f>
        <v>10702878.479766</v>
      </c>
      <c r="J63" s="511">
        <v>0</v>
      </c>
      <c r="K63" s="501">
        <f>+J63*([8]IPC!$S$15/[8]IPC!$R$21)</f>
        <v>0</v>
      </c>
      <c r="L63" s="501"/>
      <c r="M63" s="510">
        <v>0</v>
      </c>
      <c r="N63" s="532">
        <v>0</v>
      </c>
      <c r="O63" s="532">
        <v>0</v>
      </c>
      <c r="P63" s="532">
        <f>+(H63-F63)/H63</f>
        <v>1</v>
      </c>
      <c r="Q63" s="532">
        <v>0</v>
      </c>
      <c r="R63" s="532">
        <v>0</v>
      </c>
      <c r="S63" s="533">
        <f t="shared" si="21"/>
        <v>0</v>
      </c>
      <c r="T63" s="510">
        <f>+S63*1.03</f>
        <v>0</v>
      </c>
      <c r="U63" s="487">
        <f t="shared" si="6"/>
        <v>0</v>
      </c>
    </row>
    <row r="64" spans="1:21" s="253" customFormat="1" x14ac:dyDescent="0.25">
      <c r="A64" s="496" t="s">
        <v>1084</v>
      </c>
      <c r="B64" s="514">
        <f t="shared" ref="B64:M64" si="25">SUM(B65:B65)</f>
        <v>456466373</v>
      </c>
      <c r="C64" s="514">
        <f t="shared" si="25"/>
        <v>544182568.69744468</v>
      </c>
      <c r="D64" s="514">
        <f t="shared" si="25"/>
        <v>519662054</v>
      </c>
      <c r="E64" s="514">
        <f t="shared" si="25"/>
        <v>585854642.98550105</v>
      </c>
      <c r="F64" s="514">
        <f t="shared" si="25"/>
        <v>553647274</v>
      </c>
      <c r="G64" s="514">
        <f t="shared" si="25"/>
        <v>599632215.76330996</v>
      </c>
      <c r="H64" s="514">
        <f t="shared" si="25"/>
        <v>514638803.17000002</v>
      </c>
      <c r="I64" s="514">
        <f t="shared" si="25"/>
        <v>540216351.68754911</v>
      </c>
      <c r="J64" s="514">
        <f t="shared" si="25"/>
        <v>566653321</v>
      </c>
      <c r="K64" s="514">
        <f t="shared" si="25"/>
        <v>573040453.80895948</v>
      </c>
      <c r="L64" s="514"/>
      <c r="M64" s="514">
        <f t="shared" si="25"/>
        <v>583652920.63</v>
      </c>
      <c r="N64" s="514"/>
      <c r="O64" s="514"/>
      <c r="P64" s="514"/>
      <c r="Q64" s="514"/>
      <c r="R64" s="514"/>
      <c r="S64" s="514">
        <f>SUM(S65:S65)</f>
        <v>594938753.59748197</v>
      </c>
      <c r="T64" s="514">
        <f>SUM(T65:T66)</f>
        <v>7561606231</v>
      </c>
      <c r="U64" s="487">
        <f t="shared" si="6"/>
        <v>7561606231</v>
      </c>
    </row>
    <row r="65" spans="1:21" x14ac:dyDescent="0.25">
      <c r="A65" s="500" t="s">
        <v>1085</v>
      </c>
      <c r="B65" s="509">
        <v>456466373</v>
      </c>
      <c r="C65" s="501">
        <f>+B65*([8]IPC!$S$15/[8]IPC!$N$21)</f>
        <v>544182568.69744468</v>
      </c>
      <c r="D65" s="510">
        <v>519662054</v>
      </c>
      <c r="E65" s="501">
        <f>+D65*([8]IPC!$S$15/[8]IPC!$O$21)</f>
        <v>585854642.98550105</v>
      </c>
      <c r="F65" s="510">
        <v>553647274</v>
      </c>
      <c r="G65" s="501">
        <f>+F65*([8]IPC!$S$15/[8]IPC!$P$21)</f>
        <v>599632215.76330996</v>
      </c>
      <c r="H65" s="504">
        <v>514638803.17000002</v>
      </c>
      <c r="I65" s="501">
        <f>+H65*([8]IPC!$S$15/[8]IPC!$Q$21)</f>
        <v>540216351.68754911</v>
      </c>
      <c r="J65" s="511">
        <v>566653321</v>
      </c>
      <c r="K65" s="501">
        <f>+J65*([8]IPC!$S$15/[8]IPC!$R$21)</f>
        <v>573040453.80895948</v>
      </c>
      <c r="L65" s="501"/>
      <c r="M65" s="510">
        <v>583652920.63</v>
      </c>
      <c r="N65" s="532">
        <f>+(D65-B65)/D65</f>
        <v>0.12160918911350799</v>
      </c>
      <c r="O65" s="532">
        <f>+(F65-D65)/F65</f>
        <v>6.1384245161116791E-2</v>
      </c>
      <c r="P65" s="532">
        <f>+(H65-F65)/H65</f>
        <v>-7.5797764548108437E-2</v>
      </c>
      <c r="Q65" s="532">
        <f>+(J65-H65)/J65</f>
        <v>9.1792487403422426E-2</v>
      </c>
      <c r="R65" s="532">
        <f t="shared" si="23"/>
        <v>4.9747039282484695E-2</v>
      </c>
      <c r="S65" s="533">
        <f>+((C65+E65+G65+I65+K65)/5)*R65+J65</f>
        <v>594938753.59748197</v>
      </c>
      <c r="T65" s="510">
        <v>561606231</v>
      </c>
      <c r="U65" s="487">
        <f t="shared" si="6"/>
        <v>561606231</v>
      </c>
    </row>
    <row r="66" spans="1:21" x14ac:dyDescent="0.25">
      <c r="A66" s="500" t="s">
        <v>2423</v>
      </c>
      <c r="B66" s="509"/>
      <c r="C66" s="501"/>
      <c r="D66" s="510"/>
      <c r="E66" s="501"/>
      <c r="F66" s="510"/>
      <c r="G66" s="501"/>
      <c r="H66" s="504"/>
      <c r="I66" s="501"/>
      <c r="J66" s="511"/>
      <c r="K66" s="501"/>
      <c r="L66" s="501"/>
      <c r="M66" s="510"/>
      <c r="N66" s="532"/>
      <c r="O66" s="532"/>
      <c r="P66" s="532"/>
      <c r="Q66" s="532"/>
      <c r="R66" s="532"/>
      <c r="S66" s="533"/>
      <c r="T66" s="510">
        <v>7000000000</v>
      </c>
    </row>
    <row r="67" spans="1:21" ht="12.75" customHeight="1" x14ac:dyDescent="0.25">
      <c r="A67" s="496" t="s">
        <v>1087</v>
      </c>
      <c r="B67" s="514">
        <f>+B68</f>
        <v>3180992075</v>
      </c>
      <c r="C67" s="514">
        <f t="shared" ref="C67:M67" si="26">+C68</f>
        <v>3792262783.7904601</v>
      </c>
      <c r="D67" s="514">
        <f t="shared" si="26"/>
        <v>3611727149.1999998</v>
      </c>
      <c r="E67" s="514">
        <f t="shared" si="26"/>
        <v>4071775307.1799378</v>
      </c>
      <c r="F67" s="514">
        <f t="shared" si="26"/>
        <v>3753902782.4299998</v>
      </c>
      <c r="G67" s="514">
        <f t="shared" si="26"/>
        <v>4065695161.6970396</v>
      </c>
      <c r="H67" s="514">
        <f t="shared" si="26"/>
        <v>4398453532.4099998</v>
      </c>
      <c r="I67" s="514">
        <f t="shared" si="26"/>
        <v>4617056672.9707775</v>
      </c>
      <c r="J67" s="514">
        <f t="shared" si="26"/>
        <v>3585983010.8600001</v>
      </c>
      <c r="K67" s="514">
        <f t="shared" si="26"/>
        <v>3626403050.5777864</v>
      </c>
      <c r="L67" s="514"/>
      <c r="M67" s="514">
        <f t="shared" si="26"/>
        <v>3597793488</v>
      </c>
      <c r="N67" s="514"/>
      <c r="O67" s="514"/>
      <c r="P67" s="514"/>
      <c r="Q67" s="514"/>
      <c r="R67" s="514"/>
      <c r="S67" s="514">
        <f>+S68</f>
        <v>5178993978.8347607</v>
      </c>
      <c r="T67" s="514">
        <f>+T68</f>
        <v>6438616181.173068</v>
      </c>
      <c r="U67" s="487">
        <f t="shared" si="6"/>
        <v>6438616181.173068</v>
      </c>
    </row>
    <row r="68" spans="1:21" x14ac:dyDescent="0.25">
      <c r="A68" s="496" t="s">
        <v>1088</v>
      </c>
      <c r="B68" s="514">
        <f>+B71+B74+B77+B69</f>
        <v>3180992075</v>
      </c>
      <c r="C68" s="514">
        <f t="shared" ref="C68:M68" si="27">+C71+C74+C77+C69</f>
        <v>3792262783.7904601</v>
      </c>
      <c r="D68" s="514">
        <f t="shared" si="27"/>
        <v>3611727149.1999998</v>
      </c>
      <c r="E68" s="514">
        <f t="shared" si="27"/>
        <v>4071775307.1799378</v>
      </c>
      <c r="F68" s="514">
        <f t="shared" si="27"/>
        <v>3753902782.4299998</v>
      </c>
      <c r="G68" s="514">
        <f t="shared" si="27"/>
        <v>4065695161.6970396</v>
      </c>
      <c r="H68" s="514">
        <f t="shared" si="27"/>
        <v>4398453532.4099998</v>
      </c>
      <c r="I68" s="514">
        <f t="shared" si="27"/>
        <v>4617056672.9707775</v>
      </c>
      <c r="J68" s="514">
        <f t="shared" si="27"/>
        <v>3585983010.8600001</v>
      </c>
      <c r="K68" s="514">
        <f t="shared" si="27"/>
        <v>3626403050.5777864</v>
      </c>
      <c r="L68" s="514"/>
      <c r="M68" s="514">
        <f t="shared" si="27"/>
        <v>3597793488</v>
      </c>
      <c r="N68" s="514"/>
      <c r="O68" s="514"/>
      <c r="P68" s="514"/>
      <c r="Q68" s="514"/>
      <c r="R68" s="514"/>
      <c r="S68" s="514">
        <f>+S71+S74+S77+S69+S70</f>
        <v>5178993978.8347607</v>
      </c>
      <c r="T68" s="514">
        <f>+T71+T74+T77+T69+T70</f>
        <v>6438616181.173068</v>
      </c>
      <c r="U68" s="487">
        <f t="shared" si="6"/>
        <v>6438616181.173068</v>
      </c>
    </row>
    <row r="69" spans="1:21" s="253" customFormat="1" ht="23.25" customHeight="1" x14ac:dyDescent="0.25">
      <c r="A69" s="500" t="s">
        <v>1799</v>
      </c>
      <c r="B69" s="509">
        <v>0</v>
      </c>
      <c r="C69" s="501">
        <f>+B69*([8]IPC!$S$15/[8]IPC!$N$21)</f>
        <v>0</v>
      </c>
      <c r="D69" s="510">
        <v>318519904</v>
      </c>
      <c r="E69" s="501">
        <f>+D69*([8]IPC!$S$15/[8]IPC!$O$21)</f>
        <v>359091765.89925891</v>
      </c>
      <c r="F69" s="510">
        <v>368742584.51999998</v>
      </c>
      <c r="G69" s="501">
        <f>+F69*([8]IPC!$S$15/[8]IPC!$P$21)</f>
        <v>399369677.02295089</v>
      </c>
      <c r="H69" s="504">
        <v>1235675250</v>
      </c>
      <c r="I69" s="501">
        <f>+H69*([8]IPC!$S$15/[8]IPC!$Q$21)</f>
        <v>1297088309.9250002</v>
      </c>
      <c r="J69" s="511">
        <v>272414720.86000001</v>
      </c>
      <c r="K69" s="501">
        <f>+J69*([8]IPC!$S$15/[8]IPC!$R$21)</f>
        <v>275485291.41304624</v>
      </c>
      <c r="L69" s="501"/>
      <c r="M69" s="510">
        <v>250000000</v>
      </c>
      <c r="N69" s="532">
        <f>+(D69-B69)/D69</f>
        <v>1</v>
      </c>
      <c r="O69" s="532">
        <f>+(F69-D69)/F69</f>
        <v>0.13619983866353788</v>
      </c>
      <c r="P69" s="532">
        <f>+(H69-F69)/H69</f>
        <v>0.70158616957003872</v>
      </c>
      <c r="Q69" s="532">
        <f>+(J69-H69)/J69</f>
        <v>-3.5360076213907727</v>
      </c>
      <c r="R69" s="532">
        <f t="shared" si="23"/>
        <v>-0.42455540328929903</v>
      </c>
      <c r="S69" s="533">
        <v>250000000</v>
      </c>
      <c r="T69" s="533">
        <v>250000000</v>
      </c>
      <c r="U69" s="487">
        <f t="shared" si="6"/>
        <v>250000000</v>
      </c>
    </row>
    <row r="70" spans="1:21" x14ac:dyDescent="0.25">
      <c r="A70" s="500" t="s">
        <v>1071</v>
      </c>
      <c r="B70" s="509">
        <v>0</v>
      </c>
      <c r="C70" s="501">
        <f>+B70*([8]IPC!$S$15/[8]IPC!$N$21)</f>
        <v>0</v>
      </c>
      <c r="D70" s="504">
        <v>514557468</v>
      </c>
      <c r="E70" s="501">
        <f>+D70*([8]IPC!$S$15/[8]IPC!$O$21)</f>
        <v>580099854.10761464</v>
      </c>
      <c r="F70" s="504">
        <v>948728685</v>
      </c>
      <c r="G70" s="501">
        <f>+F70*([8]IPC!$S$15/[8]IPC!$P$21)</f>
        <v>1027528374.5816137</v>
      </c>
      <c r="H70" s="504">
        <v>508891370</v>
      </c>
      <c r="I70" s="501">
        <f>+H70*([8]IPC!$S$15/[8]IPC!$Q$21)</f>
        <v>534183271.08900005</v>
      </c>
      <c r="J70" s="504">
        <v>186428977</v>
      </c>
      <c r="K70" s="501">
        <f>+J70*([8]IPC!$S$15/[8]IPC!$R$21)</f>
        <v>188530344.08179191</v>
      </c>
      <c r="L70" s="501"/>
      <c r="M70" s="504">
        <v>0</v>
      </c>
      <c r="N70" s="532">
        <f>+(D70-B70)/D70</f>
        <v>1</v>
      </c>
      <c r="O70" s="532">
        <f>+(F70-D70)/F70</f>
        <v>0.45763475255309688</v>
      </c>
      <c r="P70" s="532">
        <f>+(H70-F70)/H70</f>
        <v>-0.8643049203212072</v>
      </c>
      <c r="Q70" s="532">
        <f>+(J70-H70)/J70</f>
        <v>-1.729679571218159</v>
      </c>
      <c r="R70" s="532">
        <f t="shared" si="23"/>
        <v>-0.28408743474656734</v>
      </c>
      <c r="S70" s="533">
        <f>+J70*1.03</f>
        <v>192021846.31</v>
      </c>
      <c r="T70" s="510">
        <f>+S70*1.03</f>
        <v>197782501.69930002</v>
      </c>
      <c r="U70" s="487">
        <f t="shared" si="6"/>
        <v>197782501.69930002</v>
      </c>
    </row>
    <row r="71" spans="1:21" s="253" customFormat="1" x14ac:dyDescent="0.25">
      <c r="A71" s="498" t="s">
        <v>145</v>
      </c>
      <c r="B71" s="517">
        <f t="shared" ref="B71:M71" si="28">SUM(B72:B73)</f>
        <v>2287233345</v>
      </c>
      <c r="C71" s="517">
        <f t="shared" si="28"/>
        <v>2726756209.2521296</v>
      </c>
      <c r="D71" s="517">
        <f t="shared" si="28"/>
        <v>2410945833</v>
      </c>
      <c r="E71" s="517">
        <f t="shared" si="28"/>
        <v>2718043003.8665018</v>
      </c>
      <c r="F71" s="517">
        <f t="shared" si="28"/>
        <v>2269932364</v>
      </c>
      <c r="G71" s="517">
        <f t="shared" si="28"/>
        <v>2458468842.8505983</v>
      </c>
      <c r="H71" s="517">
        <f t="shared" si="28"/>
        <v>2329571431</v>
      </c>
      <c r="I71" s="517">
        <f t="shared" si="28"/>
        <v>2445351131.1206999</v>
      </c>
      <c r="J71" s="517">
        <f t="shared" si="28"/>
        <v>2335055953</v>
      </c>
      <c r="K71" s="517">
        <f t="shared" si="28"/>
        <v>2361375947.8459539</v>
      </c>
      <c r="L71" s="517"/>
      <c r="M71" s="517">
        <f t="shared" si="28"/>
        <v>2479841100</v>
      </c>
      <c r="N71" s="517"/>
      <c r="O71" s="517"/>
      <c r="P71" s="517"/>
      <c r="Q71" s="517"/>
      <c r="R71" s="517"/>
      <c r="S71" s="534">
        <f>+M71/2*3</f>
        <v>3719761650</v>
      </c>
      <c r="T71" s="536">
        <f>+K71*1.03*2</f>
        <v>4864434452.562665</v>
      </c>
      <c r="U71" s="487">
        <f t="shared" si="6"/>
        <v>4864434452.562665</v>
      </c>
    </row>
    <row r="72" spans="1:21" s="253" customFormat="1" x14ac:dyDescent="0.25">
      <c r="A72" s="500" t="s">
        <v>1090</v>
      </c>
      <c r="B72" s="509">
        <v>2287233345</v>
      </c>
      <c r="C72" s="501">
        <f>+B72*([8]IPC!$S$15/[8]IPC!$N$21)</f>
        <v>2726756209.2521296</v>
      </c>
      <c r="D72" s="510">
        <v>451574124.73097914</v>
      </c>
      <c r="E72" s="501">
        <f>+D72*([8]IPC!$S$15/[8]IPC!$O$21)</f>
        <v>509093930.5446341</v>
      </c>
      <c r="F72" s="510">
        <v>2269932364</v>
      </c>
      <c r="G72" s="501">
        <f>+F72*([8]IPC!$S$15/[8]IPC!$P$21)</f>
        <v>2458468842.8505983</v>
      </c>
      <c r="H72" s="504">
        <v>618776355.79999995</v>
      </c>
      <c r="I72" s="501">
        <f>+H72*([8]IPC!$S$15/[8]IPC!$Q$21)</f>
        <v>649529540.68325996</v>
      </c>
      <c r="J72" s="511">
        <v>857974331.57088304</v>
      </c>
      <c r="K72" s="501">
        <f>+J72*([8]IPC!$S$15/[8]IPC!$R$21)</f>
        <v>867645140.51055479</v>
      </c>
      <c r="L72" s="501"/>
      <c r="M72" s="510">
        <f>+'[8]Ejecucion Ingresos 2020'!D65</f>
        <v>2479841100</v>
      </c>
      <c r="N72" s="532"/>
      <c r="O72" s="532"/>
      <c r="P72" s="532"/>
      <c r="Q72" s="532"/>
      <c r="R72" s="532"/>
      <c r="S72" s="533"/>
      <c r="T72" s="510">
        <f>+T71-T73</f>
        <v>4864434452.562665</v>
      </c>
      <c r="U72" s="487">
        <f t="shared" si="6"/>
        <v>4864434452.562665</v>
      </c>
    </row>
    <row r="73" spans="1:21" x14ac:dyDescent="0.25">
      <c r="A73" s="500" t="s">
        <v>1091</v>
      </c>
      <c r="B73" s="509">
        <v>0</v>
      </c>
      <c r="C73" s="501">
        <f>+B73*([8]IPC!$S$15/[8]IPC!$N$21)</f>
        <v>0</v>
      </c>
      <c r="D73" s="510">
        <v>1959371708.2690208</v>
      </c>
      <c r="E73" s="501">
        <f>+D73*([8]IPC!$S$15/[8]IPC!$O$21)</f>
        <v>2208949073.3218679</v>
      </c>
      <c r="F73" s="510">
        <v>0</v>
      </c>
      <c r="G73" s="501">
        <f>+F73*([8]IPC!$S$15/[8]IPC!$P$21)</f>
        <v>0</v>
      </c>
      <c r="H73" s="504">
        <v>1710795075.2</v>
      </c>
      <c r="I73" s="501">
        <f>+H73*([8]IPC!$S$15/[8]IPC!$Q$21)</f>
        <v>1795821590.4374402</v>
      </c>
      <c r="J73" s="511">
        <v>1477081621.4291172</v>
      </c>
      <c r="K73" s="501">
        <f>+J73*([8]IPC!$S$15/[8]IPC!$R$21)</f>
        <v>1493730807.3353992</v>
      </c>
      <c r="L73" s="501"/>
      <c r="M73" s="510">
        <v>0</v>
      </c>
      <c r="N73" s="532"/>
      <c r="O73" s="532"/>
      <c r="P73" s="532"/>
      <c r="Q73" s="532"/>
      <c r="R73" s="532"/>
      <c r="S73" s="533"/>
      <c r="T73" s="510"/>
      <c r="U73" s="487">
        <f t="shared" si="6"/>
        <v>0</v>
      </c>
    </row>
    <row r="74" spans="1:21" s="253" customFormat="1" x14ac:dyDescent="0.25">
      <c r="A74" s="498" t="s">
        <v>1092</v>
      </c>
      <c r="B74" s="517">
        <f t="shared" ref="B74:T74" si="29">SUM(B75:B76)</f>
        <v>446695888</v>
      </c>
      <c r="C74" s="517">
        <f t="shared" si="29"/>
        <v>532534552.67870528</v>
      </c>
      <c r="D74" s="517">
        <f t="shared" si="29"/>
        <v>435938414.19999999</v>
      </c>
      <c r="E74" s="517">
        <f t="shared" si="29"/>
        <v>491466602.2830416</v>
      </c>
      <c r="F74" s="517">
        <f t="shared" si="29"/>
        <v>413355286</v>
      </c>
      <c r="G74" s="517">
        <f t="shared" si="29"/>
        <v>447687828.84255058</v>
      </c>
      <c r="H74" s="517">
        <f t="shared" si="29"/>
        <v>176268649</v>
      </c>
      <c r="I74" s="517">
        <f t="shared" si="29"/>
        <v>185029200.85530001</v>
      </c>
      <c r="J74" s="517">
        <f t="shared" si="29"/>
        <v>173782366</v>
      </c>
      <c r="K74" s="517">
        <f t="shared" si="29"/>
        <v>175741184.57630056</v>
      </c>
      <c r="L74" s="517"/>
      <c r="M74" s="517">
        <f t="shared" si="29"/>
        <v>182000000</v>
      </c>
      <c r="N74" s="517"/>
      <c r="O74" s="517"/>
      <c r="P74" s="517"/>
      <c r="Q74" s="517"/>
      <c r="R74" s="517"/>
      <c r="S74" s="517">
        <f t="shared" si="29"/>
        <v>178995836.98000002</v>
      </c>
      <c r="T74" s="517">
        <f t="shared" si="29"/>
        <v>263038142</v>
      </c>
      <c r="U74" s="487">
        <f t="shared" ref="U74:U139" si="30">+T74</f>
        <v>263038142</v>
      </c>
    </row>
    <row r="75" spans="1:21" s="253" customFormat="1" x14ac:dyDescent="0.25">
      <c r="A75" s="500" t="s">
        <v>1093</v>
      </c>
      <c r="B75" s="509">
        <v>223347944</v>
      </c>
      <c r="C75" s="501">
        <f>+B75*([8]IPC!$S$15/[8]IPC!$N$21)</f>
        <v>266267276.33935264</v>
      </c>
      <c r="D75" s="510">
        <v>217969207</v>
      </c>
      <c r="E75" s="501">
        <f>+D75*([8]IPC!$S$15/[8]IPC!$O$21)</f>
        <v>245733301.02878317</v>
      </c>
      <c r="F75" s="510">
        <v>206677643</v>
      </c>
      <c r="G75" s="501">
        <f>+F75*([8]IPC!$S$15/[8]IPC!$P$21)</f>
        <v>223843914.42127529</v>
      </c>
      <c r="H75" s="504">
        <v>176268649</v>
      </c>
      <c r="I75" s="501">
        <f>+H75*([8]IPC!$S$15/[8]IPC!$Q$21)</f>
        <v>185029200.85530001</v>
      </c>
      <c r="J75" s="511">
        <v>173782366</v>
      </c>
      <c r="K75" s="501">
        <f>+J75*([8]IPC!$S$15/[8]IPC!$R$21)</f>
        <v>175741184.57630056</v>
      </c>
      <c r="L75" s="501"/>
      <c r="M75" s="510">
        <v>182000000</v>
      </c>
      <c r="N75" s="532">
        <f>+(D75-B75)/D75</f>
        <v>-2.4676591129681909E-2</v>
      </c>
      <c r="O75" s="532">
        <f>+(F75-D75)/F75</f>
        <v>-5.4633698333786396E-2</v>
      </c>
      <c r="P75" s="532">
        <f>+(H75-F75)/H75</f>
        <v>-0.17251504548605237</v>
      </c>
      <c r="Q75" s="532">
        <f>+(J75-H75)/J75</f>
        <v>-1.4306877373277332E-2</v>
      </c>
      <c r="R75" s="532">
        <f t="shared" si="23"/>
        <v>-6.6533053080699497E-2</v>
      </c>
      <c r="S75" s="533">
        <f>+J75*1.03</f>
        <v>178995836.98000002</v>
      </c>
      <c r="T75" s="535">
        <v>263038142</v>
      </c>
      <c r="U75" s="487">
        <f t="shared" si="30"/>
        <v>263038142</v>
      </c>
    </row>
    <row r="76" spans="1:21" x14ac:dyDescent="0.25">
      <c r="A76" s="500" t="s">
        <v>1094</v>
      </c>
      <c r="B76" s="509">
        <v>223347944</v>
      </c>
      <c r="C76" s="501">
        <f>+B76*([8]IPC!$S$15/[8]IPC!$N$21)</f>
        <v>266267276.33935264</v>
      </c>
      <c r="D76" s="510">
        <v>217969207.19999999</v>
      </c>
      <c r="E76" s="501">
        <f>+D76*([8]IPC!$S$15/[8]IPC!$O$21)</f>
        <v>245733301.25425839</v>
      </c>
      <c r="F76" s="510">
        <v>206677643</v>
      </c>
      <c r="G76" s="501">
        <f>+F76*([8]IPC!$S$15/[8]IPC!$P$21)</f>
        <v>223843914.42127529</v>
      </c>
      <c r="H76" s="504">
        <v>0</v>
      </c>
      <c r="I76" s="501">
        <f>+H76*([8]IPC!$S$15/[8]IPC!$Q$21)</f>
        <v>0</v>
      </c>
      <c r="J76" s="511">
        <v>0</v>
      </c>
      <c r="K76" s="501">
        <f>+J76*([8]IPC!$S$15/[8]IPC!$R$21)</f>
        <v>0</v>
      </c>
      <c r="L76" s="501"/>
      <c r="M76" s="510">
        <v>0</v>
      </c>
      <c r="N76" s="532"/>
      <c r="O76" s="532"/>
      <c r="P76" s="532"/>
      <c r="Q76" s="532"/>
      <c r="R76" s="532"/>
      <c r="S76" s="533"/>
      <c r="T76" s="510"/>
      <c r="U76" s="487">
        <f t="shared" si="30"/>
        <v>0</v>
      </c>
    </row>
    <row r="77" spans="1:21" s="253" customFormat="1" x14ac:dyDescent="0.25">
      <c r="A77" s="498" t="s">
        <v>1095</v>
      </c>
      <c r="B77" s="506">
        <f t="shared" ref="B77:M77" si="31">SUM(B78:B79)</f>
        <v>447062842</v>
      </c>
      <c r="C77" s="506">
        <f t="shared" si="31"/>
        <v>532972021.85962522</v>
      </c>
      <c r="D77" s="506">
        <f t="shared" si="31"/>
        <v>446322998</v>
      </c>
      <c r="E77" s="506">
        <f t="shared" si="31"/>
        <v>503173935.13113523</v>
      </c>
      <c r="F77" s="506">
        <f t="shared" si="31"/>
        <v>701872547.90999997</v>
      </c>
      <c r="G77" s="506">
        <f t="shared" si="31"/>
        <v>760168812.98093987</v>
      </c>
      <c r="H77" s="506">
        <f t="shared" si="31"/>
        <v>656938202.41000009</v>
      </c>
      <c r="I77" s="506">
        <f t="shared" si="31"/>
        <v>689588031.06977701</v>
      </c>
      <c r="J77" s="506">
        <f t="shared" si="31"/>
        <v>804729971</v>
      </c>
      <c r="K77" s="506">
        <f t="shared" si="31"/>
        <v>813800626.74248552</v>
      </c>
      <c r="L77" s="506"/>
      <c r="M77" s="506">
        <f t="shared" si="31"/>
        <v>685952388</v>
      </c>
      <c r="N77" s="532"/>
      <c r="O77" s="532"/>
      <c r="P77" s="532"/>
      <c r="Q77" s="532"/>
      <c r="R77" s="532"/>
      <c r="S77" s="506">
        <f>SUM(S78:S79)</f>
        <v>838214645.54476011</v>
      </c>
      <c r="T77" s="506">
        <f>SUM(T78:T79)</f>
        <v>863361084.91110301</v>
      </c>
      <c r="U77" s="487">
        <f t="shared" si="30"/>
        <v>863361084.91110301</v>
      </c>
    </row>
    <row r="78" spans="1:21" x14ac:dyDescent="0.25">
      <c r="A78" s="500" t="s">
        <v>1096</v>
      </c>
      <c r="B78" s="509">
        <v>447062842</v>
      </c>
      <c r="C78" s="501">
        <f>+B78*([8]IPC!$S$15/[8]IPC!$N$21)</f>
        <v>532972021.85962522</v>
      </c>
      <c r="D78" s="510">
        <v>446322998</v>
      </c>
      <c r="E78" s="501">
        <f>+D78*([8]IPC!$S$15/[8]IPC!$O$21)</f>
        <v>503173935.13113523</v>
      </c>
      <c r="F78" s="510">
        <v>701872547.90999997</v>
      </c>
      <c r="G78" s="501">
        <f>+F78*([8]IPC!$S$15/[8]IPC!$P$21)</f>
        <v>760168812.98093987</v>
      </c>
      <c r="H78" s="504">
        <v>157789808.06</v>
      </c>
      <c r="I78" s="501">
        <f>+H78*([8]IPC!$S$15/[8]IPC!$Q$21)</f>
        <v>165631961.52058202</v>
      </c>
      <c r="J78" s="511">
        <v>234634941.90000001</v>
      </c>
      <c r="K78" s="501">
        <f>+J78*([8]IPC!$S$15/[8]IPC!$R$21)</f>
        <v>237279671.01390174</v>
      </c>
      <c r="L78" s="501"/>
      <c r="M78" s="510">
        <f>+'[8]Ejecucion Ingresos 2020'!D57</f>
        <v>184611879</v>
      </c>
      <c r="N78" s="532"/>
      <c r="O78" s="532"/>
      <c r="P78" s="532"/>
      <c r="Q78" s="532"/>
      <c r="R78" s="532"/>
      <c r="S78" s="533">
        <f>+K78*1.03</f>
        <v>244398061.14431879</v>
      </c>
      <c r="T78" s="533">
        <f>+S78*1.03</f>
        <v>251730002.97864836</v>
      </c>
      <c r="U78" s="487">
        <f t="shared" si="30"/>
        <v>251730002.97864836</v>
      </c>
    </row>
    <row r="79" spans="1:21" x14ac:dyDescent="0.25">
      <c r="A79" s="500" t="s">
        <v>1098</v>
      </c>
      <c r="B79" s="509">
        <v>0</v>
      </c>
      <c r="C79" s="501">
        <f>+B79*([8]IPC!$S$15/[8]IPC!$N$21)</f>
        <v>0</v>
      </c>
      <c r="D79" s="509">
        <v>0</v>
      </c>
      <c r="E79" s="501">
        <f>+D79*([8]IPC!$S$15/[8]IPC!$O$21)</f>
        <v>0</v>
      </c>
      <c r="F79" s="509">
        <v>0</v>
      </c>
      <c r="G79" s="501">
        <f>+F79*([8]IPC!$S$15/[8]IPC!$P$21)</f>
        <v>0</v>
      </c>
      <c r="H79" s="504">
        <v>499148394.35000002</v>
      </c>
      <c r="I79" s="501">
        <f>+H79*([8]IPC!$S$15/[8]IPC!$Q$21)</f>
        <v>523956069.54919505</v>
      </c>
      <c r="J79" s="511">
        <v>570095029.10000002</v>
      </c>
      <c r="K79" s="501">
        <f>+J79*([8]IPC!$S$15/[8]IPC!$R$21)</f>
        <v>576520955.72858381</v>
      </c>
      <c r="L79" s="501"/>
      <c r="M79" s="510">
        <f>+'[8]Ejecucion Ingresos 2020'!D58</f>
        <v>501340509</v>
      </c>
      <c r="N79" s="532"/>
      <c r="O79" s="532"/>
      <c r="P79" s="532"/>
      <c r="Q79" s="532"/>
      <c r="R79" s="532"/>
      <c r="S79" s="533">
        <f>+K79*1.03</f>
        <v>593816584.40044129</v>
      </c>
      <c r="T79" s="533">
        <f>+S79*1.03</f>
        <v>611631081.93245459</v>
      </c>
      <c r="U79" s="487">
        <f t="shared" si="30"/>
        <v>611631081.93245459</v>
      </c>
    </row>
    <row r="80" spans="1:21" s="253" customFormat="1" x14ac:dyDescent="0.25">
      <c r="A80" s="498" t="s">
        <v>953</v>
      </c>
      <c r="B80" s="537">
        <f t="shared" ref="B80:M80" si="32">+B81+B96+B129+B132</f>
        <v>155051759491.47</v>
      </c>
      <c r="C80" s="537">
        <f t="shared" si="32"/>
        <v>184847055012.14771</v>
      </c>
      <c r="D80" s="537">
        <f t="shared" si="32"/>
        <v>165445661532.92999</v>
      </c>
      <c r="E80" s="537">
        <f t="shared" si="32"/>
        <v>186519504791.23254</v>
      </c>
      <c r="F80" s="537">
        <f t="shared" si="32"/>
        <v>182369314876.69</v>
      </c>
      <c r="G80" s="537">
        <f t="shared" si="32"/>
        <v>197516580505.63504</v>
      </c>
      <c r="H80" s="537">
        <f t="shared" si="32"/>
        <v>197483349462.87</v>
      </c>
      <c r="I80" s="537">
        <f t="shared" si="32"/>
        <v>207298271931.17471</v>
      </c>
      <c r="J80" s="537">
        <f t="shared" si="32"/>
        <v>213064679792.67001</v>
      </c>
      <c r="K80" s="537">
        <f t="shared" si="32"/>
        <v>215466275894.3793</v>
      </c>
      <c r="L80" s="537"/>
      <c r="M80" s="537">
        <f t="shared" si="32"/>
        <v>214822486195.33334</v>
      </c>
      <c r="N80" s="537"/>
      <c r="O80" s="537"/>
      <c r="P80" s="537"/>
      <c r="Q80" s="537"/>
      <c r="R80" s="537"/>
      <c r="S80" s="537">
        <f>+S81+S96+S129+S132</f>
        <v>229524759343.82263</v>
      </c>
      <c r="T80" s="537" t="e">
        <f>+T81+T96+T129+T132</f>
        <v>#REF!</v>
      </c>
      <c r="U80" s="487" t="e">
        <f t="shared" si="30"/>
        <v>#REF!</v>
      </c>
    </row>
    <row r="81" spans="1:21" s="253" customFormat="1" ht="12.75" customHeight="1" x14ac:dyDescent="0.25">
      <c r="A81" s="496" t="s">
        <v>1100</v>
      </c>
      <c r="B81" s="514">
        <f>SUM(B82:B95)</f>
        <v>107742794290.12999</v>
      </c>
      <c r="C81" s="514">
        <f t="shared" ref="C81:M81" si="33">SUM(C82:C95)</f>
        <v>128447031421.18056</v>
      </c>
      <c r="D81" s="514">
        <f t="shared" si="33"/>
        <v>121790223603.26999</v>
      </c>
      <c r="E81" s="514">
        <f t="shared" si="33"/>
        <v>137303402122.59964</v>
      </c>
      <c r="F81" s="514">
        <f t="shared" si="33"/>
        <v>138720661080</v>
      </c>
      <c r="G81" s="514">
        <f t="shared" si="33"/>
        <v>150242548427.23483</v>
      </c>
      <c r="H81" s="514">
        <f t="shared" si="33"/>
        <v>143891587484.09998</v>
      </c>
      <c r="I81" s="514">
        <f t="shared" si="33"/>
        <v>151042999382.05981</v>
      </c>
      <c r="J81" s="514">
        <f t="shared" si="33"/>
        <v>159829593376.34003</v>
      </c>
      <c r="K81" s="514">
        <f t="shared" si="33"/>
        <v>161631140816.13113</v>
      </c>
      <c r="L81" s="514"/>
      <c r="M81" s="514">
        <f t="shared" si="33"/>
        <v>170080000000</v>
      </c>
      <c r="N81" s="514"/>
      <c r="O81" s="514"/>
      <c r="P81" s="514"/>
      <c r="Q81" s="514"/>
      <c r="R81" s="514"/>
      <c r="S81" s="514">
        <f>SUM(S82:S95)</f>
        <v>170821517178.67563</v>
      </c>
      <c r="T81" s="514">
        <f>SUM(T82:T95)</f>
        <v>182020000000</v>
      </c>
      <c r="U81" s="487">
        <f t="shared" si="30"/>
        <v>182020000000</v>
      </c>
    </row>
    <row r="82" spans="1:21" ht="24" x14ac:dyDescent="0.25">
      <c r="A82" s="500" t="s">
        <v>1101</v>
      </c>
      <c r="B82" s="509">
        <v>87690630035</v>
      </c>
      <c r="C82" s="501">
        <f>+B82*([8]IPC!$S$15/[8]IPC!$N$21)</f>
        <v>104541572229.11925</v>
      </c>
      <c r="D82" s="510">
        <v>93842849807</v>
      </c>
      <c r="E82" s="501">
        <f>+D82*([8]IPC!$S$15/[8]IPC!$O$21)</f>
        <v>105796197446.46967</v>
      </c>
      <c r="F82" s="510">
        <v>104784789015</v>
      </c>
      <c r="G82" s="501">
        <f>+F82*([8]IPC!$S$15/[8]IPC!$P$21)</f>
        <v>113488024173.59213</v>
      </c>
      <c r="H82" s="504">
        <v>112348234883</v>
      </c>
      <c r="I82" s="501">
        <f>+H82*([8]IPC!$S$15/[8]IPC!$Q$21)</f>
        <v>117931942156.6851</v>
      </c>
      <c r="J82" s="511">
        <v>121574561361</v>
      </c>
      <c r="K82" s="501">
        <f>+J82*([8]IPC!$S$15/[8]IPC!$R$21)</f>
        <v>122944910463.04594</v>
      </c>
      <c r="L82" s="501"/>
      <c r="M82" s="510">
        <v>132000000000</v>
      </c>
      <c r="N82" s="532">
        <f>+(D82-B82)/D82</f>
        <v>6.5558748318628846E-2</v>
      </c>
      <c r="O82" s="532">
        <f>+(F82-D82)/F82</f>
        <v>0.10442297313242341</v>
      </c>
      <c r="P82" s="532">
        <f>+(H82-F82)/H82</f>
        <v>6.7321448137361559E-2</v>
      </c>
      <c r="Q82" s="532">
        <f>+(J82-H82)/J82</f>
        <v>7.5890271572550544E-2</v>
      </c>
      <c r="R82" s="532">
        <f t="shared" si="23"/>
        <v>7.8298360290241092E-2</v>
      </c>
      <c r="S82" s="533">
        <f t="shared" ref="S82:S128" si="34">+((C82+E82+G82+I82+K82)/5)*R82+J82</f>
        <v>130417619615.01511</v>
      </c>
      <c r="T82" s="535">
        <v>141240000000</v>
      </c>
      <c r="U82" s="487">
        <f t="shared" si="30"/>
        <v>141240000000</v>
      </c>
    </row>
    <row r="83" spans="1:21" ht="24" x14ac:dyDescent="0.25">
      <c r="A83" s="500" t="s">
        <v>1102</v>
      </c>
      <c r="B83" s="509">
        <v>10919071675</v>
      </c>
      <c r="C83" s="501">
        <f>+B83*([8]IPC!$S$15/[8]IPC!$N$21)</f>
        <v>13017319179.156729</v>
      </c>
      <c r="D83" s="510">
        <v>11873114014</v>
      </c>
      <c r="E83" s="501">
        <f>+D83*([8]IPC!$S$15/[8]IPC!$O$21)</f>
        <v>13385466416.599506</v>
      </c>
      <c r="F83" s="510">
        <v>13041415193</v>
      </c>
      <c r="G83" s="501">
        <f>+F83*([8]IPC!$S$15/[8]IPC!$P$21)</f>
        <v>14124611564.271667</v>
      </c>
      <c r="H83" s="504">
        <v>11304023703</v>
      </c>
      <c r="I83" s="501">
        <f>+H83*([8]IPC!$S$15/[8]IPC!$Q$21)</f>
        <v>11865833681.039101</v>
      </c>
      <c r="J83" s="511">
        <v>15004128114</v>
      </c>
      <c r="K83" s="501">
        <f>+J83*([8]IPC!$S$15/[8]IPC!$R$21)</f>
        <v>15173249789.273411</v>
      </c>
      <c r="L83" s="501"/>
      <c r="M83" s="510">
        <v>16500000000</v>
      </c>
      <c r="N83" s="532">
        <f>+(D83-B83)/D83</f>
        <v>8.0353169174915334E-2</v>
      </c>
      <c r="O83" s="532">
        <f>+(F83-D83)/F83</f>
        <v>8.9583926415216619E-2</v>
      </c>
      <c r="P83" s="532">
        <f>+(H83-F83)/H83</f>
        <v>-0.15369673097367179</v>
      </c>
      <c r="Q83" s="532">
        <f>+(J83-H83)/J83</f>
        <v>0.2466057596207486</v>
      </c>
      <c r="R83" s="532">
        <f t="shared" si="23"/>
        <v>6.5711531059302192E-2</v>
      </c>
      <c r="S83" s="533">
        <f t="shared" si="34"/>
        <v>15892107492.101671</v>
      </c>
      <c r="T83" s="535">
        <v>17655000000</v>
      </c>
      <c r="U83" s="487">
        <f t="shared" si="30"/>
        <v>17655000000</v>
      </c>
    </row>
    <row r="84" spans="1:21" x14ac:dyDescent="0.25">
      <c r="A84" s="500" t="s">
        <v>1103</v>
      </c>
      <c r="B84" s="509">
        <v>4872244561</v>
      </c>
      <c r="C84" s="501">
        <f>+B84*([8]IPC!$S$15/[8]IPC!$N$21)</f>
        <v>5808512340.354003</v>
      </c>
      <c r="D84" s="510">
        <v>5172005441</v>
      </c>
      <c r="E84" s="501">
        <f>+D84*([8]IPC!$S$15/[8]IPC!$O$21)</f>
        <v>5830795952.5482759</v>
      </c>
      <c r="F84" s="510">
        <v>5799474816</v>
      </c>
      <c r="G84" s="501">
        <f>+F84*([8]IPC!$S$15/[8]IPC!$P$21)</f>
        <v>6281168710.6430044</v>
      </c>
      <c r="H84" s="504">
        <v>6252280399</v>
      </c>
      <c r="I84" s="501">
        <f>+H84*([8]IPC!$S$15/[8]IPC!$Q$21)</f>
        <v>6563018734.8303003</v>
      </c>
      <c r="J84" s="511">
        <v>6820702500</v>
      </c>
      <c r="K84" s="501">
        <f>+J84*([8]IPC!$S$15/[8]IPC!$R$21)</f>
        <v>6897583250.7225428</v>
      </c>
      <c r="L84" s="501"/>
      <c r="M84" s="510">
        <v>7000000000</v>
      </c>
      <c r="N84" s="532">
        <f>+(D84-B84)/D84</f>
        <v>5.795834583307044E-2</v>
      </c>
      <c r="O84" s="532">
        <f>+(F84-D84)/F84</f>
        <v>0.10819417187033785</v>
      </c>
      <c r="P84" s="532">
        <f>+(H84-F84)/H84</f>
        <v>7.2422468939880316E-2</v>
      </c>
      <c r="Q84" s="532">
        <f>+(J84-H84)/J84</f>
        <v>8.3337764841671366E-2</v>
      </c>
      <c r="R84" s="532">
        <f t="shared" si="23"/>
        <v>8.047818787123999E-2</v>
      </c>
      <c r="S84" s="533">
        <f t="shared" si="34"/>
        <v>7325800974.0973721</v>
      </c>
      <c r="T84" s="535">
        <v>7490000000</v>
      </c>
      <c r="U84" s="487">
        <f t="shared" si="30"/>
        <v>7490000000</v>
      </c>
    </row>
    <row r="85" spans="1:21" ht="24" x14ac:dyDescent="0.25">
      <c r="A85" s="500" t="s">
        <v>1104</v>
      </c>
      <c r="B85" s="509">
        <v>497850292</v>
      </c>
      <c r="C85" s="501">
        <f>+B85*([8]IPC!$S$15/[8]IPC!$N$21)</f>
        <v>593518968.21396935</v>
      </c>
      <c r="D85" s="510">
        <v>331053944</v>
      </c>
      <c r="E85" s="501">
        <f>+D85*([8]IPC!$S$15/[8]IPC!$O$21)</f>
        <v>373222344.55676085</v>
      </c>
      <c r="F85" s="510">
        <v>1165770164</v>
      </c>
      <c r="G85" s="501">
        <f>+F85*([8]IPC!$S$15/[8]IPC!$P$21)</f>
        <v>1262596926.4865868</v>
      </c>
      <c r="H85" s="504">
        <v>0</v>
      </c>
      <c r="I85" s="501">
        <f>+H85*([8]IPC!$S$15/[8]IPC!$Q$21)</f>
        <v>0</v>
      </c>
      <c r="J85" s="518">
        <v>0</v>
      </c>
      <c r="K85" s="501">
        <f>+J85*([8]IPC!$S$15/[8]IPC!$R$21)</f>
        <v>0</v>
      </c>
      <c r="L85" s="501"/>
      <c r="M85" s="510">
        <v>0</v>
      </c>
      <c r="N85" s="532">
        <f>+(D85-B85)/D85</f>
        <v>-0.50383434791521464</v>
      </c>
      <c r="O85" s="532">
        <f>+(F85-D85)/F85</f>
        <v>0.71602125854372101</v>
      </c>
      <c r="P85" s="532">
        <v>0</v>
      </c>
      <c r="Q85" s="532">
        <v>0</v>
      </c>
      <c r="R85" s="532">
        <f t="shared" si="23"/>
        <v>5.3046727657126591E-2</v>
      </c>
      <c r="S85" s="533">
        <f t="shared" si="34"/>
        <v>23651819.686700206</v>
      </c>
      <c r="T85" s="510"/>
      <c r="U85" s="487">
        <f t="shared" si="30"/>
        <v>0</v>
      </c>
    </row>
    <row r="86" spans="1:21" x14ac:dyDescent="0.25">
      <c r="A86" s="500" t="s">
        <v>1105</v>
      </c>
      <c r="B86" s="509">
        <v>0</v>
      </c>
      <c r="C86" s="501">
        <f>+B86*([8]IPC!$S$15/[8]IPC!$N$21)</f>
        <v>0</v>
      </c>
      <c r="D86" s="510">
        <v>2286422317</v>
      </c>
      <c r="E86" s="501">
        <f>+D86*([8]IPC!$S$15/[8]IPC!$O$21)</f>
        <v>2577658152.8889484</v>
      </c>
      <c r="F86" s="510">
        <v>1674921512</v>
      </c>
      <c r="G86" s="501">
        <f>+F86*([8]IPC!$S$15/[8]IPC!$P$21)</f>
        <v>1814037465.0705736</v>
      </c>
      <c r="H86" s="504">
        <v>473723491</v>
      </c>
      <c r="I86" s="501">
        <f>+H86*([8]IPC!$S$15/[8]IPC!$Q$21)</f>
        <v>497267548.50270003</v>
      </c>
      <c r="J86" s="511">
        <v>208780149</v>
      </c>
      <c r="K86" s="501">
        <f>+J86*([8]IPC!$S$15/[8]IPC!$R$21)</f>
        <v>211133451.25751445</v>
      </c>
      <c r="L86" s="501"/>
      <c r="M86" s="510">
        <v>700000000</v>
      </c>
      <c r="N86" s="532">
        <f>+(D86-B86)/D86</f>
        <v>1</v>
      </c>
      <c r="O86" s="532">
        <f>+(F86-D86)/F86</f>
        <v>-0.36509221513897422</v>
      </c>
      <c r="P86" s="532">
        <f>+(H86-F86)/H86</f>
        <v>-2.5356522186905863</v>
      </c>
      <c r="Q86" s="532">
        <f>+(J86-H86)/J86</f>
        <v>-1.2690063843186548</v>
      </c>
      <c r="R86" s="532">
        <f t="shared" si="23"/>
        <v>-0.79243770453705387</v>
      </c>
      <c r="S86" s="533"/>
      <c r="T86" s="535">
        <v>749000000</v>
      </c>
      <c r="U86" s="487">
        <f t="shared" si="30"/>
        <v>749000000</v>
      </c>
    </row>
    <row r="87" spans="1:21" x14ac:dyDescent="0.25">
      <c r="A87" s="500" t="s">
        <v>1106</v>
      </c>
      <c r="B87" s="509">
        <v>0</v>
      </c>
      <c r="C87" s="501">
        <f>+B87*([8]IPC!$S$15/[8]IPC!$N$21)</f>
        <v>0</v>
      </c>
      <c r="D87" s="510">
        <v>0</v>
      </c>
      <c r="E87" s="501">
        <f>+D87*([8]IPC!$S$15/[8]IPC!$O$21)</f>
        <v>0</v>
      </c>
      <c r="F87" s="510">
        <v>0</v>
      </c>
      <c r="G87" s="501">
        <f>+F87*([8]IPC!$S$15/[8]IPC!$P$21)</f>
        <v>0</v>
      </c>
      <c r="H87" s="504">
        <v>1398927989</v>
      </c>
      <c r="I87" s="501">
        <f>+H87*([8]IPC!$S$15/[8]IPC!$Q$21)</f>
        <v>1468454710.0533001</v>
      </c>
      <c r="J87" s="511">
        <v>1066978976</v>
      </c>
      <c r="K87" s="501">
        <f>+J87*([8]IPC!$S$15/[8]IPC!$R$21)</f>
        <v>1079005617.6369941</v>
      </c>
      <c r="L87" s="501"/>
      <c r="M87" s="510">
        <v>1650000000</v>
      </c>
      <c r="N87" s="532">
        <v>0</v>
      </c>
      <c r="O87" s="532">
        <v>0</v>
      </c>
      <c r="P87" s="532">
        <f>+(H87-F87)/H87</f>
        <v>1</v>
      </c>
      <c r="Q87" s="532">
        <f>+(J87-H87)/J87</f>
        <v>-0.31111110946575954</v>
      </c>
      <c r="R87" s="532">
        <f t="shared" si="23"/>
        <v>0.17222222263356013</v>
      </c>
      <c r="S87" s="533">
        <f t="shared" si="34"/>
        <v>1154724831.941128</v>
      </c>
      <c r="T87" s="535">
        <v>1766000000</v>
      </c>
      <c r="U87" s="487">
        <f t="shared" si="30"/>
        <v>1766000000</v>
      </c>
    </row>
    <row r="88" spans="1:21" s="253" customFormat="1" x14ac:dyDescent="0.25">
      <c r="A88" s="500" t="s">
        <v>1107</v>
      </c>
      <c r="B88" s="509">
        <v>1047079382</v>
      </c>
      <c r="C88" s="501">
        <f>+B88*([8]IPC!$S$15/[8]IPC!$N$21)</f>
        <v>1248289866.3093696</v>
      </c>
      <c r="D88" s="510">
        <v>900118982</v>
      </c>
      <c r="E88" s="501">
        <f>+D88*([8]IPC!$S$15/[8]IPC!$O$21)</f>
        <v>1014772736.9835678</v>
      </c>
      <c r="F88" s="510">
        <v>6689359708</v>
      </c>
      <c r="G88" s="501">
        <f>+F88*([8]IPC!$S$15/[8]IPC!$P$21)</f>
        <v>7244965833.1485758</v>
      </c>
      <c r="H88" s="504">
        <v>6824682132</v>
      </c>
      <c r="I88" s="501">
        <f>+H88*([8]IPC!$S$15/[8]IPC!$Q$21)</f>
        <v>7163868833.9604006</v>
      </c>
      <c r="J88" s="511">
        <v>11854075866</v>
      </c>
      <c r="K88" s="501">
        <f>+J88*([8]IPC!$S$15/[8]IPC!$R$21)</f>
        <v>11987691172.004045</v>
      </c>
      <c r="L88" s="501"/>
      <c r="M88" s="510">
        <v>12000000000</v>
      </c>
      <c r="N88" s="532">
        <f>+(D88-B88)/D88</f>
        <v>-0.16326774897410173</v>
      </c>
      <c r="O88" s="532">
        <f>+(F88-D88)/F88</f>
        <v>0.86544018840494985</v>
      </c>
      <c r="P88" s="532">
        <f>+(H88-F88)/H88</f>
        <v>1.9828384880446179E-2</v>
      </c>
      <c r="Q88" s="532">
        <f>+(J88-H88)/J88</f>
        <v>0.42427548050585423</v>
      </c>
      <c r="R88" s="532">
        <f t="shared" si="23"/>
        <v>0.28656907620428712</v>
      </c>
      <c r="S88" s="533">
        <f t="shared" si="34"/>
        <v>13496666222.867067</v>
      </c>
      <c r="T88" s="535">
        <v>12840000000</v>
      </c>
      <c r="U88" s="487">
        <f t="shared" si="30"/>
        <v>12840000000</v>
      </c>
    </row>
    <row r="89" spans="1:21" x14ac:dyDescent="0.25">
      <c r="A89" s="500" t="s">
        <v>1108</v>
      </c>
      <c r="B89" s="509">
        <v>358399623</v>
      </c>
      <c r="C89" s="501">
        <f>+B89*([8]IPC!$S$15/[8]IPC!$N$21)</f>
        <v>427270964.52367973</v>
      </c>
      <c r="D89" s="510">
        <v>1007986508</v>
      </c>
      <c r="E89" s="501">
        <f>+D89*([8]IPC!$S$15/[8]IPC!$O$21)</f>
        <v>1136380020.8866932</v>
      </c>
      <c r="F89" s="510">
        <v>865977334</v>
      </c>
      <c r="G89" s="501">
        <f>+F89*([8]IPC!$S$15/[8]IPC!$P$21)</f>
        <v>937903845.95522082</v>
      </c>
      <c r="H89" s="504">
        <v>0</v>
      </c>
      <c r="I89" s="501">
        <f>+H89*([8]IPC!$S$15/[8]IPC!$Q$21)</f>
        <v>0</v>
      </c>
      <c r="J89" s="511">
        <v>0</v>
      </c>
      <c r="K89" s="501">
        <f>+J89*([8]IPC!$S$15/[8]IPC!$R$21)</f>
        <v>0</v>
      </c>
      <c r="L89" s="501"/>
      <c r="M89" s="510"/>
      <c r="N89" s="532">
        <f>+(D89-B89)/D89</f>
        <v>0.64444005931079384</v>
      </c>
      <c r="O89" s="532">
        <f>+(F89-D89)/F89</f>
        <v>-0.16398717197833726</v>
      </c>
      <c r="P89" s="532">
        <v>0</v>
      </c>
      <c r="Q89" s="532">
        <v>0</v>
      </c>
      <c r="R89" s="532">
        <v>0</v>
      </c>
      <c r="S89" s="533">
        <f t="shared" si="34"/>
        <v>0</v>
      </c>
      <c r="T89" s="510"/>
      <c r="U89" s="487">
        <f t="shared" si="30"/>
        <v>0</v>
      </c>
    </row>
    <row r="90" spans="1:21" x14ac:dyDescent="0.25">
      <c r="A90" s="500" t="s">
        <v>1109</v>
      </c>
      <c r="B90" s="509">
        <v>0</v>
      </c>
      <c r="C90" s="501">
        <f>+B90*([8]IPC!$S$15/[8]IPC!$N$21)</f>
        <v>0</v>
      </c>
      <c r="D90" s="510">
        <v>0</v>
      </c>
      <c r="E90" s="501">
        <f>+D90*([8]IPC!$S$15/[8]IPC!$O$21)</f>
        <v>0</v>
      </c>
      <c r="F90" s="510">
        <f>736918016.46+133472408</f>
        <v>870390424.46000004</v>
      </c>
      <c r="G90" s="501">
        <f>+F90*([8]IPC!$S$15/[8]IPC!$P$21)</f>
        <v>942683479.73138881</v>
      </c>
      <c r="H90" s="504">
        <v>541130170</v>
      </c>
      <c r="I90" s="501">
        <f>+H90*([8]IPC!$S$15/[8]IPC!$Q$21)</f>
        <v>568024339.449</v>
      </c>
      <c r="J90" s="511">
        <v>909383464.76999998</v>
      </c>
      <c r="K90" s="501">
        <f>+J90*([8]IPC!$S$15/[8]IPC!$R$21)</f>
        <v>919633740.81798553</v>
      </c>
      <c r="L90" s="501"/>
      <c r="M90" s="510">
        <v>0</v>
      </c>
      <c r="N90" s="532">
        <v>0</v>
      </c>
      <c r="O90" s="532">
        <f>+(F90-D90)/F90</f>
        <v>1</v>
      </c>
      <c r="P90" s="532">
        <f>+(H90-F90)/H90</f>
        <v>-0.60846774531163184</v>
      </c>
      <c r="Q90" s="532">
        <f>+(J90-H90)/J90</f>
        <v>0.40494830732724846</v>
      </c>
      <c r="R90" s="532">
        <f t="shared" si="23"/>
        <v>0.19912014050390414</v>
      </c>
      <c r="S90" s="533">
        <f t="shared" si="34"/>
        <v>1006169455.3498708</v>
      </c>
      <c r="T90" s="510"/>
      <c r="U90" s="487">
        <f t="shared" si="30"/>
        <v>0</v>
      </c>
    </row>
    <row r="91" spans="1:21" x14ac:dyDescent="0.25">
      <c r="A91" s="500" t="s">
        <v>1111</v>
      </c>
      <c r="B91" s="509">
        <v>198879475.44999999</v>
      </c>
      <c r="C91" s="501">
        <f>+B91*([8]IPC!$S$15/[8]IPC!$N$21)</f>
        <v>237096860.1702044</v>
      </c>
      <c r="D91" s="510">
        <v>235082680.68000001</v>
      </c>
      <c r="E91" s="501">
        <f>+D91*([8]IPC!$S$15/[8]IPC!$O$21)</f>
        <v>265026624.32584685</v>
      </c>
      <c r="F91" s="510">
        <v>157562150.88999999</v>
      </c>
      <c r="G91" s="501">
        <f>+F91*([8]IPC!$S$15/[8]IPC!$P$21)</f>
        <v>170648978.3215363</v>
      </c>
      <c r="H91" s="504">
        <v>73380582.859999999</v>
      </c>
      <c r="I91" s="501">
        <f>+H91*([8]IPC!$S$15/[8]IPC!$Q$21)</f>
        <v>77027597.828142002</v>
      </c>
      <c r="J91" s="511">
        <v>38632920.229999997</v>
      </c>
      <c r="K91" s="501">
        <f>+J91*([8]IPC!$S$15/[8]IPC!$R$21)</f>
        <v>39068378.001378611</v>
      </c>
      <c r="L91" s="501"/>
      <c r="M91" s="510">
        <v>0</v>
      </c>
      <c r="N91" s="532">
        <f>+(D91-B91)/D91</f>
        <v>0.15400200952821641</v>
      </c>
      <c r="O91" s="532">
        <f>+(F91-D91)/F91</f>
        <v>-0.49199969251574888</v>
      </c>
      <c r="P91" s="532">
        <f>+(H91-F91)/H91</f>
        <v>-1.1471913243126832</v>
      </c>
      <c r="Q91" s="532">
        <f>+(J91-H91)/J91</f>
        <v>-0.89943142851047186</v>
      </c>
      <c r="R91" s="532">
        <f t="shared" si="23"/>
        <v>-0.59615510895267187</v>
      </c>
      <c r="S91" s="533"/>
      <c r="T91" s="535">
        <v>200000000</v>
      </c>
      <c r="U91" s="487">
        <f t="shared" si="30"/>
        <v>200000000</v>
      </c>
    </row>
    <row r="92" spans="1:21" x14ac:dyDescent="0.25">
      <c r="A92" s="500" t="s">
        <v>606</v>
      </c>
      <c r="B92" s="509">
        <v>24474611</v>
      </c>
      <c r="C92" s="501">
        <f>+B92*([8]IPC!$S$15/[8]IPC!$N$21)</f>
        <v>29177738.974105623</v>
      </c>
      <c r="D92" s="510">
        <v>0</v>
      </c>
      <c r="E92" s="501">
        <f>+D92*([8]IPC!$S$15/[8]IPC!$O$21)</f>
        <v>0</v>
      </c>
      <c r="F92" s="510">
        <v>0</v>
      </c>
      <c r="G92" s="501">
        <f>+F92*([8]IPC!$S$15/[8]IPC!$P$21)</f>
        <v>0</v>
      </c>
      <c r="H92" s="504">
        <v>93678610</v>
      </c>
      <c r="I92" s="501">
        <f>+H92*([8]IPC!$S$15/[8]IPC!$Q$21)</f>
        <v>98334436.917000011</v>
      </c>
      <c r="J92" s="511">
        <v>21516737</v>
      </c>
      <c r="K92" s="501">
        <f>+J92*([8]IPC!$S$15/[8]IPC!$R$21)</f>
        <v>21759266.694508672</v>
      </c>
      <c r="L92" s="501"/>
      <c r="M92" s="510">
        <v>80000000</v>
      </c>
      <c r="N92" s="532">
        <v>0</v>
      </c>
      <c r="O92" s="532">
        <v>0</v>
      </c>
      <c r="P92" s="532">
        <f>+(H92-F92)/H92</f>
        <v>1</v>
      </c>
      <c r="Q92" s="532">
        <f>+(J92-H92)/J92</f>
        <v>-3.3537554044556104</v>
      </c>
      <c r="R92" s="532">
        <f t="shared" si="23"/>
        <v>-0.58843885111390259</v>
      </c>
      <c r="S92" s="533">
        <f t="shared" si="34"/>
        <v>3949313.7641612478</v>
      </c>
      <c r="T92" s="535">
        <v>80000000</v>
      </c>
      <c r="U92" s="487">
        <f t="shared" si="30"/>
        <v>80000000</v>
      </c>
    </row>
    <row r="93" spans="1:21" s="253" customFormat="1" x14ac:dyDescent="0.25">
      <c r="A93" s="500">
        <v>0</v>
      </c>
      <c r="B93" s="509">
        <v>0</v>
      </c>
      <c r="C93" s="501">
        <f>+B93*([8]IPC!$S$15/[8]IPC!$N$21)</f>
        <v>0</v>
      </c>
      <c r="D93" s="510">
        <v>0</v>
      </c>
      <c r="E93" s="501">
        <f>+D93*([8]IPC!$S$15/[8]IPC!$O$21)</f>
        <v>0</v>
      </c>
      <c r="F93" s="510">
        <v>0</v>
      </c>
      <c r="G93" s="501">
        <f>+F93*([8]IPC!$S$15/[8]IPC!$P$21)</f>
        <v>0</v>
      </c>
      <c r="H93" s="506">
        <v>0</v>
      </c>
      <c r="I93" s="501">
        <f>+H93*([8]IPC!$S$15/[8]IPC!$Q$21)</f>
        <v>0</v>
      </c>
      <c r="J93" s="511">
        <v>0</v>
      </c>
      <c r="K93" s="501">
        <f>+J93*([8]IPC!$S$15/[8]IPC!$R$21)</f>
        <v>0</v>
      </c>
      <c r="L93" s="501"/>
      <c r="M93" s="510">
        <v>0</v>
      </c>
      <c r="N93" s="532">
        <v>0</v>
      </c>
      <c r="O93" s="532">
        <v>0</v>
      </c>
      <c r="P93" s="532">
        <v>0</v>
      </c>
      <c r="Q93" s="532">
        <v>0</v>
      </c>
      <c r="R93" s="532">
        <f t="shared" si="23"/>
        <v>0</v>
      </c>
      <c r="S93" s="533">
        <f t="shared" si="34"/>
        <v>0</v>
      </c>
      <c r="T93" s="510">
        <f>+S93*1.03</f>
        <v>0</v>
      </c>
      <c r="U93" s="487">
        <f t="shared" si="30"/>
        <v>0</v>
      </c>
    </row>
    <row r="94" spans="1:21" x14ac:dyDescent="0.25">
      <c r="A94" s="500" t="s">
        <v>1112</v>
      </c>
      <c r="B94" s="509">
        <v>5881374.3399999999</v>
      </c>
      <c r="C94" s="501">
        <f>+B94*([8]IPC!$S$15/[8]IPC!$N$21)</f>
        <v>7011560.0734787052</v>
      </c>
      <c r="D94" s="510">
        <v>8053072.2999999998</v>
      </c>
      <c r="E94" s="501">
        <f>+D94*([8]IPC!$S$15/[8]IPC!$O$21)</f>
        <v>9078842.2224358283</v>
      </c>
      <c r="F94" s="510">
        <v>4959871</v>
      </c>
      <c r="G94" s="501">
        <f>+F94*([8]IPC!$S$15/[8]IPC!$P$21)</f>
        <v>5371828.919418077</v>
      </c>
      <c r="H94" s="504">
        <v>90796581.239999995</v>
      </c>
      <c r="I94" s="501">
        <f>+H94*([8]IPC!$S$15/[8]IPC!$Q$21)</f>
        <v>95309171.327628002</v>
      </c>
      <c r="J94" s="511">
        <v>58528086.950000003</v>
      </c>
      <c r="K94" s="501">
        <f>+J94*([8]IPC!$S$15/[8]IPC!$R$21)</f>
        <v>59187796.600592487</v>
      </c>
      <c r="L94" s="501"/>
      <c r="M94" s="510">
        <v>150000000</v>
      </c>
      <c r="N94" s="532">
        <f>+(D94-B94)/D94</f>
        <v>0.26967322272767874</v>
      </c>
      <c r="O94" s="532">
        <f>+(F94-D94)/F94</f>
        <v>-0.62364551416760639</v>
      </c>
      <c r="P94" s="532">
        <f>+(H94-F94)/H94</f>
        <v>0.94537381328389758</v>
      </c>
      <c r="Q94" s="532">
        <f>+(J94-H94)/J94</f>
        <v>-0.55133348741718935</v>
      </c>
      <c r="R94" s="532">
        <f t="shared" si="23"/>
        <v>1.0017008606695132E-2</v>
      </c>
      <c r="S94" s="533">
        <f t="shared" si="34"/>
        <v>58880603.912449636</v>
      </c>
      <c r="T94" s="510"/>
      <c r="U94" s="487">
        <f t="shared" si="30"/>
        <v>0</v>
      </c>
    </row>
    <row r="95" spans="1:21" x14ac:dyDescent="0.25">
      <c r="A95" s="500" t="s">
        <v>1114</v>
      </c>
      <c r="B95" s="509">
        <v>2128283261.3399999</v>
      </c>
      <c r="C95" s="501">
        <f>+B95*([8]IPC!$S$15/[8]IPC!$N$21)</f>
        <v>2537261714.2857442</v>
      </c>
      <c r="D95" s="509">
        <v>6133536837.29</v>
      </c>
      <c r="E95" s="501">
        <f>+D95*([8]IPC!$S$15/[8]IPC!$O$21)</f>
        <v>6914803585.117939</v>
      </c>
      <c r="F95" s="509">
        <v>3666040891.6500001</v>
      </c>
      <c r="G95" s="501">
        <f>+F95*([8]IPC!$S$15/[8]IPC!$P$21)</f>
        <v>3970535621.0947227</v>
      </c>
      <c r="H95" s="504">
        <v>4490728943</v>
      </c>
      <c r="I95" s="501">
        <f>+H95*([8]IPC!$S$15/[8]IPC!$Q$21)</f>
        <v>4713918171.4671001</v>
      </c>
      <c r="J95" s="501">
        <v>2272305201.3899999</v>
      </c>
      <c r="K95" s="501">
        <f>+J95*([8]IPC!$S$15/[8]IPC!$R$21)</f>
        <v>2297917890.0761876</v>
      </c>
      <c r="L95" s="501"/>
      <c r="M95" s="509">
        <v>0</v>
      </c>
      <c r="N95" s="532">
        <f>+(D95-B95)/D95</f>
        <v>0.65300880751205426</v>
      </c>
      <c r="O95" s="532">
        <f>+(F95-D95)/F95</f>
        <v>-0.67306830953798691</v>
      </c>
      <c r="P95" s="532">
        <f>+(H95-F95)/H95</f>
        <v>0.18364235780373617</v>
      </c>
      <c r="Q95" s="532">
        <f>+(J95-H95)/J95</f>
        <v>-0.97628775406268498</v>
      </c>
      <c r="R95" s="532">
        <f t="shared" si="23"/>
        <v>-0.20317622457122037</v>
      </c>
      <c r="S95" s="533">
        <f t="shared" si="34"/>
        <v>1441946849.9400492</v>
      </c>
      <c r="T95" s="510"/>
      <c r="U95" s="487">
        <f t="shared" si="30"/>
        <v>0</v>
      </c>
    </row>
    <row r="96" spans="1:21" s="253" customFormat="1" x14ac:dyDescent="0.25">
      <c r="A96" s="496" t="s">
        <v>1116</v>
      </c>
      <c r="B96" s="514">
        <f t="shared" ref="B96:M96" si="35">+B97+B107</f>
        <v>37602321159.610001</v>
      </c>
      <c r="C96" s="514">
        <f t="shared" si="35"/>
        <v>44828116435.255676</v>
      </c>
      <c r="D96" s="514">
        <f t="shared" si="35"/>
        <v>37962033916.790001</v>
      </c>
      <c r="E96" s="514">
        <f t="shared" si="35"/>
        <v>42797494364.143982</v>
      </c>
      <c r="F96" s="514">
        <f t="shared" si="35"/>
        <v>39877666683.590004</v>
      </c>
      <c r="G96" s="514">
        <f t="shared" si="35"/>
        <v>43189833592.410667</v>
      </c>
      <c r="H96" s="514">
        <f t="shared" si="35"/>
        <v>48951107958.570007</v>
      </c>
      <c r="I96" s="514">
        <f t="shared" si="35"/>
        <v>51383978024.110931</v>
      </c>
      <c r="J96" s="514">
        <f t="shared" si="35"/>
        <v>49171571939.529999</v>
      </c>
      <c r="K96" s="514">
        <f t="shared" si="35"/>
        <v>49725817981.622971</v>
      </c>
      <c r="L96" s="514"/>
      <c r="M96" s="514">
        <f t="shared" si="35"/>
        <v>40473486195.333344</v>
      </c>
      <c r="N96" s="514"/>
      <c r="O96" s="514"/>
      <c r="P96" s="514"/>
      <c r="Q96" s="514"/>
      <c r="R96" s="514"/>
      <c r="S96" s="514">
        <f>+S97+S107</f>
        <v>54336258535.146988</v>
      </c>
      <c r="T96" s="514" t="e">
        <f>+T97+T107</f>
        <v>#REF!</v>
      </c>
      <c r="U96" s="487" t="e">
        <f t="shared" si="30"/>
        <v>#REF!</v>
      </c>
    </row>
    <row r="97" spans="1:21" ht="22.5" customHeight="1" x14ac:dyDescent="0.25">
      <c r="A97" s="496" t="s">
        <v>1117</v>
      </c>
      <c r="B97" s="514">
        <f>+B98+B99+B100+B101</f>
        <v>10862223177.360001</v>
      </c>
      <c r="C97" s="514">
        <f t="shared" ref="C97:M97" si="36">+C98+C99+C100+C101</f>
        <v>12949546472.770916</v>
      </c>
      <c r="D97" s="514">
        <f t="shared" si="36"/>
        <v>10606672958.790001</v>
      </c>
      <c r="E97" s="514">
        <f t="shared" si="36"/>
        <v>11957710884.804922</v>
      </c>
      <c r="F97" s="514">
        <f t="shared" si="36"/>
        <v>11972030911.469999</v>
      </c>
      <c r="G97" s="514">
        <f t="shared" si="36"/>
        <v>12966406157.41855</v>
      </c>
      <c r="H97" s="514">
        <f t="shared" si="36"/>
        <v>12552476761.440001</v>
      </c>
      <c r="I97" s="514">
        <f t="shared" si="36"/>
        <v>13176334856.483568</v>
      </c>
      <c r="J97" s="514">
        <f t="shared" si="36"/>
        <v>13736315057.25</v>
      </c>
      <c r="K97" s="514">
        <f t="shared" si="36"/>
        <v>13891146354.138077</v>
      </c>
      <c r="L97" s="514"/>
      <c r="M97" s="514">
        <f t="shared" si="36"/>
        <v>6695541776</v>
      </c>
      <c r="N97" s="514"/>
      <c r="O97" s="514"/>
      <c r="P97" s="514"/>
      <c r="Q97" s="514"/>
      <c r="R97" s="514"/>
      <c r="S97" s="514">
        <f>+S98+S99+S100+S101</f>
        <v>6539258254.25</v>
      </c>
      <c r="T97" s="514">
        <f>+T98+T99+T100+T101</f>
        <v>6625193577.5100002</v>
      </c>
      <c r="U97" s="487">
        <f t="shared" si="30"/>
        <v>6625193577.5100002</v>
      </c>
    </row>
    <row r="98" spans="1:21" x14ac:dyDescent="0.25">
      <c r="A98" s="500" t="s">
        <v>1118</v>
      </c>
      <c r="B98" s="509">
        <v>3268453697</v>
      </c>
      <c r="C98" s="501">
        <f>+B98*([8]IPC!$S$15/[8]IPC!$N$21)</f>
        <v>3896531340.9890971</v>
      </c>
      <c r="D98" s="510">
        <v>2679025225</v>
      </c>
      <c r="E98" s="501">
        <f>+D98*([8]IPC!$S$15/[8]IPC!$O$21)</f>
        <v>3020269335.9279346</v>
      </c>
      <c r="F98" s="510">
        <v>4023301690</v>
      </c>
      <c r="G98" s="501">
        <f>+F98*([8]IPC!$S$15/[8]IPC!$P$21)</f>
        <v>4357469855.5437469</v>
      </c>
      <c r="H98" s="504">
        <v>4015575201</v>
      </c>
      <c r="I98" s="501">
        <f>+H98*([8]IPC!$S$15/[8]IPC!$Q$21)</f>
        <v>4215149288.4897003</v>
      </c>
      <c r="J98" s="511">
        <v>5489644949</v>
      </c>
      <c r="K98" s="501">
        <f>+J98*([8]IPC!$S$15/[8]IPC!$R$21)</f>
        <v>5551522449.8702307</v>
      </c>
      <c r="L98" s="501"/>
      <c r="M98" s="510">
        <v>653194793</v>
      </c>
      <c r="N98" s="532">
        <f>+(D98-B98)/D98</f>
        <v>-0.22001602168564874</v>
      </c>
      <c r="O98" s="532">
        <f>+(F98-D98)/F98</f>
        <v>0.33412271029568252</v>
      </c>
      <c r="P98" s="532">
        <f>+(H98-F98)/H98</f>
        <v>-1.9241300718452166E-3</v>
      </c>
      <c r="Q98" s="532">
        <f>+(J98-H98)/J98</f>
        <v>0.26851823054030449</v>
      </c>
      <c r="R98" s="532">
        <f t="shared" si="23"/>
        <v>9.5175197269623257E-2</v>
      </c>
      <c r="S98" s="533"/>
      <c r="T98" s="510">
        <v>0</v>
      </c>
      <c r="U98" s="487">
        <f t="shared" si="30"/>
        <v>0</v>
      </c>
    </row>
    <row r="99" spans="1:21" s="253" customFormat="1" x14ac:dyDescent="0.25">
      <c r="A99" s="500" t="s">
        <v>1119</v>
      </c>
      <c r="B99" s="509">
        <v>3071600187</v>
      </c>
      <c r="C99" s="501">
        <f>+B99*([8]IPC!$S$15/[8]IPC!$N$21)</f>
        <v>3661849762.9686542</v>
      </c>
      <c r="D99" s="510">
        <v>3336122674</v>
      </c>
      <c r="E99" s="501">
        <f>+D99*([8]IPC!$S$15/[8]IPC!$O$21)</f>
        <v>3761065375.2527118</v>
      </c>
      <c r="F99" s="510">
        <v>3766060273</v>
      </c>
      <c r="G99" s="501">
        <f>+F99*([8]IPC!$S$15/[8]IPC!$P$21)</f>
        <v>4078862431.456975</v>
      </c>
      <c r="H99" s="504">
        <v>3649631270</v>
      </c>
      <c r="I99" s="501">
        <f>+H99*([8]IPC!$S$15/[8]IPC!$Q$21)</f>
        <v>3831017944.1190004</v>
      </c>
      <c r="J99" s="511">
        <v>4170349428</v>
      </c>
      <c r="K99" s="501">
        <f>+J99*([8]IPC!$S$15/[8]IPC!$R$21)</f>
        <v>4217356256.8127165</v>
      </c>
      <c r="L99" s="501"/>
      <c r="M99" s="510">
        <v>4295000000</v>
      </c>
      <c r="N99" s="532">
        <f>+(D99-B99)/D99</f>
        <v>7.9290395722420609E-2</v>
      </c>
      <c r="O99" s="532">
        <f>+(F99-D99)/F99</f>
        <v>0.11416110413376807</v>
      </c>
      <c r="P99" s="532">
        <f>+(H99-F99)/H99</f>
        <v>-3.1901579745068326E-2</v>
      </c>
      <c r="Q99" s="532">
        <f>+(J99-H99)/J99</f>
        <v>0.12486199705565776</v>
      </c>
      <c r="R99" s="532">
        <f t="shared" si="23"/>
        <v>7.1602979291694527E-2</v>
      </c>
      <c r="S99" s="533">
        <v>4088510241</v>
      </c>
      <c r="T99" s="535">
        <f>+S99*1.03</f>
        <v>4211165548.23</v>
      </c>
      <c r="U99" s="487">
        <f t="shared" si="30"/>
        <v>4211165548.23</v>
      </c>
    </row>
    <row r="100" spans="1:21" x14ac:dyDescent="0.25">
      <c r="A100" s="500" t="s">
        <v>1120</v>
      </c>
      <c r="B100" s="509">
        <v>4240932615</v>
      </c>
      <c r="C100" s="501">
        <f>+B100*([8]IPC!$S$15/[8]IPC!$N$21)</f>
        <v>5055885253.7938671</v>
      </c>
      <c r="D100" s="510">
        <v>4368160593</v>
      </c>
      <c r="E100" s="501">
        <f>+D100*([8]IPC!$S$15/[8]IPC!$O$21)</f>
        <v>4924560384.9984961</v>
      </c>
      <c r="F100" s="510">
        <v>3775114443</v>
      </c>
      <c r="G100" s="501">
        <f>+F100*([8]IPC!$S$15/[8]IPC!$P$21)</f>
        <v>4088668624.4501653</v>
      </c>
      <c r="H100" s="504">
        <v>3775114443</v>
      </c>
      <c r="I100" s="501">
        <f>+H100*([8]IPC!$S$15/[8]IPC!$Q$21)</f>
        <v>3962737630.8171005</v>
      </c>
      <c r="J100" s="511">
        <v>3775114443</v>
      </c>
      <c r="K100" s="501">
        <f>+J100*([8]IPC!$S$15/[8]IPC!$R$21)</f>
        <v>3817666310.9991331</v>
      </c>
      <c r="L100" s="501"/>
      <c r="M100" s="510">
        <v>1496346983</v>
      </c>
      <c r="N100" s="532">
        <f>+(D100-B100)/D100</f>
        <v>2.912621349221535E-2</v>
      </c>
      <c r="O100" s="532">
        <f>+(F100-D100)/F100</f>
        <v>-0.15709355542840692</v>
      </c>
      <c r="P100" s="532">
        <f>+(H100-F100)/H100</f>
        <v>0</v>
      </c>
      <c r="Q100" s="532">
        <f>+(J100-H100)/J100</f>
        <v>0</v>
      </c>
      <c r="R100" s="532">
        <f t="shared" si="23"/>
        <v>-3.1991835484047895E-2</v>
      </c>
      <c r="S100" s="533">
        <v>2149541776</v>
      </c>
      <c r="T100" s="535">
        <f>+S100*1.03</f>
        <v>2214028029.2800002</v>
      </c>
      <c r="U100" s="487">
        <f t="shared" si="30"/>
        <v>2214028029.2800002</v>
      </c>
    </row>
    <row r="101" spans="1:21" x14ac:dyDescent="0.25">
      <c r="A101" s="496" t="s">
        <v>1121</v>
      </c>
      <c r="B101" s="522">
        <f t="shared" ref="B101:M101" si="37">+B102+B106</f>
        <v>281236678.36000001</v>
      </c>
      <c r="C101" s="522">
        <f t="shared" si="37"/>
        <v>335280115.01929814</v>
      </c>
      <c r="D101" s="522">
        <f t="shared" si="37"/>
        <v>223364466.78999999</v>
      </c>
      <c r="E101" s="522">
        <f t="shared" si="37"/>
        <v>251815788.62577918</v>
      </c>
      <c r="F101" s="522">
        <f t="shared" si="37"/>
        <v>407554505.46999997</v>
      </c>
      <c r="G101" s="522">
        <f t="shared" si="37"/>
        <v>441405245.96766293</v>
      </c>
      <c r="H101" s="522">
        <f t="shared" si="37"/>
        <v>1112155847.4400001</v>
      </c>
      <c r="I101" s="522">
        <f t="shared" si="37"/>
        <v>1167429993.0577681</v>
      </c>
      <c r="J101" s="522">
        <f t="shared" si="37"/>
        <v>301206237.25000006</v>
      </c>
      <c r="K101" s="522">
        <f t="shared" si="37"/>
        <v>304601336.45599717</v>
      </c>
      <c r="L101" s="522"/>
      <c r="M101" s="522">
        <f t="shared" si="37"/>
        <v>251000000</v>
      </c>
      <c r="N101" s="522"/>
      <c r="O101" s="522"/>
      <c r="P101" s="522"/>
      <c r="Q101" s="522"/>
      <c r="R101" s="522"/>
      <c r="S101" s="533">
        <f t="shared" si="34"/>
        <v>301206237.25000006</v>
      </c>
      <c r="T101" s="522">
        <f>+T102+T106+T103+T104+T105</f>
        <v>200000000</v>
      </c>
      <c r="U101" s="487">
        <f t="shared" si="30"/>
        <v>200000000</v>
      </c>
    </row>
    <row r="102" spans="1:21" ht="24" x14ac:dyDescent="0.25">
      <c r="A102" s="500" t="s">
        <v>1888</v>
      </c>
      <c r="B102" s="509">
        <v>272945318.36000001</v>
      </c>
      <c r="C102" s="501">
        <f>+B102*([8]IPC!$S$15/[8]IPC!$N$21)</f>
        <v>325395457.90175128</v>
      </c>
      <c r="D102" s="509">
        <v>216964466.78999999</v>
      </c>
      <c r="E102" s="501">
        <f>+D102*([8]IPC!$S$15/[8]IPC!$O$21)</f>
        <v>244600580.80707014</v>
      </c>
      <c r="F102" s="509">
        <v>377820579.46999997</v>
      </c>
      <c r="G102" s="501">
        <f>+F102*([8]IPC!$S$15/[8]IPC!$P$21)</f>
        <v>409201673.82342029</v>
      </c>
      <c r="H102" s="504">
        <v>1108946309.4400001</v>
      </c>
      <c r="I102" s="501">
        <f>+H102*([8]IPC!$S$15/[8]IPC!$Q$21)</f>
        <v>1164060941.0191681</v>
      </c>
      <c r="J102" s="501">
        <v>301206237.25000006</v>
      </c>
      <c r="K102" s="501">
        <f>+J102*([8]IPC!$S$15/[8]IPC!$R$21)</f>
        <v>304601336.45599717</v>
      </c>
      <c r="L102" s="501"/>
      <c r="M102" s="509">
        <v>251000000</v>
      </c>
      <c r="N102" s="532">
        <f>+(D102-B102)/D102</f>
        <v>-0.25801852440742712</v>
      </c>
      <c r="O102" s="532">
        <f>+(F102-D102)/F102</f>
        <v>0.42574735581012046</v>
      </c>
      <c r="P102" s="532">
        <f>+(H102-F102)/H102</f>
        <v>0.65929768082208295</v>
      </c>
      <c r="Q102" s="532">
        <f>+(J102-H102)/J102</f>
        <v>-2.6816844151855288</v>
      </c>
      <c r="R102" s="532">
        <f t="shared" ref="R102:R161" si="38">+(N102+O102+P102+Q102)/4</f>
        <v>-0.4636644757401881</v>
      </c>
      <c r="S102" s="533">
        <v>200000000</v>
      </c>
      <c r="T102" s="535">
        <v>25000000</v>
      </c>
      <c r="U102" s="487">
        <f t="shared" si="30"/>
        <v>25000000</v>
      </c>
    </row>
    <row r="103" spans="1:21" x14ac:dyDescent="0.25">
      <c r="A103" s="500" t="s">
        <v>1889</v>
      </c>
      <c r="B103" s="509"/>
      <c r="C103" s="501"/>
      <c r="D103" s="509"/>
      <c r="E103" s="501"/>
      <c r="F103" s="509"/>
      <c r="G103" s="501"/>
      <c r="H103" s="504"/>
      <c r="I103" s="501"/>
      <c r="J103" s="501"/>
      <c r="K103" s="501"/>
      <c r="L103" s="501"/>
      <c r="M103" s="509"/>
      <c r="N103" s="532"/>
      <c r="O103" s="532"/>
      <c r="P103" s="532"/>
      <c r="Q103" s="532"/>
      <c r="R103" s="532"/>
      <c r="S103" s="533"/>
      <c r="T103" s="535">
        <v>10000000</v>
      </c>
    </row>
    <row r="104" spans="1:21" ht="24" x14ac:dyDescent="0.25">
      <c r="A104" s="500" t="s">
        <v>1890</v>
      </c>
      <c r="B104" s="509"/>
      <c r="C104" s="501"/>
      <c r="D104" s="509"/>
      <c r="E104" s="501"/>
      <c r="F104" s="509"/>
      <c r="G104" s="501"/>
      <c r="H104" s="504"/>
      <c r="I104" s="501"/>
      <c r="J104" s="501"/>
      <c r="K104" s="501"/>
      <c r="L104" s="501"/>
      <c r="M104" s="509"/>
      <c r="N104" s="532"/>
      <c r="O104" s="532"/>
      <c r="P104" s="532"/>
      <c r="Q104" s="532"/>
      <c r="R104" s="532"/>
      <c r="S104" s="533"/>
      <c r="T104" s="535">
        <v>2000000</v>
      </c>
    </row>
    <row r="105" spans="1:21" ht="24" x14ac:dyDescent="0.25">
      <c r="A105" s="500" t="s">
        <v>1891</v>
      </c>
      <c r="B105" s="509"/>
      <c r="C105" s="501"/>
      <c r="D105" s="509"/>
      <c r="E105" s="501"/>
      <c r="F105" s="509"/>
      <c r="G105" s="501"/>
      <c r="H105" s="504"/>
      <c r="I105" s="501"/>
      <c r="J105" s="501"/>
      <c r="K105" s="501"/>
      <c r="L105" s="501"/>
      <c r="M105" s="509"/>
      <c r="N105" s="532"/>
      <c r="O105" s="532"/>
      <c r="P105" s="532"/>
      <c r="Q105" s="532"/>
      <c r="R105" s="532"/>
      <c r="S105" s="533"/>
      <c r="T105" s="535">
        <v>163000000</v>
      </c>
    </row>
    <row r="106" spans="1:21" s="253" customFormat="1" hidden="1" x14ac:dyDescent="0.25">
      <c r="A106" s="500" t="s">
        <v>606</v>
      </c>
      <c r="B106" s="509">
        <v>8291360</v>
      </c>
      <c r="C106" s="501">
        <f>+B106*([8]IPC!$S$15/[8]IPC!$N$21)</f>
        <v>9884657.117546849</v>
      </c>
      <c r="D106" s="509">
        <v>6400000</v>
      </c>
      <c r="E106" s="501">
        <f>+D106*([8]IPC!$S$15/[8]IPC!$O$21)</f>
        <v>7215207.818709054</v>
      </c>
      <c r="F106" s="509">
        <v>29733926</v>
      </c>
      <c r="G106" s="501">
        <f>+F106*([8]IPC!$S$15/[8]IPC!$P$21)</f>
        <v>32203572.144242674</v>
      </c>
      <c r="H106" s="504">
        <v>3209538</v>
      </c>
      <c r="I106" s="501">
        <f>+H106*([8]IPC!$S$15/[8]IPC!$Q$21)</f>
        <v>3369052.0386000001</v>
      </c>
      <c r="J106" s="501">
        <v>0</v>
      </c>
      <c r="K106" s="501">
        <f>+J106*([8]IPC!$S$15/[8]IPC!$R$21)</f>
        <v>0</v>
      </c>
      <c r="L106" s="501"/>
      <c r="M106" s="509">
        <v>0</v>
      </c>
      <c r="N106" s="532">
        <f>+(D106-B106)/D106</f>
        <v>-0.29552499999999998</v>
      </c>
      <c r="O106" s="532">
        <f>+(F106-D106)/F106</f>
        <v>0.78475765359744287</v>
      </c>
      <c r="P106" s="532">
        <f>+(H106-F106)/H106</f>
        <v>-8.2642386536629253</v>
      </c>
      <c r="Q106" s="532">
        <v>0</v>
      </c>
      <c r="R106" s="532">
        <f t="shared" si="38"/>
        <v>-1.9437515000163705</v>
      </c>
      <c r="S106" s="533"/>
      <c r="T106" s="510"/>
      <c r="U106" s="487">
        <f t="shared" si="30"/>
        <v>0</v>
      </c>
    </row>
    <row r="107" spans="1:21" s="253" customFormat="1" x14ac:dyDescent="0.25">
      <c r="A107" s="496" t="s">
        <v>1125</v>
      </c>
      <c r="B107" s="514">
        <f t="shared" ref="B107:T107" si="39">SUM(B108:B128)</f>
        <v>26740097982.25</v>
      </c>
      <c r="C107" s="514">
        <f t="shared" si="39"/>
        <v>31878569962.484756</v>
      </c>
      <c r="D107" s="514">
        <f t="shared" si="39"/>
        <v>27355360958</v>
      </c>
      <c r="E107" s="514">
        <f t="shared" si="39"/>
        <v>30839783479.339058</v>
      </c>
      <c r="F107" s="514">
        <f t="shared" si="39"/>
        <v>27905635772.120003</v>
      </c>
      <c r="G107" s="514">
        <f t="shared" si="39"/>
        <v>30223427434.992119</v>
      </c>
      <c r="H107" s="514">
        <f t="shared" si="39"/>
        <v>36398631197.130005</v>
      </c>
      <c r="I107" s="514">
        <f t="shared" si="39"/>
        <v>38207643167.627365</v>
      </c>
      <c r="J107" s="514">
        <f t="shared" si="39"/>
        <v>35435256882.279999</v>
      </c>
      <c r="K107" s="514">
        <f t="shared" si="39"/>
        <v>35834671627.484894</v>
      </c>
      <c r="L107" s="514"/>
      <c r="M107" s="514">
        <f t="shared" si="39"/>
        <v>33777944419.33334</v>
      </c>
      <c r="N107" s="514"/>
      <c r="O107" s="514"/>
      <c r="P107" s="514"/>
      <c r="Q107" s="514"/>
      <c r="R107" s="514"/>
      <c r="S107" s="514">
        <f t="shared" si="39"/>
        <v>47797000280.896988</v>
      </c>
      <c r="T107" s="514" t="e">
        <f t="shared" si="39"/>
        <v>#REF!</v>
      </c>
      <c r="U107" s="487" t="e">
        <f t="shared" si="30"/>
        <v>#REF!</v>
      </c>
    </row>
    <row r="108" spans="1:21" s="253" customFormat="1" x14ac:dyDescent="0.25">
      <c r="A108" s="500" t="s">
        <v>1126</v>
      </c>
      <c r="B108" s="509">
        <v>5789206170.0200005</v>
      </c>
      <c r="C108" s="501">
        <f>+B108*([8]IPC!$S$15/[8]IPC!$N$21)</f>
        <v>6901680541.3628559</v>
      </c>
      <c r="D108" s="510">
        <v>5672144131.0300007</v>
      </c>
      <c r="E108" s="501">
        <f>+D108*([8]IPC!$S$15/[8]IPC!$O$21)</f>
        <v>6394640419.2269268</v>
      </c>
      <c r="F108" s="510">
        <v>6027990334.6000004</v>
      </c>
      <c r="G108" s="501">
        <f>+F108*([8]IPC!$S$15/[8]IPC!$P$21)</f>
        <v>6528664315.1358032</v>
      </c>
      <c r="H108" s="504">
        <v>7130051158.6499996</v>
      </c>
      <c r="I108" s="501">
        <f>+H108*([8]IPC!$S$15/[8]IPC!$Q$21)</f>
        <v>7484414701.2349052</v>
      </c>
      <c r="J108" s="511">
        <v>7726424298.9000006</v>
      </c>
      <c r="K108" s="501">
        <f>+J108*([8]IPC!$S$15/[8]IPC!$R$21)</f>
        <v>7813514052.5581217</v>
      </c>
      <c r="L108" s="501"/>
      <c r="M108" s="510">
        <v>6870221790</v>
      </c>
      <c r="N108" s="532">
        <f t="shared" ref="N108:N115" si="40">+(D108-B108)/D108</f>
        <v>-2.0638057899410703E-2</v>
      </c>
      <c r="O108" s="532">
        <f>+(F108-D108)/F108</f>
        <v>5.9032311569493019E-2</v>
      </c>
      <c r="P108" s="532">
        <f>+(H108-F108)/H108</f>
        <v>0.15456562646300323</v>
      </c>
      <c r="Q108" s="532">
        <f>+(J108-H108)/J108</f>
        <v>7.7186175283553315E-2</v>
      </c>
      <c r="R108" s="532">
        <f t="shared" si="38"/>
        <v>6.7536513854159708E-2</v>
      </c>
      <c r="S108" s="533">
        <f t="shared" si="34"/>
        <v>8200840132.8906097</v>
      </c>
      <c r="T108" s="538">
        <f>+S108*1.03</f>
        <v>8446865336.8773279</v>
      </c>
      <c r="U108" s="487">
        <f t="shared" si="30"/>
        <v>8446865336.8773279</v>
      </c>
    </row>
    <row r="109" spans="1:21" s="253" customFormat="1" x14ac:dyDescent="0.25">
      <c r="A109" s="500" t="s">
        <v>1127</v>
      </c>
      <c r="B109" s="509">
        <v>2957581000</v>
      </c>
      <c r="C109" s="501">
        <f>+B109*([8]IPC!$S$15/[8]IPC!$N$21)</f>
        <v>3525920244.9744463</v>
      </c>
      <c r="D109" s="510">
        <v>3187608000</v>
      </c>
      <c r="E109" s="501">
        <f>+D109*([8]IPC!$S$15/[8]IPC!$O$21)</f>
        <v>3593633463.2155514</v>
      </c>
      <c r="F109" s="510">
        <v>3328047000</v>
      </c>
      <c r="G109" s="501">
        <f>+F109*([8]IPC!$S$15/[8]IPC!$P$21)</f>
        <v>3604468567.7878661</v>
      </c>
      <c r="H109" s="504">
        <v>3182829400</v>
      </c>
      <c r="I109" s="501">
        <f>+H109*([8]IPC!$S$15/[8]IPC!$Q$21)</f>
        <v>3341016021.1800003</v>
      </c>
      <c r="J109" s="511">
        <v>3319978393</v>
      </c>
      <c r="K109" s="501">
        <f>+J109*([8]IPC!$S$15/[8]IPC!$R$21)</f>
        <v>3357400114.7708092</v>
      </c>
      <c r="L109" s="501"/>
      <c r="M109" s="510">
        <v>3469970833.3333402</v>
      </c>
      <c r="N109" s="532">
        <f t="shared" si="40"/>
        <v>7.2162888284883209E-2</v>
      </c>
      <c r="O109" s="532">
        <f>+(F109-D109)/F109</f>
        <v>4.2198622795892003E-2</v>
      </c>
      <c r="P109" s="532">
        <f>+(H109-F109)/H109</f>
        <v>-4.5625316895715494E-2</v>
      </c>
      <c r="Q109" s="532">
        <f>+(J109-H109)/J109</f>
        <v>4.1310206502901174E-2</v>
      </c>
      <c r="R109" s="532">
        <f t="shared" si="38"/>
        <v>2.7511600171990225E-2</v>
      </c>
      <c r="S109" s="533">
        <f t="shared" si="34"/>
        <v>3415842224.9220214</v>
      </c>
      <c r="T109" s="538">
        <f>+S109*1.03</f>
        <v>3518317491.669682</v>
      </c>
      <c r="U109" s="487">
        <f t="shared" si="30"/>
        <v>3518317491.669682</v>
      </c>
    </row>
    <row r="110" spans="1:21" s="253" customFormat="1" x14ac:dyDescent="0.25">
      <c r="A110" s="500" t="s">
        <v>1128</v>
      </c>
      <c r="B110" s="509">
        <v>4627445394.1199999</v>
      </c>
      <c r="C110" s="501">
        <f>+B110*([8]IPC!$S$15/[8]IPC!$N$21)</f>
        <v>5516671698.134882</v>
      </c>
      <c r="D110" s="510">
        <v>5032134083</v>
      </c>
      <c r="E110" s="501">
        <f>+D110*([8]IPC!$S$15/[8]IPC!$O$21)</f>
        <v>5673108309.4459238</v>
      </c>
      <c r="F110" s="510">
        <v>5297644865</v>
      </c>
      <c r="G110" s="501">
        <f>+F110*([8]IPC!$S$15/[8]IPC!$P$21)</f>
        <v>5737657671.0591211</v>
      </c>
      <c r="H110" s="504">
        <v>5036484170</v>
      </c>
      <c r="I110" s="501">
        <f>+H110*([8]IPC!$S$15/[8]IPC!$Q$21)</f>
        <v>5286797433.2490005</v>
      </c>
      <c r="J110" s="511">
        <v>6526968883</v>
      </c>
      <c r="K110" s="501">
        <f>+J110*([8]IPC!$S$15/[8]IPC!$R$21)</f>
        <v>6600538763.4731216</v>
      </c>
      <c r="L110" s="501"/>
      <c r="M110" s="510">
        <v>5848217739</v>
      </c>
      <c r="N110" s="532">
        <f t="shared" si="40"/>
        <v>8.0420887481348166E-2</v>
      </c>
      <c r="O110" s="532">
        <f>+(F110-D110)/F110</f>
        <v>5.0118644938650488E-2</v>
      </c>
      <c r="P110" s="532">
        <f>+(H110-F110)/H110</f>
        <v>-5.1853770643341464E-2</v>
      </c>
      <c r="Q110" s="532">
        <f>+(J110-H110)/J110</f>
        <v>0.22835787020251985</v>
      </c>
      <c r="R110" s="532">
        <f t="shared" si="38"/>
        <v>7.6760907994794264E-2</v>
      </c>
      <c r="S110" s="533">
        <f t="shared" si="34"/>
        <v>6969338524.2674932</v>
      </c>
      <c r="T110" s="538">
        <v>5997708272</v>
      </c>
      <c r="U110" s="487">
        <f t="shared" si="30"/>
        <v>5997708272</v>
      </c>
    </row>
    <row r="111" spans="1:21" s="253" customFormat="1" x14ac:dyDescent="0.25">
      <c r="A111" s="500" t="s">
        <v>1129</v>
      </c>
      <c r="B111" s="509">
        <v>0</v>
      </c>
      <c r="C111" s="501">
        <f>+B111*([8]IPC!$S$15/[8]IPC!$N$21)</f>
        <v>0</v>
      </c>
      <c r="D111" s="510">
        <v>41033484</v>
      </c>
      <c r="E111" s="501">
        <f>+D111*([8]IPC!$S$15/[8]IPC!$O$21)</f>
        <v>46260174.154011384</v>
      </c>
      <c r="F111" s="510">
        <v>47527970</v>
      </c>
      <c r="G111" s="501">
        <f>+F111*([8]IPC!$S$15/[8]IPC!$P$21)</f>
        <v>51475557.273008667</v>
      </c>
      <c r="H111" s="504">
        <v>59649303</v>
      </c>
      <c r="I111" s="501">
        <f>+H111*([8]IPC!$S$15/[8]IPC!$Q$21)</f>
        <v>62613873.359100007</v>
      </c>
      <c r="J111" s="511">
        <v>71070097</v>
      </c>
      <c r="K111" s="501">
        <f>+J111*([8]IPC!$S$15/[8]IPC!$R$21)</f>
        <v>71871176.128034681</v>
      </c>
      <c r="L111" s="501"/>
      <c r="M111" s="510">
        <v>51500000</v>
      </c>
      <c r="N111" s="532">
        <f t="shared" si="40"/>
        <v>1</v>
      </c>
      <c r="O111" s="532">
        <f>+(F111-D111)/F111</f>
        <v>0.1366455583943518</v>
      </c>
      <c r="P111" s="532">
        <f>+(H111-F111)/H111</f>
        <v>0.20320996877365022</v>
      </c>
      <c r="Q111" s="532">
        <f>+(J111-H111)/J111</f>
        <v>0.16069759972327038</v>
      </c>
      <c r="R111" s="532">
        <f t="shared" si="38"/>
        <v>0.3751382817228181</v>
      </c>
      <c r="S111" s="533">
        <f t="shared" si="34"/>
        <v>88493077.946493402</v>
      </c>
      <c r="T111" s="538">
        <f t="shared" ref="T111:T116" si="41">+S111*1.03</f>
        <v>91147870.284888208</v>
      </c>
      <c r="U111" s="487">
        <f t="shared" si="30"/>
        <v>91147870.284888208</v>
      </c>
    </row>
    <row r="112" spans="1:21" s="253" customFormat="1" x14ac:dyDescent="0.25">
      <c r="A112" s="500" t="s">
        <v>1130</v>
      </c>
      <c r="B112" s="509">
        <v>0</v>
      </c>
      <c r="C112" s="501">
        <f>+B112*([8]IPC!$S$15/[8]IPC!$N$21)</f>
        <v>0</v>
      </c>
      <c r="D112" s="510">
        <v>118492987</v>
      </c>
      <c r="E112" s="501">
        <f>+D112*([8]IPC!$S$15/[8]IPC!$O$21)</f>
        <v>133586175.97884223</v>
      </c>
      <c r="F112" s="510">
        <v>70127429</v>
      </c>
      <c r="G112" s="501">
        <f>+F112*([8]IPC!$S$15/[8]IPC!$P$21)</f>
        <v>75952086.485039204</v>
      </c>
      <c r="H112" s="504">
        <v>45202420</v>
      </c>
      <c r="I112" s="501">
        <f>+H112*([8]IPC!$S$15/[8]IPC!$Q$21)</f>
        <v>47448980.274000004</v>
      </c>
      <c r="J112" s="511">
        <v>30401876</v>
      </c>
      <c r="K112" s="501">
        <f>+J112*([8]IPC!$S$15/[8]IPC!$R$21)</f>
        <v>30744556.10520231</v>
      </c>
      <c r="L112" s="501"/>
      <c r="M112" s="510">
        <v>82400000</v>
      </c>
      <c r="N112" s="532">
        <f t="shared" si="40"/>
        <v>1</v>
      </c>
      <c r="O112" s="532">
        <f>+(F112-D112)/F112</f>
        <v>-0.68968103764363009</v>
      </c>
      <c r="P112" s="532">
        <f>+(H112-F112)/H112</f>
        <v>-0.55140872988658574</v>
      </c>
      <c r="Q112" s="532">
        <f>+(J112-H112)/J112</f>
        <v>-0.4868299574670984</v>
      </c>
      <c r="R112" s="532">
        <f t="shared" si="38"/>
        <v>-0.18197993124932854</v>
      </c>
      <c r="S112" s="533">
        <f t="shared" si="34"/>
        <v>19929593.405657999</v>
      </c>
      <c r="T112" s="538">
        <f t="shared" si="41"/>
        <v>20527481.207827739</v>
      </c>
      <c r="U112" s="487">
        <f t="shared" si="30"/>
        <v>20527481.207827739</v>
      </c>
    </row>
    <row r="113" spans="1:21" s="253" customFormat="1" x14ac:dyDescent="0.25">
      <c r="A113" s="500" t="s">
        <v>1977</v>
      </c>
      <c r="B113" s="509">
        <v>0</v>
      </c>
      <c r="C113" s="501">
        <f>+B113*([8]IPC!$S$15/[8]IPC!$N$21)</f>
        <v>0</v>
      </c>
      <c r="D113" s="510">
        <v>413847</v>
      </c>
      <c r="E113" s="501">
        <f>+D113*([8]IPC!$S$15/[8]IPC!$O$21)</f>
        <v>466561.26721082593</v>
      </c>
      <c r="F113" s="510">
        <v>0</v>
      </c>
      <c r="G113" s="501">
        <f>+F113*([8]IPC!$S$15/[8]IPC!$P$21)</f>
        <v>0</v>
      </c>
      <c r="H113" s="504">
        <v>0</v>
      </c>
      <c r="I113" s="501">
        <f>+H113*([8]IPC!$S$15/[8]IPC!$Q$21)</f>
        <v>0</v>
      </c>
      <c r="J113" s="511">
        <v>0</v>
      </c>
      <c r="K113" s="501">
        <f>+J113*([8]IPC!$S$15/[8]IPC!$R$21)</f>
        <v>0</v>
      </c>
      <c r="L113" s="501"/>
      <c r="M113" s="510">
        <v>0</v>
      </c>
      <c r="N113" s="532">
        <f t="shared" si="40"/>
        <v>1</v>
      </c>
      <c r="O113" s="532">
        <v>0</v>
      </c>
      <c r="P113" s="532">
        <v>0</v>
      </c>
      <c r="Q113" s="532">
        <v>0</v>
      </c>
      <c r="R113" s="532">
        <f t="shared" si="38"/>
        <v>0.25</v>
      </c>
      <c r="S113" s="533">
        <f t="shared" si="34"/>
        <v>23328.063360541295</v>
      </c>
      <c r="T113" s="510">
        <v>0</v>
      </c>
      <c r="U113" s="487">
        <f t="shared" si="30"/>
        <v>0</v>
      </c>
    </row>
    <row r="114" spans="1:21" s="253" customFormat="1" x14ac:dyDescent="0.25">
      <c r="A114" s="500" t="s">
        <v>1132</v>
      </c>
      <c r="B114" s="509">
        <v>1043283322</v>
      </c>
      <c r="C114" s="501">
        <f>+B114*([8]IPC!$S$15/[8]IPC!$N$21)</f>
        <v>1243764341.9686542</v>
      </c>
      <c r="D114" s="510">
        <v>1041273320.97</v>
      </c>
      <c r="E114" s="501">
        <f>+D114*([8]IPC!$S$15/[8]IPC!$O$21)</f>
        <v>1173906782.3243573</v>
      </c>
      <c r="F114" s="510">
        <v>2029088019.1899998</v>
      </c>
      <c r="G114" s="501">
        <f>+F114*([8]IPC!$S$15/[8]IPC!$P$21)</f>
        <v>2197620402.1293259</v>
      </c>
      <c r="H114" s="504">
        <v>1703248316.7400002</v>
      </c>
      <c r="I114" s="501">
        <f>+H114*([8]IPC!$S$15/[8]IPC!$Q$21)</f>
        <v>1787899758.0819783</v>
      </c>
      <c r="J114" s="511">
        <v>2208629340.0999999</v>
      </c>
      <c r="K114" s="501">
        <f>+J114*([8]IPC!$S$15/[8]IPC!$R$21)</f>
        <v>2233524295.0895662</v>
      </c>
      <c r="L114" s="501"/>
      <c r="M114" s="510">
        <v>2529866490</v>
      </c>
      <c r="N114" s="532">
        <f t="shared" si="40"/>
        <v>-1.9303299042825292E-3</v>
      </c>
      <c r="O114" s="532">
        <f>+(F114-D114)/F114</f>
        <v>0.48682693351781242</v>
      </c>
      <c r="P114" s="532">
        <f>+(H114-F114)/H114</f>
        <v>-0.19130487272322888</v>
      </c>
      <c r="Q114" s="532">
        <f>+(J114-H114)/J114</f>
        <v>0.22882111279800238</v>
      </c>
      <c r="R114" s="532">
        <f t="shared" si="38"/>
        <v>0.13060321092207583</v>
      </c>
      <c r="S114" s="533">
        <f t="shared" si="34"/>
        <v>2434225897.4031358</v>
      </c>
      <c r="T114" s="538">
        <f t="shared" si="41"/>
        <v>2507252674.3252301</v>
      </c>
      <c r="U114" s="487">
        <f t="shared" si="30"/>
        <v>2507252674.3252301</v>
      </c>
    </row>
    <row r="115" spans="1:21" s="253" customFormat="1" x14ac:dyDescent="0.25">
      <c r="A115" s="500" t="s">
        <v>1133</v>
      </c>
      <c r="B115" s="509">
        <v>912762320.5</v>
      </c>
      <c r="C115" s="501">
        <f>+B115*([8]IPC!$S$15/[8]IPC!$N$21)</f>
        <v>1088161962.3269165</v>
      </c>
      <c r="D115" s="510">
        <v>597808425</v>
      </c>
      <c r="E115" s="501">
        <f>+D115*([8]IPC!$S$15/[8]IPC!$O$21)</f>
        <v>673955003.46096015</v>
      </c>
      <c r="F115" s="510">
        <v>642062850</v>
      </c>
      <c r="G115" s="501">
        <f>+F115*([8]IPC!$S$15/[8]IPC!$P$21)</f>
        <v>695391429.67911685</v>
      </c>
      <c r="H115" s="504">
        <v>563195220.63</v>
      </c>
      <c r="I115" s="501">
        <f>+H115*([8]IPC!$S$15/[8]IPC!$Q$21)</f>
        <v>591186023.09531105</v>
      </c>
      <c r="J115" s="511">
        <v>708543122.5</v>
      </c>
      <c r="K115" s="501">
        <f>+J115*([8]IPC!$S$15/[8]IPC!$R$21)</f>
        <v>716529591.22182083</v>
      </c>
      <c r="L115" s="501"/>
      <c r="M115" s="510">
        <v>800000000</v>
      </c>
      <c r="N115" s="532">
        <f t="shared" si="40"/>
        <v>-0.52684753564655773</v>
      </c>
      <c r="O115" s="532">
        <f>+(F115-D115)/F115</f>
        <v>6.8925378566911319E-2</v>
      </c>
      <c r="P115" s="532">
        <f>+(H115-F115)/H115</f>
        <v>-0.14003604164427622</v>
      </c>
      <c r="Q115" s="532">
        <f>+(J115-H115)/J115</f>
        <v>0.20513628211810073</v>
      </c>
      <c r="R115" s="532">
        <f t="shared" si="38"/>
        <v>-9.8205479151455471E-2</v>
      </c>
      <c r="S115" s="533">
        <f t="shared" si="34"/>
        <v>634589996.90131712</v>
      </c>
      <c r="T115" s="538">
        <f t="shared" si="41"/>
        <v>653627696.80835664</v>
      </c>
      <c r="U115" s="487">
        <f t="shared" si="30"/>
        <v>653627696.80835664</v>
      </c>
    </row>
    <row r="116" spans="1:21" s="253" customFormat="1" x14ac:dyDescent="0.25">
      <c r="A116" s="500" t="s">
        <v>1087</v>
      </c>
      <c r="B116" s="509">
        <v>0</v>
      </c>
      <c r="C116" s="501">
        <f>+B116*([8]IPC!$S$15/[8]IPC!$N$21)</f>
        <v>0</v>
      </c>
      <c r="D116" s="510">
        <v>0</v>
      </c>
      <c r="E116" s="501">
        <f>+D116*([8]IPC!$S$15/[8]IPC!$O$21)</f>
        <v>0</v>
      </c>
      <c r="F116" s="510">
        <v>0</v>
      </c>
      <c r="G116" s="501">
        <f>+F116*([8]IPC!$S$15/[8]IPC!$P$21)</f>
        <v>0</v>
      </c>
      <c r="H116" s="504">
        <v>0</v>
      </c>
      <c r="I116" s="501">
        <f>+H116*([8]IPC!$S$15/[8]IPC!$Q$21)</f>
        <v>0</v>
      </c>
      <c r="J116" s="511">
        <v>0</v>
      </c>
      <c r="K116" s="501">
        <f>+J116*([8]IPC!$S$15/[8]IPC!$R$21)</f>
        <v>0</v>
      </c>
      <c r="L116" s="501"/>
      <c r="M116" s="510">
        <v>0</v>
      </c>
      <c r="N116" s="532">
        <v>0</v>
      </c>
      <c r="O116" s="532">
        <v>0</v>
      </c>
      <c r="P116" s="532">
        <v>0</v>
      </c>
      <c r="Q116" s="532">
        <v>0</v>
      </c>
      <c r="R116" s="532">
        <v>0</v>
      </c>
      <c r="S116" s="533">
        <f t="shared" si="34"/>
        <v>0</v>
      </c>
      <c r="T116" s="510">
        <f t="shared" si="41"/>
        <v>0</v>
      </c>
      <c r="U116" s="487">
        <f t="shared" si="30"/>
        <v>0</v>
      </c>
    </row>
    <row r="117" spans="1:21" s="253" customFormat="1" x14ac:dyDescent="0.25">
      <c r="A117" s="500" t="s">
        <v>1136</v>
      </c>
      <c r="B117" s="509">
        <v>47138056</v>
      </c>
      <c r="C117" s="501">
        <f>+B117*([8]IPC!$S$15/[8]IPC!$N$21)</f>
        <v>56196271.87189097</v>
      </c>
      <c r="D117" s="510">
        <v>1816194200</v>
      </c>
      <c r="E117" s="501">
        <f>+D117*([8]IPC!$S$15/[8]IPC!$O$21)</f>
        <v>2047534155.0209429</v>
      </c>
      <c r="F117" s="510">
        <v>1955694040</v>
      </c>
      <c r="G117" s="501">
        <f>+F117*([8]IPC!$S$15/[8]IPC!$P$21)</f>
        <v>2118130451.7003715</v>
      </c>
      <c r="H117" s="504">
        <v>1783764309.4000001</v>
      </c>
      <c r="I117" s="501">
        <f>+H117*([8]IPC!$S$15/[8]IPC!$Q$21)</f>
        <v>1872417395.5771801</v>
      </c>
      <c r="J117" s="511">
        <v>2105691489</v>
      </c>
      <c r="K117" s="501">
        <f>+J117*([8]IPC!$S$15/[8]IPC!$R$21)</f>
        <v>2129426161.85289</v>
      </c>
      <c r="L117" s="501"/>
      <c r="M117" s="510">
        <v>1822080000</v>
      </c>
      <c r="N117" s="532">
        <f t="shared" ref="N117:N122" si="42">+(D117-B117)/D117</f>
        <v>0.97404569621464487</v>
      </c>
      <c r="O117" s="532">
        <f>+(F117-D117)/F117</f>
        <v>7.1330094149082743E-2</v>
      </c>
      <c r="P117" s="532">
        <f>+(H117-F117)/H117</f>
        <v>-9.6385901261715146E-2</v>
      </c>
      <c r="Q117" s="532">
        <f>+(J117-H117)/J117</f>
        <v>0.1528843048859376</v>
      </c>
      <c r="R117" s="532">
        <f t="shared" si="38"/>
        <v>0.27546854849698749</v>
      </c>
      <c r="S117" s="533">
        <f t="shared" si="34"/>
        <v>2558765873.8519139</v>
      </c>
      <c r="T117" s="538">
        <v>1552030080</v>
      </c>
      <c r="U117" s="487">
        <f t="shared" si="30"/>
        <v>1552030080</v>
      </c>
    </row>
    <row r="118" spans="1:21" s="253" customFormat="1" x14ac:dyDescent="0.25">
      <c r="A118" s="523" t="s">
        <v>1137</v>
      </c>
      <c r="B118" s="509">
        <v>0</v>
      </c>
      <c r="C118" s="501">
        <f>+B118*([8]IPC!$S$15/[8]IPC!$N$21)</f>
        <v>0</v>
      </c>
      <c r="D118" s="510">
        <v>464640827</v>
      </c>
      <c r="E118" s="501">
        <f>+D118*([8]IPC!$S$15/[8]IPC!$O$21)</f>
        <v>523825019.97841263</v>
      </c>
      <c r="F118" s="510">
        <v>0</v>
      </c>
      <c r="G118" s="501">
        <f>+F118*([8]IPC!$S$15/[8]IPC!$P$21)</f>
        <v>0</v>
      </c>
      <c r="H118" s="504">
        <v>0</v>
      </c>
      <c r="I118" s="501">
        <f>+H118*([8]IPC!$S$15/[8]IPC!$Q$21)</f>
        <v>0</v>
      </c>
      <c r="J118" s="511">
        <v>0</v>
      </c>
      <c r="K118" s="501">
        <f>+J118*([8]IPC!$S$15/[8]IPC!$R$21)</f>
        <v>0</v>
      </c>
      <c r="L118" s="501"/>
      <c r="M118" s="510">
        <v>0</v>
      </c>
      <c r="N118" s="532">
        <f t="shared" si="42"/>
        <v>1</v>
      </c>
      <c r="O118" s="532">
        <v>0</v>
      </c>
      <c r="P118" s="532">
        <v>0</v>
      </c>
      <c r="Q118" s="532">
        <v>0</v>
      </c>
      <c r="R118" s="532">
        <f t="shared" si="38"/>
        <v>0.25</v>
      </c>
      <c r="S118" s="533">
        <f t="shared" si="34"/>
        <v>26191250.998920631</v>
      </c>
      <c r="T118" s="538">
        <v>19200000</v>
      </c>
      <c r="U118" s="487">
        <f t="shared" si="30"/>
        <v>19200000</v>
      </c>
    </row>
    <row r="119" spans="1:21" s="253" customFormat="1" x14ac:dyDescent="0.25">
      <c r="A119" s="500" t="s">
        <v>1138</v>
      </c>
      <c r="B119" s="509">
        <v>684784985</v>
      </c>
      <c r="C119" s="501">
        <f>+B119*([8]IPC!$S$15/[8]IPC!$N$21)</f>
        <v>816375694.21294713</v>
      </c>
      <c r="D119" s="510">
        <v>1064354210</v>
      </c>
      <c r="E119" s="501">
        <f>+D119*([8]IPC!$S$15/[8]IPC!$O$21)</f>
        <v>1199927627.7918591</v>
      </c>
      <c r="F119" s="510">
        <v>1239020388</v>
      </c>
      <c r="G119" s="501">
        <f>+F119*([8]IPC!$S$15/[8]IPC!$P$21)</f>
        <v>1341931181.6793232</v>
      </c>
      <c r="H119" s="504">
        <v>1078823905.21</v>
      </c>
      <c r="I119" s="501">
        <f>+H119*([8]IPC!$S$15/[8]IPC!$Q$21)</f>
        <v>1132441453.2989371</v>
      </c>
      <c r="J119" s="511">
        <v>795058320.86000001</v>
      </c>
      <c r="K119" s="501">
        <f>+J119*([8]IPC!$S$15/[8]IPC!$R$21)</f>
        <v>804019960.89281499</v>
      </c>
      <c r="L119" s="501"/>
      <c r="M119" s="510">
        <v>748850000</v>
      </c>
      <c r="N119" s="532">
        <f t="shared" si="42"/>
        <v>0.35661927339019966</v>
      </c>
      <c r="O119" s="532">
        <f>+(F119-D119)/F119</f>
        <v>0.14097118957174093</v>
      </c>
      <c r="P119" s="532">
        <f>+(H119-F119)/H119</f>
        <v>-0.14849178074045058</v>
      </c>
      <c r="Q119" s="532">
        <f>+(J119-H119)/J119</f>
        <v>-0.35691165906301814</v>
      </c>
      <c r="R119" s="532">
        <f t="shared" si="38"/>
        <v>-1.953244210382038E-3</v>
      </c>
      <c r="S119" s="533">
        <f t="shared" si="34"/>
        <v>792989954.0305351</v>
      </c>
      <c r="T119" s="538">
        <f>668014036</f>
        <v>668014036</v>
      </c>
      <c r="U119" s="487">
        <f t="shared" si="30"/>
        <v>668014036</v>
      </c>
    </row>
    <row r="120" spans="1:21" s="253" customFormat="1" x14ac:dyDescent="0.25">
      <c r="A120" s="500" t="s">
        <v>1139</v>
      </c>
      <c r="B120" s="509">
        <v>602528086</v>
      </c>
      <c r="C120" s="501">
        <f>+B120*([8]IPC!$S$15/[8]IPC!$N$21)</f>
        <v>718312018.02862012</v>
      </c>
      <c r="D120" s="510">
        <v>818609100</v>
      </c>
      <c r="E120" s="501">
        <f>+D120*([8]IPC!$S$15/[8]IPC!$O$21)</f>
        <v>922880434.18537211</v>
      </c>
      <c r="F120" s="510">
        <v>812733409</v>
      </c>
      <c r="G120" s="501">
        <f>+F120*([8]IPC!$S$15/[8]IPC!$P$21)</f>
        <v>880237576.79250932</v>
      </c>
      <c r="H120" s="504">
        <v>761346773.5</v>
      </c>
      <c r="I120" s="501">
        <f>+H120*([8]IPC!$S$15/[8]IPC!$Q$21)</f>
        <v>799185708.14295006</v>
      </c>
      <c r="J120" s="511">
        <v>909043192</v>
      </c>
      <c r="K120" s="501">
        <f>+J120*([8]IPC!$S$15/[8]IPC!$R$21)</f>
        <v>919289632.60346818</v>
      </c>
      <c r="L120" s="501"/>
      <c r="M120" s="510">
        <v>824500000</v>
      </c>
      <c r="N120" s="532">
        <f t="shared" si="42"/>
        <v>0.26396116779058526</v>
      </c>
      <c r="O120" s="532">
        <f>+(F120-D120)/F120</f>
        <v>-7.2295428426272556E-3</v>
      </c>
      <c r="P120" s="532">
        <f>+(H120-F120)/H120</f>
        <v>-6.7494389269911317E-2</v>
      </c>
      <c r="Q120" s="532">
        <f>+(J120-H120)/J120</f>
        <v>0.16247458844617804</v>
      </c>
      <c r="R120" s="532">
        <f t="shared" si="38"/>
        <v>8.7927956031056187E-2</v>
      </c>
      <c r="S120" s="533">
        <f t="shared" si="34"/>
        <v>983604434.58549476</v>
      </c>
      <c r="T120" s="538">
        <v>842700000</v>
      </c>
      <c r="U120" s="487">
        <f t="shared" si="30"/>
        <v>842700000</v>
      </c>
    </row>
    <row r="121" spans="1:21" s="253" customFormat="1" x14ac:dyDescent="0.25">
      <c r="A121" s="500" t="s">
        <v>1140</v>
      </c>
      <c r="B121" s="509">
        <v>0</v>
      </c>
      <c r="C121" s="501">
        <f>+B121*([8]IPC!$S$15/[8]IPC!$N$21)</f>
        <v>0</v>
      </c>
      <c r="D121" s="510">
        <v>16600000</v>
      </c>
      <c r="E121" s="501">
        <f>+D121*([8]IPC!$S$15/[8]IPC!$O$21)</f>
        <v>18714445.279776607</v>
      </c>
      <c r="F121" s="510">
        <v>39163732.329999998</v>
      </c>
      <c r="G121" s="501">
        <f>+F121*([8]IPC!$S$15/[8]IPC!$P$21)</f>
        <v>42416601.141973794</v>
      </c>
      <c r="H121" s="504">
        <v>0</v>
      </c>
      <c r="I121" s="501">
        <f>+H121*([8]IPC!$S$15/[8]IPC!$Q$21)</f>
        <v>0</v>
      </c>
      <c r="J121" s="511">
        <v>0</v>
      </c>
      <c r="K121" s="501">
        <f>+J121*([8]IPC!$S$15/[8]IPC!$R$21)</f>
        <v>0</v>
      </c>
      <c r="L121" s="501"/>
      <c r="M121" s="510">
        <v>0</v>
      </c>
      <c r="N121" s="532">
        <f t="shared" si="42"/>
        <v>1</v>
      </c>
      <c r="O121" s="532">
        <f>+(F121-D121)/F121</f>
        <v>0.5761384573838445</v>
      </c>
      <c r="P121" s="532">
        <v>0</v>
      </c>
      <c r="Q121" s="532">
        <v>0</v>
      </c>
      <c r="R121" s="532">
        <f t="shared" si="38"/>
        <v>0.3940346143459611</v>
      </c>
      <c r="S121" s="533"/>
      <c r="T121" s="510">
        <f t="shared" ref="T121:T126" si="43">+M121*1.03</f>
        <v>0</v>
      </c>
      <c r="U121" s="487">
        <f t="shared" si="30"/>
        <v>0</v>
      </c>
    </row>
    <row r="122" spans="1:21" s="253" customFormat="1" x14ac:dyDescent="0.25">
      <c r="A122" s="500" t="s">
        <v>1141</v>
      </c>
      <c r="B122" s="509">
        <v>2843942000</v>
      </c>
      <c r="C122" s="501">
        <f>+B122*([8]IPC!$S$15/[8]IPC!$N$21)</f>
        <v>3390443972.0613289</v>
      </c>
      <c r="D122" s="510">
        <v>3086366000</v>
      </c>
      <c r="E122" s="501">
        <f>+D122*([8]IPC!$S$15/[8]IPC!$O$21)</f>
        <v>3479495639.7809043</v>
      </c>
      <c r="F122" s="510">
        <v>3937884000</v>
      </c>
      <c r="G122" s="501">
        <f>+F122*([8]IPC!$S$15/[8]IPC!$P$21)</f>
        <v>4264957526.6198926</v>
      </c>
      <c r="H122" s="504">
        <v>3706252307</v>
      </c>
      <c r="I122" s="501">
        <f>+H122*([8]IPC!$S$15/[8]IPC!$Q$21)</f>
        <v>3890453046.6579003</v>
      </c>
      <c r="J122" s="511">
        <v>7650487373</v>
      </c>
      <c r="K122" s="501">
        <f>+J122*([8]IPC!$S$15/[8]IPC!$R$21)</f>
        <v>7736721190.2101154</v>
      </c>
      <c r="L122" s="501"/>
      <c r="M122" s="510">
        <v>6500000000</v>
      </c>
      <c r="N122" s="532">
        <f t="shared" si="42"/>
        <v>7.854674397009298E-2</v>
      </c>
      <c r="O122" s="532">
        <f>+(F122-D122)/F122</f>
        <v>0.21623745138251915</v>
      </c>
      <c r="P122" s="532">
        <f>+(H122-F122)/H122</f>
        <v>-6.2497551114509164E-2</v>
      </c>
      <c r="Q122" s="532">
        <f>+(J122-H122)/J122</f>
        <v>0.51555343780056984</v>
      </c>
      <c r="R122" s="532">
        <f t="shared" si="38"/>
        <v>0.1869600205096682</v>
      </c>
      <c r="S122" s="533">
        <f t="shared" si="34"/>
        <v>8501606839.2348509</v>
      </c>
      <c r="T122" s="538">
        <f>+S122*1.03</f>
        <v>8756655044.4118958</v>
      </c>
      <c r="U122" s="487">
        <f t="shared" si="30"/>
        <v>8756655044.4118958</v>
      </c>
    </row>
    <row r="123" spans="1:21" s="253" customFormat="1" x14ac:dyDescent="0.25">
      <c r="A123" s="500" t="s">
        <v>1142</v>
      </c>
      <c r="B123" s="509">
        <v>0</v>
      </c>
      <c r="C123" s="501">
        <f>+B123*([8]IPC!$S$15/[8]IPC!$N$21)</f>
        <v>0</v>
      </c>
      <c r="D123" s="510">
        <v>0</v>
      </c>
      <c r="E123" s="501">
        <f>+D123*([8]IPC!$S$15/[8]IPC!$O$21)</f>
        <v>0</v>
      </c>
      <c r="F123" s="510">
        <v>0</v>
      </c>
      <c r="G123" s="501">
        <f>+F123*([8]IPC!$S$15/[8]IPC!$P$21)</f>
        <v>0</v>
      </c>
      <c r="H123" s="504">
        <v>9241365080</v>
      </c>
      <c r="I123" s="501">
        <f>+H123*([8]IPC!$S$15/[8]IPC!$Q$21)</f>
        <v>9700660924.4759998</v>
      </c>
      <c r="J123" s="511">
        <v>0</v>
      </c>
      <c r="K123" s="501">
        <f>+J123*([8]IPC!$S$15/[8]IPC!$R$21)</f>
        <v>0</v>
      </c>
      <c r="L123" s="501"/>
      <c r="M123" s="510">
        <v>1751290800</v>
      </c>
      <c r="N123" s="532">
        <v>0</v>
      </c>
      <c r="O123" s="532">
        <v>0</v>
      </c>
      <c r="P123" s="532">
        <f>+(H123-F123)/H123</f>
        <v>1</v>
      </c>
      <c r="Q123" s="532">
        <v>0</v>
      </c>
      <c r="R123" s="532">
        <v>0</v>
      </c>
      <c r="S123" s="533">
        <f>+I123</f>
        <v>9700660924.4759998</v>
      </c>
      <c r="T123" s="538">
        <v>8402737426</v>
      </c>
      <c r="U123" s="487">
        <f t="shared" si="30"/>
        <v>8402737426</v>
      </c>
    </row>
    <row r="124" spans="1:21" s="253" customFormat="1" x14ac:dyDescent="0.25">
      <c r="A124" s="500" t="s">
        <v>1143</v>
      </c>
      <c r="B124" s="509">
        <v>417748176.28000003</v>
      </c>
      <c r="C124" s="501">
        <f>+B124*([8]IPC!$S$15/[8]IPC!$N$21)</f>
        <v>498024146.10007501</v>
      </c>
      <c r="D124" s="510">
        <v>719672899</v>
      </c>
      <c r="E124" s="501">
        <f>+D124*([8]IPC!$S$15/[8]IPC!$O$21)</f>
        <v>811342113.71528304</v>
      </c>
      <c r="F124" s="510">
        <v>736429255</v>
      </c>
      <c r="G124" s="501">
        <f>+F124*([8]IPC!$S$15/[8]IPC!$P$21)</f>
        <v>797595737.69449031</v>
      </c>
      <c r="H124" s="504">
        <v>656436513</v>
      </c>
      <c r="I124" s="501">
        <f>+H124*([8]IPC!$S$15/[8]IPC!$Q$21)</f>
        <v>689061407.6961</v>
      </c>
      <c r="J124" s="511">
        <v>785124839</v>
      </c>
      <c r="K124" s="501">
        <f>+J124*([8]IPC!$S$15/[8]IPC!$R$21)</f>
        <v>793974512.04075146</v>
      </c>
      <c r="L124" s="501"/>
      <c r="M124" s="510">
        <v>510000000</v>
      </c>
      <c r="N124" s="532">
        <f>+(D124-B124)/D124</f>
        <v>0.41953048828089878</v>
      </c>
      <c r="O124" s="532">
        <f>+(F124-D124)/F124</f>
        <v>2.2753517579906572E-2</v>
      </c>
      <c r="P124" s="532">
        <f>+(H124-F124)/H124</f>
        <v>-0.12185906849456438</v>
      </c>
      <c r="Q124" s="532">
        <f>+(J124-H124)/J124</f>
        <v>0.16390810684821552</v>
      </c>
      <c r="R124" s="532">
        <f t="shared" si="38"/>
        <v>0.12108326105361414</v>
      </c>
      <c r="S124" s="533">
        <f t="shared" si="34"/>
        <v>872062569.9991827</v>
      </c>
      <c r="T124" s="538">
        <v>421146797</v>
      </c>
      <c r="U124" s="487">
        <f t="shared" si="30"/>
        <v>421146797</v>
      </c>
    </row>
    <row r="125" spans="1:21" s="253" customFormat="1" ht="24" hidden="1" x14ac:dyDescent="0.25">
      <c r="A125" s="500" t="s">
        <v>1144</v>
      </c>
      <c r="B125" s="509">
        <v>166048524</v>
      </c>
      <c r="C125" s="501">
        <f>+B125*([8]IPC!$S$15/[8]IPC!$N$21)</f>
        <v>197956996.75502554</v>
      </c>
      <c r="D125" s="510">
        <v>165741571.37</v>
      </c>
      <c r="E125" s="501">
        <f>+D125*([8]IPC!$S$15/[8]IPC!$O$21)</f>
        <v>186853106.50530449</v>
      </c>
      <c r="F125" s="510">
        <v>3632811</v>
      </c>
      <c r="G125" s="501">
        <f>+F125*([8]IPC!$S$15/[8]IPC!$P$21)</f>
        <v>3934545.7147131655</v>
      </c>
      <c r="H125" s="504">
        <v>0</v>
      </c>
      <c r="I125" s="501">
        <f>+H125*([8]IPC!$S$15/[8]IPC!$Q$21)</f>
        <v>0</v>
      </c>
      <c r="J125" s="511">
        <v>0</v>
      </c>
      <c r="K125" s="501">
        <f>+J125*([8]IPC!$S$15/[8]IPC!$R$21)</f>
        <v>0</v>
      </c>
      <c r="L125" s="501"/>
      <c r="M125" s="510">
        <v>0</v>
      </c>
      <c r="N125" s="532"/>
      <c r="O125" s="532"/>
      <c r="P125" s="532"/>
      <c r="Q125" s="532"/>
      <c r="R125" s="532"/>
      <c r="S125" s="533"/>
      <c r="T125" s="510">
        <f t="shared" si="43"/>
        <v>0</v>
      </c>
      <c r="U125" s="487">
        <f t="shared" si="30"/>
        <v>0</v>
      </c>
    </row>
    <row r="126" spans="1:21" s="253" customFormat="1" hidden="1" x14ac:dyDescent="0.25">
      <c r="A126" s="500" t="s">
        <v>1145</v>
      </c>
      <c r="B126" s="509">
        <v>644863450</v>
      </c>
      <c r="C126" s="501">
        <f>+B126*([8]IPC!$S$15/[8]IPC!$N$21)</f>
        <v>768782695.58773422</v>
      </c>
      <c r="D126" s="510">
        <v>632049200.63</v>
      </c>
      <c r="E126" s="501">
        <f>+D126*([8]IPC!$S$15/[8]IPC!$O$21)</f>
        <v>712557239.71787238</v>
      </c>
      <c r="F126" s="510">
        <v>58652919</v>
      </c>
      <c r="G126" s="501">
        <f>+F126*([8]IPC!$S$15/[8]IPC!$P$21)</f>
        <v>63524524.426640525</v>
      </c>
      <c r="H126" s="504">
        <v>0</v>
      </c>
      <c r="I126" s="501">
        <f>+H126*([8]IPC!$S$15/[8]IPC!$Q$21)</f>
        <v>0</v>
      </c>
      <c r="J126" s="511">
        <v>0</v>
      </c>
      <c r="K126" s="501">
        <f>+J126*([8]IPC!$S$15/[8]IPC!$R$21)</f>
        <v>0</v>
      </c>
      <c r="L126" s="501"/>
      <c r="M126" s="510">
        <v>0</v>
      </c>
      <c r="N126" s="532"/>
      <c r="O126" s="532"/>
      <c r="P126" s="532"/>
      <c r="Q126" s="532"/>
      <c r="R126" s="532"/>
      <c r="S126" s="533"/>
      <c r="T126" s="510">
        <f t="shared" si="43"/>
        <v>0</v>
      </c>
      <c r="U126" s="487">
        <f t="shared" si="30"/>
        <v>0</v>
      </c>
    </row>
    <row r="127" spans="1:21" s="253" customFormat="1" x14ac:dyDescent="0.25">
      <c r="A127" s="500" t="e">
        <f>+#REF!</f>
        <v>#REF!</v>
      </c>
      <c r="B127" s="509"/>
      <c r="C127" s="501"/>
      <c r="D127" s="510"/>
      <c r="E127" s="501"/>
      <c r="F127" s="510"/>
      <c r="G127" s="501"/>
      <c r="H127" s="504"/>
      <c r="I127" s="501"/>
      <c r="J127" s="511"/>
      <c r="K127" s="501"/>
      <c r="L127" s="501"/>
      <c r="M127" s="510"/>
      <c r="N127" s="532"/>
      <c r="O127" s="532"/>
      <c r="P127" s="532"/>
      <c r="Q127" s="532"/>
      <c r="R127" s="532"/>
      <c r="S127" s="533"/>
      <c r="T127" s="538" t="e">
        <f>+#REF!</f>
        <v>#REF!</v>
      </c>
      <c r="U127" s="487"/>
    </row>
    <row r="128" spans="1:21" s="253" customFormat="1" x14ac:dyDescent="0.25">
      <c r="A128" s="500" t="s">
        <v>1146</v>
      </c>
      <c r="B128" s="509">
        <v>6002766498.3300018</v>
      </c>
      <c r="C128" s="501">
        <f>+B128*([8]IPC!$S$15/[8]IPC!$N$21)</f>
        <v>7156279379.0993786</v>
      </c>
      <c r="D128" s="510">
        <v>2880224672</v>
      </c>
      <c r="E128" s="501">
        <f>+D128*([8]IPC!$S$15/[8]IPC!$O$21)</f>
        <v>3247096808.2895498</v>
      </c>
      <c r="F128" s="510">
        <v>1679936750</v>
      </c>
      <c r="G128" s="501">
        <f>+F128*([8]IPC!$S$15/[8]IPC!$P$21)</f>
        <v>1819469259.6729262</v>
      </c>
      <c r="H128" s="504">
        <v>1449982320</v>
      </c>
      <c r="I128" s="501">
        <f>+H128*([8]IPC!$S$15/[8]IPC!$Q$21)</f>
        <v>1522046441.3040001</v>
      </c>
      <c r="J128" s="511">
        <v>2597835657.9200001</v>
      </c>
      <c r="K128" s="501">
        <f>+J128*([8]IPC!$S$15/[8]IPC!$R$21)</f>
        <v>2627117620.5381732</v>
      </c>
      <c r="L128" s="501"/>
      <c r="M128" s="510">
        <v>1969046767</v>
      </c>
      <c r="N128" s="532"/>
      <c r="O128" s="532"/>
      <c r="P128" s="532"/>
      <c r="Q128" s="532"/>
      <c r="R128" s="532"/>
      <c r="S128" s="533">
        <f t="shared" si="34"/>
        <v>2597835657.9200001</v>
      </c>
      <c r="T128" s="538">
        <v>1754466997</v>
      </c>
      <c r="U128" s="487">
        <f t="shared" si="30"/>
        <v>1754466997</v>
      </c>
    </row>
    <row r="129" spans="1:21" s="253" customFormat="1" x14ac:dyDescent="0.25">
      <c r="A129" s="496" t="s">
        <v>1065</v>
      </c>
      <c r="B129" s="506">
        <f>+B130+B131</f>
        <v>5894008780</v>
      </c>
      <c r="C129" s="506">
        <f t="shared" ref="C129:M129" si="44">+C130+C131</f>
        <v>7026622392.2385006</v>
      </c>
      <c r="D129" s="506">
        <f t="shared" si="44"/>
        <v>2141958658</v>
      </c>
      <c r="E129" s="506">
        <f t="shared" si="44"/>
        <v>2414793258.8364301</v>
      </c>
      <c r="F129" s="506">
        <f t="shared" si="44"/>
        <v>2318525351</v>
      </c>
      <c r="G129" s="506">
        <f t="shared" si="44"/>
        <v>2511097875.5104208</v>
      </c>
      <c r="H129" s="506">
        <f t="shared" si="44"/>
        <v>2514716632</v>
      </c>
      <c r="I129" s="506">
        <f t="shared" si="44"/>
        <v>2639698048.6104002</v>
      </c>
      <c r="J129" s="506">
        <f t="shared" si="44"/>
        <v>2591680073</v>
      </c>
      <c r="K129" s="506">
        <f t="shared" si="44"/>
        <v>2620892651.8575144</v>
      </c>
      <c r="L129" s="506"/>
      <c r="M129" s="506">
        <f t="shared" si="44"/>
        <v>2669000000</v>
      </c>
      <c r="N129" s="506"/>
      <c r="O129" s="506"/>
      <c r="P129" s="506"/>
      <c r="Q129" s="506"/>
      <c r="R129" s="506"/>
      <c r="S129" s="506">
        <f>+S130+S131</f>
        <v>2766983630</v>
      </c>
      <c r="T129" s="506">
        <f>+T130+T131</f>
        <v>2751236459</v>
      </c>
      <c r="U129" s="487">
        <f t="shared" si="30"/>
        <v>2751236459</v>
      </c>
    </row>
    <row r="130" spans="1:21" s="253" customFormat="1" x14ac:dyDescent="0.25">
      <c r="A130" s="500" t="s">
        <v>1066</v>
      </c>
      <c r="B130" s="509">
        <v>1895949147</v>
      </c>
      <c r="C130" s="501">
        <f>+B130*([8]IPC!$S$15/[8]IPC!$N$21)</f>
        <v>2260281453.2718911</v>
      </c>
      <c r="D130" s="504">
        <v>2141958658</v>
      </c>
      <c r="E130" s="501">
        <f>+D130*([8]IPC!$S$15/[8]IPC!$O$21)</f>
        <v>2414793258.8364301</v>
      </c>
      <c r="F130" s="504">
        <v>2318525351</v>
      </c>
      <c r="G130" s="501">
        <f>+F130*([8]IPC!$S$15/[8]IPC!$P$21)</f>
        <v>2511097875.5104208</v>
      </c>
      <c r="H130" s="504">
        <v>2514716632</v>
      </c>
      <c r="I130" s="501">
        <f>+H130*([8]IPC!$S$15/[8]IPC!$Q$21)</f>
        <v>2639698048.6104002</v>
      </c>
      <c r="J130" s="504">
        <v>2591680073</v>
      </c>
      <c r="K130" s="501">
        <f>+J130*([8]IPC!$S$15/[8]IPC!$R$21)</f>
        <v>2620892651.8575144</v>
      </c>
      <c r="L130" s="501"/>
      <c r="M130" s="504">
        <v>2669000000</v>
      </c>
      <c r="N130" s="532">
        <f>+(D130-B130)/D130</f>
        <v>0.11485259534827119</v>
      </c>
      <c r="O130" s="532">
        <f>+(F130-D130)/F130</f>
        <v>7.6154739012814873E-2</v>
      </c>
      <c r="P130" s="532">
        <f>+(H130-F130)/H130</f>
        <v>7.8017251925504419E-2</v>
      </c>
      <c r="Q130" s="532">
        <f>+(J130-H130)/J130</f>
        <v>2.9696350950798856E-2</v>
      </c>
      <c r="R130" s="532">
        <f t="shared" si="38"/>
        <v>7.4680234309347338E-2</v>
      </c>
      <c r="S130" s="533">
        <v>2766983630</v>
      </c>
      <c r="T130" s="535">
        <v>2751236459</v>
      </c>
      <c r="U130" s="487">
        <f t="shared" si="30"/>
        <v>2751236459</v>
      </c>
    </row>
    <row r="131" spans="1:21" s="253" customFormat="1" x14ac:dyDescent="0.25">
      <c r="A131" s="500" t="s">
        <v>1148</v>
      </c>
      <c r="B131" s="509">
        <v>3998059633</v>
      </c>
      <c r="C131" s="501">
        <f>+B131*([8]IPC!$S$15/[8]IPC!$N$21)</f>
        <v>4766340938.96661</v>
      </c>
      <c r="D131" s="504">
        <v>0</v>
      </c>
      <c r="E131" s="501">
        <f>+D131*([8]IPC!$S$15/[8]IPC!$O$21)</f>
        <v>0</v>
      </c>
      <c r="F131" s="504">
        <v>0</v>
      </c>
      <c r="G131" s="501">
        <f>+F131*([8]IPC!$S$15/[8]IPC!$P$21)</f>
        <v>0</v>
      </c>
      <c r="H131" s="504">
        <v>0</v>
      </c>
      <c r="I131" s="501">
        <f>+H131*([8]IPC!$S$15/[8]IPC!$Q$21)</f>
        <v>0</v>
      </c>
      <c r="J131" s="504">
        <v>0</v>
      </c>
      <c r="K131" s="501">
        <f>+J131*([8]IPC!$S$15/[8]IPC!$R$21)</f>
        <v>0</v>
      </c>
      <c r="L131" s="501"/>
      <c r="M131" s="504">
        <v>0</v>
      </c>
      <c r="N131" s="532">
        <v>0</v>
      </c>
      <c r="O131" s="532">
        <v>0</v>
      </c>
      <c r="P131" s="532">
        <v>0</v>
      </c>
      <c r="Q131" s="532">
        <v>0</v>
      </c>
      <c r="R131" s="532">
        <v>0</v>
      </c>
      <c r="S131" s="533">
        <f>+((C131+E131+G131+I131+K131)/5)*R131+J131</f>
        <v>0</v>
      </c>
      <c r="T131" s="510">
        <f>+S131*1.03</f>
        <v>0</v>
      </c>
      <c r="U131" s="487">
        <f t="shared" si="30"/>
        <v>0</v>
      </c>
    </row>
    <row r="132" spans="1:21" s="253" customFormat="1" x14ac:dyDescent="0.25">
      <c r="A132" s="496" t="s">
        <v>961</v>
      </c>
      <c r="B132" s="506">
        <f t="shared" ref="B132:M132" si="45">+B133</f>
        <v>3812635261.73</v>
      </c>
      <c r="C132" s="506">
        <f t="shared" si="45"/>
        <v>4545284763.4730053</v>
      </c>
      <c r="D132" s="506">
        <f t="shared" si="45"/>
        <v>3551445354.8699999</v>
      </c>
      <c r="E132" s="506">
        <f t="shared" si="45"/>
        <v>4003815045.6524959</v>
      </c>
      <c r="F132" s="506">
        <f t="shared" si="45"/>
        <v>1452461762.0999999</v>
      </c>
      <c r="G132" s="506">
        <f t="shared" si="45"/>
        <v>1573100610.4791269</v>
      </c>
      <c r="H132" s="506">
        <f t="shared" si="45"/>
        <v>2125937388.2</v>
      </c>
      <c r="I132" s="506">
        <f t="shared" si="45"/>
        <v>2231596476.3935404</v>
      </c>
      <c r="J132" s="506">
        <f t="shared" si="45"/>
        <v>1471834403.8</v>
      </c>
      <c r="K132" s="506">
        <f t="shared" si="45"/>
        <v>1488424444.7676878</v>
      </c>
      <c r="L132" s="506"/>
      <c r="M132" s="506">
        <f t="shared" si="45"/>
        <v>1600000000</v>
      </c>
      <c r="N132" s="506"/>
      <c r="O132" s="506"/>
      <c r="P132" s="506"/>
      <c r="Q132" s="506"/>
      <c r="R132" s="506"/>
      <c r="S132" s="531">
        <v>1600000000</v>
      </c>
      <c r="T132" s="506">
        <f>+T133</f>
        <v>1648000000</v>
      </c>
      <c r="U132" s="487">
        <f t="shared" si="30"/>
        <v>1648000000</v>
      </c>
    </row>
    <row r="133" spans="1:21" x14ac:dyDescent="0.25">
      <c r="A133" s="500" t="s">
        <v>1149</v>
      </c>
      <c r="B133" s="509">
        <v>3812635261.73</v>
      </c>
      <c r="C133" s="501">
        <f>+B133*([8]IPC!$S$15/[8]IPC!$N$21)</f>
        <v>4545284763.4730053</v>
      </c>
      <c r="D133" s="510">
        <v>3551445354.8699999</v>
      </c>
      <c r="E133" s="501">
        <f>+D133*([8]IPC!$S$15/[8]IPC!$O$21)</f>
        <v>4003815045.6524959</v>
      </c>
      <c r="F133" s="510">
        <v>1452461762.0999999</v>
      </c>
      <c r="G133" s="501">
        <f>+F133*([8]IPC!$S$15/[8]IPC!$P$21)</f>
        <v>1573100610.4791269</v>
      </c>
      <c r="H133" s="504">
        <v>2125937388.2</v>
      </c>
      <c r="I133" s="501">
        <f>+H133*([8]IPC!$S$15/[8]IPC!$Q$21)</f>
        <v>2231596476.3935404</v>
      </c>
      <c r="J133" s="511">
        <v>1471834403.8</v>
      </c>
      <c r="K133" s="501">
        <f>+J133*([8]IPC!$S$15/[8]IPC!$R$21)</f>
        <v>1488424444.7676878</v>
      </c>
      <c r="L133" s="501"/>
      <c r="M133" s="510">
        <v>1600000000</v>
      </c>
      <c r="N133" s="532">
        <f>+(D133-B133)/D133</f>
        <v>-7.3544678507255518E-2</v>
      </c>
      <c r="O133" s="532">
        <f>+(F133-D133)/F133</f>
        <v>-1.4451214121707721</v>
      </c>
      <c r="P133" s="532">
        <f>+(H133-F133)/H133</f>
        <v>0.31678996278917793</v>
      </c>
      <c r="Q133" s="532">
        <f>+(J133-H133)/J133</f>
        <v>-0.4444134358534011</v>
      </c>
      <c r="R133" s="532">
        <f t="shared" si="38"/>
        <v>-0.41157239093556269</v>
      </c>
      <c r="S133" s="533">
        <f>+S132</f>
        <v>1600000000</v>
      </c>
      <c r="T133" s="510">
        <f>+S133*1.03</f>
        <v>1648000000</v>
      </c>
      <c r="U133" s="487">
        <f t="shared" si="30"/>
        <v>1648000000</v>
      </c>
    </row>
    <row r="134" spans="1:21" s="253" customFormat="1" x14ac:dyDescent="0.25">
      <c r="A134" s="498" t="s">
        <v>954</v>
      </c>
      <c r="B134" s="537">
        <f t="shared" ref="B134:M134" si="46">+B135+B149</f>
        <v>24876294016.599998</v>
      </c>
      <c r="C134" s="537">
        <f t="shared" si="46"/>
        <v>1044685779.9262011</v>
      </c>
      <c r="D134" s="537">
        <f t="shared" si="46"/>
        <v>960638468.73000002</v>
      </c>
      <c r="E134" s="537">
        <f t="shared" si="46"/>
        <v>1083000967.2708421</v>
      </c>
      <c r="F134" s="537">
        <f t="shared" si="46"/>
        <v>1627416909.9299998</v>
      </c>
      <c r="G134" s="537">
        <f t="shared" si="46"/>
        <v>1762587216.6255889</v>
      </c>
      <c r="H134" s="537">
        <f t="shared" si="46"/>
        <v>4354629422.6199999</v>
      </c>
      <c r="I134" s="537">
        <f t="shared" si="46"/>
        <v>4571054504.9242144</v>
      </c>
      <c r="J134" s="537">
        <f t="shared" si="46"/>
        <v>10733819210.299999</v>
      </c>
      <c r="K134" s="537">
        <f t="shared" si="46"/>
        <v>10854807345.907427</v>
      </c>
      <c r="L134" s="537"/>
      <c r="M134" s="537">
        <f t="shared" si="46"/>
        <v>1006199999</v>
      </c>
      <c r="N134" s="537"/>
      <c r="O134" s="537"/>
      <c r="P134" s="537"/>
      <c r="Q134" s="537"/>
      <c r="R134" s="537"/>
      <c r="S134" s="537">
        <f>+S140+S147+S149+S170</f>
        <v>7352877807.2898846</v>
      </c>
      <c r="T134" s="537">
        <f>+T140+T147+T149+T170</f>
        <v>6341396837.9870586</v>
      </c>
      <c r="U134" s="487"/>
    </row>
    <row r="135" spans="1:21" x14ac:dyDescent="0.25">
      <c r="A135" s="496" t="s">
        <v>165</v>
      </c>
      <c r="B135" s="524">
        <f>+B136</f>
        <v>24000000000</v>
      </c>
      <c r="C135" s="501"/>
      <c r="D135" s="524">
        <f t="shared" ref="D135:M135" si="47">+D136</f>
        <v>0</v>
      </c>
      <c r="E135" s="501">
        <f>+D135*([8]IPC!$S$15/[8]IPC!$O$21)</f>
        <v>0</v>
      </c>
      <c r="F135" s="524">
        <f t="shared" si="47"/>
        <v>0</v>
      </c>
      <c r="G135" s="501">
        <f>+F135*([8]IPC!$S$15/[8]IPC!$P$21)</f>
        <v>0</v>
      </c>
      <c r="H135" s="524">
        <f t="shared" si="47"/>
        <v>3600000000</v>
      </c>
      <c r="I135" s="501">
        <f>+H135*([8]IPC!$S$15/[8]IPC!$Q$21)</f>
        <v>3778920000.0000005</v>
      </c>
      <c r="J135" s="524">
        <f t="shared" si="47"/>
        <v>9953658033.5</v>
      </c>
      <c r="K135" s="501">
        <f>+J135*([8]IPC!$S$15/[8]IPC!$R$21)</f>
        <v>10065852444.86026</v>
      </c>
      <c r="L135" s="501"/>
      <c r="M135" s="524">
        <f t="shared" si="47"/>
        <v>0</v>
      </c>
      <c r="N135" s="524"/>
      <c r="O135" s="524"/>
      <c r="P135" s="524"/>
      <c r="Q135" s="524"/>
      <c r="R135" s="524"/>
      <c r="S135" s="533"/>
      <c r="T135" s="524"/>
      <c r="U135" s="487">
        <f t="shared" si="30"/>
        <v>0</v>
      </c>
    </row>
    <row r="136" spans="1:21" s="253" customFormat="1" ht="16.5" customHeight="1" x14ac:dyDescent="0.25">
      <c r="A136" s="496" t="s">
        <v>1150</v>
      </c>
      <c r="B136" s="506">
        <f t="shared" ref="B136:M136" si="48">SUM(B137:B138)</f>
        <v>24000000000</v>
      </c>
      <c r="C136" s="501"/>
      <c r="D136" s="506">
        <f t="shared" si="48"/>
        <v>0</v>
      </c>
      <c r="E136" s="501">
        <f>+D136*([8]IPC!$S$15/[8]IPC!$O$21)</f>
        <v>0</v>
      </c>
      <c r="F136" s="506">
        <f t="shared" si="48"/>
        <v>0</v>
      </c>
      <c r="G136" s="501">
        <f>+F136*([8]IPC!$S$15/[8]IPC!$P$21)</f>
        <v>0</v>
      </c>
      <c r="H136" s="506">
        <f t="shared" si="48"/>
        <v>3600000000</v>
      </c>
      <c r="I136" s="501">
        <f>+H136*([8]IPC!$S$15/[8]IPC!$Q$21)</f>
        <v>3778920000.0000005</v>
      </c>
      <c r="J136" s="506">
        <f t="shared" si="48"/>
        <v>9953658033.5</v>
      </c>
      <c r="K136" s="501">
        <f>+J136*([8]IPC!$S$15/[8]IPC!$R$21)</f>
        <v>10065852444.86026</v>
      </c>
      <c r="L136" s="501"/>
      <c r="M136" s="506">
        <f t="shared" si="48"/>
        <v>0</v>
      </c>
      <c r="N136" s="506"/>
      <c r="O136" s="506"/>
      <c r="P136" s="506"/>
      <c r="Q136" s="506"/>
      <c r="R136" s="506"/>
      <c r="S136" s="533"/>
      <c r="T136" s="506"/>
      <c r="U136" s="487">
        <f t="shared" si="30"/>
        <v>0</v>
      </c>
    </row>
    <row r="137" spans="1:21" s="253" customFormat="1" x14ac:dyDescent="0.25">
      <c r="A137" s="500" t="s">
        <v>1151</v>
      </c>
      <c r="B137" s="509">
        <v>24000000000</v>
      </c>
      <c r="C137" s="501"/>
      <c r="D137" s="504">
        <v>0</v>
      </c>
      <c r="E137" s="501">
        <f>+D137*([8]IPC!$S$15/[8]IPC!$O$21)</f>
        <v>0</v>
      </c>
      <c r="F137" s="504">
        <v>0</v>
      </c>
      <c r="G137" s="501">
        <f>+F137*([8]IPC!$S$15/[8]IPC!$P$21)</f>
        <v>0</v>
      </c>
      <c r="H137" s="506">
        <v>0</v>
      </c>
      <c r="I137" s="501">
        <f>+H137*([8]IPC!$S$15/[8]IPC!$Q$21)</f>
        <v>0</v>
      </c>
      <c r="J137" s="504">
        <v>0</v>
      </c>
      <c r="K137" s="501">
        <f>+J137*([8]IPC!$S$15/[8]IPC!$R$21)</f>
        <v>0</v>
      </c>
      <c r="L137" s="501"/>
      <c r="M137" s="504">
        <v>0</v>
      </c>
      <c r="N137" s="532">
        <v>0</v>
      </c>
      <c r="O137" s="532">
        <v>0</v>
      </c>
      <c r="P137" s="532">
        <v>0</v>
      </c>
      <c r="Q137" s="532">
        <v>0</v>
      </c>
      <c r="R137" s="532">
        <v>0</v>
      </c>
      <c r="S137" s="533"/>
      <c r="T137" s="510"/>
      <c r="U137" s="487">
        <f t="shared" si="30"/>
        <v>0</v>
      </c>
    </row>
    <row r="138" spans="1:21" s="253" customFormat="1" x14ac:dyDescent="0.25">
      <c r="A138" s="500" t="s">
        <v>1152</v>
      </c>
      <c r="B138" s="509">
        <v>0</v>
      </c>
      <c r="C138" s="501">
        <f>+B138*([8]IPC!$S$15/[8]IPC!$N$21)</f>
        <v>0</v>
      </c>
      <c r="D138" s="504">
        <v>0</v>
      </c>
      <c r="E138" s="501">
        <f>+D138*([8]IPC!$S$15/[8]IPC!$O$21)</f>
        <v>0</v>
      </c>
      <c r="F138" s="504">
        <v>0</v>
      </c>
      <c r="G138" s="501">
        <f>+F138*([8]IPC!$S$15/[8]IPC!$P$21)</f>
        <v>0</v>
      </c>
      <c r="H138" s="504">
        <v>3600000000</v>
      </c>
      <c r="I138" s="501">
        <f>+H138*([8]IPC!$S$15/[8]IPC!$Q$21)</f>
        <v>3778920000.0000005</v>
      </c>
      <c r="J138" s="504">
        <v>9953658033.5</v>
      </c>
      <c r="K138" s="501">
        <f>+J138*([8]IPC!$S$15/[8]IPC!$R$21)</f>
        <v>10065852444.86026</v>
      </c>
      <c r="L138" s="501"/>
      <c r="M138" s="504">
        <v>0</v>
      </c>
      <c r="N138" s="532">
        <v>0</v>
      </c>
      <c r="O138" s="532">
        <v>0</v>
      </c>
      <c r="P138" s="532">
        <f>+(H138-F138)/H138</f>
        <v>1</v>
      </c>
      <c r="Q138" s="532">
        <f>+(J138-H138)/J138</f>
        <v>0.63832392193062581</v>
      </c>
      <c r="R138" s="532">
        <v>0</v>
      </c>
      <c r="S138" s="533"/>
      <c r="T138" s="510"/>
      <c r="U138" s="487">
        <f t="shared" si="30"/>
        <v>0</v>
      </c>
    </row>
    <row r="139" spans="1:21" s="253" customFormat="1" x14ac:dyDescent="0.25">
      <c r="A139" s="506" t="s">
        <v>1153</v>
      </c>
      <c r="B139" s="506">
        <v>0</v>
      </c>
      <c r="C139" s="501">
        <f>+B139*([8]IPC!$S$15/[8]IPC!$N$21)</f>
        <v>0</v>
      </c>
      <c r="D139" s="506">
        <v>0</v>
      </c>
      <c r="E139" s="501">
        <f>+D139*([8]IPC!$S$15/[8]IPC!$O$21)</f>
        <v>0</v>
      </c>
      <c r="F139" s="506">
        <v>0</v>
      </c>
      <c r="G139" s="501">
        <f>+F139*([8]IPC!$S$15/[8]IPC!$P$21)</f>
        <v>0</v>
      </c>
      <c r="H139" s="506">
        <v>0</v>
      </c>
      <c r="I139" s="501">
        <f>+H139*([8]IPC!$S$15/[8]IPC!$Q$21)</f>
        <v>0</v>
      </c>
      <c r="J139" s="506">
        <v>0</v>
      </c>
      <c r="K139" s="501">
        <f>+J139*([8]IPC!$S$15/[8]IPC!$R$21)</f>
        <v>0</v>
      </c>
      <c r="L139" s="501"/>
      <c r="M139" s="506">
        <v>0</v>
      </c>
      <c r="N139" s="506"/>
      <c r="O139" s="506"/>
      <c r="P139" s="506"/>
      <c r="Q139" s="506"/>
      <c r="R139" s="506"/>
      <c r="S139" s="533"/>
      <c r="T139" s="506"/>
      <c r="U139" s="487">
        <f t="shared" si="30"/>
        <v>0</v>
      </c>
    </row>
    <row r="140" spans="1:21" s="253" customFormat="1" x14ac:dyDescent="0.25">
      <c r="A140" s="496" t="s">
        <v>1154</v>
      </c>
      <c r="B140" s="506">
        <f t="shared" ref="B140:T140" si="49">+B141</f>
        <v>6153080985.46</v>
      </c>
      <c r="C140" s="506">
        <f t="shared" si="49"/>
        <v>7335478830.7068281</v>
      </c>
      <c r="D140" s="506">
        <f t="shared" si="49"/>
        <v>3905012763.3299999</v>
      </c>
      <c r="E140" s="506">
        <f t="shared" si="49"/>
        <v>4402418534.7089472</v>
      </c>
      <c r="F140" s="506">
        <f t="shared" si="49"/>
        <v>3443110206.2899995</v>
      </c>
      <c r="G140" s="506">
        <f t="shared" si="49"/>
        <v>3729088715.9952669</v>
      </c>
      <c r="H140" s="506">
        <f t="shared" si="49"/>
        <v>3595668921.52</v>
      </c>
      <c r="I140" s="506">
        <f t="shared" si="49"/>
        <v>3774373666.9195442</v>
      </c>
      <c r="J140" s="506">
        <f t="shared" si="49"/>
        <v>4688609197.9800005</v>
      </c>
      <c r="K140" s="506">
        <f t="shared" si="49"/>
        <v>4741457683.159543</v>
      </c>
      <c r="L140" s="506"/>
      <c r="M140" s="506">
        <f t="shared" si="49"/>
        <v>3715391000</v>
      </c>
      <c r="N140" s="506"/>
      <c r="O140" s="506"/>
      <c r="P140" s="506"/>
      <c r="Q140" s="506"/>
      <c r="R140" s="506"/>
      <c r="S140" s="506">
        <f t="shared" si="49"/>
        <v>5812620705.8475599</v>
      </c>
      <c r="T140" s="506">
        <f t="shared" si="49"/>
        <v>4912407090.815815</v>
      </c>
      <c r="U140" s="487"/>
    </row>
    <row r="141" spans="1:21" x14ac:dyDescent="0.25">
      <c r="A141" s="496" t="s">
        <v>1155</v>
      </c>
      <c r="B141" s="525">
        <f t="shared" ref="B141:M141" si="50">+B142+B143+B144+B145+B146</f>
        <v>6153080985.46</v>
      </c>
      <c r="C141" s="525">
        <f t="shared" si="50"/>
        <v>7335478830.7068281</v>
      </c>
      <c r="D141" s="525">
        <f t="shared" si="50"/>
        <v>3905012763.3299999</v>
      </c>
      <c r="E141" s="525">
        <f t="shared" si="50"/>
        <v>4402418534.7089472</v>
      </c>
      <c r="F141" s="525">
        <f t="shared" si="50"/>
        <v>3443110206.2899995</v>
      </c>
      <c r="G141" s="525">
        <f t="shared" si="50"/>
        <v>3729088715.9952669</v>
      </c>
      <c r="H141" s="525">
        <f t="shared" si="50"/>
        <v>3595668921.52</v>
      </c>
      <c r="I141" s="525">
        <f t="shared" si="50"/>
        <v>3774373666.9195442</v>
      </c>
      <c r="J141" s="525">
        <f t="shared" si="50"/>
        <v>4688609197.9800005</v>
      </c>
      <c r="K141" s="525">
        <f t="shared" si="50"/>
        <v>4741457683.159543</v>
      </c>
      <c r="L141" s="525"/>
      <c r="M141" s="525">
        <f t="shared" si="50"/>
        <v>3715391000</v>
      </c>
      <c r="N141" s="525"/>
      <c r="O141" s="525"/>
      <c r="P141" s="525"/>
      <c r="Q141" s="525"/>
      <c r="R141" s="525"/>
      <c r="S141" s="525">
        <f>+S142+S143+S144+S145+S146</f>
        <v>5812620705.8475599</v>
      </c>
      <c r="T141" s="525">
        <f>+T142+T143+T144+T145+T146</f>
        <v>4912407090.815815</v>
      </c>
    </row>
    <row r="142" spans="1:21" ht="24" x14ac:dyDescent="0.25">
      <c r="A142" s="500" t="s">
        <v>1156</v>
      </c>
      <c r="B142" s="509">
        <v>5132581247.0500002</v>
      </c>
      <c r="C142" s="501">
        <f>+B142*([8]IPC!$S$15/[8]IPC!$N$21)</f>
        <v>6118876246.4831181</v>
      </c>
      <c r="D142" s="504">
        <v>652748755.49000001</v>
      </c>
      <c r="E142" s="501">
        <f>+D142*([8]IPC!$S$15/[8]IPC!$O$21)</f>
        <v>735893425.66625822</v>
      </c>
      <c r="F142" s="504">
        <v>861037129.29999995</v>
      </c>
      <c r="G142" s="501">
        <f>+F142*([8]IPC!$S$15/[8]IPC!$P$21)</f>
        <v>932553316.78313041</v>
      </c>
      <c r="H142" s="504">
        <v>904915252.80999994</v>
      </c>
      <c r="I142" s="501">
        <f>+H142*([8]IPC!$S$15/[8]IPC!$Q$21)</f>
        <v>949889540.87465703</v>
      </c>
      <c r="J142" s="504">
        <v>1359031530.9100001</v>
      </c>
      <c r="K142" s="501">
        <f>+J142*([8]IPC!$S$15/[8]IPC!$R$21)</f>
        <v>1374350094.4086967</v>
      </c>
      <c r="L142" s="501"/>
      <c r="M142" s="504">
        <v>1836443000</v>
      </c>
      <c r="N142" s="532">
        <f>+(D142-B142)/D142</f>
        <v>-6.863027242690209</v>
      </c>
      <c r="O142" s="532">
        <f>+(F142-D142)/F142</f>
        <v>0.24190405584406424</v>
      </c>
      <c r="P142" s="532">
        <f>+(H142-F142)/H142</f>
        <v>4.8488655013546156E-2</v>
      </c>
      <c r="Q142" s="532">
        <f>+(J142-H142)/J142</f>
        <v>0.33414697729340126</v>
      </c>
      <c r="R142" s="532">
        <f t="shared" si="38"/>
        <v>-1.5596218886347992</v>
      </c>
      <c r="S142" s="533">
        <f>+M142</f>
        <v>1836443000</v>
      </c>
      <c r="T142" s="510">
        <f>+J142*1.03</f>
        <v>1399802476.8373001</v>
      </c>
      <c r="U142" s="487">
        <f t="shared" ref="U142:U171" si="51">+T142</f>
        <v>1399802476.8373001</v>
      </c>
    </row>
    <row r="143" spans="1:21" x14ac:dyDescent="0.25">
      <c r="A143" s="500" t="s">
        <v>1157</v>
      </c>
      <c r="B143" s="509">
        <v>0</v>
      </c>
      <c r="C143" s="501">
        <f>+B143*([8]IPC!$S$15/[8]IPC!$N$21)</f>
        <v>0</v>
      </c>
      <c r="D143" s="504">
        <v>459946134.55000001</v>
      </c>
      <c r="E143" s="501">
        <f>+D143*([8]IPC!$S$15/[8]IPC!$O$21)</f>
        <v>518532335.34221351</v>
      </c>
      <c r="F143" s="504">
        <v>554208481.19000006</v>
      </c>
      <c r="G143" s="501">
        <f>+F143*([8]IPC!$S$15/[8]IPC!$P$21)</f>
        <v>600240035.80803037</v>
      </c>
      <c r="H143" s="504">
        <v>481640007.06999999</v>
      </c>
      <c r="I143" s="501">
        <f>+H143*([8]IPC!$S$15/[8]IPC!$Q$21)</f>
        <v>505577515.42137903</v>
      </c>
      <c r="J143" s="504">
        <v>724565975.5</v>
      </c>
      <c r="K143" s="501">
        <f>+J143*([8]IPC!$S$15/[8]IPC!$R$21)</f>
        <v>732733048.6342485</v>
      </c>
      <c r="L143" s="501"/>
      <c r="M143" s="504">
        <v>184108000</v>
      </c>
      <c r="N143" s="532">
        <f>+(D143-B143)/D143</f>
        <v>1</v>
      </c>
      <c r="O143" s="532">
        <f>+(F143-D143)/F143</f>
        <v>0.17008463392259773</v>
      </c>
      <c r="P143" s="532">
        <f>+(H143-F143)/H143</f>
        <v>-0.15066953129882585</v>
      </c>
      <c r="Q143" s="532">
        <f>+(J143-H143)/J143</f>
        <v>0.33527101277749688</v>
      </c>
      <c r="R143" s="532">
        <f t="shared" si="38"/>
        <v>0.3386715288503172</v>
      </c>
      <c r="S143" s="533">
        <f>+((C143+E143+G143+I143+K143)/5)*R143+J143</f>
        <v>884221351.75863314</v>
      </c>
      <c r="T143" s="510">
        <f>+J143*1.03</f>
        <v>746302954.76499999</v>
      </c>
      <c r="U143" s="487">
        <f t="shared" si="51"/>
        <v>746302954.76499999</v>
      </c>
    </row>
    <row r="144" spans="1:21" ht="24" x14ac:dyDescent="0.25">
      <c r="A144" s="500" t="s">
        <v>1158</v>
      </c>
      <c r="B144" s="509">
        <v>0</v>
      </c>
      <c r="C144" s="501">
        <f>+B144*([8]IPC!$S$15/[8]IPC!$N$21)</f>
        <v>0</v>
      </c>
      <c r="D144" s="504">
        <v>1361112632.4400001</v>
      </c>
      <c r="E144" s="501">
        <f>+D144*([8]IPC!$S$15/[8]IPC!$O$21)</f>
        <v>1534486016.8319924</v>
      </c>
      <c r="F144" s="504">
        <v>1487037414.6199999</v>
      </c>
      <c r="G144" s="501">
        <f>+F144*([8]IPC!$S$15/[8]IPC!$P$21)</f>
        <v>1610548054.1958458</v>
      </c>
      <c r="H144" s="504">
        <v>1423742945.45</v>
      </c>
      <c r="I144" s="501">
        <f>+H144*([8]IPC!$S$15/[8]IPC!$Q$21)</f>
        <v>1494502969.838865</v>
      </c>
      <c r="J144" s="504">
        <v>1813347131.9300001</v>
      </c>
      <c r="K144" s="501">
        <f>+J144*([8]IPC!$S$15/[8]IPC!$R$21)</f>
        <v>1833786593.8216965</v>
      </c>
      <c r="L144" s="501"/>
      <c r="M144" s="504">
        <v>1194840000</v>
      </c>
      <c r="N144" s="532">
        <f>+(D144-B144)/D144</f>
        <v>1</v>
      </c>
      <c r="O144" s="532">
        <f>+(F144-D144)/F144</f>
        <v>8.4681650200562619E-2</v>
      </c>
      <c r="P144" s="532">
        <f>+(H144-F144)/H144</f>
        <v>-4.4456388263258054E-2</v>
      </c>
      <c r="Q144" s="532">
        <f>+(J144-H144)/J144</f>
        <v>0.2148536149641313</v>
      </c>
      <c r="R144" s="532">
        <f t="shared" si="38"/>
        <v>0.31376971922535896</v>
      </c>
      <c r="S144" s="533">
        <f>+((C144+E144+G144+I144+K144)/5)*R144+J144</f>
        <v>2219573719.792212</v>
      </c>
      <c r="T144" s="510">
        <f>+J144*1.03</f>
        <v>1867747545.8879001</v>
      </c>
      <c r="U144" s="487">
        <f t="shared" si="51"/>
        <v>1867747545.8879001</v>
      </c>
    </row>
    <row r="145" spans="1:21" s="253" customFormat="1" x14ac:dyDescent="0.25">
      <c r="A145" s="500" t="s">
        <v>1159</v>
      </c>
      <c r="B145" s="509">
        <v>16838327</v>
      </c>
      <c r="C145" s="501">
        <f>+B145*([8]IPC!$S$15/[8]IPC!$N$21)</f>
        <v>20074039.581942078</v>
      </c>
      <c r="D145" s="504">
        <v>1431205240.8499999</v>
      </c>
      <c r="E145" s="501">
        <f>+D145*([8]IPC!$S$15/[8]IPC!$O$21)</f>
        <v>1613506756.8684833</v>
      </c>
      <c r="F145" s="504">
        <v>0</v>
      </c>
      <c r="G145" s="501">
        <f>+F145*([8]IPC!$S$15/[8]IPC!$P$21)</f>
        <v>0</v>
      </c>
      <c r="H145" s="506">
        <v>0</v>
      </c>
      <c r="I145" s="501">
        <f>+H145*([8]IPC!$S$15/[8]IPC!$Q$21)</f>
        <v>0</v>
      </c>
      <c r="J145" s="504">
        <v>0</v>
      </c>
      <c r="K145" s="501">
        <f>+J145*([8]IPC!$S$15/[8]IPC!$R$21)</f>
        <v>0</v>
      </c>
      <c r="L145" s="501"/>
      <c r="M145" s="504">
        <v>0</v>
      </c>
      <c r="N145" s="532">
        <f>+(D145-B145)/D145</f>
        <v>0.98823486211523404</v>
      </c>
      <c r="O145" s="532">
        <v>0</v>
      </c>
      <c r="P145" s="532">
        <v>0</v>
      </c>
      <c r="Q145" s="532">
        <v>0</v>
      </c>
      <c r="R145" s="532">
        <f t="shared" si="38"/>
        <v>0.24705871552880851</v>
      </c>
      <c r="S145" s="533">
        <f>+((C145+E145+G145+I145+K145)/5)*R145+J145</f>
        <v>80718074.656714022</v>
      </c>
      <c r="T145" s="510">
        <f>+S145*1.03</f>
        <v>83139616.896415442</v>
      </c>
      <c r="U145" s="487">
        <f t="shared" si="51"/>
        <v>83139616.896415442</v>
      </c>
    </row>
    <row r="146" spans="1:21" x14ac:dyDescent="0.25">
      <c r="A146" s="500" t="s">
        <v>1160</v>
      </c>
      <c r="B146" s="509">
        <v>1003661411.41</v>
      </c>
      <c r="C146" s="501">
        <f>+B146*([8]IPC!$S$15/[8]IPC!$N$21)</f>
        <v>1196528544.6417682</v>
      </c>
      <c r="D146" s="510">
        <v>0</v>
      </c>
      <c r="E146" s="501">
        <f>+D146*([8]IPC!$S$15/[8]IPC!$O$21)</f>
        <v>0</v>
      </c>
      <c r="F146" s="510">
        <v>540827181.17999995</v>
      </c>
      <c r="G146" s="501">
        <f>+F146*([8]IPC!$S$15/[8]IPC!$P$21)</f>
        <v>585747309.20826042</v>
      </c>
      <c r="H146" s="504">
        <v>785370716.19000006</v>
      </c>
      <c r="I146" s="501">
        <f>+H146*([8]IPC!$S$15/[8]IPC!$Q$21)</f>
        <v>824403640.78464317</v>
      </c>
      <c r="J146" s="511">
        <v>791664559.63999999</v>
      </c>
      <c r="K146" s="501">
        <f>+J146*([8]IPC!$S$15/[8]IPC!$R$21)</f>
        <v>800587946.29490173</v>
      </c>
      <c r="L146" s="501"/>
      <c r="M146" s="510">
        <v>500000000</v>
      </c>
      <c r="N146" s="532">
        <v>0</v>
      </c>
      <c r="O146" s="532">
        <f>+(F146-D146)/F146</f>
        <v>1</v>
      </c>
      <c r="P146" s="532">
        <f>+(H146-F146)/H146</f>
        <v>0.31137338070909071</v>
      </c>
      <c r="Q146" s="532">
        <f>+(J146-H146)/J146</f>
        <v>7.9501392014592383E-3</v>
      </c>
      <c r="R146" s="532">
        <v>0</v>
      </c>
      <c r="S146" s="533">
        <f>+((C146+E146+G146+I146+K146)/5)*R146+J146</f>
        <v>791664559.63999999</v>
      </c>
      <c r="T146" s="510">
        <f>+S146*1.03</f>
        <v>815414496.42920005</v>
      </c>
      <c r="U146" s="487">
        <f t="shared" si="51"/>
        <v>815414496.42920005</v>
      </c>
    </row>
    <row r="147" spans="1:21" s="253" customFormat="1" x14ac:dyDescent="0.25">
      <c r="A147" s="525" t="s">
        <v>1161</v>
      </c>
      <c r="B147" s="525">
        <f>+B148</f>
        <v>8947353002.9300003</v>
      </c>
      <c r="C147" s="525">
        <f t="shared" ref="C147:M147" si="52">+C148</f>
        <v>10666708060.392529</v>
      </c>
      <c r="D147" s="525">
        <f t="shared" si="52"/>
        <v>288578661.56999999</v>
      </c>
      <c r="E147" s="525">
        <f t="shared" si="52"/>
        <v>325336721.13632154</v>
      </c>
      <c r="F147" s="525">
        <f t="shared" si="52"/>
        <v>314586355.63999999</v>
      </c>
      <c r="G147" s="525">
        <f t="shared" si="52"/>
        <v>340715329.6691168</v>
      </c>
      <c r="H147" s="525">
        <f t="shared" si="52"/>
        <v>518340794.77999997</v>
      </c>
      <c r="I147" s="525">
        <f t="shared" si="52"/>
        <v>544102332.28056598</v>
      </c>
      <c r="J147" s="525">
        <f t="shared" si="52"/>
        <v>389188180.72000003</v>
      </c>
      <c r="K147" s="525">
        <f t="shared" si="52"/>
        <v>393574983.91308671</v>
      </c>
      <c r="L147" s="525"/>
      <c r="M147" s="525">
        <f t="shared" si="52"/>
        <v>0</v>
      </c>
      <c r="N147" s="525"/>
      <c r="O147" s="525"/>
      <c r="P147" s="525"/>
      <c r="Q147" s="525"/>
      <c r="R147" s="525"/>
      <c r="S147" s="525">
        <f>+S148</f>
        <v>400863826.14160001</v>
      </c>
      <c r="T147" s="525">
        <f>+T148</f>
        <v>412889740.92584801</v>
      </c>
      <c r="U147" s="487"/>
    </row>
    <row r="148" spans="1:21" s="253" customFormat="1" x14ac:dyDescent="0.25">
      <c r="A148" s="500" t="s">
        <v>606</v>
      </c>
      <c r="B148" s="509">
        <v>8947353002.9300003</v>
      </c>
      <c r="C148" s="501">
        <f>+B148*([8]IPC!$S$15/[8]IPC!$N$21)</f>
        <v>10666708060.392529</v>
      </c>
      <c r="D148" s="509">
        <v>288578661.56999999</v>
      </c>
      <c r="E148" s="501">
        <f>+D148*([8]IPC!$S$15/[8]IPC!$O$21)</f>
        <v>325336721.13632154</v>
      </c>
      <c r="F148" s="509">
        <v>314586355.63999999</v>
      </c>
      <c r="G148" s="501">
        <f>+F148*([8]IPC!$S$15/[8]IPC!$P$21)</f>
        <v>340715329.6691168</v>
      </c>
      <c r="H148" s="509">
        <v>518340794.77999997</v>
      </c>
      <c r="I148" s="501">
        <f>+H148*([8]IPC!$S$15/[8]IPC!$Q$21)</f>
        <v>544102332.28056598</v>
      </c>
      <c r="J148" s="509">
        <v>389188180.72000003</v>
      </c>
      <c r="K148" s="501">
        <f>+J148*([8]IPC!$S$15/[8]IPC!$R$21)</f>
        <v>393574983.91308671</v>
      </c>
      <c r="L148" s="501"/>
      <c r="M148" s="509">
        <v>0</v>
      </c>
      <c r="N148" s="532"/>
      <c r="O148" s="532"/>
      <c r="P148" s="532"/>
      <c r="Q148" s="532"/>
      <c r="R148" s="532"/>
      <c r="S148" s="533">
        <f>+J148*1.03</f>
        <v>400863826.14160001</v>
      </c>
      <c r="T148" s="510">
        <f>+S148*1.03</f>
        <v>412889740.92584801</v>
      </c>
      <c r="U148" s="487">
        <f t="shared" si="51"/>
        <v>412889740.92584801</v>
      </c>
    </row>
    <row r="149" spans="1:21" s="253" customFormat="1" x14ac:dyDescent="0.25">
      <c r="A149" s="496" t="s">
        <v>1162</v>
      </c>
      <c r="B149" s="506">
        <f t="shared" ref="B149:M149" si="53">+B150+B170</f>
        <v>876294016.60000002</v>
      </c>
      <c r="C149" s="506">
        <f t="shared" si="53"/>
        <v>1044685779.9262011</v>
      </c>
      <c r="D149" s="506">
        <f t="shared" si="53"/>
        <v>960638468.73000002</v>
      </c>
      <c r="E149" s="506">
        <f t="shared" si="53"/>
        <v>1083000967.2708421</v>
      </c>
      <c r="F149" s="506">
        <f t="shared" si="53"/>
        <v>1627416909.9299998</v>
      </c>
      <c r="G149" s="506">
        <f t="shared" si="53"/>
        <v>1762587216.6255889</v>
      </c>
      <c r="H149" s="506">
        <f t="shared" si="53"/>
        <v>754629422.62</v>
      </c>
      <c r="I149" s="506">
        <f t="shared" si="53"/>
        <v>792134504.92421412</v>
      </c>
      <c r="J149" s="506">
        <f t="shared" si="53"/>
        <v>780161176.79999995</v>
      </c>
      <c r="K149" s="506">
        <f t="shared" si="53"/>
        <v>788954901.04716754</v>
      </c>
      <c r="L149" s="506"/>
      <c r="M149" s="506">
        <f t="shared" si="53"/>
        <v>1006199999</v>
      </c>
      <c r="N149" s="506"/>
      <c r="O149" s="506"/>
      <c r="P149" s="506"/>
      <c r="Q149" s="506"/>
      <c r="R149" s="506"/>
      <c r="S149" s="506">
        <f>+S150+S170</f>
        <v>908866558.93366241</v>
      </c>
      <c r="T149" s="506">
        <f>+T150</f>
        <v>778657488.387321</v>
      </c>
      <c r="U149" s="487"/>
    </row>
    <row r="150" spans="1:21" s="253" customFormat="1" x14ac:dyDescent="0.25">
      <c r="A150" s="496" t="s">
        <v>1163</v>
      </c>
      <c r="B150" s="506">
        <f>+B151+B152</f>
        <v>708585739.50999999</v>
      </c>
      <c r="C150" s="506">
        <f t="shared" ref="C150:M150" si="54">+C151+C152</f>
        <v>844750086.04616356</v>
      </c>
      <c r="D150" s="506">
        <f t="shared" si="54"/>
        <v>761666920.5</v>
      </c>
      <c r="E150" s="506">
        <f t="shared" si="54"/>
        <v>858685175.00681996</v>
      </c>
      <c r="F150" s="506">
        <f t="shared" si="54"/>
        <v>1431994847.9699998</v>
      </c>
      <c r="G150" s="506">
        <f t="shared" si="54"/>
        <v>1550933751.4590476</v>
      </c>
      <c r="H150" s="506">
        <f t="shared" si="54"/>
        <v>599536601.62</v>
      </c>
      <c r="I150" s="506">
        <f t="shared" si="54"/>
        <v>629333570.72051406</v>
      </c>
      <c r="J150" s="506">
        <f t="shared" si="54"/>
        <v>558757624.79999995</v>
      </c>
      <c r="K150" s="506">
        <f t="shared" si="54"/>
        <v>565055759.8772254</v>
      </c>
      <c r="L150" s="506"/>
      <c r="M150" s="506">
        <f t="shared" si="54"/>
        <v>826199999</v>
      </c>
      <c r="N150" s="506"/>
      <c r="O150" s="506"/>
      <c r="P150" s="506"/>
      <c r="Q150" s="506"/>
      <c r="R150" s="506"/>
      <c r="S150" s="506">
        <f>+S151+S152</f>
        <v>678339842.56659997</v>
      </c>
      <c r="T150" s="506">
        <f>+T151+T152</f>
        <v>778657488.387321</v>
      </c>
      <c r="U150" s="487"/>
    </row>
    <row r="151" spans="1:21" s="253" customFormat="1" x14ac:dyDescent="0.25">
      <c r="A151" s="500" t="s">
        <v>1164</v>
      </c>
      <c r="B151" s="504">
        <v>391674231.25</v>
      </c>
      <c r="C151" s="501">
        <f>+B151*([8]IPC!$S$15/[8]IPC!$N$21)</f>
        <v>466939739.40161836</v>
      </c>
      <c r="D151" s="504">
        <v>463287974.17000002</v>
      </c>
      <c r="E151" s="501">
        <f>+D151*([8]IPC!$S$15/[8]IPC!$O$21)</f>
        <v>522299845.86644721</v>
      </c>
      <c r="F151" s="504">
        <v>817422371.61000001</v>
      </c>
      <c r="G151" s="501">
        <f>+F151*([8]IPC!$S$15/[8]IPC!$P$21)</f>
        <v>885315996.16076863</v>
      </c>
      <c r="H151" s="504">
        <v>388313126.95999998</v>
      </c>
      <c r="I151" s="501">
        <f>+H151*([8]IPC!$S$15/[8]IPC!$Q$21)</f>
        <v>407612289.36991203</v>
      </c>
      <c r="J151" s="504">
        <v>385612146.57999998</v>
      </c>
      <c r="K151" s="501">
        <f>+J151*([8]IPC!$S$15/[8]IPC!$R$21)</f>
        <v>389958641.87382078</v>
      </c>
      <c r="L151" s="501"/>
      <c r="M151" s="504">
        <v>536149999</v>
      </c>
      <c r="N151" s="532">
        <f>+(D151-B151)/D151</f>
        <v>0.15457716779352856</v>
      </c>
      <c r="O151" s="532">
        <f>+(F151-D151)/F151</f>
        <v>0.43323306253839711</v>
      </c>
      <c r="P151" s="532">
        <f>+(H151-F151)/H151</f>
        <v>-1.105059846957485</v>
      </c>
      <c r="Q151" s="532">
        <f>+(J151-H151)/J151</f>
        <v>-7.004396526289515E-3</v>
      </c>
      <c r="R151" s="532">
        <f t="shared" si="38"/>
        <v>-0.13106350328796221</v>
      </c>
      <c r="S151" s="533">
        <v>500000000</v>
      </c>
      <c r="T151" s="510">
        <v>600000000</v>
      </c>
      <c r="U151" s="487">
        <f t="shared" si="51"/>
        <v>600000000</v>
      </c>
    </row>
    <row r="152" spans="1:21" s="253" customFormat="1" ht="24" x14ac:dyDescent="0.25">
      <c r="A152" s="496" t="s">
        <v>1165</v>
      </c>
      <c r="B152" s="506">
        <v>316911508.25999999</v>
      </c>
      <c r="C152" s="515">
        <f>+B152*([8]IPC!$S$15/[8]IPC!$N$21)</f>
        <v>377810346.64454514</v>
      </c>
      <c r="D152" s="506">
        <f t="shared" ref="D152:M152" si="55">SUM(D153:D169)</f>
        <v>298378946.33000004</v>
      </c>
      <c r="E152" s="506">
        <f t="shared" si="55"/>
        <v>336385329.14037275</v>
      </c>
      <c r="F152" s="506">
        <f t="shared" si="55"/>
        <v>614572476.3599999</v>
      </c>
      <c r="G152" s="506">
        <f t="shared" si="55"/>
        <v>665617755.29827893</v>
      </c>
      <c r="H152" s="506">
        <f t="shared" si="55"/>
        <v>211223474.66</v>
      </c>
      <c r="I152" s="506">
        <f t="shared" si="55"/>
        <v>221721281.350602</v>
      </c>
      <c r="J152" s="506">
        <f t="shared" si="55"/>
        <v>173145478.22</v>
      </c>
      <c r="K152" s="506">
        <f t="shared" si="55"/>
        <v>175097118.00340462</v>
      </c>
      <c r="L152" s="506"/>
      <c r="M152" s="506">
        <f t="shared" si="55"/>
        <v>290050000</v>
      </c>
      <c r="N152" s="506"/>
      <c r="O152" s="506"/>
      <c r="P152" s="506"/>
      <c r="Q152" s="506"/>
      <c r="R152" s="506"/>
      <c r="S152" s="531">
        <f>SUM(S153:S169)</f>
        <v>178339842.56659999</v>
      </c>
      <c r="T152" s="531">
        <f>SUM(T153:T169)</f>
        <v>178657488.38732103</v>
      </c>
      <c r="U152" s="487"/>
    </row>
    <row r="153" spans="1:21" s="253" customFormat="1" x14ac:dyDescent="0.25">
      <c r="A153" s="500" t="s">
        <v>1050</v>
      </c>
      <c r="B153" s="512">
        <v>0</v>
      </c>
      <c r="C153" s="501">
        <f>+B153*([8]IPC!$S$15/[8]IPC!$N$21)</f>
        <v>0</v>
      </c>
      <c r="D153" s="504">
        <v>93819087.760000005</v>
      </c>
      <c r="E153" s="501">
        <f>+D153*([8]IPC!$S$15/[8]IPC!$O$21)</f>
        <v>105769408.67970358</v>
      </c>
      <c r="F153" s="504">
        <v>69195431.610500008</v>
      </c>
      <c r="G153" s="501">
        <f>+F153*([8]IPC!$S$15/[8]IPC!$P$21)</f>
        <v>74942679.077117056</v>
      </c>
      <c r="H153" s="504">
        <v>12808894.51</v>
      </c>
      <c r="I153" s="501">
        <f>+H153*([8]IPC!$S$15/[8]IPC!$Q$21)</f>
        <v>13445496.567147002</v>
      </c>
      <c r="J153" s="504">
        <v>15150697.939999999</v>
      </c>
      <c r="K153" s="501">
        <f>+J153*([8]IPC!$S$15/[8]IPC!$R$21)</f>
        <v>15321471.702907514</v>
      </c>
      <c r="L153" s="501"/>
      <c r="M153" s="504">
        <v>35100000</v>
      </c>
      <c r="N153" s="532">
        <f>+(D153-B153)/D153</f>
        <v>1</v>
      </c>
      <c r="O153" s="532">
        <f>+(F153-D153)/F153</f>
        <v>-0.35585667400856996</v>
      </c>
      <c r="P153" s="532">
        <f>+(H153-F153)/H153</f>
        <v>-4.4021392366436167</v>
      </c>
      <c r="Q153" s="532">
        <f>+(J153-H153)/J153</f>
        <v>0.15456736311911448</v>
      </c>
      <c r="R153" s="532">
        <f t="shared" si="38"/>
        <v>-0.90085713688326807</v>
      </c>
      <c r="S153" s="533">
        <f>+J153*1.03</f>
        <v>15605218.8782</v>
      </c>
      <c r="T153" s="510">
        <f t="shared" ref="T153:T163" si="56">+S153*1.03</f>
        <v>16073375.444546001</v>
      </c>
      <c r="U153" s="487">
        <f t="shared" si="51"/>
        <v>16073375.444546001</v>
      </c>
    </row>
    <row r="154" spans="1:21" s="253" customFormat="1" x14ac:dyDescent="0.25">
      <c r="A154" s="500" t="s">
        <v>1167</v>
      </c>
      <c r="B154" s="512">
        <v>0</v>
      </c>
      <c r="C154" s="501">
        <f>+B154*([8]IPC!$S$15/[8]IPC!$N$21)</f>
        <v>0</v>
      </c>
      <c r="D154" s="504">
        <v>0</v>
      </c>
      <c r="E154" s="501">
        <f>+D154*([8]IPC!$S$15/[8]IPC!$O$21)</f>
        <v>0</v>
      </c>
      <c r="F154" s="504">
        <v>21290902.034000002</v>
      </c>
      <c r="G154" s="501">
        <f>+F154*([8]IPC!$S$15/[8]IPC!$P$21)</f>
        <v>23059285.869882174</v>
      </c>
      <c r="H154" s="504">
        <v>3941198.31</v>
      </c>
      <c r="I154" s="501">
        <f>+H154*([8]IPC!$S$15/[8]IPC!$Q$21)</f>
        <v>4137075.8660070002</v>
      </c>
      <c r="J154" s="504">
        <v>4661753.17</v>
      </c>
      <c r="K154" s="501">
        <f>+J154*([8]IPC!$S$15/[8]IPC!$R$21)</f>
        <v>4714298.942725433</v>
      </c>
      <c r="L154" s="501"/>
      <c r="M154" s="504">
        <v>23400000</v>
      </c>
      <c r="N154" s="532">
        <v>0</v>
      </c>
      <c r="O154" s="532">
        <f t="shared" ref="O154:O164" si="57">+(F154-D154)/F154</f>
        <v>1</v>
      </c>
      <c r="P154" s="532">
        <f t="shared" ref="P154:P164" si="58">+(H154-F154)/H154</f>
        <v>-4.4021392376979893</v>
      </c>
      <c r="Q154" s="532">
        <f t="shared" ref="Q154:Q164" si="59">+(J154-H154)/J154</f>
        <v>0.1545673556114083</v>
      </c>
      <c r="R154" s="532">
        <v>0</v>
      </c>
      <c r="S154" s="533">
        <f t="shared" ref="S154:S169" si="60">+J154*1.03</f>
        <v>4801605.7651000004</v>
      </c>
      <c r="T154" s="510">
        <f t="shared" si="56"/>
        <v>4945653.9380530007</v>
      </c>
      <c r="U154" s="487">
        <f t="shared" si="51"/>
        <v>4945653.9380530007</v>
      </c>
    </row>
    <row r="155" spans="1:21" s="253" customFormat="1" ht="24" x14ac:dyDescent="0.25">
      <c r="A155" s="500" t="s">
        <v>1168</v>
      </c>
      <c r="B155" s="512">
        <v>0</v>
      </c>
      <c r="C155" s="501">
        <f>+B155*([8]IPC!$S$15/[8]IPC!$N$21)</f>
        <v>0</v>
      </c>
      <c r="D155" s="504">
        <v>0</v>
      </c>
      <c r="E155" s="501">
        <f>+D155*([8]IPC!$S$15/[8]IPC!$O$21)</f>
        <v>0</v>
      </c>
      <c r="F155" s="504">
        <v>15968176.5255</v>
      </c>
      <c r="G155" s="501">
        <f>+F155*([8]IPC!$S$15/[8]IPC!$P$21)</f>
        <v>17294464.402411629</v>
      </c>
      <c r="H155" s="504">
        <v>2955898.71</v>
      </c>
      <c r="I155" s="501">
        <f>+H155*([8]IPC!$S$15/[8]IPC!$Q$21)</f>
        <v>3102806.875887</v>
      </c>
      <c r="J155" s="504">
        <v>3496314.8799999999</v>
      </c>
      <c r="K155" s="501">
        <f>+J155*([8]IPC!$S$15/[8]IPC!$R$21)</f>
        <v>3535724.2095722542</v>
      </c>
      <c r="L155" s="501"/>
      <c r="M155" s="504">
        <v>17550000</v>
      </c>
      <c r="N155" s="532">
        <v>0</v>
      </c>
      <c r="O155" s="532">
        <f t="shared" si="57"/>
        <v>1</v>
      </c>
      <c r="P155" s="532">
        <f t="shared" si="58"/>
        <v>-4.4021392788185221</v>
      </c>
      <c r="Q155" s="532">
        <f t="shared" si="59"/>
        <v>0.15456736265127241</v>
      </c>
      <c r="R155" s="532">
        <v>0</v>
      </c>
      <c r="S155" s="533">
        <f t="shared" si="60"/>
        <v>3601204.3264000001</v>
      </c>
      <c r="T155" s="510">
        <f t="shared" si="56"/>
        <v>3709240.4561920003</v>
      </c>
      <c r="U155" s="487">
        <f t="shared" si="51"/>
        <v>3709240.4561920003</v>
      </c>
    </row>
    <row r="156" spans="1:21" s="253" customFormat="1" x14ac:dyDescent="0.25">
      <c r="A156" s="500" t="s">
        <v>1054</v>
      </c>
      <c r="B156" s="512">
        <v>0</v>
      </c>
      <c r="C156" s="501">
        <f>+B156*([8]IPC!$S$15/[8]IPC!$N$21)</f>
        <v>0</v>
      </c>
      <c r="D156" s="504">
        <v>5351954.2820000006</v>
      </c>
      <c r="E156" s="501">
        <f>+D156*([8]IPC!$S$15/[8]IPC!$O$21)</f>
        <v>6033665.9970093444</v>
      </c>
      <c r="F156" s="504">
        <v>10789578.84</v>
      </c>
      <c r="G156" s="501">
        <f>+F156*([8]IPC!$S$15/[8]IPC!$P$21)</f>
        <v>11685741.754382996</v>
      </c>
      <c r="H156" s="504">
        <v>3779495.92</v>
      </c>
      <c r="I156" s="501">
        <f>+H156*([8]IPC!$S$15/[8]IPC!$Q$21)</f>
        <v>3967336.8672240004</v>
      </c>
      <c r="J156" s="504">
        <v>3976503.65</v>
      </c>
      <c r="K156" s="501">
        <f>+J156*([8]IPC!$S$15/[8]IPC!$R$21)</f>
        <v>4021325.5119508668</v>
      </c>
      <c r="L156" s="501"/>
      <c r="M156" s="504"/>
      <c r="N156" s="532">
        <f t="shared" ref="N156:N161" si="61">+(D156-B156)/D156</f>
        <v>1</v>
      </c>
      <c r="O156" s="532">
        <f t="shared" si="57"/>
        <v>0.50397004726831385</v>
      </c>
      <c r="P156" s="532">
        <f t="shared" si="58"/>
        <v>-1.8547666324772749</v>
      </c>
      <c r="Q156" s="532">
        <f t="shared" si="59"/>
        <v>4.9542952135854315E-2</v>
      </c>
      <c r="R156" s="532">
        <f t="shared" si="38"/>
        <v>-7.5313408268276663E-2</v>
      </c>
      <c r="S156" s="533">
        <f t="shared" si="60"/>
        <v>4095798.7595000002</v>
      </c>
      <c r="T156" s="510">
        <f t="shared" si="56"/>
        <v>4218672.7222850006</v>
      </c>
      <c r="U156" s="487">
        <f t="shared" si="51"/>
        <v>4218672.7222850006</v>
      </c>
    </row>
    <row r="157" spans="1:21" s="253" customFormat="1" x14ac:dyDescent="0.25">
      <c r="A157" s="500" t="s">
        <v>1055</v>
      </c>
      <c r="B157" s="512">
        <v>0</v>
      </c>
      <c r="C157" s="501">
        <f>+B157*([8]IPC!$S$15/[8]IPC!$N$21)</f>
        <v>0</v>
      </c>
      <c r="D157" s="504">
        <v>2675977.1410000003</v>
      </c>
      <c r="E157" s="501">
        <f>+D157*([8]IPC!$S$15/[8]IPC!$O$21)</f>
        <v>3016832.9985046722</v>
      </c>
      <c r="F157" s="504">
        <v>5394789.4199999999</v>
      </c>
      <c r="G157" s="501">
        <f>+F157*([8]IPC!$S$15/[8]IPC!$P$21)</f>
        <v>5842870.8771914979</v>
      </c>
      <c r="H157" s="504">
        <v>1889748</v>
      </c>
      <c r="I157" s="501">
        <f>+H157*([8]IPC!$S$15/[8]IPC!$Q$21)</f>
        <v>1983668.4756000002</v>
      </c>
      <c r="J157" s="504">
        <v>1988251.74</v>
      </c>
      <c r="K157" s="501">
        <f>+J157*([8]IPC!$S$15/[8]IPC!$R$21)</f>
        <v>2010662.6700173409</v>
      </c>
      <c r="L157" s="501"/>
      <c r="M157" s="504">
        <v>4600000</v>
      </c>
      <c r="N157" s="532">
        <f t="shared" si="61"/>
        <v>1</v>
      </c>
      <c r="O157" s="532">
        <f t="shared" si="57"/>
        <v>0.50397004726831385</v>
      </c>
      <c r="P157" s="532">
        <f t="shared" si="58"/>
        <v>-1.8547665720508766</v>
      </c>
      <c r="Q157" s="532">
        <f t="shared" si="59"/>
        <v>4.9542891384568834E-2</v>
      </c>
      <c r="R157" s="532">
        <f t="shared" si="38"/>
        <v>-7.5313408349498442E-2</v>
      </c>
      <c r="S157" s="533">
        <f t="shared" si="60"/>
        <v>2047899.2922</v>
      </c>
      <c r="T157" s="510">
        <f t="shared" si="56"/>
        <v>2109336.2709659999</v>
      </c>
      <c r="U157" s="487">
        <f t="shared" si="51"/>
        <v>2109336.2709659999</v>
      </c>
    </row>
    <row r="158" spans="1:21" s="253" customFormat="1" x14ac:dyDescent="0.25">
      <c r="A158" s="500" t="s">
        <v>1056</v>
      </c>
      <c r="B158" s="512">
        <v>0</v>
      </c>
      <c r="C158" s="501">
        <f>+B158*([8]IPC!$S$15/[8]IPC!$N$21)</f>
        <v>0</v>
      </c>
      <c r="D158" s="504">
        <v>2675977.1410000003</v>
      </c>
      <c r="E158" s="501">
        <f>+D158*([8]IPC!$S$15/[8]IPC!$O$21)</f>
        <v>3016832.9985046722</v>
      </c>
      <c r="F158" s="504">
        <v>5394789.4199999999</v>
      </c>
      <c r="G158" s="501">
        <f>+F158*([8]IPC!$S$15/[8]IPC!$P$21)</f>
        <v>5842870.8771914979</v>
      </c>
      <c r="H158" s="504">
        <v>1889748</v>
      </c>
      <c r="I158" s="501">
        <f>+H158*([8]IPC!$S$15/[8]IPC!$Q$21)</f>
        <v>1983668.4756000002</v>
      </c>
      <c r="J158" s="504">
        <v>1988251.74</v>
      </c>
      <c r="K158" s="501">
        <f>+J158*([8]IPC!$S$15/[8]IPC!$R$21)</f>
        <v>2010662.6700173409</v>
      </c>
      <c r="L158" s="501"/>
      <c r="M158" s="504">
        <v>4600000</v>
      </c>
      <c r="N158" s="532">
        <f t="shared" si="61"/>
        <v>1</v>
      </c>
      <c r="O158" s="532">
        <f t="shared" si="57"/>
        <v>0.50397004726831385</v>
      </c>
      <c r="P158" s="532">
        <f t="shared" si="58"/>
        <v>-1.8547665720508766</v>
      </c>
      <c r="Q158" s="532">
        <f t="shared" si="59"/>
        <v>4.9542891384568834E-2</v>
      </c>
      <c r="R158" s="532">
        <f t="shared" si="38"/>
        <v>-7.5313408349498442E-2</v>
      </c>
      <c r="S158" s="533">
        <f t="shared" si="60"/>
        <v>2047899.2922</v>
      </c>
      <c r="T158" s="510">
        <f t="shared" si="56"/>
        <v>2109336.2709659999</v>
      </c>
      <c r="U158" s="487">
        <f t="shared" si="51"/>
        <v>2109336.2709659999</v>
      </c>
    </row>
    <row r="159" spans="1:21" s="253" customFormat="1" x14ac:dyDescent="0.25">
      <c r="A159" s="500" t="s">
        <v>1057</v>
      </c>
      <c r="B159" s="512">
        <v>0</v>
      </c>
      <c r="C159" s="501">
        <f>+B159*([8]IPC!$S$15/[8]IPC!$N$21)</f>
        <v>0</v>
      </c>
      <c r="D159" s="504">
        <v>13379885.705</v>
      </c>
      <c r="E159" s="501">
        <f>+D159*([8]IPC!$S$15/[8]IPC!$O$21)</f>
        <v>15084164.992523359</v>
      </c>
      <c r="F159" s="504">
        <v>26973947.010000002</v>
      </c>
      <c r="G159" s="501">
        <f>+F159*([8]IPC!$S$15/[8]IPC!$P$21)</f>
        <v>29214354.288482256</v>
      </c>
      <c r="H159" s="504">
        <v>9448739.9900000002</v>
      </c>
      <c r="I159" s="501">
        <f>+H159*([8]IPC!$S$15/[8]IPC!$Q$21)</f>
        <v>9918342.3675030004</v>
      </c>
      <c r="J159" s="504">
        <v>9941258.9499999993</v>
      </c>
      <c r="K159" s="501">
        <f>+J159*([8]IPC!$S$15/[8]IPC!$R$21)</f>
        <v>10053313.602904623</v>
      </c>
      <c r="L159" s="501"/>
      <c r="M159" s="504">
        <v>23000000</v>
      </c>
      <c r="N159" s="532">
        <f t="shared" si="61"/>
        <v>1</v>
      </c>
      <c r="O159" s="532">
        <f t="shared" si="57"/>
        <v>0.50397004561328385</v>
      </c>
      <c r="P159" s="532">
        <f t="shared" si="58"/>
        <v>-1.8547665655471173</v>
      </c>
      <c r="Q159" s="532">
        <f t="shared" si="59"/>
        <v>4.9542916292307129E-2</v>
      </c>
      <c r="R159" s="532">
        <f t="shared" si="38"/>
        <v>-7.5313400910381578E-2</v>
      </c>
      <c r="S159" s="533">
        <f t="shared" si="60"/>
        <v>10239496.718499999</v>
      </c>
      <c r="T159" s="510">
        <f t="shared" si="56"/>
        <v>10546681.620054999</v>
      </c>
      <c r="U159" s="487">
        <f t="shared" si="51"/>
        <v>10546681.620054999</v>
      </c>
    </row>
    <row r="160" spans="1:21" s="253" customFormat="1" x14ac:dyDescent="0.25">
      <c r="A160" s="500" t="s">
        <v>1058</v>
      </c>
      <c r="B160" s="512">
        <v>0</v>
      </c>
      <c r="C160" s="501">
        <f>+B160*([8]IPC!$S$15/[8]IPC!$N$21)</f>
        <v>0</v>
      </c>
      <c r="D160" s="504">
        <v>2675977.1410000003</v>
      </c>
      <c r="E160" s="501">
        <f>+D160*([8]IPC!$S$15/[8]IPC!$O$21)</f>
        <v>3016832.9985046722</v>
      </c>
      <c r="F160" s="504">
        <v>5394789.4199999999</v>
      </c>
      <c r="G160" s="501">
        <f>+F160*([8]IPC!$S$15/[8]IPC!$P$21)</f>
        <v>5842870.8771914979</v>
      </c>
      <c r="H160" s="504">
        <v>1889748</v>
      </c>
      <c r="I160" s="501">
        <f>+H160*([8]IPC!$S$15/[8]IPC!$Q$21)</f>
        <v>1983668.4756000002</v>
      </c>
      <c r="J160" s="504">
        <v>1988251.74</v>
      </c>
      <c r="K160" s="501">
        <f>+J160*([8]IPC!$S$15/[8]IPC!$R$21)</f>
        <v>2010662.6700173409</v>
      </c>
      <c r="L160" s="501"/>
      <c r="M160" s="504">
        <v>4600000</v>
      </c>
      <c r="N160" s="532">
        <f t="shared" si="61"/>
        <v>1</v>
      </c>
      <c r="O160" s="532">
        <f t="shared" si="57"/>
        <v>0.50397004726831385</v>
      </c>
      <c r="P160" s="532">
        <f t="shared" si="58"/>
        <v>-1.8547665720508766</v>
      </c>
      <c r="Q160" s="532">
        <f t="shared" si="59"/>
        <v>4.9542891384568834E-2</v>
      </c>
      <c r="R160" s="532">
        <f t="shared" si="38"/>
        <v>-7.5313408349498442E-2</v>
      </c>
      <c r="S160" s="533">
        <f t="shared" si="60"/>
        <v>2047899.2922</v>
      </c>
      <c r="T160" s="510">
        <f t="shared" si="56"/>
        <v>2109336.2709659999</v>
      </c>
      <c r="U160" s="487">
        <f t="shared" si="51"/>
        <v>2109336.2709659999</v>
      </c>
    </row>
    <row r="161" spans="1:21" s="253" customFormat="1" x14ac:dyDescent="0.25">
      <c r="A161" s="500" t="s">
        <v>1060</v>
      </c>
      <c r="B161" s="512">
        <v>0</v>
      </c>
      <c r="C161" s="501">
        <f>+B161*([8]IPC!$S$15/[8]IPC!$N$21)</f>
        <v>0</v>
      </c>
      <c r="D161" s="504">
        <v>38259325.719999999</v>
      </c>
      <c r="E161" s="501">
        <f>+D161*([8]IPC!$S$15/[8]IPC!$O$21)</f>
        <v>43132654.073981307</v>
      </c>
      <c r="F161" s="504">
        <v>9739380.3760000002</v>
      </c>
      <c r="G161" s="501">
        <f>+F161*([8]IPC!$S$15/[8]IPC!$P$21)</f>
        <v>10548315.704382172</v>
      </c>
      <c r="H161" s="504">
        <v>3334722.42</v>
      </c>
      <c r="I161" s="501">
        <f>+H161*([8]IPC!$S$15/[8]IPC!$Q$21)</f>
        <v>3500458.1242740001</v>
      </c>
      <c r="J161" s="504">
        <v>2385270.66</v>
      </c>
      <c r="K161" s="501">
        <f>+J161*([8]IPC!$S$15/[8]IPC!$R$21)</f>
        <v>2412156.6587687861</v>
      </c>
      <c r="L161" s="501"/>
      <c r="M161" s="504">
        <v>12000000</v>
      </c>
      <c r="N161" s="532">
        <f t="shared" si="61"/>
        <v>1</v>
      </c>
      <c r="O161" s="532">
        <f t="shared" si="57"/>
        <v>-2.9283120940916825</v>
      </c>
      <c r="P161" s="532">
        <f t="shared" si="58"/>
        <v>-1.9205970240845414</v>
      </c>
      <c r="Q161" s="532">
        <f t="shared" si="59"/>
        <v>-0.39804780896437125</v>
      </c>
      <c r="R161" s="532">
        <f t="shared" si="38"/>
        <v>-1.0617392317851488</v>
      </c>
      <c r="S161" s="533">
        <f t="shared" si="60"/>
        <v>2456828.7798000001</v>
      </c>
      <c r="T161" s="510">
        <f t="shared" si="56"/>
        <v>2530533.6431940002</v>
      </c>
      <c r="U161" s="487">
        <f t="shared" si="51"/>
        <v>2530533.6431940002</v>
      </c>
    </row>
    <row r="162" spans="1:21" s="253" customFormat="1" x14ac:dyDescent="0.25">
      <c r="A162" s="500" t="s">
        <v>1169</v>
      </c>
      <c r="B162" s="512">
        <v>0</v>
      </c>
      <c r="C162" s="501">
        <f>+B162*([8]IPC!$S$15/[8]IPC!$N$21)</f>
        <v>0</v>
      </c>
      <c r="D162" s="504">
        <v>0</v>
      </c>
      <c r="E162" s="501">
        <f>+D162*([8]IPC!$S$15/[8]IPC!$O$21)</f>
        <v>0</v>
      </c>
      <c r="F162" s="504">
        <v>2434845.094</v>
      </c>
      <c r="G162" s="501">
        <f>+F162*([8]IPC!$S$15/[8]IPC!$P$21)</f>
        <v>2637078.926095543</v>
      </c>
      <c r="H162" s="504">
        <v>833680.59</v>
      </c>
      <c r="I162" s="501">
        <f>+H162*([8]IPC!$S$15/[8]IPC!$Q$21)</f>
        <v>875114.51532300003</v>
      </c>
      <c r="J162" s="504">
        <v>596317.63</v>
      </c>
      <c r="K162" s="501">
        <f>+J162*([8]IPC!$S$15/[8]IPC!$R$21)</f>
        <v>603039.1292976879</v>
      </c>
      <c r="L162" s="501"/>
      <c r="M162" s="504"/>
      <c r="N162" s="532">
        <v>0</v>
      </c>
      <c r="O162" s="532">
        <f t="shared" si="57"/>
        <v>1</v>
      </c>
      <c r="P162" s="532">
        <f t="shared" si="58"/>
        <v>-1.9205970766333906</v>
      </c>
      <c r="Q162" s="532">
        <f t="shared" si="59"/>
        <v>-0.39804786586638391</v>
      </c>
      <c r="R162" s="532">
        <v>0</v>
      </c>
      <c r="S162" s="533">
        <f t="shared" si="60"/>
        <v>614207.15890000004</v>
      </c>
      <c r="T162" s="510">
        <f t="shared" si="56"/>
        <v>632633.37366700009</v>
      </c>
      <c r="U162" s="487">
        <f t="shared" si="51"/>
        <v>632633.37366700009</v>
      </c>
    </row>
    <row r="163" spans="1:21" s="253" customFormat="1" x14ac:dyDescent="0.25">
      <c r="A163" s="500" t="s">
        <v>1170</v>
      </c>
      <c r="B163" s="512">
        <v>0</v>
      </c>
      <c r="C163" s="501">
        <f>+B163*([8]IPC!$S$15/[8]IPC!$N$21)</f>
        <v>0</v>
      </c>
      <c r="D163" s="504">
        <v>100062981.03</v>
      </c>
      <c r="E163" s="501">
        <f>+D163*([8]IPC!$S$15/[8]IPC!$O$21)</f>
        <v>112808625.48296747</v>
      </c>
      <c r="F163" s="504">
        <v>222303814.28</v>
      </c>
      <c r="G163" s="501">
        <f>+F163*([8]IPC!$S$15/[8]IPC!$P$21)</f>
        <v>240767967.24073049</v>
      </c>
      <c r="H163" s="504">
        <v>139166344.66999999</v>
      </c>
      <c r="I163" s="501">
        <f>+H163*([8]IPC!$S$15/[8]IPC!$Q$21)</f>
        <v>146082912.000099</v>
      </c>
      <c r="J163" s="504">
        <v>71809525.689999998</v>
      </c>
      <c r="K163" s="501">
        <f>+J163*([8]IPC!$S$15/[8]IPC!$R$21)</f>
        <v>72618939.418875724</v>
      </c>
      <c r="L163" s="501"/>
      <c r="M163" s="504">
        <v>160000000</v>
      </c>
      <c r="N163" s="532">
        <f t="shared" ref="N163:N168" si="62">+(D163-B163)/D163</f>
        <v>1</v>
      </c>
      <c r="O163" s="532">
        <f t="shared" si="57"/>
        <v>0.54988185266148015</v>
      </c>
      <c r="P163" s="532">
        <f t="shared" si="58"/>
        <v>-0.59739637343454577</v>
      </c>
      <c r="Q163" s="532">
        <f t="shared" si="59"/>
        <v>-0.93799281269142154</v>
      </c>
      <c r="R163" s="532">
        <f t="shared" ref="R163:R171" si="63">+(N163+O163+P163+Q163)/4</f>
        <v>3.6231666338782109E-3</v>
      </c>
      <c r="S163" s="533">
        <f t="shared" si="60"/>
        <v>73963811.460700005</v>
      </c>
      <c r="T163" s="510">
        <f t="shared" si="56"/>
        <v>76182725.804521009</v>
      </c>
      <c r="U163" s="487">
        <f t="shared" si="51"/>
        <v>76182725.804521009</v>
      </c>
    </row>
    <row r="164" spans="1:21" s="253" customFormat="1" x14ac:dyDescent="0.25">
      <c r="A164" s="500" t="s">
        <v>1171</v>
      </c>
      <c r="B164" s="512">
        <v>0</v>
      </c>
      <c r="C164" s="501">
        <f>+B164*([8]IPC!$S$15/[8]IPC!$N$21)</f>
        <v>0</v>
      </c>
      <c r="D164" s="504">
        <v>648763.80000000005</v>
      </c>
      <c r="E164" s="501">
        <f>+D164*([8]IPC!$S$15/[8]IPC!$O$21)</f>
        <v>731400.8816024058</v>
      </c>
      <c r="F164" s="504">
        <v>911017.83</v>
      </c>
      <c r="G164" s="501">
        <f>+F164*([8]IPC!$S$15/[8]IPC!$P$21)</f>
        <v>986685.3241343376</v>
      </c>
      <c r="H164" s="504">
        <v>616829.43000000005</v>
      </c>
      <c r="I164" s="501">
        <f>+H164*([8]IPC!$S$15/[8]IPC!$Q$21)</f>
        <v>647485.85267100006</v>
      </c>
      <c r="J164" s="504">
        <v>513341.79</v>
      </c>
      <c r="K164" s="501">
        <f>+J164*([8]IPC!$S$15/[8]IPC!$R$21)</f>
        <v>519128.01248843927</v>
      </c>
      <c r="L164" s="501"/>
      <c r="M164" s="504">
        <v>1000000</v>
      </c>
      <c r="N164" s="532">
        <f t="shared" si="62"/>
        <v>1</v>
      </c>
      <c r="O164" s="532">
        <f t="shared" si="57"/>
        <v>0.28786926157087389</v>
      </c>
      <c r="P164" s="532">
        <f t="shared" si="58"/>
        <v>-0.47693638742237038</v>
      </c>
      <c r="Q164" s="532">
        <f t="shared" si="59"/>
        <v>-0.20159597760392756</v>
      </c>
      <c r="R164" s="532">
        <f t="shared" si="63"/>
        <v>0.152334224136144</v>
      </c>
      <c r="S164" s="533">
        <f t="shared" si="60"/>
        <v>528742.04370000004</v>
      </c>
      <c r="T164" s="510"/>
      <c r="U164" s="487">
        <f t="shared" si="51"/>
        <v>0</v>
      </c>
    </row>
    <row r="165" spans="1:21" s="253" customFormat="1" x14ac:dyDescent="0.25">
      <c r="A165" s="500" t="s">
        <v>1172</v>
      </c>
      <c r="B165" s="512">
        <v>0</v>
      </c>
      <c r="C165" s="501">
        <f>+B165*([8]IPC!$S$15/[8]IPC!$N$21)</f>
        <v>0</v>
      </c>
      <c r="D165" s="504">
        <v>5201062.96</v>
      </c>
      <c r="E165" s="501">
        <f>+D165*([8]IPC!$S$15/[8]IPC!$O$21)</f>
        <v>5863554.7085296959</v>
      </c>
      <c r="F165" s="504">
        <v>12693804.279999999</v>
      </c>
      <c r="G165" s="501">
        <f>+F165*([8]IPC!$S$15/[8]IPC!$P$21)</f>
        <v>13748128.717205942</v>
      </c>
      <c r="H165" s="504">
        <v>0</v>
      </c>
      <c r="I165" s="501">
        <f>+H165*([8]IPC!$S$15/[8]IPC!$Q$21)</f>
        <v>0</v>
      </c>
      <c r="J165" s="504">
        <v>2375500.21</v>
      </c>
      <c r="K165" s="501">
        <f>+J165*([8]IPC!$S$15/[8]IPC!$R$21)</f>
        <v>2402276.079419075</v>
      </c>
      <c r="L165" s="501"/>
      <c r="M165" s="504"/>
      <c r="N165" s="532">
        <f t="shared" si="62"/>
        <v>1</v>
      </c>
      <c r="O165" s="532">
        <f>+(F165-D165)/F165</f>
        <v>0.59026759470408341</v>
      </c>
      <c r="P165" s="532">
        <v>0</v>
      </c>
      <c r="Q165" s="532">
        <f>+(J165-H165)/J165</f>
        <v>1</v>
      </c>
      <c r="R165" s="532">
        <f t="shared" si="63"/>
        <v>0.6475668986760208</v>
      </c>
      <c r="S165" s="533">
        <f t="shared" si="60"/>
        <v>2446765.2163</v>
      </c>
      <c r="T165" s="510"/>
      <c r="U165" s="487">
        <f t="shared" si="51"/>
        <v>0</v>
      </c>
    </row>
    <row r="166" spans="1:21" s="253" customFormat="1" x14ac:dyDescent="0.25">
      <c r="A166" s="500" t="s">
        <v>1173</v>
      </c>
      <c r="B166" s="512">
        <v>0</v>
      </c>
      <c r="C166" s="501">
        <f>+B166*([8]IPC!$S$15/[8]IPC!$N$21)</f>
        <v>0</v>
      </c>
      <c r="D166" s="504">
        <v>4233144.68</v>
      </c>
      <c r="E166" s="501">
        <f>+D166*([8]IPC!$S$15/[8]IPC!$O$21)</f>
        <v>4772346.6551347869</v>
      </c>
      <c r="F166" s="504">
        <v>4139524.78</v>
      </c>
      <c r="G166" s="501">
        <f>+F166*([8]IPC!$S$15/[8]IPC!$P$21)</f>
        <v>4483346.2253054064</v>
      </c>
      <c r="H166" s="504">
        <v>5187876.97</v>
      </c>
      <c r="I166" s="501">
        <f>+H166*([8]IPC!$S$15/[8]IPC!$Q$21)</f>
        <v>5445714.4554089997</v>
      </c>
      <c r="J166" s="504">
        <v>1672883.23</v>
      </c>
      <c r="K166" s="501">
        <f>+J166*([8]IPC!$S$15/[8]IPC!$R$21)</f>
        <v>1691739.4282572253</v>
      </c>
      <c r="L166" s="501"/>
      <c r="M166" s="504">
        <v>4200000</v>
      </c>
      <c r="N166" s="532">
        <f t="shared" si="62"/>
        <v>1</v>
      </c>
      <c r="O166" s="532">
        <f>+(F166-D166)/F166</f>
        <v>-2.2616098459495127E-2</v>
      </c>
      <c r="P166" s="532">
        <f>+(H166-F166)/H166</f>
        <v>0.20207730369519539</v>
      </c>
      <c r="Q166" s="532">
        <f>+(J166-H166)/J166</f>
        <v>-2.1011590510115878</v>
      </c>
      <c r="R166" s="532">
        <f t="shared" si="63"/>
        <v>-0.23042446144397188</v>
      </c>
      <c r="S166" s="533">
        <f t="shared" si="60"/>
        <v>1723069.7269000001</v>
      </c>
      <c r="T166" s="510">
        <f>+S166*1.03</f>
        <v>1774761.8187070002</v>
      </c>
      <c r="U166" s="487">
        <f t="shared" si="51"/>
        <v>1774761.8187070002</v>
      </c>
    </row>
    <row r="167" spans="1:21" s="253" customFormat="1" x14ac:dyDescent="0.25">
      <c r="A167" s="500" t="s">
        <v>1174</v>
      </c>
      <c r="B167" s="512">
        <v>0</v>
      </c>
      <c r="C167" s="501">
        <f>+B167*([8]IPC!$S$15/[8]IPC!$N$21)</f>
        <v>0</v>
      </c>
      <c r="D167" s="504">
        <v>29207171</v>
      </c>
      <c r="E167" s="501">
        <f>+D167*([8]IPC!$S$15/[8]IPC!$O$21)</f>
        <v>32927470.087745678</v>
      </c>
      <c r="F167" s="504">
        <v>196980313</v>
      </c>
      <c r="G167" s="501">
        <f>+F167*([8]IPC!$S$15/[8]IPC!$P$21)</f>
        <v>213341141.72111019</v>
      </c>
      <c r="H167" s="504">
        <v>23477839.699999999</v>
      </c>
      <c r="I167" s="501">
        <f>+H167*([8]IPC!$S$15/[8]IPC!$Q$21)</f>
        <v>24644688.33309</v>
      </c>
      <c r="J167" s="504">
        <v>48746536.670000002</v>
      </c>
      <c r="K167" s="501">
        <f>+J167*([8]IPC!$S$15/[8]IPC!$R$21)</f>
        <v>49295991.8521185</v>
      </c>
      <c r="L167" s="501"/>
      <c r="M167" s="504">
        <v>0</v>
      </c>
      <c r="N167" s="532">
        <f t="shared" si="62"/>
        <v>1</v>
      </c>
      <c r="O167" s="532">
        <f>+(F167-D167)/F167</f>
        <v>0.85172543105868659</v>
      </c>
      <c r="P167" s="532">
        <f>+(H167-F167)/H167</f>
        <v>-7.3900527270402998</v>
      </c>
      <c r="Q167" s="532">
        <f>+(J167-H167)/J167</f>
        <v>0.51836907185964398</v>
      </c>
      <c r="R167" s="532">
        <f t="shared" si="63"/>
        <v>-1.2549895560304922</v>
      </c>
      <c r="S167" s="533">
        <f t="shared" si="60"/>
        <v>50208932.770100005</v>
      </c>
      <c r="T167" s="510">
        <f>+S167*1.03</f>
        <v>51715200.753203005</v>
      </c>
      <c r="U167" s="487">
        <f t="shared" si="51"/>
        <v>51715200.753203005</v>
      </c>
    </row>
    <row r="168" spans="1:21" s="253" customFormat="1" x14ac:dyDescent="0.25">
      <c r="A168" s="500" t="s">
        <v>1175</v>
      </c>
      <c r="B168" s="509">
        <v>0</v>
      </c>
      <c r="C168" s="501">
        <f>+B168*([8]IPC!$S$15/[8]IPC!$N$21)</f>
        <v>0</v>
      </c>
      <c r="D168" s="510">
        <v>187637.97</v>
      </c>
      <c r="E168" s="501">
        <f>+D168*([8]IPC!$S$15/[8]IPC!$O$21)</f>
        <v>211538.58566104606</v>
      </c>
      <c r="F168" s="510">
        <v>292809.44</v>
      </c>
      <c r="G168" s="501">
        <f>+F168*([8]IPC!$S$15/[8]IPC!$P$21)</f>
        <v>317129.66278167558</v>
      </c>
      <c r="H168" s="504">
        <v>2709.44</v>
      </c>
      <c r="I168" s="501">
        <f>+H168*([8]IPC!$S$15/[8]IPC!$Q$21)</f>
        <v>2844.0991680000002</v>
      </c>
      <c r="J168" s="511">
        <v>882.69</v>
      </c>
      <c r="K168" s="501">
        <f>+J168*([8]IPC!$S$15/[8]IPC!$R$21)</f>
        <v>892.63939595375723</v>
      </c>
      <c r="L168" s="501"/>
      <c r="M168" s="510">
        <v>0</v>
      </c>
      <c r="N168" s="532">
        <f t="shared" si="62"/>
        <v>1</v>
      </c>
      <c r="O168" s="532">
        <f>+(F168-D168)/F168</f>
        <v>0.35918059882222375</v>
      </c>
      <c r="P168" s="532">
        <f>+(H168-F168)/H168</f>
        <v>-107.07009566552497</v>
      </c>
      <c r="Q168" s="532">
        <f>+(J168-H168)/J168</f>
        <v>-2.0695261076935276</v>
      </c>
      <c r="R168" s="532">
        <f t="shared" si="63"/>
        <v>-26.945110293599072</v>
      </c>
      <c r="S168" s="533">
        <f t="shared" si="60"/>
        <v>909.17070000000012</v>
      </c>
      <c r="T168" s="510">
        <v>0</v>
      </c>
      <c r="U168" s="487">
        <f t="shared" si="51"/>
        <v>0</v>
      </c>
    </row>
    <row r="169" spans="1:21" s="253" customFormat="1" x14ac:dyDescent="0.25">
      <c r="A169" s="500" t="s">
        <v>1183</v>
      </c>
      <c r="B169" s="509">
        <v>0</v>
      </c>
      <c r="C169" s="501">
        <f>+B169*([8]IPC!$S$15/[8]IPC!$N$21)</f>
        <v>0</v>
      </c>
      <c r="D169" s="510">
        <v>0</v>
      </c>
      <c r="E169" s="501">
        <f>+D169*([8]IPC!$S$15/[8]IPC!$O$21)</f>
        <v>0</v>
      </c>
      <c r="F169" s="510">
        <v>4674563</v>
      </c>
      <c r="G169" s="501">
        <f>+F169*([8]IPC!$S$15/[8]IPC!$P$21)</f>
        <v>5062823.7526826244</v>
      </c>
      <c r="H169" s="504">
        <v>0</v>
      </c>
      <c r="I169" s="501">
        <f>+H169*([8]IPC!$S$15/[8]IPC!$Q$21)</f>
        <v>0</v>
      </c>
      <c r="J169" s="511">
        <v>1853935.84</v>
      </c>
      <c r="K169" s="501">
        <f>+J169*([8]IPC!$S$15/[8]IPC!$R$21)</f>
        <v>1874832.8046705204</v>
      </c>
      <c r="L169" s="501"/>
      <c r="M169" s="510">
        <v>0</v>
      </c>
      <c r="N169" s="532">
        <v>0</v>
      </c>
      <c r="O169" s="532">
        <f>+(F169-D169)/F169</f>
        <v>1</v>
      </c>
      <c r="P169" s="532">
        <v>0</v>
      </c>
      <c r="Q169" s="532">
        <f>+(J169-H169)/J169</f>
        <v>1</v>
      </c>
      <c r="R169" s="532">
        <v>0</v>
      </c>
      <c r="S169" s="533">
        <f t="shared" si="60"/>
        <v>1909553.9152000002</v>
      </c>
      <c r="T169" s="510"/>
      <c r="U169" s="487">
        <f t="shared" si="51"/>
        <v>0</v>
      </c>
    </row>
    <row r="170" spans="1:21" s="253" customFormat="1" x14ac:dyDescent="0.25">
      <c r="A170" s="496" t="s">
        <v>1187</v>
      </c>
      <c r="B170" s="506">
        <f t="shared" ref="B170:T170" si="64">+B171</f>
        <v>167708277.09</v>
      </c>
      <c r="C170" s="506">
        <f t="shared" si="64"/>
        <v>199935693.88003749</v>
      </c>
      <c r="D170" s="506">
        <f t="shared" si="64"/>
        <v>198971548.22999999</v>
      </c>
      <c r="E170" s="506">
        <f t="shared" si="64"/>
        <v>224315792.26402211</v>
      </c>
      <c r="F170" s="506">
        <f t="shared" si="64"/>
        <v>195422061.95999998</v>
      </c>
      <c r="G170" s="506">
        <f t="shared" si="64"/>
        <v>211653465.16654146</v>
      </c>
      <c r="H170" s="506">
        <f t="shared" si="64"/>
        <v>155092821</v>
      </c>
      <c r="I170" s="506">
        <f t="shared" si="64"/>
        <v>162800934.20370001</v>
      </c>
      <c r="J170" s="506">
        <f t="shared" si="64"/>
        <v>221403552</v>
      </c>
      <c r="K170" s="506">
        <f t="shared" si="64"/>
        <v>223899141.1699422</v>
      </c>
      <c r="L170" s="506"/>
      <c r="M170" s="506">
        <f t="shared" si="64"/>
        <v>180000000</v>
      </c>
      <c r="N170" s="506"/>
      <c r="O170" s="506"/>
      <c r="P170" s="506"/>
      <c r="Q170" s="506"/>
      <c r="R170" s="506"/>
      <c r="S170" s="506">
        <f t="shared" si="64"/>
        <v>230526716.36706251</v>
      </c>
      <c r="T170" s="506">
        <f t="shared" si="64"/>
        <v>237442517.8580744</v>
      </c>
      <c r="U170" s="487"/>
    </row>
    <row r="171" spans="1:21" x14ac:dyDescent="0.25">
      <c r="A171" s="500" t="s">
        <v>1184</v>
      </c>
      <c r="B171" s="509">
        <v>167708277.09</v>
      </c>
      <c r="C171" s="501">
        <f>+B171*([8]IPC!$S$15/[8]IPC!$N$21)</f>
        <v>199935693.88003749</v>
      </c>
      <c r="D171" s="504">
        <v>198971548.22999999</v>
      </c>
      <c r="E171" s="501">
        <f>+D171*([8]IPC!$S$15/[8]IPC!$O$21)</f>
        <v>224315792.26402211</v>
      </c>
      <c r="F171" s="504">
        <v>195422061.95999998</v>
      </c>
      <c r="G171" s="501">
        <f>+F171*([8]IPC!$S$15/[8]IPC!$P$21)</f>
        <v>211653465.16654146</v>
      </c>
      <c r="H171" s="504">
        <v>155092821</v>
      </c>
      <c r="I171" s="501">
        <f>+H171*([8]IPC!$S$15/[8]IPC!$Q$21)</f>
        <v>162800934.20370001</v>
      </c>
      <c r="J171" s="504">
        <v>221403552</v>
      </c>
      <c r="K171" s="501">
        <f>+J171*([8]IPC!$S$15/[8]IPC!$R$21)</f>
        <v>223899141.1699422</v>
      </c>
      <c r="L171" s="501"/>
      <c r="M171" s="504">
        <v>180000000</v>
      </c>
      <c r="N171" s="532">
        <f>+(D171-B171)/D171</f>
        <v>0.1571243296748206</v>
      </c>
      <c r="O171" s="532">
        <f>+(F171-D171)/F171</f>
        <v>-1.8163180934640522E-2</v>
      </c>
      <c r="P171" s="532">
        <f>+(H171-F171)/H171</f>
        <v>-0.26003293189179905</v>
      </c>
      <c r="Q171" s="532">
        <f>+(J171-H171)/J171</f>
        <v>0.29950165840157794</v>
      </c>
      <c r="R171" s="532">
        <f t="shared" si="63"/>
        <v>4.4607468812489739E-2</v>
      </c>
      <c r="S171" s="533">
        <f>+((C171+E171+G171+I171+K171)/5)*R171+J171</f>
        <v>230526716.36706251</v>
      </c>
      <c r="T171" s="510">
        <f>+S171*1.03</f>
        <v>237442517.8580744</v>
      </c>
      <c r="U171" s="487">
        <f t="shared" si="51"/>
        <v>237442517.8580744</v>
      </c>
    </row>
  </sheetData>
  <mergeCells count="1">
    <mergeCell ref="A1:D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48"/>
  <sheetViews>
    <sheetView zoomScale="130" zoomScaleNormal="130" workbookViewId="0">
      <pane xSplit="2" ySplit="6" topLeftCell="C149" activePane="bottomRight" state="frozen"/>
      <selection pane="topRight"/>
      <selection pane="bottomLeft"/>
      <selection pane="bottomRight"/>
    </sheetView>
  </sheetViews>
  <sheetFormatPr baseColWidth="10" defaultColWidth="11.42578125" defaultRowHeight="12.75" x14ac:dyDescent="0.25"/>
  <cols>
    <col min="1" max="1" width="11.42578125" style="42"/>
    <col min="2" max="2" width="35.5703125" style="95" customWidth="1"/>
    <col min="3" max="3" width="23.28515625" style="42" bestFit="1" customWidth="1"/>
    <col min="4" max="4" width="18.140625" style="42" bestFit="1" customWidth="1"/>
    <col min="5" max="5" width="18.140625" style="42" customWidth="1"/>
    <col min="6" max="6" width="16.28515625" style="42" bestFit="1" customWidth="1"/>
    <col min="7" max="7" width="14.5703125" style="42" bestFit="1" customWidth="1"/>
    <col min="8" max="8" width="13.7109375" style="42" bestFit="1" customWidth="1"/>
    <col min="9"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4" width="11.42578125" style="42"/>
  </cols>
  <sheetData>
    <row r="1" spans="1:6" x14ac:dyDescent="0.25">
      <c r="B1" s="1827" t="s">
        <v>1767</v>
      </c>
      <c r="C1" s="1827"/>
      <c r="D1" s="1827"/>
      <c r="E1" s="1827"/>
      <c r="F1" s="1827"/>
    </row>
    <row r="2" spans="1:6" x14ac:dyDescent="0.25">
      <c r="B2" s="1827" t="s">
        <v>1768</v>
      </c>
      <c r="C2" s="1827"/>
      <c r="D2" s="1827"/>
      <c r="E2" s="1827"/>
      <c r="F2" s="1827"/>
    </row>
    <row r="3" spans="1:6" x14ac:dyDescent="0.25">
      <c r="B3" s="1827" t="s">
        <v>1769</v>
      </c>
      <c r="C3" s="1827"/>
      <c r="D3" s="1827"/>
      <c r="E3" s="1827"/>
      <c r="F3" s="1827"/>
    </row>
    <row r="4" spans="1:6" x14ac:dyDescent="0.25">
      <c r="B4" s="1827" t="s">
        <v>1876</v>
      </c>
      <c r="C4" s="1827"/>
      <c r="D4" s="1827"/>
      <c r="E4" s="1827"/>
      <c r="F4" s="1827"/>
    </row>
    <row r="5" spans="1:6" s="95" customFormat="1" ht="26.25" customHeight="1" x14ac:dyDescent="0.25">
      <c r="A5" s="1828" t="s">
        <v>1771</v>
      </c>
      <c r="B5" s="1828" t="s">
        <v>1772</v>
      </c>
      <c r="C5" s="1830" t="s">
        <v>1773</v>
      </c>
      <c r="D5" s="1832" t="s">
        <v>1877</v>
      </c>
      <c r="E5" s="1832" t="s">
        <v>1978</v>
      </c>
      <c r="F5" s="1832" t="s">
        <v>1776</v>
      </c>
    </row>
    <row r="6" spans="1:6" s="204" customFormat="1" x14ac:dyDescent="0.25">
      <c r="A6" s="1829"/>
      <c r="B6" s="1829"/>
      <c r="C6" s="1831"/>
      <c r="D6" s="1833"/>
      <c r="E6" s="1833"/>
      <c r="F6" s="1833"/>
    </row>
    <row r="7" spans="1:6" ht="25.5" x14ac:dyDescent="0.25">
      <c r="A7" s="42">
        <v>20</v>
      </c>
      <c r="B7" s="379" t="s">
        <v>1023</v>
      </c>
      <c r="C7" s="414">
        <v>18334260463.560429</v>
      </c>
      <c r="D7" s="47"/>
      <c r="E7" s="47"/>
      <c r="F7" s="47">
        <f>+C7</f>
        <v>18334260463.560429</v>
      </c>
    </row>
    <row r="8" spans="1:6" x14ac:dyDescent="0.25">
      <c r="A8" s="42">
        <v>20</v>
      </c>
      <c r="B8" s="379" t="s">
        <v>2424</v>
      </c>
      <c r="C8" s="415">
        <v>10580445405.378002</v>
      </c>
      <c r="D8" s="47"/>
      <c r="E8" s="47"/>
      <c r="F8" s="47">
        <f>+C8</f>
        <v>10580445405.378002</v>
      </c>
    </row>
    <row r="9" spans="1:6" x14ac:dyDescent="0.25">
      <c r="A9" s="42">
        <v>1</v>
      </c>
      <c r="B9" s="379" t="s">
        <v>1780</v>
      </c>
      <c r="C9" s="415">
        <v>3526815135.1260004</v>
      </c>
      <c r="D9" s="47"/>
      <c r="E9" s="47">
        <f>+C9</f>
        <v>3526815135.1260004</v>
      </c>
      <c r="F9" s="47"/>
    </row>
    <row r="10" spans="1:6" x14ac:dyDescent="0.25">
      <c r="A10" s="42">
        <v>52</v>
      </c>
      <c r="B10" s="379" t="s">
        <v>1028</v>
      </c>
      <c r="C10" s="415">
        <v>705363027.02520001</v>
      </c>
      <c r="D10" s="47">
        <f>+C10</f>
        <v>705363027.02520001</v>
      </c>
      <c r="E10" s="47"/>
      <c r="F10" s="47"/>
    </row>
    <row r="11" spans="1:6" x14ac:dyDescent="0.25">
      <c r="A11" s="42">
        <v>53</v>
      </c>
      <c r="B11" s="379" t="s">
        <v>1029</v>
      </c>
      <c r="C11" s="415">
        <v>1058044540.5378001</v>
      </c>
      <c r="D11" s="47"/>
      <c r="E11" s="47">
        <f>+C11</f>
        <v>1058044540.5378001</v>
      </c>
      <c r="F11" s="47"/>
    </row>
    <row r="12" spans="1:6" ht="25.5" x14ac:dyDescent="0.25">
      <c r="A12" s="42">
        <v>13</v>
      </c>
      <c r="B12" s="379" t="s">
        <v>1030</v>
      </c>
      <c r="C12" s="415">
        <v>1763407567.5630002</v>
      </c>
      <c r="D12" s="47"/>
      <c r="E12" s="408">
        <f>+C12</f>
        <v>1763407567.5630002</v>
      </c>
      <c r="F12" s="47"/>
    </row>
    <row r="13" spans="1:6" ht="25.5" x14ac:dyDescent="0.25">
      <c r="A13" s="42">
        <v>145</v>
      </c>
      <c r="B13" s="379" t="s">
        <v>1782</v>
      </c>
      <c r="C13" s="414">
        <v>149729169</v>
      </c>
      <c r="D13" s="47"/>
      <c r="E13" s="47">
        <f>+C13</f>
        <v>149729169</v>
      </c>
      <c r="F13" s="47"/>
    </row>
    <row r="14" spans="1:6" ht="25.5" x14ac:dyDescent="0.25">
      <c r="A14" s="42">
        <v>20</v>
      </c>
      <c r="B14" s="379" t="s">
        <v>1783</v>
      </c>
      <c r="C14" s="414">
        <v>2994583375</v>
      </c>
      <c r="D14" s="47"/>
      <c r="E14" s="47"/>
      <c r="F14" s="47">
        <f>+C14</f>
        <v>2994583375</v>
      </c>
    </row>
    <row r="15" spans="1:6" ht="25.5" x14ac:dyDescent="0.25">
      <c r="A15" s="42">
        <v>20</v>
      </c>
      <c r="B15" s="379" t="s">
        <v>1035</v>
      </c>
      <c r="C15" s="414">
        <v>2325192551</v>
      </c>
      <c r="D15" s="47"/>
      <c r="E15" s="47"/>
      <c r="F15" s="47">
        <f>+C15</f>
        <v>2325192551</v>
      </c>
    </row>
    <row r="16" spans="1:6" ht="25.5" x14ac:dyDescent="0.25">
      <c r="A16" s="42">
        <v>145</v>
      </c>
      <c r="B16" s="379" t="s">
        <v>1036</v>
      </c>
      <c r="C16" s="414">
        <v>116259628</v>
      </c>
      <c r="D16" s="47"/>
      <c r="E16" s="47">
        <f>+C16</f>
        <v>116259628</v>
      </c>
      <c r="F16" s="47"/>
    </row>
    <row r="17" spans="1:6" ht="25.5" x14ac:dyDescent="0.25">
      <c r="A17" s="42">
        <v>20</v>
      </c>
      <c r="B17" s="379" t="s">
        <v>1786</v>
      </c>
      <c r="C17" s="414">
        <v>16798216778.3344</v>
      </c>
      <c r="D17" s="47"/>
      <c r="E17" s="47"/>
      <c r="F17" s="47">
        <f>+C17</f>
        <v>16798216778.3344</v>
      </c>
    </row>
    <row r="18" spans="1:6" ht="25.5" x14ac:dyDescent="0.25">
      <c r="A18" s="42">
        <v>20</v>
      </c>
      <c r="B18" s="379" t="s">
        <v>1787</v>
      </c>
      <c r="C18" s="414">
        <v>849123596.06520009</v>
      </c>
      <c r="D18" s="47"/>
      <c r="E18" s="47"/>
      <c r="F18" s="47">
        <f>+C18</f>
        <v>849123596.06520009</v>
      </c>
    </row>
    <row r="19" spans="1:6" ht="25.5" x14ac:dyDescent="0.25">
      <c r="A19" s="42">
        <v>20</v>
      </c>
      <c r="B19" s="379" t="s">
        <v>1788</v>
      </c>
      <c r="C19" s="414">
        <v>9526413536</v>
      </c>
      <c r="D19" s="47"/>
      <c r="E19" s="47"/>
      <c r="F19" s="47">
        <f>+C19</f>
        <v>9526413536</v>
      </c>
    </row>
    <row r="20" spans="1:6" ht="25.5" x14ac:dyDescent="0.25">
      <c r="A20" s="42">
        <v>20</v>
      </c>
      <c r="B20" s="379" t="s">
        <v>1045</v>
      </c>
      <c r="C20" s="414">
        <v>693652915</v>
      </c>
      <c r="D20" s="47"/>
      <c r="E20" s="47"/>
      <c r="F20" s="47">
        <f>+C20</f>
        <v>693652915</v>
      </c>
    </row>
    <row r="21" spans="1:6" ht="15" x14ac:dyDescent="0.25">
      <c r="A21" s="42">
        <v>20</v>
      </c>
      <c r="B21" s="379" t="s">
        <v>1047</v>
      </c>
      <c r="C21" s="414">
        <v>7947476705</v>
      </c>
      <c r="D21" s="47"/>
      <c r="E21" s="47"/>
      <c r="F21" s="47">
        <f>+C21</f>
        <v>7947476705</v>
      </c>
    </row>
    <row r="22" spans="1:6" x14ac:dyDescent="0.25">
      <c r="A22" s="42">
        <v>4</v>
      </c>
      <c r="B22" s="379" t="s">
        <v>1050</v>
      </c>
      <c r="C22" s="415">
        <v>3528349951.5</v>
      </c>
      <c r="D22" s="47">
        <f>+C22</f>
        <v>3528349951.5</v>
      </c>
      <c r="E22" s="47"/>
      <c r="F22" s="47"/>
    </row>
    <row r="23" spans="1:6" ht="25.5" x14ac:dyDescent="0.25">
      <c r="A23" s="42">
        <v>176</v>
      </c>
      <c r="B23" s="379" t="s">
        <v>1051</v>
      </c>
      <c r="C23" s="415">
        <v>1411339980.6000001</v>
      </c>
      <c r="D23" s="47"/>
      <c r="E23" s="408">
        <f>+C23</f>
        <v>1411339980.6000001</v>
      </c>
      <c r="F23" s="47"/>
    </row>
    <row r="24" spans="1:6" ht="25.5" x14ac:dyDescent="0.25">
      <c r="A24" s="42">
        <v>177</v>
      </c>
      <c r="B24" s="379" t="s">
        <v>1052</v>
      </c>
      <c r="C24" s="415">
        <v>2117009970.8999999</v>
      </c>
      <c r="D24" s="47"/>
      <c r="E24" s="47">
        <f>+C24</f>
        <v>2117009970.8999999</v>
      </c>
      <c r="F24" s="47"/>
    </row>
    <row r="25" spans="1:6" x14ac:dyDescent="0.25">
      <c r="A25" s="42">
        <v>5</v>
      </c>
      <c r="B25" s="379" t="s">
        <v>1054</v>
      </c>
      <c r="C25" s="416">
        <v>348635238.91000003</v>
      </c>
      <c r="D25" s="47"/>
      <c r="E25" s="408">
        <f>+C25</f>
        <v>348635238.91000003</v>
      </c>
      <c r="F25" s="47"/>
    </row>
    <row r="26" spans="1:6" ht="25.5" x14ac:dyDescent="0.25">
      <c r="A26" s="42">
        <v>33</v>
      </c>
      <c r="B26" s="379" t="s">
        <v>1055</v>
      </c>
      <c r="C26" s="416">
        <v>174317619.45500001</v>
      </c>
      <c r="D26" s="47">
        <f>+C26</f>
        <v>174317619.45500001</v>
      </c>
      <c r="E26" s="47"/>
      <c r="F26" s="47"/>
    </row>
    <row r="27" spans="1:6" x14ac:dyDescent="0.25">
      <c r="A27" s="42">
        <v>34</v>
      </c>
      <c r="B27" s="379" t="s">
        <v>1056</v>
      </c>
      <c r="C27" s="416">
        <v>174317619.45500001</v>
      </c>
      <c r="D27" s="47">
        <f>+C27</f>
        <v>174317619.45500001</v>
      </c>
      <c r="E27" s="47"/>
      <c r="F27" s="47"/>
    </row>
    <row r="28" spans="1:6" ht="25.5" x14ac:dyDescent="0.25">
      <c r="A28" s="42">
        <v>39</v>
      </c>
      <c r="B28" s="379" t="s">
        <v>1057</v>
      </c>
      <c r="C28" s="416">
        <v>871588097.27499998</v>
      </c>
      <c r="D28" s="47">
        <f>+C28</f>
        <v>871588097.27499998</v>
      </c>
      <c r="E28" s="47"/>
      <c r="F28" s="47"/>
    </row>
    <row r="29" spans="1:6" x14ac:dyDescent="0.25">
      <c r="A29" s="42">
        <v>41</v>
      </c>
      <c r="B29" s="379" t="s">
        <v>1058</v>
      </c>
      <c r="C29" s="416">
        <v>174317619.45500001</v>
      </c>
      <c r="D29" s="47">
        <f>+C29</f>
        <v>174317619.45500001</v>
      </c>
      <c r="E29" s="47"/>
      <c r="F29" s="47"/>
    </row>
    <row r="30" spans="1:6" x14ac:dyDescent="0.25">
      <c r="A30" s="42">
        <v>6</v>
      </c>
      <c r="B30" s="379" t="s">
        <v>1060</v>
      </c>
      <c r="C30" s="416">
        <v>3393118962.3780804</v>
      </c>
      <c r="D30" s="47">
        <f>+C30</f>
        <v>3393118962.3780804</v>
      </c>
      <c r="E30" s="47"/>
      <c r="F30" s="47"/>
    </row>
    <row r="31" spans="1:6" ht="25.5" x14ac:dyDescent="0.25">
      <c r="A31" s="42">
        <v>178</v>
      </c>
      <c r="B31" s="379" t="s">
        <v>1061</v>
      </c>
      <c r="C31" s="416">
        <v>848279740.59452009</v>
      </c>
      <c r="D31" s="47"/>
      <c r="E31" s="408">
        <f>+C31</f>
        <v>848279740.59452009</v>
      </c>
      <c r="F31" s="47"/>
    </row>
    <row r="32" spans="1:6" s="54" customFormat="1" x14ac:dyDescent="0.25">
      <c r="A32" s="42">
        <v>8</v>
      </c>
      <c r="B32" s="380" t="s">
        <v>1062</v>
      </c>
      <c r="C32" s="416">
        <v>8761326000</v>
      </c>
      <c r="D32" s="47"/>
      <c r="E32" s="47">
        <f>+C32</f>
        <v>8761326000</v>
      </c>
      <c r="F32" s="52"/>
    </row>
    <row r="33" spans="1:6" x14ac:dyDescent="0.25">
      <c r="A33" s="42">
        <v>20</v>
      </c>
      <c r="B33" s="379" t="s">
        <v>1068</v>
      </c>
      <c r="C33" s="417">
        <v>206000000</v>
      </c>
      <c r="D33" s="47"/>
      <c r="E33" s="47"/>
      <c r="F33" s="47">
        <f>+C33</f>
        <v>206000000</v>
      </c>
    </row>
    <row r="34" spans="1:6" x14ac:dyDescent="0.25">
      <c r="A34" s="42">
        <v>190</v>
      </c>
      <c r="B34" s="379" t="s">
        <v>1915</v>
      </c>
      <c r="C34" s="417">
        <v>8820874878.75</v>
      </c>
      <c r="D34" s="47"/>
      <c r="E34" s="47">
        <f>+C34</f>
        <v>8820874878.75</v>
      </c>
      <c r="F34" s="47"/>
    </row>
    <row r="35" spans="1:6" x14ac:dyDescent="0.25">
      <c r="A35" s="42">
        <v>135</v>
      </c>
      <c r="B35" s="379" t="s">
        <v>1803</v>
      </c>
      <c r="C35" s="417">
        <v>7263266657</v>
      </c>
      <c r="D35" s="47"/>
      <c r="E35" s="408">
        <f>+C35</f>
        <v>7263266657</v>
      </c>
      <c r="F35" s="47"/>
    </row>
    <row r="36" spans="1:6" x14ac:dyDescent="0.25">
      <c r="A36" s="42">
        <v>20</v>
      </c>
      <c r="B36" s="379" t="s">
        <v>1069</v>
      </c>
      <c r="C36" s="417">
        <v>244827263</v>
      </c>
      <c r="D36" s="47"/>
      <c r="E36" s="47"/>
      <c r="F36" s="47">
        <f>+C36</f>
        <v>244827263</v>
      </c>
    </row>
    <row r="37" spans="1:6" x14ac:dyDescent="0.25">
      <c r="A37" s="42">
        <v>20</v>
      </c>
      <c r="B37" s="379" t="s">
        <v>1070</v>
      </c>
      <c r="C37" s="417">
        <v>118460356</v>
      </c>
      <c r="D37" s="47"/>
      <c r="E37" s="47"/>
      <c r="F37" s="47">
        <f>+C37</f>
        <v>118460356</v>
      </c>
    </row>
    <row r="38" spans="1:6" x14ac:dyDescent="0.25">
      <c r="A38" s="42">
        <v>20</v>
      </c>
      <c r="B38" s="379" t="s">
        <v>1979</v>
      </c>
      <c r="C38" s="417">
        <v>354197207</v>
      </c>
      <c r="D38" s="47"/>
      <c r="E38" s="47"/>
      <c r="F38" s="47">
        <f>+C38</f>
        <v>354197207</v>
      </c>
    </row>
    <row r="39" spans="1:6" x14ac:dyDescent="0.25">
      <c r="A39" s="42">
        <v>20</v>
      </c>
      <c r="B39" s="379" t="s">
        <v>1072</v>
      </c>
      <c r="C39" s="417">
        <v>30000000</v>
      </c>
      <c r="D39" s="47"/>
      <c r="E39" s="47"/>
      <c r="F39" s="47">
        <f>+C39</f>
        <v>30000000</v>
      </c>
    </row>
    <row r="40" spans="1:6" s="54" customFormat="1" ht="15" x14ac:dyDescent="0.25">
      <c r="A40" s="42">
        <v>35</v>
      </c>
      <c r="B40" s="379" t="s">
        <v>1796</v>
      </c>
      <c r="C40" s="418">
        <v>2973420938.8419743</v>
      </c>
      <c r="D40" s="47">
        <f>+C40</f>
        <v>2973420938.8419743</v>
      </c>
      <c r="E40" s="47"/>
      <c r="F40" s="47"/>
    </row>
    <row r="41" spans="1:6" s="54" customFormat="1" ht="15" x14ac:dyDescent="0.25">
      <c r="A41" s="42">
        <v>179</v>
      </c>
      <c r="B41" s="379" t="s">
        <v>1797</v>
      </c>
      <c r="C41" s="418">
        <v>637161629.75185156</v>
      </c>
      <c r="D41" s="47"/>
      <c r="E41" s="47">
        <f>+C41</f>
        <v>637161629.75185156</v>
      </c>
      <c r="F41" s="47"/>
    </row>
    <row r="42" spans="1:6" x14ac:dyDescent="0.25">
      <c r="A42" s="42">
        <v>20</v>
      </c>
      <c r="B42" s="379" t="s">
        <v>1080</v>
      </c>
      <c r="C42" s="417">
        <v>9769811656.1950588</v>
      </c>
      <c r="D42" s="47"/>
      <c r="E42" s="47"/>
      <c r="F42" s="47">
        <f>+C42</f>
        <v>9769811656.1950588</v>
      </c>
    </row>
    <row r="43" spans="1:6" s="54" customFormat="1" x14ac:dyDescent="0.25">
      <c r="A43" s="42">
        <v>18</v>
      </c>
      <c r="B43" s="379" t="s">
        <v>1085</v>
      </c>
      <c r="C43" s="417">
        <f>+E43</f>
        <v>580088442</v>
      </c>
      <c r="D43" s="46"/>
      <c r="E43" s="47">
        <v>580088442</v>
      </c>
      <c r="F43" s="52"/>
    </row>
    <row r="44" spans="1:6" s="54" customFormat="1" ht="25.5" x14ac:dyDescent="0.25">
      <c r="A44" s="42">
        <v>56</v>
      </c>
      <c r="B44" s="379" t="s">
        <v>1799</v>
      </c>
      <c r="C44" s="419">
        <v>250000000</v>
      </c>
      <c r="D44" s="47">
        <f>+C44</f>
        <v>250000000</v>
      </c>
      <c r="E44" s="47"/>
      <c r="F44" s="52"/>
    </row>
    <row r="45" spans="1:6" x14ac:dyDescent="0.25">
      <c r="A45" s="42">
        <v>23</v>
      </c>
      <c r="B45" s="379" t="s">
        <v>1800</v>
      </c>
      <c r="C45" s="417">
        <v>2995430273.4450002</v>
      </c>
      <c r="D45" s="47">
        <f>+C45</f>
        <v>2995430273.4450002</v>
      </c>
      <c r="E45" s="47"/>
      <c r="F45" s="47"/>
    </row>
    <row r="46" spans="1:6" x14ac:dyDescent="0.25">
      <c r="A46" s="42">
        <v>47</v>
      </c>
      <c r="B46" s="379" t="s">
        <v>1093</v>
      </c>
      <c r="C46" s="417">
        <v>141163803</v>
      </c>
      <c r="D46" s="47">
        <f>+C46</f>
        <v>141163803</v>
      </c>
      <c r="E46" s="47"/>
      <c r="F46" s="47"/>
    </row>
    <row r="47" spans="1:6" s="54" customFormat="1" x14ac:dyDescent="0.25">
      <c r="B47" s="381" t="s">
        <v>1802</v>
      </c>
      <c r="C47" s="372">
        <f>SUM(C7:C46)</f>
        <v>133556288298.09651</v>
      </c>
      <c r="D47" s="369">
        <f>SUM(D7:D46)</f>
        <v>15381387911.830254</v>
      </c>
      <c r="E47" s="369">
        <f>SUM(E7:E46)</f>
        <v>37402238578.733177</v>
      </c>
      <c r="F47" s="369">
        <f>SUM(F7:F46)</f>
        <v>80772661807.533081</v>
      </c>
    </row>
    <row r="48" spans="1:6" x14ac:dyDescent="0.25">
      <c r="B48" s="382"/>
      <c r="C48" s="371"/>
      <c r="D48" s="47"/>
      <c r="E48" s="47"/>
      <c r="F48" s="369"/>
    </row>
    <row r="49" spans="1:6" ht="25.5" x14ac:dyDescent="0.25">
      <c r="A49" s="42">
        <v>20</v>
      </c>
      <c r="B49" s="379" t="s">
        <v>1157</v>
      </c>
      <c r="C49" s="370">
        <v>1368223930</v>
      </c>
      <c r="D49" s="47"/>
      <c r="E49" s="47"/>
      <c r="F49" s="47">
        <f>+C49</f>
        <v>1368223930</v>
      </c>
    </row>
    <row r="50" spans="1:6" ht="25.5" x14ac:dyDescent="0.25">
      <c r="A50" s="42">
        <v>20</v>
      </c>
      <c r="B50" s="379" t="s">
        <v>1158</v>
      </c>
      <c r="C50" s="370">
        <v>2382349720</v>
      </c>
      <c r="D50" s="47"/>
      <c r="E50" s="47"/>
      <c r="F50" s="47">
        <f>+C50</f>
        <v>2382349720</v>
      </c>
    </row>
    <row r="51" spans="1:6" ht="25.5" x14ac:dyDescent="0.25">
      <c r="A51" s="42">
        <v>20</v>
      </c>
      <c r="B51" s="379" t="s">
        <v>1160</v>
      </c>
      <c r="C51" s="370">
        <v>500000000</v>
      </c>
      <c r="D51" s="47"/>
      <c r="E51" s="47"/>
      <c r="F51" s="47">
        <f>+C51</f>
        <v>500000000</v>
      </c>
    </row>
    <row r="52" spans="1:6" x14ac:dyDescent="0.25">
      <c r="A52" s="42">
        <v>20</v>
      </c>
      <c r="B52" s="379" t="s">
        <v>606</v>
      </c>
      <c r="C52" s="370">
        <v>10000000</v>
      </c>
      <c r="D52" s="47"/>
      <c r="E52" s="47"/>
      <c r="F52" s="47">
        <f>+C52</f>
        <v>10000000</v>
      </c>
    </row>
    <row r="53" spans="1:6" ht="25.5" x14ac:dyDescent="0.25">
      <c r="A53" s="42">
        <v>20</v>
      </c>
      <c r="B53" s="379" t="s">
        <v>1804</v>
      </c>
      <c r="C53" s="370">
        <v>412620217</v>
      </c>
      <c r="D53" s="47"/>
      <c r="E53" s="47"/>
      <c r="F53" s="47">
        <f>+C53</f>
        <v>412620217</v>
      </c>
    </row>
    <row r="54" spans="1:6" ht="25.5" x14ac:dyDescent="0.25">
      <c r="A54" s="42">
        <v>4</v>
      </c>
      <c r="B54" s="379" t="s">
        <v>1805</v>
      </c>
      <c r="C54" s="370">
        <v>1664967</v>
      </c>
      <c r="D54" s="47">
        <f>+C54</f>
        <v>1664967</v>
      </c>
      <c r="E54" s="47"/>
      <c r="F54" s="369"/>
    </row>
    <row r="55" spans="1:6" ht="25.5" x14ac:dyDescent="0.25">
      <c r="A55" s="42">
        <v>176</v>
      </c>
      <c r="B55" s="379" t="s">
        <v>1806</v>
      </c>
      <c r="C55" s="370">
        <v>481528</v>
      </c>
      <c r="D55" s="47"/>
      <c r="E55" s="408">
        <f>+C55</f>
        <v>481528</v>
      </c>
      <c r="F55" s="369"/>
    </row>
    <row r="56" spans="1:6" ht="25.5" x14ac:dyDescent="0.25">
      <c r="A56" s="42">
        <v>5</v>
      </c>
      <c r="B56" s="379" t="s">
        <v>1807</v>
      </c>
      <c r="C56" s="370">
        <v>316121</v>
      </c>
      <c r="D56" s="47"/>
      <c r="E56" s="408">
        <f>+C56</f>
        <v>316121</v>
      </c>
      <c r="F56" s="369"/>
    </row>
    <row r="57" spans="1:6" ht="25.5" x14ac:dyDescent="0.25">
      <c r="A57" s="42">
        <v>33</v>
      </c>
      <c r="B57" s="379" t="s">
        <v>1808</v>
      </c>
      <c r="C57" s="370">
        <v>158060</v>
      </c>
      <c r="D57" s="47">
        <f>+C57</f>
        <v>158060</v>
      </c>
      <c r="E57" s="47"/>
      <c r="F57" s="369"/>
    </row>
    <row r="58" spans="1:6" ht="25.5" x14ac:dyDescent="0.25">
      <c r="A58" s="42">
        <v>34</v>
      </c>
      <c r="B58" s="379" t="s">
        <v>1809</v>
      </c>
      <c r="C58" s="370">
        <v>158060</v>
      </c>
      <c r="D58" s="47">
        <f>+C58</f>
        <v>158060</v>
      </c>
      <c r="E58" s="47"/>
      <c r="F58" s="369"/>
    </row>
    <row r="59" spans="1:6" ht="25.5" x14ac:dyDescent="0.25">
      <c r="A59" s="42">
        <v>39</v>
      </c>
      <c r="B59" s="379" t="s">
        <v>1810</v>
      </c>
      <c r="C59" s="370">
        <v>790301</v>
      </c>
      <c r="D59" s="47">
        <f>+C59</f>
        <v>790301</v>
      </c>
      <c r="E59" s="47"/>
      <c r="F59" s="369"/>
    </row>
    <row r="60" spans="1:6" ht="25.5" x14ac:dyDescent="0.25">
      <c r="A60" s="42">
        <v>41</v>
      </c>
      <c r="B60" s="379" t="s">
        <v>1811</v>
      </c>
      <c r="C60" s="370">
        <v>158060</v>
      </c>
      <c r="D60" s="47">
        <f>+C60</f>
        <v>158060</v>
      </c>
      <c r="E60" s="47"/>
      <c r="F60" s="369"/>
    </row>
    <row r="61" spans="1:6" ht="25.5" x14ac:dyDescent="0.25">
      <c r="A61" s="42">
        <v>6</v>
      </c>
      <c r="B61" s="379" t="s">
        <v>1812</v>
      </c>
      <c r="C61" s="370">
        <v>1400016</v>
      </c>
      <c r="D61" s="47">
        <f>+C61</f>
        <v>1400016</v>
      </c>
      <c r="E61" s="47"/>
      <c r="F61" s="369"/>
    </row>
    <row r="62" spans="1:6" ht="25.5" x14ac:dyDescent="0.25">
      <c r="A62" s="42">
        <v>178</v>
      </c>
      <c r="B62" s="379" t="s">
        <v>1813</v>
      </c>
      <c r="C62" s="370">
        <v>325004</v>
      </c>
      <c r="D62" s="47"/>
      <c r="E62" s="408">
        <f>+C62</f>
        <v>325004</v>
      </c>
      <c r="F62" s="369"/>
    </row>
    <row r="63" spans="1:6" ht="25.5" x14ac:dyDescent="0.25">
      <c r="A63" s="42">
        <v>42</v>
      </c>
      <c r="B63" s="379" t="s">
        <v>1814</v>
      </c>
      <c r="C63" s="370">
        <v>2314305</v>
      </c>
      <c r="D63" s="47">
        <f>+C63</f>
        <v>2314305</v>
      </c>
      <c r="E63" s="47"/>
      <c r="F63" s="369"/>
    </row>
    <row r="64" spans="1:6" ht="25.5" x14ac:dyDescent="0.25">
      <c r="A64" s="42">
        <v>27</v>
      </c>
      <c r="B64" s="379" t="s">
        <v>1815</v>
      </c>
      <c r="C64" s="370">
        <v>311522</v>
      </c>
      <c r="D64" s="47">
        <f>+C64</f>
        <v>311522</v>
      </c>
      <c r="E64" s="47"/>
      <c r="F64" s="369"/>
    </row>
    <row r="65" spans="1:6" ht="25.5" x14ac:dyDescent="0.25">
      <c r="A65" s="42">
        <v>136</v>
      </c>
      <c r="B65" s="379" t="s">
        <v>1816</v>
      </c>
      <c r="C65" s="370">
        <v>39724450</v>
      </c>
      <c r="D65" s="47"/>
      <c r="E65" s="408">
        <f>+C65</f>
        <v>39724450</v>
      </c>
      <c r="F65" s="369"/>
    </row>
    <row r="66" spans="1:6" ht="25.5" x14ac:dyDescent="0.25">
      <c r="A66" s="42">
        <v>20</v>
      </c>
      <c r="B66" s="379" t="s">
        <v>1184</v>
      </c>
      <c r="C66" s="370">
        <v>150000000</v>
      </c>
      <c r="D66" s="47"/>
      <c r="E66" s="47"/>
      <c r="F66" s="47">
        <f>+C66</f>
        <v>150000000</v>
      </c>
    </row>
    <row r="67" spans="1:6" x14ac:dyDescent="0.25">
      <c r="B67" s="381" t="s">
        <v>1817</v>
      </c>
      <c r="C67" s="373">
        <f>SUM(C49:C66)</f>
        <v>4870996261</v>
      </c>
      <c r="D67" s="60">
        <f>SUM(D49:D66)</f>
        <v>6955291</v>
      </c>
      <c r="E67" s="60">
        <f>SUM(E49:E66)</f>
        <v>40847103</v>
      </c>
      <c r="F67" s="60">
        <f>SUM(F49:F66)</f>
        <v>4823193867</v>
      </c>
    </row>
    <row r="68" spans="1:6" x14ac:dyDescent="0.25">
      <c r="B68" s="382"/>
      <c r="C68" s="371"/>
      <c r="D68" s="47"/>
      <c r="E68" s="47"/>
      <c r="F68" s="47"/>
    </row>
    <row r="69" spans="1:6" s="54" customFormat="1" x14ac:dyDescent="0.25">
      <c r="A69" s="42"/>
      <c r="B69" s="383" t="s">
        <v>953</v>
      </c>
      <c r="C69" s="387"/>
      <c r="D69" s="52"/>
      <c r="E69" s="52"/>
      <c r="F69" s="52"/>
    </row>
    <row r="70" spans="1:6" ht="25.5" x14ac:dyDescent="0.25">
      <c r="B70" s="384" t="s">
        <v>1100</v>
      </c>
      <c r="C70" s="388"/>
      <c r="D70" s="47"/>
      <c r="E70" s="47"/>
      <c r="F70" s="47"/>
    </row>
    <row r="71" spans="1:6" ht="25.5" x14ac:dyDescent="0.25">
      <c r="A71" s="42">
        <v>25</v>
      </c>
      <c r="B71" s="379" t="s">
        <v>1101</v>
      </c>
      <c r="C71" s="370">
        <v>148302000000</v>
      </c>
      <c r="D71" s="47">
        <f t="shared" ref="D71:D78" si="0">+C71</f>
        <v>148302000000</v>
      </c>
      <c r="E71" s="47"/>
      <c r="F71" s="47"/>
    </row>
    <row r="72" spans="1:6" s="54" customFormat="1" ht="25.5" x14ac:dyDescent="0.25">
      <c r="A72" s="42">
        <v>26</v>
      </c>
      <c r="B72" s="379" t="s">
        <v>1102</v>
      </c>
      <c r="C72" s="370">
        <v>29000000000</v>
      </c>
      <c r="D72" s="47">
        <f t="shared" si="0"/>
        <v>29000000000</v>
      </c>
      <c r="E72" s="47"/>
      <c r="F72" s="52"/>
    </row>
    <row r="73" spans="1:6" x14ac:dyDescent="0.25">
      <c r="A73" s="42">
        <v>25</v>
      </c>
      <c r="B73" s="379" t="s">
        <v>1105</v>
      </c>
      <c r="C73" s="370">
        <v>622000000</v>
      </c>
      <c r="D73" s="47">
        <f t="shared" si="0"/>
        <v>622000000</v>
      </c>
      <c r="E73" s="47"/>
      <c r="F73" s="47"/>
    </row>
    <row r="74" spans="1:6" x14ac:dyDescent="0.25">
      <c r="A74" s="42">
        <v>25</v>
      </c>
      <c r="B74" s="379" t="s">
        <v>1106</v>
      </c>
      <c r="C74" s="370">
        <v>1463000000</v>
      </c>
      <c r="D74" s="47">
        <f t="shared" si="0"/>
        <v>1463000000</v>
      </c>
      <c r="E74" s="47"/>
      <c r="F74" s="47"/>
    </row>
    <row r="75" spans="1:6" x14ac:dyDescent="0.25">
      <c r="A75" s="42">
        <v>81</v>
      </c>
      <c r="B75" s="379" t="s">
        <v>1107</v>
      </c>
      <c r="C75" s="370">
        <v>11000000000</v>
      </c>
      <c r="D75" s="47">
        <f t="shared" si="0"/>
        <v>11000000000</v>
      </c>
      <c r="E75" s="47"/>
      <c r="F75" s="47"/>
    </row>
    <row r="76" spans="1:6" s="54" customFormat="1" ht="25.5" x14ac:dyDescent="0.25">
      <c r="A76" s="42">
        <v>21</v>
      </c>
      <c r="B76" s="379" t="s">
        <v>1113</v>
      </c>
      <c r="C76" s="370">
        <v>5000000</v>
      </c>
      <c r="D76" s="47">
        <f t="shared" si="0"/>
        <v>5000000</v>
      </c>
      <c r="E76" s="47"/>
      <c r="F76" s="52"/>
    </row>
    <row r="77" spans="1:6" s="54" customFormat="1" ht="25.5" x14ac:dyDescent="0.25">
      <c r="A77" s="42">
        <v>81</v>
      </c>
      <c r="B77" s="379" t="s">
        <v>1818</v>
      </c>
      <c r="C77" s="370">
        <v>10000000</v>
      </c>
      <c r="D77" s="47">
        <f t="shared" si="0"/>
        <v>10000000</v>
      </c>
      <c r="E77" s="47"/>
      <c r="F77" s="52"/>
    </row>
    <row r="78" spans="1:6" s="54" customFormat="1" x14ac:dyDescent="0.25">
      <c r="A78" s="42">
        <v>9</v>
      </c>
      <c r="B78" s="379" t="s">
        <v>606</v>
      </c>
      <c r="C78" s="370">
        <v>80000000</v>
      </c>
      <c r="D78" s="47">
        <f t="shared" si="0"/>
        <v>80000000</v>
      </c>
      <c r="E78" s="47"/>
      <c r="F78" s="52"/>
    </row>
    <row r="79" spans="1:6" s="54" customFormat="1" x14ac:dyDescent="0.25">
      <c r="A79" s="42"/>
      <c r="B79" s="384" t="s">
        <v>1116</v>
      </c>
      <c r="C79" s="388"/>
      <c r="D79" s="52"/>
      <c r="E79" s="52"/>
      <c r="F79" s="52"/>
    </row>
    <row r="80" spans="1:6" s="54" customFormat="1" ht="25.5" x14ac:dyDescent="0.25">
      <c r="A80" s="42">
        <v>61</v>
      </c>
      <c r="B80" s="379" t="s">
        <v>1119</v>
      </c>
      <c r="C80" s="388">
        <v>4274847597</v>
      </c>
      <c r="D80" s="47">
        <f>+C80</f>
        <v>4274847597</v>
      </c>
      <c r="E80" s="47"/>
      <c r="F80" s="52"/>
    </row>
    <row r="81" spans="1:6" s="54" customFormat="1" ht="25.5" x14ac:dyDescent="0.25">
      <c r="A81" s="42">
        <v>171</v>
      </c>
      <c r="B81" s="379" t="s">
        <v>1120</v>
      </c>
      <c r="C81" s="388">
        <v>1724393294</v>
      </c>
      <c r="D81" s="47">
        <f>+C81</f>
        <v>1724393294</v>
      </c>
      <c r="E81" s="47"/>
      <c r="F81" s="52"/>
    </row>
    <row r="82" spans="1:6" s="54" customFormat="1" ht="25.5" x14ac:dyDescent="0.25">
      <c r="A82" s="42">
        <v>61</v>
      </c>
      <c r="B82" s="379" t="str">
        <f>+'[3]Plan Financiero 2021'!A100</f>
        <v>Rendimientos por Operaciones Financieras. (SGP - Salud Pública )</v>
      </c>
      <c r="C82" s="370">
        <v>3000000</v>
      </c>
      <c r="D82" s="47">
        <f>+C82</f>
        <v>3000000</v>
      </c>
      <c r="E82" s="47"/>
      <c r="F82" s="52"/>
    </row>
    <row r="83" spans="1:6" s="54" customFormat="1" ht="25.5" x14ac:dyDescent="0.25">
      <c r="A83" s="42">
        <v>171</v>
      </c>
      <c r="B83" s="379" t="str">
        <f>+'[3]Plan Financiero 2021'!A101</f>
        <v>Rendimientos por Operaciones Financieras. (SGP - Oferta)</v>
      </c>
      <c r="C83" s="370">
        <v>1000000</v>
      </c>
      <c r="D83" s="47">
        <f t="shared" ref="D83:D100" si="1">+C83</f>
        <v>1000000</v>
      </c>
      <c r="E83" s="47"/>
      <c r="F83" s="52"/>
    </row>
    <row r="84" spans="1:6" s="54" customFormat="1" ht="25.5" x14ac:dyDescent="0.25">
      <c r="A84" s="42"/>
      <c r="B84" s="379" t="str">
        <f>+'[3]Plan Financiero 2021'!A102</f>
        <v>Rendimientos por Operaciones Financieras. (Fondo Estupefacientes )</v>
      </c>
      <c r="C84" s="370">
        <v>1000000</v>
      </c>
      <c r="D84" s="47">
        <f t="shared" si="1"/>
        <v>1000000</v>
      </c>
      <c r="E84" s="47"/>
      <c r="F84" s="52"/>
    </row>
    <row r="85" spans="1:6" s="54" customFormat="1" ht="25.5" x14ac:dyDescent="0.25">
      <c r="A85" s="42"/>
      <c r="B85" s="379" t="str">
        <f>+'[3]Plan Financiero 2021'!A103</f>
        <v>Rendimientos por Operaciones Financieras. (Rentas Cedidas )</v>
      </c>
      <c r="C85" s="370">
        <v>2000000</v>
      </c>
      <c r="D85" s="47">
        <f t="shared" si="1"/>
        <v>2000000</v>
      </c>
      <c r="E85" s="47"/>
      <c r="F85" s="52"/>
    </row>
    <row r="86" spans="1:6" s="54" customFormat="1" ht="15" x14ac:dyDescent="0.25">
      <c r="A86" s="42"/>
      <c r="B86" s="379" t="s">
        <v>1126</v>
      </c>
      <c r="C86" s="368">
        <v>7858326766.9395027</v>
      </c>
      <c r="D86" s="47">
        <f t="shared" si="1"/>
        <v>7858326766.9395027</v>
      </c>
      <c r="E86" s="47"/>
      <c r="F86" s="52"/>
    </row>
    <row r="87" spans="1:6" s="54" customFormat="1" x14ac:dyDescent="0.25">
      <c r="A87" s="42"/>
      <c r="B87" s="379" t="s">
        <v>1127</v>
      </c>
      <c r="C87" s="370">
        <v>3359643355.6668801</v>
      </c>
      <c r="D87" s="47">
        <f t="shared" si="1"/>
        <v>3359643355.6668801</v>
      </c>
      <c r="E87" s="47"/>
      <c r="F87" s="52"/>
    </row>
    <row r="88" spans="1:6" s="54" customFormat="1" x14ac:dyDescent="0.25">
      <c r="A88" s="42"/>
      <c r="B88" s="379" t="s">
        <v>1128</v>
      </c>
      <c r="C88" s="370">
        <v>6177689520</v>
      </c>
      <c r="D88" s="47">
        <f t="shared" si="1"/>
        <v>6177689520</v>
      </c>
      <c r="E88" s="47"/>
      <c r="F88" s="52"/>
    </row>
    <row r="89" spans="1:6" s="54" customFormat="1" x14ac:dyDescent="0.25">
      <c r="A89" s="42"/>
      <c r="B89" s="379" t="s">
        <v>1129</v>
      </c>
      <c r="C89" s="370">
        <v>919337676.18666661</v>
      </c>
      <c r="D89" s="47">
        <f t="shared" si="1"/>
        <v>919337676.18666661</v>
      </c>
      <c r="E89" s="47"/>
      <c r="F89" s="52"/>
    </row>
    <row r="90" spans="1:6" x14ac:dyDescent="0.25">
      <c r="B90" s="379" t="s">
        <v>1130</v>
      </c>
      <c r="C90" s="370">
        <v>20000000</v>
      </c>
      <c r="D90" s="47">
        <f t="shared" si="1"/>
        <v>20000000</v>
      </c>
      <c r="E90" s="47"/>
      <c r="F90" s="47"/>
    </row>
    <row r="91" spans="1:6" s="54" customFormat="1" ht="25.5" x14ac:dyDescent="0.25">
      <c r="A91" s="42"/>
      <c r="B91" s="379" t="s">
        <v>1132</v>
      </c>
      <c r="C91" s="370">
        <v>3280528488</v>
      </c>
      <c r="D91" s="47">
        <f t="shared" si="1"/>
        <v>3280528488</v>
      </c>
      <c r="E91" s="47"/>
      <c r="F91" s="52"/>
    </row>
    <row r="92" spans="1:6" x14ac:dyDescent="0.25">
      <c r="B92" s="379" t="s">
        <v>1133</v>
      </c>
      <c r="C92" s="370">
        <v>625919989.81500006</v>
      </c>
      <c r="D92" s="47">
        <f t="shared" si="1"/>
        <v>625919989.81500006</v>
      </c>
      <c r="E92" s="47"/>
      <c r="F92" s="47"/>
    </row>
    <row r="93" spans="1:6" x14ac:dyDescent="0.25">
      <c r="B93" s="385" t="s">
        <v>1137</v>
      </c>
      <c r="C93" s="370">
        <v>1952280000</v>
      </c>
      <c r="D93" s="47">
        <f t="shared" si="1"/>
        <v>1952280000</v>
      </c>
      <c r="E93" s="47"/>
      <c r="F93" s="47"/>
    </row>
    <row r="94" spans="1:6" s="54" customFormat="1" x14ac:dyDescent="0.25">
      <c r="A94" s="42"/>
      <c r="B94" s="379" t="s">
        <v>1138</v>
      </c>
      <c r="C94" s="370">
        <v>1092098809</v>
      </c>
      <c r="D94" s="47">
        <f t="shared" si="1"/>
        <v>1092098809</v>
      </c>
      <c r="E94" s="47"/>
      <c r="F94" s="52"/>
    </row>
    <row r="95" spans="1:6" x14ac:dyDescent="0.25">
      <c r="B95" s="379" t="s">
        <v>1139</v>
      </c>
      <c r="C95" s="370">
        <v>960000000</v>
      </c>
      <c r="D95" s="47">
        <f t="shared" si="1"/>
        <v>960000000</v>
      </c>
      <c r="E95" s="47"/>
      <c r="F95" s="47"/>
    </row>
    <row r="96" spans="1:6" s="54" customFormat="1" x14ac:dyDescent="0.25">
      <c r="A96" s="42"/>
      <c r="B96" s="379" t="s">
        <v>1141</v>
      </c>
      <c r="C96" s="370">
        <v>5365984923</v>
      </c>
      <c r="D96" s="47">
        <f t="shared" si="1"/>
        <v>5365984923</v>
      </c>
      <c r="E96" s="47"/>
      <c r="F96" s="52"/>
    </row>
    <row r="97" spans="1:6" s="54" customFormat="1" x14ac:dyDescent="0.25">
      <c r="A97" s="42"/>
      <c r="B97" s="379" t="s">
        <v>1142</v>
      </c>
      <c r="C97" s="370">
        <v>7157581678.5328007</v>
      </c>
      <c r="D97" s="47">
        <f t="shared" si="1"/>
        <v>7157581678.5328007</v>
      </c>
      <c r="E97" s="47"/>
      <c r="F97" s="52"/>
    </row>
    <row r="98" spans="1:6" s="54" customFormat="1" x14ac:dyDescent="0.25">
      <c r="A98" s="42"/>
      <c r="B98" s="379" t="s">
        <v>1143</v>
      </c>
      <c r="C98" s="370">
        <v>393715436</v>
      </c>
      <c r="D98" s="47">
        <f t="shared" si="1"/>
        <v>393715436</v>
      </c>
      <c r="E98" s="47"/>
      <c r="F98" s="52"/>
    </row>
    <row r="99" spans="1:6" s="54" customFormat="1" ht="25.5" x14ac:dyDescent="0.25">
      <c r="A99" s="42"/>
      <c r="B99" s="379" t="str">
        <f>+'[3]Plan Financiero 2021'!A127</f>
        <v>IVA Cedido Sobre Licores, Vinos, Aperitivos y Similares</v>
      </c>
      <c r="C99" s="370">
        <f>1322395926*1.03</f>
        <v>1362067803.78</v>
      </c>
      <c r="D99" s="47">
        <f t="shared" si="1"/>
        <v>1362067803.78</v>
      </c>
      <c r="E99" s="47"/>
      <c r="F99" s="52"/>
    </row>
    <row r="100" spans="1:6" s="54" customFormat="1" x14ac:dyDescent="0.25">
      <c r="A100" s="42"/>
      <c r="B100" s="379" t="s">
        <v>1146</v>
      </c>
      <c r="C100" s="370">
        <f>2059892617*1.03</f>
        <v>2121689395.51</v>
      </c>
      <c r="D100" s="47">
        <f t="shared" si="1"/>
        <v>2121689395.51</v>
      </c>
      <c r="E100" s="47"/>
      <c r="F100" s="52"/>
    </row>
    <row r="101" spans="1:6" s="54" customFormat="1" ht="25.5" x14ac:dyDescent="0.25">
      <c r="A101" s="42"/>
      <c r="B101" s="384" t="s">
        <v>1065</v>
      </c>
      <c r="C101" s="389"/>
      <c r="D101" s="47"/>
      <c r="E101" s="47"/>
      <c r="F101" s="52"/>
    </row>
    <row r="102" spans="1:6" s="54" customFormat="1" ht="25.5" x14ac:dyDescent="0.25">
      <c r="A102" s="42"/>
      <c r="B102" s="379" t="s">
        <v>1066</v>
      </c>
      <c r="C102" s="420">
        <v>2991799289</v>
      </c>
      <c r="D102" s="47">
        <f>+C102</f>
        <v>2991799289</v>
      </c>
      <c r="E102" s="47"/>
      <c r="F102" s="52"/>
    </row>
    <row r="103" spans="1:6" s="54" customFormat="1" x14ac:dyDescent="0.25">
      <c r="A103" s="42"/>
      <c r="B103" s="384" t="s">
        <v>961</v>
      </c>
      <c r="C103" s="389"/>
      <c r="D103" s="47"/>
      <c r="E103" s="47"/>
      <c r="F103" s="52"/>
    </row>
    <row r="104" spans="1:6" s="54" customFormat="1" ht="25.5" x14ac:dyDescent="0.25">
      <c r="A104" s="42"/>
      <c r="B104" s="379" t="s">
        <v>1149</v>
      </c>
      <c r="C104" s="415">
        <f>1564274678.02*1.03</f>
        <v>1611202918.3606</v>
      </c>
      <c r="D104" s="47">
        <f>+C104</f>
        <v>1611202918.3606</v>
      </c>
      <c r="E104" s="47"/>
      <c r="F104" s="52"/>
    </row>
    <row r="105" spans="1:6" s="54" customFormat="1" x14ac:dyDescent="0.25">
      <c r="A105" s="42"/>
      <c r="C105" s="389"/>
      <c r="D105" s="52"/>
      <c r="E105" s="52"/>
      <c r="F105" s="52"/>
    </row>
    <row r="106" spans="1:6" s="54" customFormat="1" ht="25.5" x14ac:dyDescent="0.25">
      <c r="A106" s="42"/>
      <c r="B106" s="381" t="s">
        <v>1825</v>
      </c>
      <c r="C106" s="374">
        <f>SUM(C70:C105)</f>
        <v>243738106940.79147</v>
      </c>
      <c r="D106" s="66">
        <f>SUM(D70:D105)</f>
        <v>243738106940.79147</v>
      </c>
      <c r="E106" s="66">
        <f>SUM(E70:E105)</f>
        <v>0</v>
      </c>
      <c r="F106" s="66">
        <f>SUM(F70:F105)</f>
        <v>0</v>
      </c>
    </row>
    <row r="107" spans="1:6" s="54" customFormat="1" x14ac:dyDescent="0.25">
      <c r="A107" s="42"/>
      <c r="B107" s="381" t="s">
        <v>1826</v>
      </c>
      <c r="C107" s="374">
        <f>+C106+C47+C67</f>
        <v>382165391499.888</v>
      </c>
      <c r="D107" s="66">
        <f>+D106+D47+D67</f>
        <v>259126450143.62173</v>
      </c>
      <c r="E107" s="66">
        <f>+E106+E47+E67</f>
        <v>37443085681.733177</v>
      </c>
      <c r="F107" s="66">
        <f>+F106+F47+F67</f>
        <v>85595855674.533081</v>
      </c>
    </row>
    <row r="108" spans="1:6" s="54" customFormat="1" x14ac:dyDescent="0.25">
      <c r="A108" s="42"/>
      <c r="B108" s="1672"/>
      <c r="C108" s="1672"/>
      <c r="D108" s="73"/>
      <c r="E108" s="73"/>
      <c r="F108" s="74"/>
    </row>
    <row r="109" spans="1:6" s="54" customFormat="1" x14ac:dyDescent="0.25">
      <c r="A109" s="42"/>
      <c r="B109" s="379" t="s">
        <v>1827</v>
      </c>
      <c r="C109" s="375">
        <f>+F107*0.01</f>
        <v>855958556.74533081</v>
      </c>
      <c r="F109" s="74"/>
    </row>
    <row r="110" spans="1:6" s="54" customFormat="1" ht="25.5" x14ac:dyDescent="0.25">
      <c r="A110" s="42"/>
      <c r="B110" s="379" t="s">
        <v>1828</v>
      </c>
      <c r="C110" s="375">
        <f>+F107*0.01</f>
        <v>855958556.74533081</v>
      </c>
      <c r="F110" s="74"/>
    </row>
    <row r="111" spans="1:6" s="54" customFormat="1" ht="25.5" x14ac:dyDescent="0.25">
      <c r="A111" s="42"/>
      <c r="B111" s="379" t="s">
        <v>1829</v>
      </c>
      <c r="C111" s="375">
        <f>+F107*0.007</f>
        <v>599170989.72173154</v>
      </c>
      <c r="F111" s="74"/>
    </row>
    <row r="112" spans="1:6" s="54" customFormat="1" x14ac:dyDescent="0.25">
      <c r="A112" s="42"/>
      <c r="B112" s="379" t="s">
        <v>2425</v>
      </c>
      <c r="C112" s="375">
        <v>1150000000</v>
      </c>
      <c r="F112" s="74"/>
    </row>
    <row r="113" spans="1:6" s="54" customFormat="1" x14ac:dyDescent="0.25">
      <c r="A113" s="42"/>
      <c r="B113" s="379" t="s">
        <v>1981</v>
      </c>
      <c r="C113" s="375">
        <f>+F47*0.1</f>
        <v>8077266180.7533083</v>
      </c>
      <c r="F113" s="74"/>
    </row>
    <row r="114" spans="1:6" x14ac:dyDescent="0.25">
      <c r="B114" s="1753"/>
      <c r="C114" s="1746"/>
      <c r="D114" s="77"/>
      <c r="E114" s="77"/>
      <c r="F114" s="77"/>
    </row>
    <row r="115" spans="1:6" ht="13.5" x14ac:dyDescent="0.25">
      <c r="B115" s="426" t="s">
        <v>970</v>
      </c>
      <c r="C115" s="426" t="s">
        <v>971</v>
      </c>
      <c r="D115" s="426" t="s">
        <v>956</v>
      </c>
      <c r="E115" s="425"/>
      <c r="F115" s="124"/>
    </row>
    <row r="116" spans="1:6" ht="13.5" x14ac:dyDescent="0.25">
      <c r="B116" s="427" t="s">
        <v>2426</v>
      </c>
      <c r="C116" s="428">
        <f>+F107-C109-C111-C112-C113</f>
        <v>74913459947.312714</v>
      </c>
      <c r="D116" s="429">
        <f>+D117+D118</f>
        <v>1.0000000000012947</v>
      </c>
      <c r="E116" s="411"/>
    </row>
    <row r="117" spans="1:6" ht="13.5" x14ac:dyDescent="0.25">
      <c r="B117" s="427" t="s">
        <v>2427</v>
      </c>
      <c r="C117" s="428">
        <v>40462800540.699997</v>
      </c>
      <c r="D117" s="429">
        <f>+C117/C116</f>
        <v>0.54012724240954613</v>
      </c>
      <c r="E117" s="424">
        <f>+D117/C116</f>
        <v>7.210015967616798E-12</v>
      </c>
    </row>
    <row r="118" spans="1:6" ht="13.5" x14ac:dyDescent="0.25">
      <c r="B118" s="427" t="s">
        <v>2428</v>
      </c>
      <c r="C118" s="428">
        <v>34450659406.709709</v>
      </c>
      <c r="D118" s="429">
        <f>C118/C116</f>
        <v>0.45987275759174862</v>
      </c>
      <c r="E118" s="424">
        <f>+D118/C116</f>
        <v>6.1387200366286799E-12</v>
      </c>
    </row>
    <row r="119" spans="1:6" x14ac:dyDescent="0.25">
      <c r="B119" s="1754"/>
      <c r="C119" s="1746"/>
      <c r="D119" s="411"/>
      <c r="E119" s="73"/>
      <c r="F119" s="74"/>
    </row>
    <row r="120" spans="1:6" x14ac:dyDescent="0.25">
      <c r="B120" s="1755" t="s">
        <v>1832</v>
      </c>
      <c r="C120" s="1755"/>
      <c r="D120" s="73"/>
      <c r="E120" s="73"/>
      <c r="F120" s="74"/>
    </row>
    <row r="121" spans="1:6" x14ac:dyDescent="0.25">
      <c r="B121" s="77" t="s">
        <v>1833</v>
      </c>
      <c r="C121" s="377" t="e">
        <f>+#REF!</f>
        <v>#REF!</v>
      </c>
      <c r="D121" s="411"/>
      <c r="E121" s="73"/>
      <c r="F121" s="74"/>
    </row>
    <row r="122" spans="1:6" x14ac:dyDescent="0.25">
      <c r="B122" s="77" t="s">
        <v>1835</v>
      </c>
      <c r="C122" s="377">
        <f>+Asamblea!C19</f>
        <v>245025000</v>
      </c>
      <c r="D122" s="411"/>
      <c r="E122" s="73"/>
      <c r="F122" s="74"/>
    </row>
    <row r="123" spans="1:6" x14ac:dyDescent="0.25">
      <c r="B123" s="77" t="s">
        <v>1837</v>
      </c>
      <c r="C123" s="377">
        <f>+F107*0.037</f>
        <v>3167046659.9577236</v>
      </c>
      <c r="D123" s="411"/>
      <c r="E123" s="73"/>
      <c r="F123" s="74"/>
    </row>
    <row r="124" spans="1:6" ht="15" x14ac:dyDescent="0.25">
      <c r="B124" s="77" t="s">
        <v>1841</v>
      </c>
      <c r="C124" s="377" t="e">
        <f>+C118-C121-C122-C123</f>
        <v>#REF!</v>
      </c>
      <c r="D124" s="411"/>
      <c r="E124" s="85"/>
      <c r="F124" s="74"/>
    </row>
    <row r="125" spans="1:6" x14ac:dyDescent="0.25">
      <c r="B125" s="77" t="s">
        <v>1982</v>
      </c>
      <c r="C125" s="377"/>
      <c r="D125" s="411"/>
      <c r="E125" s="411"/>
      <c r="F125" s="422"/>
    </row>
    <row r="126" spans="1:6" x14ac:dyDescent="0.25">
      <c r="B126" s="1669"/>
      <c r="C126" s="1669"/>
      <c r="D126" s="73"/>
      <c r="E126" s="73"/>
      <c r="F126" s="74"/>
    </row>
    <row r="127" spans="1:6" x14ac:dyDescent="0.25">
      <c r="B127" s="1750" t="s">
        <v>1983</v>
      </c>
      <c r="C127" s="1750"/>
      <c r="D127" s="124"/>
      <c r="E127" s="124"/>
      <c r="F127" s="124"/>
    </row>
    <row r="128" spans="1:6" x14ac:dyDescent="0.25">
      <c r="B128" s="1745"/>
      <c r="C128" s="1745"/>
      <c r="D128" s="87"/>
      <c r="E128" s="87"/>
      <c r="F128" s="88"/>
    </row>
    <row r="129" spans="2:6" x14ac:dyDescent="0.25">
      <c r="B129" s="77" t="s">
        <v>1843</v>
      </c>
      <c r="C129" s="421">
        <f>+C122</f>
        <v>245025000</v>
      </c>
      <c r="D129" s="73"/>
      <c r="E129" s="73"/>
      <c r="F129" s="74"/>
    </row>
    <row r="130" spans="2:6" x14ac:dyDescent="0.25">
      <c r="B130" s="77" t="s">
        <v>1844</v>
      </c>
      <c r="C130" s="421">
        <f>+C123</f>
        <v>3167046659.9577236</v>
      </c>
      <c r="D130" s="73"/>
      <c r="E130" s="411"/>
      <c r="F130" s="74"/>
    </row>
    <row r="131" spans="2:6" ht="25.5" x14ac:dyDescent="0.25">
      <c r="B131" s="77" t="s">
        <v>1845</v>
      </c>
      <c r="C131" s="377">
        <f>+E43</f>
        <v>580088442</v>
      </c>
      <c r="D131" s="73"/>
      <c r="E131" s="411"/>
      <c r="F131" s="74"/>
    </row>
    <row r="132" spans="2:6" ht="25.5" x14ac:dyDescent="0.25">
      <c r="B132" s="77" t="s">
        <v>1847</v>
      </c>
      <c r="C132" s="421" t="e">
        <f>37845500584+727831662+'350 C.P'!#REF!</f>
        <v>#REF!</v>
      </c>
      <c r="D132" s="85"/>
      <c r="E132" s="85"/>
      <c r="F132" s="74"/>
    </row>
    <row r="133" spans="2:6" ht="15" x14ac:dyDescent="0.25">
      <c r="B133" s="77" t="s">
        <v>1848</v>
      </c>
      <c r="C133" s="421">
        <v>1000000000</v>
      </c>
      <c r="D133" s="85"/>
      <c r="E133" s="423"/>
      <c r="F133" s="74"/>
    </row>
    <row r="134" spans="2:6" ht="15" x14ac:dyDescent="0.25">
      <c r="B134" s="77" t="s">
        <v>1984</v>
      </c>
      <c r="C134" s="377">
        <f>+E12+E23+E25+E31+E35+E55+E56+E62+E65</f>
        <v>11675776287.667521</v>
      </c>
      <c r="D134" s="85"/>
      <c r="E134" s="423"/>
      <c r="F134" s="74"/>
    </row>
    <row r="135" spans="2:6" ht="15" x14ac:dyDescent="0.25">
      <c r="B135" s="77" t="s">
        <v>1851</v>
      </c>
      <c r="C135" s="377">
        <f>+C113+C111+C109+C112</f>
        <v>10682395727.220371</v>
      </c>
      <c r="D135" s="85"/>
      <c r="E135" s="413"/>
      <c r="F135" s="74"/>
    </row>
    <row r="136" spans="2:6" ht="15" x14ac:dyDescent="0.25">
      <c r="B136" s="77" t="s">
        <v>1852</v>
      </c>
      <c r="C136" s="377">
        <f>+E9+E13+E16+E24+E32+E34+E41+E11</f>
        <v>25187220952.065651</v>
      </c>
      <c r="D136" s="85"/>
      <c r="E136" s="85"/>
      <c r="F136" s="74"/>
    </row>
    <row r="137" spans="2:6" x14ac:dyDescent="0.25">
      <c r="B137" s="381" t="s">
        <v>1853</v>
      </c>
      <c r="C137" s="377" t="e">
        <f>+C129+C130+C132+C135+C136+C131+C134+C133</f>
        <v>#REF!</v>
      </c>
      <c r="D137" s="409"/>
      <c r="E137" s="87"/>
      <c r="F137" s="88"/>
    </row>
    <row r="138" spans="2:6" x14ac:dyDescent="0.25">
      <c r="B138" s="1746"/>
      <c r="C138" s="1746"/>
      <c r="D138" s="73"/>
      <c r="E138" s="73"/>
      <c r="F138" s="74"/>
    </row>
    <row r="139" spans="2:6" x14ac:dyDescent="0.25">
      <c r="B139" s="381" t="s">
        <v>1854</v>
      </c>
      <c r="C139" s="421" t="e">
        <f>+C121</f>
        <v>#REF!</v>
      </c>
      <c r="D139" s="87"/>
      <c r="E139" s="87"/>
      <c r="F139" s="88"/>
    </row>
    <row r="140" spans="2:6" x14ac:dyDescent="0.25">
      <c r="B140" s="1747"/>
      <c r="C140" s="1747"/>
      <c r="D140" s="87"/>
      <c r="E140" s="87"/>
      <c r="F140" s="88"/>
    </row>
    <row r="141" spans="2:6" x14ac:dyDescent="0.25">
      <c r="B141" s="77" t="s">
        <v>1958</v>
      </c>
      <c r="C141" s="377">
        <f>18296600477.0891</f>
        <v>18296600477.0891</v>
      </c>
      <c r="D141" s="73"/>
      <c r="E141" s="73"/>
      <c r="F141" s="74"/>
    </row>
    <row r="142" spans="2:6" x14ac:dyDescent="0.25">
      <c r="B142" s="77" t="s">
        <v>1859</v>
      </c>
      <c r="C142" s="377">
        <f>+D47+D67</f>
        <v>15388343202.830254</v>
      </c>
      <c r="D142" s="73"/>
      <c r="E142" s="73"/>
      <c r="F142" s="74"/>
    </row>
    <row r="143" spans="2:6" ht="15" x14ac:dyDescent="0.25">
      <c r="B143" s="77" t="s">
        <v>1860</v>
      </c>
      <c r="C143" s="377">
        <f>+C106</f>
        <v>243738106940.79147</v>
      </c>
      <c r="D143" s="85"/>
      <c r="E143" s="413"/>
      <c r="F143" s="74"/>
    </row>
    <row r="144" spans="2:6" x14ac:dyDescent="0.25">
      <c r="B144" s="381" t="s">
        <v>1861</v>
      </c>
      <c r="C144" s="377">
        <f>+C143+C142+C141</f>
        <v>277423050620.71082</v>
      </c>
      <c r="D144" s="87"/>
      <c r="E144" s="409"/>
      <c r="F144" s="88"/>
    </row>
    <row r="145" spans="2:6" x14ac:dyDescent="0.25">
      <c r="B145" s="1672"/>
      <c r="C145" s="1672"/>
      <c r="D145" s="87"/>
      <c r="E145" s="87"/>
      <c r="F145" s="88"/>
    </row>
    <row r="146" spans="2:6" x14ac:dyDescent="0.25">
      <c r="B146" s="381" t="s">
        <v>1862</v>
      </c>
      <c r="C146" s="378">
        <f>+C107</f>
        <v>382165391499.888</v>
      </c>
      <c r="D146" s="87"/>
      <c r="E146" s="87"/>
    </row>
    <row r="147" spans="2:6" x14ac:dyDescent="0.25">
      <c r="B147" s="77"/>
      <c r="C147" s="74" t="e">
        <f>++C144+C139+C137</f>
        <v>#REF!</v>
      </c>
      <c r="D147" s="411"/>
      <c r="E147" s="411"/>
      <c r="F147" s="74"/>
    </row>
    <row r="148" spans="2:6" x14ac:dyDescent="0.25">
      <c r="C148" s="378"/>
    </row>
  </sheetData>
  <autoFilter ref="A1:A147" xr:uid="{00000000-0009-0000-0000-00001D000000}"/>
  <mergeCells count="20">
    <mergeCell ref="B1:F1"/>
    <mergeCell ref="B2:F2"/>
    <mergeCell ref="B3:F3"/>
    <mergeCell ref="B4:F4"/>
    <mergeCell ref="A5:A6"/>
    <mergeCell ref="B5:B6"/>
    <mergeCell ref="C5:C6"/>
    <mergeCell ref="D5:D6"/>
    <mergeCell ref="E5:E6"/>
    <mergeCell ref="F5:F6"/>
    <mergeCell ref="B108:C108"/>
    <mergeCell ref="B114:C114"/>
    <mergeCell ref="B119:C119"/>
    <mergeCell ref="B120:C120"/>
    <mergeCell ref="B126:C126"/>
    <mergeCell ref="B127:C127"/>
    <mergeCell ref="B128:C128"/>
    <mergeCell ref="B138:C138"/>
    <mergeCell ref="B140:C140"/>
    <mergeCell ref="B145:C145"/>
  </mergeCells>
  <pageMargins left="0.39370078740157483" right="0.23622047244094491" top="0.26" bottom="0.27559055118110237" header="0.31496062992125984" footer="0.17"/>
  <pageSetup paperSize="5" scale="8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dimension ref="A1:H156"/>
  <sheetViews>
    <sheetView zoomScale="166" zoomScaleNormal="166" workbookViewId="0">
      <pane xSplit="1" ySplit="6" topLeftCell="B85" activePane="bottomRight" state="frozen"/>
      <selection pane="topRight"/>
      <selection pane="bottomLeft"/>
      <selection pane="bottomRight" sqref="A1:D1"/>
    </sheetView>
  </sheetViews>
  <sheetFormatPr baseColWidth="10" defaultColWidth="11.42578125" defaultRowHeight="12.75" x14ac:dyDescent="0.25"/>
  <cols>
    <col min="1" max="1" width="30.42578125" style="95" customWidth="1"/>
    <col min="2" max="2" width="23.28515625" style="42" bestFit="1" customWidth="1"/>
    <col min="3" max="3" width="18.140625" style="42" bestFit="1" customWidth="1"/>
    <col min="4" max="4" width="15.85546875" style="42" bestFit="1" customWidth="1"/>
    <col min="5" max="5" width="12.7109375" style="42" bestFit="1" customWidth="1"/>
    <col min="6" max="6" width="11.42578125" style="42"/>
    <col min="7" max="8" width="11.42578125" style="41"/>
    <col min="9"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4" width="11.42578125" style="42"/>
  </cols>
  <sheetData>
    <row r="1" spans="1:8" x14ac:dyDescent="0.25">
      <c r="A1" s="1834" t="s">
        <v>1767</v>
      </c>
      <c r="B1" s="1834"/>
      <c r="C1" s="1834"/>
      <c r="D1" s="1834"/>
    </row>
    <row r="2" spans="1:8" x14ac:dyDescent="0.25">
      <c r="A2" s="1834" t="s">
        <v>1768</v>
      </c>
      <c r="B2" s="1834"/>
      <c r="C2" s="1834"/>
      <c r="D2" s="1834"/>
    </row>
    <row r="3" spans="1:8" x14ac:dyDescent="0.25">
      <c r="A3" s="1834" t="s">
        <v>1769</v>
      </c>
      <c r="B3" s="1834"/>
      <c r="C3" s="1834"/>
      <c r="D3" s="1834"/>
    </row>
    <row r="4" spans="1:8" x14ac:dyDescent="0.25">
      <c r="A4" s="1834" t="s">
        <v>2429</v>
      </c>
      <c r="B4" s="1834"/>
      <c r="C4" s="1834"/>
      <c r="D4" s="1834"/>
    </row>
    <row r="5" spans="1:8" x14ac:dyDescent="0.25">
      <c r="A5" s="1751" t="s">
        <v>1772</v>
      </c>
      <c r="B5" s="1834" t="s">
        <v>1773</v>
      </c>
      <c r="C5" s="1834" t="s">
        <v>2430</v>
      </c>
      <c r="D5" s="1834" t="s">
        <v>1776</v>
      </c>
    </row>
    <row r="6" spans="1:8" s="44" customFormat="1" ht="6" customHeight="1" x14ac:dyDescent="0.25">
      <c r="A6" s="1752"/>
      <c r="B6" s="1835"/>
      <c r="C6" s="1835"/>
      <c r="D6" s="1835"/>
      <c r="G6" s="43"/>
      <c r="H6" s="43"/>
    </row>
    <row r="7" spans="1:8" ht="25.5" x14ac:dyDescent="0.25">
      <c r="A7" s="45" t="s">
        <v>1023</v>
      </c>
      <c r="B7" s="46">
        <f>+[3]Proyecciones!S8</f>
        <v>16934457986.723129</v>
      </c>
      <c r="C7" s="47"/>
      <c r="D7" s="47">
        <f>+B7</f>
        <v>16934457986.723129</v>
      </c>
    </row>
    <row r="8" spans="1:8" ht="25.5" x14ac:dyDescent="0.25">
      <c r="A8" s="45" t="s">
        <v>1025</v>
      </c>
      <c r="B8" s="46">
        <f>+[3]Proyecciones!S10</f>
        <v>11070123857.616255</v>
      </c>
      <c r="C8" s="47"/>
      <c r="D8" s="47">
        <f>+B8</f>
        <v>11070123857.616255</v>
      </c>
    </row>
    <row r="9" spans="1:8" ht="25.5" x14ac:dyDescent="0.25">
      <c r="A9" s="45" t="s">
        <v>1027</v>
      </c>
      <c r="B9" s="46">
        <f>+[3]Proyecciones!S12</f>
        <v>2227322217.5984659</v>
      </c>
      <c r="C9" s="48">
        <f>+B9</f>
        <v>2227322217.5984659</v>
      </c>
      <c r="D9" s="47"/>
    </row>
    <row r="10" spans="1:8" ht="25.5" x14ac:dyDescent="0.25">
      <c r="A10" s="45" t="s">
        <v>1028</v>
      </c>
      <c r="B10" s="46">
        <f>+[3]Proyecciones!S13</f>
        <v>664872303.76073611</v>
      </c>
      <c r="C10" s="47">
        <f>+B10</f>
        <v>664872303.76073611</v>
      </c>
      <c r="D10" s="47"/>
    </row>
    <row r="11" spans="1:8" ht="25.5" x14ac:dyDescent="0.25">
      <c r="A11" s="45" t="s">
        <v>1029</v>
      </c>
      <c r="B11" s="46">
        <f>+[3]Proyecciones!S14</f>
        <v>997308455.64110398</v>
      </c>
      <c r="C11" s="49">
        <f>+B11</f>
        <v>997308455.64110398</v>
      </c>
      <c r="D11" s="47"/>
    </row>
    <row r="12" spans="1:8" ht="38.25" x14ac:dyDescent="0.25">
      <c r="A12" s="45" t="s">
        <v>1030</v>
      </c>
      <c r="B12" s="46">
        <f>+[3]Proyecciones!S15</f>
        <v>1662180759.4018402</v>
      </c>
      <c r="C12" s="48">
        <f>+B12</f>
        <v>1662180759.4018402</v>
      </c>
      <c r="D12" s="47"/>
    </row>
    <row r="13" spans="1:8" ht="25.5" x14ac:dyDescent="0.25">
      <c r="A13" s="45" t="s">
        <v>2431</v>
      </c>
      <c r="B13" s="46">
        <f>+[3]Proyecciones!S18</f>
        <v>678447950.72717059</v>
      </c>
      <c r="C13" s="47"/>
      <c r="D13" s="47">
        <f>+B13</f>
        <v>678447950.72717059</v>
      </c>
    </row>
    <row r="14" spans="1:8" ht="25.5" x14ac:dyDescent="0.25">
      <c r="A14" s="45" t="s">
        <v>1783</v>
      </c>
      <c r="B14" s="46">
        <f>+[3]Proyecciones!S19</f>
        <v>4351474085.5117607</v>
      </c>
      <c r="C14" s="47"/>
      <c r="D14" s="47">
        <f t="shared" ref="D14:D19" si="0">+B14</f>
        <v>4351474085.5117607</v>
      </c>
    </row>
    <row r="15" spans="1:8" ht="25.5" x14ac:dyDescent="0.25">
      <c r="A15" s="45" t="s">
        <v>1786</v>
      </c>
      <c r="B15" s="46">
        <f>+[3]Proyecciones!S21</f>
        <v>16781818041.899189</v>
      </c>
      <c r="C15" s="47"/>
      <c r="D15" s="47">
        <f t="shared" si="0"/>
        <v>16781818041.899189</v>
      </c>
    </row>
    <row r="16" spans="1:8" ht="25.5" x14ac:dyDescent="0.25">
      <c r="A16" s="45" t="s">
        <v>1787</v>
      </c>
      <c r="B16" s="46">
        <f>+[3]Proyecciones!S22</f>
        <v>916396916.831792</v>
      </c>
      <c r="C16" s="47"/>
      <c r="D16" s="47">
        <f t="shared" si="0"/>
        <v>916396916.831792</v>
      </c>
    </row>
    <row r="17" spans="1:8" ht="25.5" x14ac:dyDescent="0.25">
      <c r="A17" s="45" t="s">
        <v>1788</v>
      </c>
      <c r="B17" s="46">
        <f>+[3]Proyecciones!S25</f>
        <v>9248945181.4008999</v>
      </c>
      <c r="C17" s="47"/>
      <c r="D17" s="47">
        <f t="shared" si="0"/>
        <v>9248945181.4008999</v>
      </c>
    </row>
    <row r="18" spans="1:8" ht="25.5" x14ac:dyDescent="0.25">
      <c r="A18" s="45" t="s">
        <v>1045</v>
      </c>
      <c r="B18" s="46">
        <f>+[3]Proyecciones!S27</f>
        <v>673449432.05008829</v>
      </c>
      <c r="C18" s="47"/>
      <c r="D18" s="47">
        <f>+B18</f>
        <v>673449432.05008829</v>
      </c>
    </row>
    <row r="19" spans="1:8" ht="25.5" x14ac:dyDescent="0.25">
      <c r="A19" s="45" t="s">
        <v>1047</v>
      </c>
      <c r="B19" s="46">
        <f>+[3]Proyecciones!S29</f>
        <v>7715996801.0351515</v>
      </c>
      <c r="C19" s="47"/>
      <c r="D19" s="47">
        <f t="shared" si="0"/>
        <v>7715996801.0351515</v>
      </c>
    </row>
    <row r="20" spans="1:8" x14ac:dyDescent="0.25">
      <c r="A20" s="45" t="s">
        <v>1050</v>
      </c>
      <c r="B20" s="46">
        <f>+[3]Proyecciones!S32</f>
        <v>4453257219.7959309</v>
      </c>
      <c r="C20" s="47">
        <f>+B20</f>
        <v>4453257219.7959309</v>
      </c>
      <c r="D20" s="47"/>
    </row>
    <row r="21" spans="1:8" ht="25.5" x14ac:dyDescent="0.25">
      <c r="A21" s="45" t="s">
        <v>1051</v>
      </c>
      <c r="B21" s="46">
        <f>+[3]Proyecciones!S33</f>
        <v>1370232990.70644</v>
      </c>
      <c r="C21" s="49">
        <f t="shared" ref="C21:C30" si="1">+B21</f>
        <v>1370232990.70644</v>
      </c>
      <c r="D21" s="47"/>
    </row>
    <row r="22" spans="1:8" ht="25.5" x14ac:dyDescent="0.25">
      <c r="A22" s="45" t="s">
        <v>1871</v>
      </c>
      <c r="B22" s="46">
        <f>+[3]Proyecciones!S34</f>
        <v>1027674743.02983</v>
      </c>
      <c r="C22" s="49">
        <f t="shared" si="1"/>
        <v>1027674743.02983</v>
      </c>
      <c r="D22" s="47"/>
    </row>
    <row r="23" spans="1:8" ht="25.5" x14ac:dyDescent="0.25">
      <c r="A23" s="45" t="s">
        <v>1054</v>
      </c>
      <c r="B23" s="50">
        <f>+[3]Proyecciones!S36</f>
        <v>363746317.22959542</v>
      </c>
      <c r="C23" s="49">
        <f t="shared" si="1"/>
        <v>363746317.22959542</v>
      </c>
      <c r="D23" s="47"/>
    </row>
    <row r="24" spans="1:8" ht="25.5" x14ac:dyDescent="0.25">
      <c r="A24" s="45" t="s">
        <v>1055</v>
      </c>
      <c r="B24" s="50">
        <f>+[3]Proyecciones!S37</f>
        <v>181873158.61479771</v>
      </c>
      <c r="C24" s="47">
        <f t="shared" si="1"/>
        <v>181873158.61479771</v>
      </c>
      <c r="D24" s="47"/>
    </row>
    <row r="25" spans="1:8" ht="25.5" x14ac:dyDescent="0.25">
      <c r="A25" s="45" t="s">
        <v>1056</v>
      </c>
      <c r="B25" s="50">
        <f>+[3]Proyecciones!S38</f>
        <v>181873158.61479771</v>
      </c>
      <c r="C25" s="47">
        <f t="shared" si="1"/>
        <v>181873158.61479771</v>
      </c>
      <c r="D25" s="47"/>
    </row>
    <row r="26" spans="1:8" ht="25.5" x14ac:dyDescent="0.25">
      <c r="A26" s="45" t="s">
        <v>1057</v>
      </c>
      <c r="B26" s="50">
        <f>+[3]Proyecciones!S39</f>
        <v>909365793.07398844</v>
      </c>
      <c r="C26" s="47">
        <f t="shared" si="1"/>
        <v>909365793.07398844</v>
      </c>
      <c r="D26" s="47"/>
    </row>
    <row r="27" spans="1:8" ht="25.5" x14ac:dyDescent="0.25">
      <c r="A27" s="45" t="s">
        <v>1058</v>
      </c>
      <c r="B27" s="50">
        <f>+[3]Proyecciones!S40</f>
        <v>181873158.61479771</v>
      </c>
      <c r="C27" s="47">
        <f t="shared" si="1"/>
        <v>181873158.61479771</v>
      </c>
      <c r="D27" s="47"/>
    </row>
    <row r="28" spans="1:8" ht="25.5" x14ac:dyDescent="0.25">
      <c r="A28" s="45" t="s">
        <v>1060</v>
      </c>
      <c r="B28" s="50">
        <f>+[3]Proyecciones!S42</f>
        <v>3524009040</v>
      </c>
      <c r="C28" s="47">
        <f t="shared" si="1"/>
        <v>3524009040</v>
      </c>
      <c r="D28" s="47"/>
    </row>
    <row r="29" spans="1:8" ht="25.5" x14ac:dyDescent="0.25">
      <c r="A29" s="45" t="s">
        <v>1061</v>
      </c>
      <c r="B29" s="50">
        <f>+[3]Proyecciones!S43</f>
        <v>881002260</v>
      </c>
      <c r="C29" s="49">
        <f t="shared" si="1"/>
        <v>881002260</v>
      </c>
      <c r="D29" s="47"/>
    </row>
    <row r="30" spans="1:8" s="54" customFormat="1" x14ac:dyDescent="0.25">
      <c r="A30" s="51" t="s">
        <v>1062</v>
      </c>
      <c r="B30" s="50">
        <f>+[3]Proyecciones!S44</f>
        <v>10000000000</v>
      </c>
      <c r="C30" s="49">
        <f t="shared" si="1"/>
        <v>10000000000</v>
      </c>
      <c r="D30" s="52"/>
      <c r="G30" s="53"/>
      <c r="H30" s="53"/>
    </row>
    <row r="31" spans="1:8" x14ac:dyDescent="0.25">
      <c r="A31" s="45" t="s">
        <v>1068</v>
      </c>
      <c r="B31" s="46">
        <f>+[3]Proyecciones!S49</f>
        <v>206000000</v>
      </c>
      <c r="C31" s="47"/>
      <c r="D31" s="47">
        <f t="shared" ref="D31:D38" si="2">+B31</f>
        <v>206000000</v>
      </c>
    </row>
    <row r="32" spans="1:8" ht="25.5" x14ac:dyDescent="0.25">
      <c r="A32" s="45" t="s">
        <v>1069</v>
      </c>
      <c r="B32" s="46">
        <f>+[3]Proyecciones!S50</f>
        <v>244827263</v>
      </c>
      <c r="C32" s="47"/>
      <c r="D32" s="47">
        <f t="shared" si="2"/>
        <v>244827263</v>
      </c>
    </row>
    <row r="33" spans="1:8" x14ac:dyDescent="0.25">
      <c r="A33" s="45" t="s">
        <v>1070</v>
      </c>
      <c r="B33" s="46">
        <f>+[3]Proyecciones!S51</f>
        <v>118460356</v>
      </c>
      <c r="C33" s="47"/>
      <c r="D33" s="47">
        <f t="shared" si="2"/>
        <v>118460356</v>
      </c>
    </row>
    <row r="34" spans="1:8" ht="25.5" x14ac:dyDescent="0.25">
      <c r="A34" s="45" t="s">
        <v>1071</v>
      </c>
      <c r="B34" s="46">
        <f>+[3]Proyecciones!S52</f>
        <v>65446233.878541037</v>
      </c>
      <c r="C34" s="47"/>
      <c r="D34" s="47">
        <f t="shared" si="2"/>
        <v>65446233.878541037</v>
      </c>
    </row>
    <row r="35" spans="1:8" ht="25.5" x14ac:dyDescent="0.25">
      <c r="A35" s="45" t="s">
        <v>1072</v>
      </c>
      <c r="B35" s="46">
        <f>+[3]Proyecciones!S53</f>
        <v>100940000</v>
      </c>
      <c r="C35" s="47"/>
      <c r="D35" s="47">
        <f t="shared" si="2"/>
        <v>100940000</v>
      </c>
    </row>
    <row r="36" spans="1:8" ht="38.25" x14ac:dyDescent="0.25">
      <c r="A36" s="45" t="s">
        <v>1074</v>
      </c>
      <c r="B36" s="46">
        <f>+[3]Proyecciones!S55</f>
        <v>235700906.33054188</v>
      </c>
      <c r="C36" s="47"/>
      <c r="D36" s="47">
        <f t="shared" si="2"/>
        <v>235700906.33054188</v>
      </c>
      <c r="E36" s="42">
        <f>B36+B54</f>
        <v>982003861.09554183</v>
      </c>
      <c r="F36" s="130">
        <f>D36/E36</f>
        <v>0.24002034581370132</v>
      </c>
    </row>
    <row r="37" spans="1:8" s="54" customFormat="1" ht="25.5" x14ac:dyDescent="0.25">
      <c r="A37" s="45" t="s">
        <v>1075</v>
      </c>
      <c r="B37" s="46">
        <f>+[3]Proyecciones!S56</f>
        <v>1543006148.9429367</v>
      </c>
      <c r="C37" s="52"/>
      <c r="D37" s="47">
        <f t="shared" si="2"/>
        <v>1543006148.9429367</v>
      </c>
      <c r="E37" s="54">
        <f>D37+B55</f>
        <v>3410753694.8308368</v>
      </c>
      <c r="F37" s="130">
        <f>D37/E37</f>
        <v>0.45239448139613175</v>
      </c>
      <c r="G37" s="53"/>
      <c r="H37" s="53"/>
    </row>
    <row r="38" spans="1:8" x14ac:dyDescent="0.25">
      <c r="A38" s="45" t="s">
        <v>1080</v>
      </c>
      <c r="B38" s="46">
        <f>+[3]Proyecciones!S60</f>
        <v>9577110504.5724258</v>
      </c>
      <c r="C38" s="47"/>
      <c r="D38" s="47">
        <f t="shared" si="2"/>
        <v>9577110504.5724258</v>
      </c>
    </row>
    <row r="39" spans="1:8" ht="25.5" x14ac:dyDescent="0.25">
      <c r="A39" s="45" t="s">
        <v>1081</v>
      </c>
      <c r="B39" s="46">
        <f>+[3]Proyecciones!S61</f>
        <v>1704977489.920789</v>
      </c>
      <c r="C39" s="47">
        <f>+B39</f>
        <v>1704977489.920789</v>
      </c>
      <c r="D39" s="47"/>
    </row>
    <row r="40" spans="1:8" s="54" customFormat="1" x14ac:dyDescent="0.25">
      <c r="A40" s="45" t="s">
        <v>1085</v>
      </c>
      <c r="B40" s="46">
        <f>+[3]Proyecciones!S65</f>
        <v>561606231</v>
      </c>
      <c r="C40" s="55">
        <f>+B40</f>
        <v>561606231</v>
      </c>
      <c r="D40" s="52"/>
      <c r="G40" s="53"/>
      <c r="H40" s="53"/>
    </row>
    <row r="41" spans="1:8" s="54" customFormat="1" ht="25.5" x14ac:dyDescent="0.25">
      <c r="A41" s="45" t="s">
        <v>1799</v>
      </c>
      <c r="B41" s="50">
        <f>+[3]Proyecciones!S68</f>
        <v>250000000</v>
      </c>
      <c r="C41" s="47">
        <f>+B41</f>
        <v>250000000</v>
      </c>
      <c r="D41" s="52"/>
      <c r="G41" s="53"/>
      <c r="H41" s="53"/>
    </row>
    <row r="42" spans="1:8" s="54" customFormat="1" ht="25.5" x14ac:dyDescent="0.25">
      <c r="A42" s="45" t="s">
        <v>1071</v>
      </c>
      <c r="B42" s="46">
        <f>+[3]Proyecciones!S69</f>
        <v>197782501.69930002</v>
      </c>
      <c r="C42" s="47"/>
      <c r="D42" s="47">
        <f>+B42</f>
        <v>197782501.69930002</v>
      </c>
      <c r="G42" s="53"/>
      <c r="H42" s="53"/>
    </row>
    <row r="43" spans="1:8" ht="25.5" x14ac:dyDescent="0.25">
      <c r="A43" s="45" t="s">
        <v>2432</v>
      </c>
      <c r="B43" s="46">
        <f>+[3]Proyecciones!S71</f>
        <v>4864434452.562665</v>
      </c>
      <c r="C43" s="47"/>
      <c r="D43" s="47">
        <f>+B43</f>
        <v>4864434452.562665</v>
      </c>
    </row>
    <row r="44" spans="1:8" x14ac:dyDescent="0.25">
      <c r="A44" s="45" t="s">
        <v>1093</v>
      </c>
      <c r="B44" s="46">
        <f>+[3]Proyecciones!S74</f>
        <v>263038142</v>
      </c>
      <c r="C44" s="47">
        <f>+B44</f>
        <v>263038142</v>
      </c>
      <c r="D44" s="47"/>
    </row>
    <row r="45" spans="1:8" ht="25.5" x14ac:dyDescent="0.25">
      <c r="A45" s="45" t="s">
        <v>1096</v>
      </c>
      <c r="B45" s="50">
        <f>+[3]Proyecciones!S77</f>
        <v>251730002.97864836</v>
      </c>
      <c r="C45" s="49">
        <f>+B45</f>
        <v>251730002.97864836</v>
      </c>
      <c r="D45" s="47"/>
    </row>
    <row r="46" spans="1:8" x14ac:dyDescent="0.25">
      <c r="A46" s="45" t="s">
        <v>1098</v>
      </c>
      <c r="B46" s="50">
        <f>+[3]Proyecciones!S78</f>
        <v>611631081.93245459</v>
      </c>
      <c r="C46" s="49">
        <f>+B46</f>
        <v>611631081.93245459</v>
      </c>
      <c r="D46" s="47"/>
    </row>
    <row r="47" spans="1:8" ht="25.5" x14ac:dyDescent="0.25">
      <c r="A47" s="56" t="s">
        <v>1802</v>
      </c>
      <c r="B47" s="57">
        <f>SUM(B7:B46)</f>
        <v>117794393144.69603</v>
      </c>
      <c r="C47" s="47"/>
      <c r="D47" s="47"/>
    </row>
    <row r="48" spans="1:8" x14ac:dyDescent="0.25">
      <c r="A48" s="56" t="s">
        <v>2433</v>
      </c>
      <c r="B48" s="50"/>
      <c r="C48" s="57">
        <f>SUM(C7:C46)</f>
        <v>32269574523.914215</v>
      </c>
      <c r="D48" s="47"/>
    </row>
    <row r="49" spans="1:4" ht="25.5" x14ac:dyDescent="0.25">
      <c r="A49" s="58" t="s">
        <v>2434</v>
      </c>
      <c r="B49" s="50"/>
      <c r="C49" s="47">
        <f>+C46+C45+C40+C30+C29+C23+C21+C12+C9+C22+C11</f>
        <v>19954435059.518379</v>
      </c>
      <c r="D49" s="47"/>
    </row>
    <row r="50" spans="1:4" ht="25.5" x14ac:dyDescent="0.25">
      <c r="A50" s="56" t="s">
        <v>2435</v>
      </c>
      <c r="B50" s="50"/>
      <c r="C50" s="52">
        <f>+C48-C49</f>
        <v>12315139464.395836</v>
      </c>
      <c r="D50" s="47"/>
    </row>
    <row r="51" spans="1:4" x14ac:dyDescent="0.25">
      <c r="A51" s="59" t="s">
        <v>2436</v>
      </c>
      <c r="B51" s="50"/>
      <c r="C51" s="47"/>
      <c r="D51" s="57">
        <f>SUM(D7:D46)</f>
        <v>85524818620.78183</v>
      </c>
    </row>
    <row r="52" spans="1:4" x14ac:dyDescent="0.25">
      <c r="A52" s="59"/>
      <c r="B52" s="50"/>
      <c r="C52" s="47"/>
      <c r="D52" s="57"/>
    </row>
    <row r="53" spans="1:4" ht="38.25" x14ac:dyDescent="0.25">
      <c r="A53" s="45" t="s">
        <v>1156</v>
      </c>
      <c r="B53" s="46">
        <f>+[3]Proyecciones!S141</f>
        <v>1399802476.8373001</v>
      </c>
      <c r="C53" s="47"/>
      <c r="D53" s="50">
        <f>+B53</f>
        <v>1399802476.8373001</v>
      </c>
    </row>
    <row r="54" spans="1:4" ht="25.5" x14ac:dyDescent="0.25">
      <c r="A54" s="45" t="s">
        <v>1157</v>
      </c>
      <c r="B54" s="46">
        <f>+[3]Proyecciones!S142</f>
        <v>746302954.76499999</v>
      </c>
      <c r="C54" s="47"/>
      <c r="D54" s="50">
        <f t="shared" ref="D54:D59" si="3">+B54</f>
        <v>746302954.76499999</v>
      </c>
    </row>
    <row r="55" spans="1:4" ht="25.5" x14ac:dyDescent="0.25">
      <c r="A55" s="45" t="s">
        <v>1158</v>
      </c>
      <c r="B55" s="46">
        <f>+[3]Proyecciones!S143</f>
        <v>1867747545.8879001</v>
      </c>
      <c r="C55" s="47"/>
      <c r="D55" s="50">
        <f t="shared" si="3"/>
        <v>1867747545.8879001</v>
      </c>
    </row>
    <row r="56" spans="1:4" x14ac:dyDescent="0.25">
      <c r="A56" s="45" t="s">
        <v>1159</v>
      </c>
      <c r="B56" s="46">
        <f>+[3]Proyecciones!S144</f>
        <v>83139616.896415442</v>
      </c>
      <c r="C56" s="47"/>
      <c r="D56" s="50">
        <f t="shared" si="3"/>
        <v>83139616.896415442</v>
      </c>
    </row>
    <row r="57" spans="1:4" ht="25.5" x14ac:dyDescent="0.25">
      <c r="A57" s="45" t="s">
        <v>1160</v>
      </c>
      <c r="B57" s="46">
        <f>+[3]Proyecciones!S145</f>
        <v>815414496.42920005</v>
      </c>
      <c r="C57" s="47"/>
      <c r="D57" s="50">
        <f t="shared" si="3"/>
        <v>815414496.42920005</v>
      </c>
    </row>
    <row r="58" spans="1:4" x14ac:dyDescent="0.25">
      <c r="A58" s="45" t="s">
        <v>606</v>
      </c>
      <c r="B58" s="46">
        <f>+[3]Proyecciones!S147</f>
        <v>412889740.92584801</v>
      </c>
      <c r="C58" s="47"/>
      <c r="D58" s="50">
        <f t="shared" si="3"/>
        <v>412889740.92584801</v>
      </c>
    </row>
    <row r="59" spans="1:4" ht="25.5" x14ac:dyDescent="0.25">
      <c r="A59" s="45" t="s">
        <v>1804</v>
      </c>
      <c r="B59" s="46">
        <f>+[3]Proyecciones!S150</f>
        <v>600000000</v>
      </c>
      <c r="C59" s="47"/>
      <c r="D59" s="50">
        <f t="shared" si="3"/>
        <v>600000000</v>
      </c>
    </row>
    <row r="60" spans="1:4" ht="25.5" x14ac:dyDescent="0.25">
      <c r="A60" s="45" t="s">
        <v>1805</v>
      </c>
      <c r="B60" s="46">
        <f>+[3]Proyecciones!S152</f>
        <v>16073375.444546001</v>
      </c>
      <c r="C60" s="47">
        <f>+B60</f>
        <v>16073375.444546001</v>
      </c>
      <c r="D60" s="57"/>
    </row>
    <row r="61" spans="1:4" ht="25.5" x14ac:dyDescent="0.25">
      <c r="A61" s="45" t="s">
        <v>1806</v>
      </c>
      <c r="B61" s="46">
        <f>+[3]Proyecciones!S153</f>
        <v>4945653.9380530007</v>
      </c>
      <c r="C61" s="49">
        <f t="shared" ref="C61:C72" si="4">+B61</f>
        <v>4945653.9380530007</v>
      </c>
      <c r="D61" s="57"/>
    </row>
    <row r="62" spans="1:4" ht="38.25" x14ac:dyDescent="0.25">
      <c r="A62" s="45" t="s">
        <v>2437</v>
      </c>
      <c r="B62" s="46">
        <f>+[3]Proyecciones!S154</f>
        <v>3709240.4561920003</v>
      </c>
      <c r="C62" s="49">
        <f t="shared" si="4"/>
        <v>3709240.4561920003</v>
      </c>
      <c r="D62" s="57"/>
    </row>
    <row r="63" spans="1:4" ht="25.5" x14ac:dyDescent="0.25">
      <c r="A63" s="45" t="s">
        <v>1807</v>
      </c>
      <c r="B63" s="46">
        <f>+[3]Proyecciones!S155</f>
        <v>4218672.7222850006</v>
      </c>
      <c r="C63" s="49">
        <f t="shared" si="4"/>
        <v>4218672.7222850006</v>
      </c>
      <c r="D63" s="57"/>
    </row>
    <row r="64" spans="1:4" ht="25.5" x14ac:dyDescent="0.25">
      <c r="A64" s="45" t="s">
        <v>1808</v>
      </c>
      <c r="B64" s="46">
        <f>+[3]Proyecciones!S156</f>
        <v>2109336.2709659999</v>
      </c>
      <c r="C64" s="47">
        <f t="shared" si="4"/>
        <v>2109336.2709659999</v>
      </c>
      <c r="D64" s="57"/>
    </row>
    <row r="65" spans="1:8" ht="25.5" x14ac:dyDescent="0.25">
      <c r="A65" s="45" t="s">
        <v>1809</v>
      </c>
      <c r="B65" s="46">
        <f>+[3]Proyecciones!S157</f>
        <v>2109336.2709659999</v>
      </c>
      <c r="C65" s="47">
        <f t="shared" si="4"/>
        <v>2109336.2709659999</v>
      </c>
      <c r="D65" s="57"/>
    </row>
    <row r="66" spans="1:8" ht="25.5" x14ac:dyDescent="0.25">
      <c r="A66" s="45" t="s">
        <v>1810</v>
      </c>
      <c r="B66" s="46">
        <f>+[3]Proyecciones!S158</f>
        <v>10546681.620054999</v>
      </c>
      <c r="C66" s="47">
        <f t="shared" si="4"/>
        <v>10546681.620054999</v>
      </c>
      <c r="D66" s="57"/>
    </row>
    <row r="67" spans="1:8" ht="25.5" x14ac:dyDescent="0.25">
      <c r="A67" s="45" t="s">
        <v>1811</v>
      </c>
      <c r="B67" s="46">
        <f>+[3]Proyecciones!S159</f>
        <v>2109336.2709659999</v>
      </c>
      <c r="C67" s="47">
        <f t="shared" si="4"/>
        <v>2109336.2709659999</v>
      </c>
      <c r="D67" s="57"/>
    </row>
    <row r="68" spans="1:8" ht="25.5" x14ac:dyDescent="0.25">
      <c r="A68" s="45" t="s">
        <v>1812</v>
      </c>
      <c r="B68" s="46">
        <f>+[3]Proyecciones!S160</f>
        <v>2530533.6431940002</v>
      </c>
      <c r="C68" s="47">
        <f t="shared" si="4"/>
        <v>2530533.6431940002</v>
      </c>
      <c r="D68" s="57"/>
    </row>
    <row r="69" spans="1:8" ht="25.5" x14ac:dyDescent="0.25">
      <c r="A69" s="45" t="s">
        <v>1813</v>
      </c>
      <c r="B69" s="46">
        <f>+[3]Proyecciones!S161</f>
        <v>632633.37366700009</v>
      </c>
      <c r="C69" s="49">
        <f t="shared" si="4"/>
        <v>632633.37366700009</v>
      </c>
      <c r="D69" s="57"/>
    </row>
    <row r="70" spans="1:8" ht="25.5" x14ac:dyDescent="0.25">
      <c r="A70" s="45" t="s">
        <v>1814</v>
      </c>
      <c r="B70" s="46">
        <f>+[3]Proyecciones!S162</f>
        <v>76182725.804521009</v>
      </c>
      <c r="C70" s="47">
        <f t="shared" si="4"/>
        <v>76182725.804521009</v>
      </c>
      <c r="D70" s="57"/>
    </row>
    <row r="71" spans="1:8" ht="25.5" x14ac:dyDescent="0.25">
      <c r="A71" s="45" t="s">
        <v>1815</v>
      </c>
      <c r="B71" s="46">
        <f>+[3]Proyecciones!S165</f>
        <v>1774761.8187070002</v>
      </c>
      <c r="C71" s="47">
        <f t="shared" si="4"/>
        <v>1774761.8187070002</v>
      </c>
      <c r="D71" s="57"/>
    </row>
    <row r="72" spans="1:8" ht="25.5" x14ac:dyDescent="0.25">
      <c r="A72" s="45" t="s">
        <v>1816</v>
      </c>
      <c r="B72" s="46">
        <f>+[3]Proyecciones!S166</f>
        <v>51715200.753203005</v>
      </c>
      <c r="C72" s="49">
        <f t="shared" si="4"/>
        <v>51715200.753203005</v>
      </c>
      <c r="D72" s="57"/>
    </row>
    <row r="73" spans="1:8" ht="25.5" x14ac:dyDescent="0.25">
      <c r="A73" s="45" t="s">
        <v>1184</v>
      </c>
      <c r="B73" s="46">
        <f>+[3]Proyecciones!S170</f>
        <v>237442517.8580744</v>
      </c>
      <c r="C73" s="47"/>
      <c r="D73" s="50">
        <f>+B73</f>
        <v>237442517.8580744</v>
      </c>
    </row>
    <row r="74" spans="1:8" ht="25.5" x14ac:dyDescent="0.25">
      <c r="A74" s="56" t="s">
        <v>1817</v>
      </c>
      <c r="B74" s="60">
        <f>SUM(B53:B73)</f>
        <v>6341396837.9870577</v>
      </c>
      <c r="C74" s="47"/>
      <c r="D74" s="50"/>
    </row>
    <row r="75" spans="1:8" ht="25.5" x14ac:dyDescent="0.25">
      <c r="A75" s="56" t="s">
        <v>2438</v>
      </c>
      <c r="B75" s="46"/>
      <c r="C75" s="52">
        <f>SUM(C60:C74)</f>
        <v>178657488.38732103</v>
      </c>
      <c r="D75" s="50"/>
      <c r="F75" s="42">
        <f>+C71+C70+C68+C67+C66+C65+C64+C60</f>
        <v>113436087.143921</v>
      </c>
    </row>
    <row r="76" spans="1:8" ht="25.5" x14ac:dyDescent="0.25">
      <c r="A76" s="58" t="s">
        <v>2434</v>
      </c>
      <c r="B76" s="46"/>
      <c r="C76" s="47">
        <f>+C72+C69+C63+C62+C61</f>
        <v>65221401.243400007</v>
      </c>
      <c r="D76" s="50"/>
    </row>
    <row r="77" spans="1:8" ht="25.5" x14ac:dyDescent="0.25">
      <c r="A77" s="56" t="s">
        <v>2439</v>
      </c>
      <c r="B77" s="50"/>
      <c r="C77" s="52">
        <f>+C75-C76</f>
        <v>113436087.14392102</v>
      </c>
      <c r="D77" s="57"/>
    </row>
    <row r="78" spans="1:8" ht="25.5" x14ac:dyDescent="0.25">
      <c r="A78" s="59" t="s">
        <v>2440</v>
      </c>
      <c r="B78" s="50"/>
      <c r="C78" s="47"/>
      <c r="D78" s="52">
        <f>SUM(D53:D77)</f>
        <v>6162739349.5997372</v>
      </c>
    </row>
    <row r="79" spans="1:8" x14ac:dyDescent="0.25">
      <c r="A79" s="59"/>
      <c r="B79" s="50"/>
      <c r="C79" s="47"/>
      <c r="D79" s="47"/>
    </row>
    <row r="80" spans="1:8" s="54" customFormat="1" x14ac:dyDescent="0.25">
      <c r="A80" s="61" t="s">
        <v>953</v>
      </c>
      <c r="B80" s="62"/>
      <c r="C80" s="52"/>
      <c r="D80" s="52"/>
      <c r="G80" s="53"/>
      <c r="H80" s="53"/>
    </row>
    <row r="81" spans="1:8" ht="25.5" x14ac:dyDescent="0.25">
      <c r="A81" s="63" t="s">
        <v>1100</v>
      </c>
      <c r="B81" s="64"/>
      <c r="C81" s="47"/>
      <c r="D81" s="47"/>
    </row>
    <row r="82" spans="1:8" ht="38.25" x14ac:dyDescent="0.25">
      <c r="A82" s="45" t="s">
        <v>1101</v>
      </c>
      <c r="B82" s="46">
        <f>+[3]Proyecciones!S81</f>
        <v>141240000000</v>
      </c>
      <c r="C82" s="47">
        <f>+B82</f>
        <v>141240000000</v>
      </c>
      <c r="D82" s="47"/>
    </row>
    <row r="83" spans="1:8" s="54" customFormat="1" ht="38.25" x14ac:dyDescent="0.25">
      <c r="A83" s="45" t="s">
        <v>1102</v>
      </c>
      <c r="B83" s="46">
        <f>+[3]Proyecciones!S82</f>
        <v>17655000000</v>
      </c>
      <c r="C83" s="47">
        <f t="shared" ref="C83:C89" si="5">+B83</f>
        <v>17655000000</v>
      </c>
      <c r="D83" s="52"/>
      <c r="G83" s="53"/>
      <c r="H83" s="53"/>
    </row>
    <row r="84" spans="1:8" x14ac:dyDescent="0.25">
      <c r="A84" s="45" t="s">
        <v>1103</v>
      </c>
      <c r="B84" s="46">
        <f>+[3]Proyecciones!S83</f>
        <v>7490000000</v>
      </c>
      <c r="C84" s="47">
        <f t="shared" si="5"/>
        <v>7490000000</v>
      </c>
      <c r="D84" s="47"/>
    </row>
    <row r="85" spans="1:8" ht="25.5" x14ac:dyDescent="0.25">
      <c r="A85" s="45" t="s">
        <v>1105</v>
      </c>
      <c r="B85" s="46">
        <f>+[3]Proyecciones!S85</f>
        <v>749000000</v>
      </c>
      <c r="C85" s="47">
        <f t="shared" si="5"/>
        <v>749000000</v>
      </c>
      <c r="D85" s="47"/>
    </row>
    <row r="86" spans="1:8" ht="25.5" x14ac:dyDescent="0.25">
      <c r="A86" s="45" t="s">
        <v>1106</v>
      </c>
      <c r="B86" s="46">
        <f>+[3]Proyecciones!S86</f>
        <v>1766000000</v>
      </c>
      <c r="C86" s="47">
        <f t="shared" si="5"/>
        <v>1766000000</v>
      </c>
      <c r="D86" s="47"/>
    </row>
    <row r="87" spans="1:8" ht="25.5" x14ac:dyDescent="0.25">
      <c r="A87" s="45" t="s">
        <v>1107</v>
      </c>
      <c r="B87" s="46">
        <f>+[3]Proyecciones!S87</f>
        <v>12840000000</v>
      </c>
      <c r="C87" s="47">
        <f t="shared" si="5"/>
        <v>12840000000</v>
      </c>
      <c r="D87" s="47"/>
    </row>
    <row r="88" spans="1:8" s="54" customFormat="1" ht="25.5" x14ac:dyDescent="0.25">
      <c r="A88" s="45" t="s">
        <v>1111</v>
      </c>
      <c r="B88" s="46">
        <f>+[3]Proyecciones!S90</f>
        <v>200000000</v>
      </c>
      <c r="C88" s="47">
        <f t="shared" si="5"/>
        <v>200000000</v>
      </c>
      <c r="D88" s="52"/>
      <c r="G88" s="53"/>
      <c r="H88" s="53"/>
    </row>
    <row r="89" spans="1:8" s="54" customFormat="1" x14ac:dyDescent="0.25">
      <c r="A89" s="45" t="s">
        <v>606</v>
      </c>
      <c r="B89" s="46">
        <f>+[3]Proyecciones!S91</f>
        <v>80000000</v>
      </c>
      <c r="C89" s="47">
        <f t="shared" si="5"/>
        <v>80000000</v>
      </c>
      <c r="D89" s="52"/>
      <c r="G89" s="53"/>
      <c r="H89" s="53"/>
    </row>
    <row r="90" spans="1:8" s="54" customFormat="1" ht="25.5" x14ac:dyDescent="0.25">
      <c r="A90" s="63" t="s">
        <v>1116</v>
      </c>
      <c r="B90" s="64"/>
      <c r="C90" s="52"/>
      <c r="D90" s="52"/>
      <c r="G90" s="53"/>
      <c r="H90" s="53"/>
    </row>
    <row r="91" spans="1:8" s="54" customFormat="1" ht="25.5" x14ac:dyDescent="0.25">
      <c r="A91" s="45" t="s">
        <v>1119</v>
      </c>
      <c r="B91" s="46">
        <f>+[3]Proyecciones!S98</f>
        <v>4211165548.23</v>
      </c>
      <c r="C91" s="47">
        <f>+B91</f>
        <v>4211165548.23</v>
      </c>
      <c r="D91" s="52"/>
      <c r="G91" s="53"/>
      <c r="H91" s="53"/>
    </row>
    <row r="92" spans="1:8" s="54" customFormat="1" ht="25.5" x14ac:dyDescent="0.25">
      <c r="A92" s="45" t="s">
        <v>1120</v>
      </c>
      <c r="B92" s="46">
        <f>+[3]Proyecciones!S99</f>
        <v>2214028029.2800002</v>
      </c>
      <c r="C92" s="47">
        <f>+B92</f>
        <v>2214028029.2800002</v>
      </c>
      <c r="D92" s="52"/>
      <c r="G92" s="53"/>
      <c r="H92" s="53"/>
    </row>
    <row r="93" spans="1:8" s="54" customFormat="1" ht="38.25" x14ac:dyDescent="0.25">
      <c r="A93" s="45" t="str">
        <f>+'[3]Plan Financiero 2021'!A100</f>
        <v>Rendimientos por Operaciones Financieras. (SGP - Salud Pública )</v>
      </c>
      <c r="B93" s="46">
        <f>+'[3]Plan Financiero 2021'!B100</f>
        <v>25000000</v>
      </c>
      <c r="C93" s="47">
        <f>+B93</f>
        <v>25000000</v>
      </c>
      <c r="D93" s="52"/>
      <c r="G93" s="53"/>
      <c r="H93" s="53"/>
    </row>
    <row r="94" spans="1:8" s="54" customFormat="1" ht="25.5" x14ac:dyDescent="0.25">
      <c r="A94" s="45" t="str">
        <f>+'[3]Plan Financiero 2021'!A101</f>
        <v>Rendimientos por Operaciones Financieras. (SGP - Oferta)</v>
      </c>
      <c r="B94" s="46">
        <f>+'[3]Plan Financiero 2021'!B101</f>
        <v>10000000</v>
      </c>
      <c r="C94" s="47"/>
      <c r="D94" s="52"/>
      <c r="G94" s="53"/>
      <c r="H94" s="53"/>
    </row>
    <row r="95" spans="1:8" s="54" customFormat="1" ht="38.25" x14ac:dyDescent="0.25">
      <c r="A95" s="45" t="str">
        <f>+'[3]Plan Financiero 2021'!A102</f>
        <v>Rendimientos por Operaciones Financieras. (Fondo Estupefacientes )</v>
      </c>
      <c r="B95" s="46">
        <f>+'[3]Plan Financiero 2021'!B102</f>
        <v>2000000</v>
      </c>
      <c r="C95" s="47"/>
      <c r="D95" s="52"/>
      <c r="G95" s="53"/>
      <c r="H95" s="53"/>
    </row>
    <row r="96" spans="1:8" s="54" customFormat="1" ht="25.5" x14ac:dyDescent="0.25">
      <c r="A96" s="45" t="str">
        <f>+'[3]Plan Financiero 2021'!A103</f>
        <v>Rendimientos por Operaciones Financieras. (Rentas Cedidas )</v>
      </c>
      <c r="B96" s="46">
        <f>+'[3]Plan Financiero 2021'!B103</f>
        <v>163000000</v>
      </c>
      <c r="C96" s="47"/>
      <c r="D96" s="52"/>
      <c r="G96" s="53"/>
      <c r="H96" s="53"/>
    </row>
    <row r="97" spans="1:8" s="54" customFormat="1" x14ac:dyDescent="0.25">
      <c r="A97" s="45" t="s">
        <v>1126</v>
      </c>
      <c r="B97" s="46">
        <f>+[3]Proyecciones!S107</f>
        <v>8446865336.8773279</v>
      </c>
      <c r="C97" s="47">
        <f>+B97</f>
        <v>8446865336.8773279</v>
      </c>
      <c r="D97" s="52"/>
      <c r="G97" s="53"/>
      <c r="H97" s="53"/>
    </row>
    <row r="98" spans="1:8" s="54" customFormat="1" ht="25.5" x14ac:dyDescent="0.25">
      <c r="A98" s="45" t="s">
        <v>1127</v>
      </c>
      <c r="B98" s="46">
        <f>+[3]Proyecciones!S108</f>
        <v>3518317491.669682</v>
      </c>
      <c r="C98" s="47">
        <f t="shared" ref="C98:C113" si="6">+B98</f>
        <v>3518317491.669682</v>
      </c>
      <c r="D98" s="52"/>
      <c r="G98" s="53"/>
      <c r="H98" s="53"/>
    </row>
    <row r="99" spans="1:8" s="54" customFormat="1" ht="25.5" x14ac:dyDescent="0.25">
      <c r="A99" s="45" t="s">
        <v>1128</v>
      </c>
      <c r="B99" s="46">
        <f>+[3]Proyecciones!S109</f>
        <v>5997708272</v>
      </c>
      <c r="C99" s="47">
        <f t="shared" si="6"/>
        <v>5997708272</v>
      </c>
      <c r="D99" s="52"/>
      <c r="G99" s="53"/>
      <c r="H99" s="53"/>
    </row>
    <row r="100" spans="1:8" s="54" customFormat="1" x14ac:dyDescent="0.25">
      <c r="A100" s="45" t="s">
        <v>1129</v>
      </c>
      <c r="B100" s="46">
        <f>+[3]Proyecciones!S110</f>
        <v>91147870.284888208</v>
      </c>
      <c r="C100" s="47">
        <f t="shared" si="6"/>
        <v>91147870.284888208</v>
      </c>
      <c r="D100" s="52"/>
      <c r="G100" s="53"/>
      <c r="H100" s="53"/>
    </row>
    <row r="101" spans="1:8" x14ac:dyDescent="0.25">
      <c r="A101" s="45" t="s">
        <v>1130</v>
      </c>
      <c r="B101" s="46">
        <f>+[3]Proyecciones!S111</f>
        <v>20527481.207827739</v>
      </c>
      <c r="C101" s="47">
        <f t="shared" si="6"/>
        <v>20527481.207827739</v>
      </c>
      <c r="D101" s="47"/>
    </row>
    <row r="102" spans="1:8" s="54" customFormat="1" x14ac:dyDescent="0.25">
      <c r="A102" s="45" t="s">
        <v>1977</v>
      </c>
      <c r="B102" s="46">
        <f>+[3]Proyecciones!S112</f>
        <v>0</v>
      </c>
      <c r="C102" s="47">
        <f t="shared" si="6"/>
        <v>0</v>
      </c>
      <c r="D102" s="52"/>
      <c r="G102" s="53"/>
      <c r="H102" s="53"/>
    </row>
    <row r="103" spans="1:8" s="54" customFormat="1" ht="25.5" x14ac:dyDescent="0.25">
      <c r="A103" s="45" t="s">
        <v>1132</v>
      </c>
      <c r="B103" s="46">
        <f>+[3]Proyecciones!S113</f>
        <v>2507252674.3252301</v>
      </c>
      <c r="C103" s="47">
        <f t="shared" si="6"/>
        <v>2507252674.3252301</v>
      </c>
      <c r="D103" s="52"/>
      <c r="G103" s="53"/>
      <c r="H103" s="53"/>
    </row>
    <row r="104" spans="1:8" x14ac:dyDescent="0.25">
      <c r="A104" s="45" t="s">
        <v>1133</v>
      </c>
      <c r="B104" s="46">
        <f>+[3]Proyecciones!S114</f>
        <v>653627696.80835664</v>
      </c>
      <c r="C104" s="47">
        <f t="shared" si="6"/>
        <v>653627696.80835664</v>
      </c>
      <c r="D104" s="47"/>
    </row>
    <row r="105" spans="1:8" x14ac:dyDescent="0.25">
      <c r="A105" s="45" t="s">
        <v>1136</v>
      </c>
      <c r="B105" s="46">
        <f>+[3]Proyecciones!S116</f>
        <v>1552030080</v>
      </c>
      <c r="C105" s="47">
        <f t="shared" si="6"/>
        <v>1552030080</v>
      </c>
      <c r="D105" s="47"/>
    </row>
    <row r="106" spans="1:8" x14ac:dyDescent="0.25">
      <c r="A106" s="65" t="s">
        <v>1137</v>
      </c>
      <c r="B106" s="46">
        <f>+[3]Proyecciones!S117</f>
        <v>19200000</v>
      </c>
      <c r="C106" s="47">
        <f t="shared" si="6"/>
        <v>19200000</v>
      </c>
      <c r="D106" s="47"/>
    </row>
    <row r="107" spans="1:8" s="54" customFormat="1" x14ac:dyDescent="0.25">
      <c r="A107" s="45" t="s">
        <v>1138</v>
      </c>
      <c r="B107" s="46">
        <f>+[3]Proyecciones!S118</f>
        <v>668014036</v>
      </c>
      <c r="C107" s="47">
        <f t="shared" si="6"/>
        <v>668014036</v>
      </c>
      <c r="D107" s="52"/>
      <c r="G107" s="53"/>
      <c r="H107" s="53"/>
    </row>
    <row r="108" spans="1:8" x14ac:dyDescent="0.25">
      <c r="A108" s="45" t="s">
        <v>1139</v>
      </c>
      <c r="B108" s="46">
        <f>+[3]Proyecciones!S119</f>
        <v>842700000</v>
      </c>
      <c r="C108" s="47">
        <f t="shared" si="6"/>
        <v>842700000</v>
      </c>
      <c r="D108" s="47"/>
    </row>
    <row r="109" spans="1:8" s="54" customFormat="1" x14ac:dyDescent="0.25">
      <c r="A109" s="45" t="s">
        <v>1141</v>
      </c>
      <c r="B109" s="46">
        <f>+[3]Proyecciones!S121</f>
        <v>8756655044.4118958</v>
      </c>
      <c r="C109" s="47">
        <f t="shared" si="6"/>
        <v>8756655044.4118958</v>
      </c>
      <c r="D109" s="52"/>
      <c r="G109" s="53"/>
      <c r="H109" s="53"/>
    </row>
    <row r="110" spans="1:8" s="54" customFormat="1" x14ac:dyDescent="0.25">
      <c r="A110" s="45" t="s">
        <v>1142</v>
      </c>
      <c r="B110" s="46">
        <f>+[3]Proyecciones!S122</f>
        <v>8402737426</v>
      </c>
      <c r="C110" s="47">
        <f t="shared" si="6"/>
        <v>8402737426</v>
      </c>
      <c r="D110" s="52"/>
      <c r="G110" s="53"/>
      <c r="H110" s="53"/>
    </row>
    <row r="111" spans="1:8" s="54" customFormat="1" x14ac:dyDescent="0.25">
      <c r="A111" s="45" t="s">
        <v>1143</v>
      </c>
      <c r="B111" s="46">
        <f>+[3]Proyecciones!S123</f>
        <v>421146797</v>
      </c>
      <c r="C111" s="47">
        <f t="shared" si="6"/>
        <v>421146797</v>
      </c>
      <c r="D111" s="52"/>
      <c r="G111" s="53"/>
      <c r="H111" s="53"/>
    </row>
    <row r="112" spans="1:8" s="54" customFormat="1" ht="25.5" x14ac:dyDescent="0.25">
      <c r="A112" s="45" t="str">
        <f>+'[3]Plan Financiero 2021'!A127</f>
        <v>IVA Cedido Sobre Licores, Vinos, Aperitivos y Similares</v>
      </c>
      <c r="B112" s="46">
        <f>+'[3]Plan Financiero 2021'!B127</f>
        <v>462752030</v>
      </c>
      <c r="C112" s="47"/>
      <c r="D112" s="52"/>
      <c r="G112" s="53"/>
      <c r="H112" s="53"/>
    </row>
    <row r="113" spans="1:8" s="54" customFormat="1" x14ac:dyDescent="0.25">
      <c r="A113" s="45" t="s">
        <v>1146</v>
      </c>
      <c r="B113" s="46">
        <f>+[3]Proyecciones!S127</f>
        <v>1754466997</v>
      </c>
      <c r="C113" s="47">
        <f t="shared" si="6"/>
        <v>1754466997</v>
      </c>
      <c r="D113" s="52"/>
      <c r="G113" s="53"/>
      <c r="H113" s="53"/>
    </row>
    <row r="114" spans="1:8" s="54" customFormat="1" ht="25.5" x14ac:dyDescent="0.25">
      <c r="A114" s="63" t="s">
        <v>1065</v>
      </c>
      <c r="B114" s="52"/>
      <c r="C114" s="47"/>
      <c r="D114" s="52"/>
      <c r="G114" s="53"/>
      <c r="H114" s="53"/>
    </row>
    <row r="115" spans="1:8" s="54" customFormat="1" ht="25.5" x14ac:dyDescent="0.25">
      <c r="A115" s="45" t="s">
        <v>1066</v>
      </c>
      <c r="B115" s="46">
        <f>+[3]Proyecciones!S129</f>
        <v>2751236459</v>
      </c>
      <c r="C115" s="47">
        <f>+B115</f>
        <v>2751236459</v>
      </c>
      <c r="D115" s="52"/>
      <c r="G115" s="53"/>
      <c r="H115" s="53"/>
    </row>
    <row r="116" spans="1:8" s="54" customFormat="1" x14ac:dyDescent="0.25">
      <c r="A116" s="63" t="s">
        <v>961</v>
      </c>
      <c r="B116" s="52"/>
      <c r="C116" s="47"/>
      <c r="D116" s="52"/>
      <c r="G116" s="53"/>
      <c r="H116" s="53"/>
    </row>
    <row r="117" spans="1:8" s="54" customFormat="1" ht="25.5" x14ac:dyDescent="0.25">
      <c r="A117" s="45" t="s">
        <v>1149</v>
      </c>
      <c r="B117" s="46">
        <f>+[3]Proyecciones!S132</f>
        <v>1648000000</v>
      </c>
      <c r="C117" s="47">
        <f>+B117</f>
        <v>1648000000</v>
      </c>
      <c r="D117" s="52"/>
      <c r="G117" s="53"/>
      <c r="H117" s="53"/>
    </row>
    <row r="118" spans="1:8" s="54" customFormat="1" x14ac:dyDescent="0.25">
      <c r="A118" s="52"/>
      <c r="B118" s="52"/>
      <c r="C118" s="52"/>
      <c r="D118" s="52"/>
      <c r="G118" s="53"/>
      <c r="H118" s="53"/>
    </row>
    <row r="119" spans="1:8" s="54" customFormat="1" ht="25.5" x14ac:dyDescent="0.25">
      <c r="A119" s="56" t="s">
        <v>1825</v>
      </c>
      <c r="B119" s="66">
        <f>SUM(B80:B117)</f>
        <v>237159579270.09518</v>
      </c>
      <c r="C119" s="67"/>
      <c r="D119" s="68"/>
      <c r="E119" s="83"/>
      <c r="F119" s="74"/>
      <c r="G119" s="53"/>
      <c r="H119" s="53"/>
    </row>
    <row r="120" spans="1:8" s="54" customFormat="1" x14ac:dyDescent="0.25">
      <c r="A120" s="56" t="s">
        <v>1826</v>
      </c>
      <c r="B120" s="66">
        <f>+B119+B74+B47</f>
        <v>361295369252.77826</v>
      </c>
      <c r="C120" s="71"/>
      <c r="D120" s="68"/>
      <c r="E120" s="73"/>
      <c r="F120" s="74"/>
      <c r="G120" s="53"/>
      <c r="H120" s="53"/>
    </row>
    <row r="121" spans="1:8" s="54" customFormat="1" x14ac:dyDescent="0.25">
      <c r="A121" s="1672"/>
      <c r="B121" s="1672"/>
      <c r="C121" s="73"/>
      <c r="D121" s="74"/>
      <c r="E121" s="73"/>
      <c r="F121" s="74"/>
      <c r="G121" s="53"/>
      <c r="H121" s="53"/>
    </row>
    <row r="122" spans="1:8" s="54" customFormat="1" x14ac:dyDescent="0.25">
      <c r="A122" s="45" t="s">
        <v>1827</v>
      </c>
      <c r="B122" s="75">
        <f>+D51*0.01</f>
        <v>855248186.20781827</v>
      </c>
      <c r="D122" s="74"/>
      <c r="E122" s="73"/>
      <c r="F122" s="74"/>
      <c r="G122" s="53"/>
      <c r="H122" s="53"/>
    </row>
    <row r="123" spans="1:8" s="54" customFormat="1" ht="25.5" x14ac:dyDescent="0.25">
      <c r="A123" s="45" t="s">
        <v>1828</v>
      </c>
      <c r="B123" s="75">
        <f>+D51*0.01</f>
        <v>855248186.20781827</v>
      </c>
      <c r="D123" s="74"/>
      <c r="E123" s="73"/>
      <c r="F123" s="74"/>
      <c r="G123" s="53"/>
      <c r="H123" s="53"/>
    </row>
    <row r="124" spans="1:8" s="54" customFormat="1" ht="25.5" x14ac:dyDescent="0.25">
      <c r="A124" s="45" t="s">
        <v>1829</v>
      </c>
      <c r="B124" s="75">
        <f>+D51*0.007</f>
        <v>598673730.34547281</v>
      </c>
      <c r="D124" s="74"/>
      <c r="E124" s="73"/>
      <c r="F124" s="74"/>
      <c r="G124" s="53"/>
      <c r="H124" s="53"/>
    </row>
    <row r="125" spans="1:8" s="54" customFormat="1" ht="25.5" x14ac:dyDescent="0.25">
      <c r="A125" s="45" t="s">
        <v>2441</v>
      </c>
      <c r="B125" s="76">
        <f>+D51*0.067</f>
        <v>5730162847.5923834</v>
      </c>
      <c r="D125" s="74"/>
      <c r="E125" s="73"/>
      <c r="F125" s="74"/>
      <c r="G125" s="53"/>
      <c r="H125" s="53"/>
    </row>
    <row r="126" spans="1:8" x14ac:dyDescent="0.25">
      <c r="A126" s="1753"/>
      <c r="B126" s="1746"/>
      <c r="C126" s="77"/>
      <c r="D126" s="77"/>
      <c r="E126" s="77"/>
      <c r="F126" s="77"/>
    </row>
    <row r="127" spans="1:8" x14ac:dyDescent="0.25">
      <c r="A127" s="1834" t="s">
        <v>970</v>
      </c>
      <c r="B127" s="1834"/>
      <c r="C127" s="79"/>
      <c r="D127" s="79"/>
      <c r="E127" s="124"/>
      <c r="F127" s="124"/>
    </row>
    <row r="128" spans="1:8" x14ac:dyDescent="0.25">
      <c r="A128" s="80" t="s">
        <v>972</v>
      </c>
      <c r="B128" s="81">
        <f>+D78+D51-B122-B123-B124-B125</f>
        <v>83648225020.028061</v>
      </c>
      <c r="C128" s="73"/>
      <c r="E128" s="73"/>
      <c r="F128" s="126"/>
    </row>
    <row r="129" spans="1:6" ht="25.5" x14ac:dyDescent="0.25">
      <c r="A129" s="80" t="s">
        <v>973</v>
      </c>
      <c r="B129" s="81">
        <f>B128*0.7</f>
        <v>58553757514.019638</v>
      </c>
      <c r="C129" s="83"/>
      <c r="E129" s="73"/>
      <c r="F129" s="127"/>
    </row>
    <row r="130" spans="1:6" ht="25.5" x14ac:dyDescent="0.25">
      <c r="A130" s="80" t="s">
        <v>974</v>
      </c>
      <c r="B130" s="81">
        <f>B128*0.3</f>
        <v>25094467506.008419</v>
      </c>
      <c r="C130" s="83"/>
      <c r="E130" s="73"/>
      <c r="F130" s="127"/>
    </row>
    <row r="131" spans="1:6" x14ac:dyDescent="0.25">
      <c r="A131" s="1754"/>
      <c r="B131" s="1746"/>
      <c r="C131" s="73"/>
      <c r="D131" s="74"/>
      <c r="E131" s="73"/>
      <c r="F131" s="74"/>
    </row>
    <row r="132" spans="1:6" x14ac:dyDescent="0.25">
      <c r="A132" s="1836" t="s">
        <v>1832</v>
      </c>
      <c r="B132" s="1836"/>
      <c r="C132" s="73"/>
      <c r="D132" s="74"/>
      <c r="E132" s="73"/>
      <c r="F132" s="74"/>
    </row>
    <row r="133" spans="1:6" x14ac:dyDescent="0.25">
      <c r="A133" s="58" t="s">
        <v>1833</v>
      </c>
      <c r="B133" s="68">
        <f>+[3]Deuda!AS50</f>
        <v>9970488812.3899994</v>
      </c>
      <c r="C133" s="73"/>
      <c r="D133" s="74"/>
      <c r="E133" s="73"/>
      <c r="F133" s="74"/>
    </row>
    <row r="134" spans="1:6" x14ac:dyDescent="0.25">
      <c r="A134" s="58" t="s">
        <v>1835</v>
      </c>
      <c r="B134" s="68">
        <v>3162607596</v>
      </c>
      <c r="C134" s="73"/>
      <c r="D134" s="74"/>
      <c r="E134" s="73"/>
      <c r="F134" s="74"/>
    </row>
    <row r="135" spans="1:6" x14ac:dyDescent="0.25">
      <c r="A135" s="58" t="s">
        <v>1837</v>
      </c>
      <c r="B135" s="68">
        <f>+B128*0.037</f>
        <v>3094984325.7410383</v>
      </c>
      <c r="C135" s="73"/>
      <c r="D135" s="74"/>
      <c r="E135" s="73"/>
      <c r="F135" s="74"/>
    </row>
    <row r="136" spans="1:6" ht="15" x14ac:dyDescent="0.25">
      <c r="A136" s="58" t="s">
        <v>1841</v>
      </c>
      <c r="B136" s="68">
        <f>+B130-B133-B134-B135+B129-B143</f>
        <v>17613627242.174484</v>
      </c>
      <c r="C136" s="85"/>
      <c r="D136" s="74"/>
      <c r="E136" s="73"/>
      <c r="F136" s="74"/>
    </row>
    <row r="137" spans="1:6" x14ac:dyDescent="0.25">
      <c r="A137" s="58" t="s">
        <v>1982</v>
      </c>
      <c r="B137" s="68">
        <f>SUM(B133:B136)</f>
        <v>33841707976.305523</v>
      </c>
      <c r="C137" s="73"/>
      <c r="D137" s="74"/>
      <c r="E137" s="73"/>
      <c r="F137" s="74"/>
    </row>
    <row r="138" spans="1:6" x14ac:dyDescent="0.25">
      <c r="A138" s="1669"/>
      <c r="B138" s="1669"/>
      <c r="C138" s="73"/>
      <c r="D138" s="74"/>
      <c r="E138" s="73"/>
      <c r="F138" s="74"/>
    </row>
    <row r="139" spans="1:6" x14ac:dyDescent="0.25">
      <c r="A139" s="1748" t="s">
        <v>1983</v>
      </c>
      <c r="B139" s="1748"/>
      <c r="C139" s="79"/>
      <c r="D139" s="79"/>
      <c r="E139" s="125"/>
      <c r="F139" s="74"/>
    </row>
    <row r="140" spans="1:6" x14ac:dyDescent="0.25">
      <c r="A140" s="1745"/>
      <c r="B140" s="1745"/>
      <c r="C140" s="87"/>
      <c r="D140" s="88"/>
      <c r="E140" s="87"/>
      <c r="F140" s="88"/>
    </row>
    <row r="141" spans="1:6" x14ac:dyDescent="0.25">
      <c r="A141" s="58" t="s">
        <v>1843</v>
      </c>
      <c r="B141" s="91">
        <f>+B134</f>
        <v>3162607596</v>
      </c>
      <c r="C141" s="73"/>
      <c r="D141" s="74"/>
      <c r="E141" s="73"/>
      <c r="F141" s="74"/>
    </row>
    <row r="142" spans="1:6" x14ac:dyDescent="0.25">
      <c r="A142" s="58" t="s">
        <v>1930</v>
      </c>
      <c r="B142" s="91">
        <f>+B135+C40</f>
        <v>3656590556.7410383</v>
      </c>
      <c r="C142" s="73"/>
      <c r="D142" s="74"/>
      <c r="E142" s="73"/>
      <c r="F142" s="74"/>
    </row>
    <row r="143" spans="1:6" ht="15" x14ac:dyDescent="0.25">
      <c r="A143" s="58" t="s">
        <v>2442</v>
      </c>
      <c r="B143" s="91">
        <f>+'[3]Funcionamiento icld'!C6</f>
        <v>49806517043.722534</v>
      </c>
      <c r="C143" s="85"/>
      <c r="D143" s="74"/>
      <c r="E143" s="73"/>
      <c r="F143" s="74"/>
    </row>
    <row r="144" spans="1:6" ht="15" x14ac:dyDescent="0.25">
      <c r="A144" s="58" t="s">
        <v>1852</v>
      </c>
      <c r="B144" s="68">
        <f>+C9+C11+C22+C30+C45+C46+C62+B122+B124+B125</f>
        <v>22303460505.782372</v>
      </c>
      <c r="C144" s="85"/>
      <c r="D144" s="74"/>
      <c r="E144" s="73"/>
      <c r="F144" s="74"/>
    </row>
    <row r="145" spans="1:6" ht="15" x14ac:dyDescent="0.25">
      <c r="A145" s="58" t="s">
        <v>2443</v>
      </c>
      <c r="B145" s="68">
        <f>+C12+C21+C23+C29+C61+C63+C69+C72</f>
        <v>4338674488.125083</v>
      </c>
      <c r="C145" s="85"/>
      <c r="D145" s="74"/>
      <c r="E145" s="73"/>
      <c r="F145" s="74"/>
    </row>
    <row r="146" spans="1:6" ht="25.5" x14ac:dyDescent="0.25">
      <c r="A146" s="56" t="s">
        <v>1853</v>
      </c>
      <c r="B146" s="66">
        <f>SUM(B141:B143)+B144+B145</f>
        <v>83267850190.371017</v>
      </c>
      <c r="C146" s="87"/>
      <c r="D146" s="88"/>
      <c r="E146" s="87"/>
      <c r="F146" s="88"/>
    </row>
    <row r="147" spans="1:6" x14ac:dyDescent="0.25">
      <c r="A147" s="1746"/>
      <c r="B147" s="1746"/>
      <c r="C147" s="73"/>
      <c r="D147" s="74"/>
      <c r="E147" s="73"/>
      <c r="F147" s="74"/>
    </row>
    <row r="148" spans="1:6" x14ac:dyDescent="0.25">
      <c r="A148" s="56" t="s">
        <v>1854</v>
      </c>
      <c r="B148" s="66">
        <f>+B133</f>
        <v>9970488812.3899994</v>
      </c>
      <c r="C148" s="87"/>
      <c r="D148" s="88"/>
      <c r="E148" s="87"/>
      <c r="F148" s="88"/>
    </row>
    <row r="149" spans="1:6" x14ac:dyDescent="0.25">
      <c r="A149" s="1747"/>
      <c r="B149" s="1747"/>
      <c r="C149" s="87"/>
      <c r="D149" s="88"/>
      <c r="E149" s="87"/>
      <c r="F149" s="88"/>
    </row>
    <row r="150" spans="1:6" x14ac:dyDescent="0.25">
      <c r="A150" s="58" t="s">
        <v>1958</v>
      </c>
      <c r="B150" s="68">
        <f>+B136+B123</f>
        <v>18468875428.382301</v>
      </c>
      <c r="C150" s="73"/>
      <c r="D150" s="74"/>
      <c r="E150" s="73"/>
      <c r="F150" s="74"/>
    </row>
    <row r="151" spans="1:6" x14ac:dyDescent="0.25">
      <c r="A151" s="58" t="s">
        <v>1859</v>
      </c>
      <c r="B151" s="68">
        <f>+C77+C50</f>
        <v>12428575551.539757</v>
      </c>
      <c r="C151" s="73"/>
      <c r="D151" s="74"/>
      <c r="E151" s="73"/>
      <c r="F151" s="74"/>
    </row>
    <row r="152" spans="1:6" ht="15" x14ac:dyDescent="0.25">
      <c r="A152" s="58" t="s">
        <v>1860</v>
      </c>
      <c r="B152" s="68">
        <f>+B119</f>
        <v>237159579270.09518</v>
      </c>
      <c r="C152" s="85"/>
      <c r="D152" s="74"/>
      <c r="E152" s="73"/>
      <c r="F152" s="74"/>
    </row>
    <row r="153" spans="1:6" x14ac:dyDescent="0.25">
      <c r="A153" s="56" t="s">
        <v>1861</v>
      </c>
      <c r="B153" s="66">
        <f>SUM(B150:B152)</f>
        <v>268057030250.01724</v>
      </c>
      <c r="C153" s="87"/>
      <c r="D153" s="88"/>
      <c r="E153" s="87"/>
      <c r="F153" s="128"/>
    </row>
    <row r="154" spans="1:6" x14ac:dyDescent="0.25">
      <c r="A154" s="1672"/>
      <c r="B154" s="1672"/>
      <c r="C154" s="87"/>
      <c r="D154" s="88"/>
      <c r="E154" s="87"/>
      <c r="F154" s="128"/>
    </row>
    <row r="155" spans="1:6" x14ac:dyDescent="0.25">
      <c r="A155" s="56" t="s">
        <v>1862</v>
      </c>
      <c r="B155" s="93">
        <f>+B153+B146+B148</f>
        <v>361295369252.77826</v>
      </c>
      <c r="C155" s="87"/>
      <c r="E155" s="87"/>
      <c r="F155" s="128"/>
    </row>
    <row r="156" spans="1:6" x14ac:dyDescent="0.25">
      <c r="A156" s="77"/>
      <c r="B156" s="74"/>
      <c r="C156" s="73"/>
      <c r="D156" s="74"/>
      <c r="E156" s="73"/>
      <c r="F156" s="129"/>
    </row>
  </sheetData>
  <mergeCells count="19">
    <mergeCell ref="A138:B138"/>
    <mergeCell ref="A1:D1"/>
    <mergeCell ref="A2:D2"/>
    <mergeCell ref="A3:D3"/>
    <mergeCell ref="A4:D4"/>
    <mergeCell ref="A5:A6"/>
    <mergeCell ref="B5:B6"/>
    <mergeCell ref="C5:C6"/>
    <mergeCell ref="D5:D6"/>
    <mergeCell ref="A121:B121"/>
    <mergeCell ref="A126:B126"/>
    <mergeCell ref="A127:B127"/>
    <mergeCell ref="A131:B131"/>
    <mergeCell ref="A132:B132"/>
    <mergeCell ref="A139:B139"/>
    <mergeCell ref="A140:B140"/>
    <mergeCell ref="A147:B147"/>
    <mergeCell ref="A149:B149"/>
    <mergeCell ref="A154:B154"/>
  </mergeCells>
  <pageMargins left="0.39370078740157483" right="0.23622047244094491" top="0.26" bottom="0.27559055118110237" header="0.31496062992125984" footer="0.17"/>
  <pageSetup paperSize="5" scale="8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C131"/>
  <sheetViews>
    <sheetView workbookViewId="0"/>
  </sheetViews>
  <sheetFormatPr baseColWidth="10" defaultColWidth="11.42578125" defaultRowHeight="15" x14ac:dyDescent="0.25"/>
  <cols>
    <col min="1" max="1" width="9.7109375" style="175" bestFit="1" customWidth="1"/>
    <col min="2" max="2" width="18.7109375" style="197" bestFit="1" customWidth="1"/>
    <col min="3" max="3" width="41.85546875" style="201" customWidth="1"/>
    <col min="4" max="4" width="21.28515625" style="202" bestFit="1" customWidth="1"/>
    <col min="5" max="5" width="16.85546875" style="202" bestFit="1" customWidth="1"/>
    <col min="6" max="7" width="17.85546875" style="202" bestFit="1" customWidth="1"/>
    <col min="8" max="14" width="16.85546875" style="202" bestFit="1" customWidth="1"/>
    <col min="15" max="16" width="17.85546875" style="202" bestFit="1" customWidth="1"/>
    <col min="17" max="17" width="8.5703125" style="199" bestFit="1" customWidth="1"/>
    <col min="18" max="18" width="10.42578125" style="199" bestFit="1" customWidth="1"/>
    <col min="19" max="19" width="9.28515625" style="199" bestFit="1" customWidth="1"/>
    <col min="20" max="20" width="8.140625" style="199" bestFit="1" customWidth="1"/>
    <col min="21" max="21" width="8.28515625" style="199" bestFit="1" customWidth="1"/>
    <col min="22" max="22" width="8.140625" style="199" bestFit="1" customWidth="1"/>
    <col min="23" max="23" width="7.85546875" style="199" bestFit="1" customWidth="1"/>
    <col min="24" max="24" width="10.140625" style="199" bestFit="1" customWidth="1"/>
    <col min="25" max="25" width="13.42578125" style="199" bestFit="1" customWidth="1"/>
    <col min="26" max="26" width="10.85546875" style="199" bestFit="1" customWidth="1"/>
    <col min="27" max="27" width="13.42578125" style="199" bestFit="1" customWidth="1"/>
    <col min="28" max="28" width="12.28515625" style="199" bestFit="1" customWidth="1"/>
    <col min="29" max="29" width="8.28515625" style="199" bestFit="1" customWidth="1"/>
    <col min="30" max="16384" width="11.42578125" style="181"/>
  </cols>
  <sheetData>
    <row r="1" spans="1:29" s="175" customFormat="1" x14ac:dyDescent="0.25">
      <c r="A1" s="170" t="s">
        <v>1481</v>
      </c>
      <c r="B1" s="171" t="s">
        <v>223</v>
      </c>
      <c r="C1" s="172" t="s">
        <v>2444</v>
      </c>
      <c r="D1" s="173" t="s">
        <v>2445</v>
      </c>
      <c r="E1" s="173" t="s">
        <v>2446</v>
      </c>
      <c r="F1" s="173" t="s">
        <v>2447</v>
      </c>
      <c r="G1" s="173" t="s">
        <v>2448</v>
      </c>
      <c r="H1" s="173" t="s">
        <v>2449</v>
      </c>
      <c r="I1" s="173" t="s">
        <v>2450</v>
      </c>
      <c r="J1" s="173" t="s">
        <v>2451</v>
      </c>
      <c r="K1" s="173" t="s">
        <v>2452</v>
      </c>
      <c r="L1" s="173" t="s">
        <v>2453</v>
      </c>
      <c r="M1" s="173" t="s">
        <v>2454</v>
      </c>
      <c r="N1" s="173" t="s">
        <v>2455</v>
      </c>
      <c r="O1" s="173" t="s">
        <v>2456</v>
      </c>
      <c r="P1" s="173" t="s">
        <v>2457</v>
      </c>
      <c r="Q1" s="174" t="s">
        <v>2446</v>
      </c>
      <c r="R1" s="174" t="s">
        <v>2447</v>
      </c>
      <c r="S1" s="174" t="s">
        <v>2448</v>
      </c>
      <c r="T1" s="174" t="s">
        <v>2449</v>
      </c>
      <c r="U1" s="174" t="s">
        <v>2450</v>
      </c>
      <c r="V1" s="174" t="s">
        <v>2451</v>
      </c>
      <c r="W1" s="174" t="s">
        <v>2452</v>
      </c>
      <c r="X1" s="174" t="s">
        <v>2453</v>
      </c>
      <c r="Y1" s="174" t="s">
        <v>2454</v>
      </c>
      <c r="Z1" s="174" t="s">
        <v>2455</v>
      </c>
      <c r="AA1" s="174" t="s">
        <v>2456</v>
      </c>
      <c r="AB1" s="174" t="s">
        <v>2457</v>
      </c>
      <c r="AC1" s="174" t="s">
        <v>1773</v>
      </c>
    </row>
    <row r="2" spans="1:29" x14ac:dyDescent="0.25">
      <c r="A2" s="176">
        <f>+'[9]Promedio 2015'!A6</f>
        <v>2015</v>
      </c>
      <c r="B2" s="177" t="str">
        <f>+'[9]Promedio 2015'!B6</f>
        <v>0307 - 0101010203</v>
      </c>
      <c r="C2" s="178" t="str">
        <f>+'[9]Promedio 2015'!C6</f>
        <v>CIGARRILLO Y TABACO</v>
      </c>
      <c r="D2" s="179">
        <v>8116773000</v>
      </c>
      <c r="E2" s="179">
        <v>272650000</v>
      </c>
      <c r="F2" s="179">
        <v>610203000</v>
      </c>
      <c r="G2" s="179">
        <v>746923000</v>
      </c>
      <c r="H2" s="179">
        <v>577087000</v>
      </c>
      <c r="I2" s="179">
        <v>903725000</v>
      </c>
      <c r="J2" s="179">
        <v>432398000</v>
      </c>
      <c r="K2" s="179">
        <v>842866000</v>
      </c>
      <c r="L2" s="179">
        <v>763476000</v>
      </c>
      <c r="M2" s="179">
        <v>708595000</v>
      </c>
      <c r="N2" s="179">
        <v>661874000</v>
      </c>
      <c r="O2" s="179">
        <v>1072726000</v>
      </c>
      <c r="P2" s="179">
        <v>524250000</v>
      </c>
      <c r="Q2" s="180">
        <v>3.3590935708070188E-2</v>
      </c>
      <c r="R2" s="180">
        <v>7.5178029495219345E-2</v>
      </c>
      <c r="S2" s="180">
        <v>9.2022162009458688E-2</v>
      </c>
      <c r="T2" s="180">
        <v>7.1098082945032462E-2</v>
      </c>
      <c r="U2" s="180">
        <v>0.11134043048881619</v>
      </c>
      <c r="V2" s="180">
        <v>5.327215631138138E-2</v>
      </c>
      <c r="W2" s="180">
        <v>0.10384249996889158</v>
      </c>
      <c r="X2" s="180">
        <v>9.4061519276195105E-2</v>
      </c>
      <c r="Y2" s="180">
        <v>8.7300088347918567E-2</v>
      </c>
      <c r="Z2" s="180">
        <v>8.1543983058291761E-2</v>
      </c>
      <c r="AA2" s="180">
        <v>0.13216163615762078</v>
      </c>
      <c r="AB2" s="180">
        <v>6.4588476233103972E-2</v>
      </c>
      <c r="AC2" s="180">
        <v>1</v>
      </c>
    </row>
    <row r="3" spans="1:29" x14ac:dyDescent="0.25">
      <c r="A3" s="182">
        <f>+'[9]Promedio 2016'!A6</f>
        <v>2016</v>
      </c>
      <c r="B3" s="183" t="str">
        <f>+'[9]Promedio 2016'!B6</f>
        <v>0307 - 0101010203</v>
      </c>
      <c r="C3" s="183" t="str">
        <f>+'[9]Promedio 2016'!C6</f>
        <v>CIGARRILLO Y TABACO</v>
      </c>
      <c r="D3" s="184">
        <v>8807068000</v>
      </c>
      <c r="E3" s="184">
        <v>560720000</v>
      </c>
      <c r="F3" s="184">
        <v>103232000</v>
      </c>
      <c r="G3" s="184">
        <v>1058228000</v>
      </c>
      <c r="H3" s="184">
        <v>725938000</v>
      </c>
      <c r="I3" s="184">
        <v>903722000</v>
      </c>
      <c r="J3" s="184">
        <v>749403000</v>
      </c>
      <c r="K3" s="184">
        <v>629691000</v>
      </c>
      <c r="L3" s="184">
        <v>633360000</v>
      </c>
      <c r="M3" s="184">
        <v>1111408000</v>
      </c>
      <c r="N3" s="184">
        <v>754670000</v>
      </c>
      <c r="O3" s="184">
        <v>920050000</v>
      </c>
      <c r="P3" s="184">
        <v>656646000</v>
      </c>
      <c r="Q3" s="185">
        <v>6.366704560473474E-2</v>
      </c>
      <c r="R3" s="185">
        <v>1.1721494599564805E-2</v>
      </c>
      <c r="S3" s="185">
        <v>0.12015667416216157</v>
      </c>
      <c r="T3" s="185">
        <v>8.2426750877817687E-2</v>
      </c>
      <c r="U3" s="185">
        <v>0.10261326470966274</v>
      </c>
      <c r="V3" s="185">
        <v>8.5091088203247664E-2</v>
      </c>
      <c r="W3" s="185">
        <v>7.1498369264322695E-2</v>
      </c>
      <c r="X3" s="185">
        <v>7.1914966479196027E-2</v>
      </c>
      <c r="Y3" s="185">
        <v>0.12619500610191722</v>
      </c>
      <c r="Z3" s="185">
        <v>8.5689130593745846E-2</v>
      </c>
      <c r="AA3" s="185">
        <v>0.10446723018375695</v>
      </c>
      <c r="AB3" s="185">
        <v>7.4558979219872035E-2</v>
      </c>
      <c r="AC3" s="180">
        <v>1</v>
      </c>
    </row>
    <row r="4" spans="1:29" x14ac:dyDescent="0.25">
      <c r="A4" s="176">
        <f>+'[9]Promedio 2017'!A6</f>
        <v>2017</v>
      </c>
      <c r="B4" s="177" t="str">
        <f>+'[9]Promedio 2017'!B6</f>
        <v>0307 - 0101010203</v>
      </c>
      <c r="C4" s="177" t="str">
        <f>+'[9]Promedio 2017'!C6</f>
        <v>CIGARRILLO Y TABACO</v>
      </c>
      <c r="D4" s="186">
        <v>17783575000</v>
      </c>
      <c r="E4" s="186">
        <v>561321000</v>
      </c>
      <c r="F4" s="186">
        <v>1126429440</v>
      </c>
      <c r="G4" s="186">
        <v>1376448240</v>
      </c>
      <c r="H4" s="186">
        <v>662577320</v>
      </c>
      <c r="I4" s="186">
        <v>1139200440</v>
      </c>
      <c r="J4" s="186">
        <v>1798836120</v>
      </c>
      <c r="K4" s="186">
        <v>1482191520</v>
      </c>
      <c r="L4" s="186">
        <v>1378799160</v>
      </c>
      <c r="M4" s="186">
        <v>2029588800</v>
      </c>
      <c r="N4" s="186">
        <v>2055893560</v>
      </c>
      <c r="O4" s="186">
        <v>1844926160</v>
      </c>
      <c r="P4" s="186">
        <v>2327363240</v>
      </c>
      <c r="Q4" s="180">
        <v>3.1564013422498011E-2</v>
      </c>
      <c r="R4" s="180">
        <v>6.3341000895489233E-2</v>
      </c>
      <c r="S4" s="180">
        <v>7.7399973852276607E-2</v>
      </c>
      <c r="T4" s="180">
        <v>3.7257824706224706E-2</v>
      </c>
      <c r="U4" s="180">
        <v>6.4059135466294034E-2</v>
      </c>
      <c r="V4" s="180">
        <v>0.10115154686276522</v>
      </c>
      <c r="W4" s="180">
        <v>8.3346094359542447E-2</v>
      </c>
      <c r="X4" s="180">
        <v>7.7532169993941039E-2</v>
      </c>
      <c r="Y4" s="180">
        <v>0.11412715384842474</v>
      </c>
      <c r="Z4" s="180">
        <v>0.11560631425346141</v>
      </c>
      <c r="AA4" s="180">
        <v>0.1037432664691998</v>
      </c>
      <c r="AB4" s="180">
        <v>0.13087150586988275</v>
      </c>
      <c r="AC4" s="180">
        <v>1</v>
      </c>
    </row>
    <row r="5" spans="1:29" x14ac:dyDescent="0.25">
      <c r="A5" s="182">
        <f>+'[9]Promedio 2018'!A6</f>
        <v>2018</v>
      </c>
      <c r="B5" s="183" t="str">
        <f>+'[9]Promedio 2018'!B6</f>
        <v>0307 - 0101010203</v>
      </c>
      <c r="C5" s="187" t="str">
        <f>+'[9]Promedio 2018'!C6</f>
        <v>CIGARRILLO Y TABACO</v>
      </c>
      <c r="D5" s="188">
        <v>18477533760</v>
      </c>
      <c r="E5" s="188">
        <v>1203242040</v>
      </c>
      <c r="F5" s="188">
        <v>294768600</v>
      </c>
      <c r="G5" s="188">
        <v>219752400</v>
      </c>
      <c r="H5" s="188">
        <v>2382657480</v>
      </c>
      <c r="I5" s="188">
        <v>602185080</v>
      </c>
      <c r="J5" s="188">
        <v>1810410840</v>
      </c>
      <c r="K5" s="188">
        <v>1425438840</v>
      </c>
      <c r="L5" s="188">
        <v>2042313000</v>
      </c>
      <c r="M5" s="188">
        <v>1644994558</v>
      </c>
      <c r="N5" s="188">
        <v>1964202240</v>
      </c>
      <c r="O5" s="188">
        <v>1697442600</v>
      </c>
      <c r="P5" s="188">
        <v>3190126082</v>
      </c>
      <c r="Q5" s="185">
        <v>6.5119190451962128E-2</v>
      </c>
      <c r="R5" s="185">
        <v>1.5952810793294959E-2</v>
      </c>
      <c r="S5" s="185">
        <v>1.1892950804707392E-2</v>
      </c>
      <c r="T5" s="185">
        <v>0.12894889063376822</v>
      </c>
      <c r="U5" s="185">
        <v>3.2590122027194177E-2</v>
      </c>
      <c r="V5" s="185">
        <v>9.7979030292406302E-2</v>
      </c>
      <c r="W5" s="185">
        <v>7.7144431638695055E-2</v>
      </c>
      <c r="X5" s="185">
        <v>0.11052952339457665</v>
      </c>
      <c r="Y5" s="185">
        <v>8.9026738057492796E-2</v>
      </c>
      <c r="Z5" s="185">
        <v>0.10630218650998151</v>
      </c>
      <c r="AA5" s="185">
        <v>9.1865214375882159E-2</v>
      </c>
      <c r="AB5" s="185">
        <v>0.17264891102003865</v>
      </c>
      <c r="AC5" s="180">
        <v>1</v>
      </c>
    </row>
    <row r="6" spans="1:29" x14ac:dyDescent="0.25">
      <c r="A6" s="176">
        <f>+'[9]Promedio 2019'!A6</f>
        <v>2019</v>
      </c>
      <c r="B6" s="177" t="str">
        <f>+'[9]Promedio 2019'!B6</f>
        <v>0307 - 0101010203</v>
      </c>
      <c r="C6" s="177" t="str">
        <f>+'[9]Promedio 2019'!C6</f>
        <v>CIGARRILLO Y TABACO</v>
      </c>
      <c r="D6" s="186">
        <v>15212004711</v>
      </c>
      <c r="E6" s="186">
        <v>1824611880</v>
      </c>
      <c r="F6" s="186">
        <v>336444360</v>
      </c>
      <c r="G6" s="186">
        <v>899436720</v>
      </c>
      <c r="H6" s="186">
        <v>2050801200</v>
      </c>
      <c r="I6" s="186">
        <v>3308601240</v>
      </c>
      <c r="J6" s="186">
        <v>1881341840</v>
      </c>
      <c r="K6" s="186">
        <v>357820680</v>
      </c>
      <c r="L6" s="186">
        <v>423025680</v>
      </c>
      <c r="M6" s="186">
        <v>740558160</v>
      </c>
      <c r="N6" s="186">
        <v>2701014035</v>
      </c>
      <c r="O6" s="186">
        <v>-1030102084</v>
      </c>
      <c r="P6" s="186">
        <v>1718451000</v>
      </c>
      <c r="Q6" s="180">
        <v>0.11994552425299995</v>
      </c>
      <c r="R6" s="180">
        <v>2.2117029700675327E-2</v>
      </c>
      <c r="S6" s="180">
        <v>5.9126771065854684E-2</v>
      </c>
      <c r="T6" s="180">
        <v>0.13481465717119051</v>
      </c>
      <c r="U6" s="180">
        <v>0.21749935678152316</v>
      </c>
      <c r="V6" s="180">
        <v>0.12367481313226107</v>
      </c>
      <c r="W6" s="180">
        <v>2.3522256717502538E-2</v>
      </c>
      <c r="X6" s="180">
        <v>2.7808674006924584E-2</v>
      </c>
      <c r="Y6" s="180">
        <v>4.8682482951408285E-2</v>
      </c>
      <c r="Z6" s="180">
        <v>0.17755805932973853</v>
      </c>
      <c r="AA6" s="180">
        <v>-6.7716392649755083E-2</v>
      </c>
      <c r="AB6" s="180">
        <v>0.11296676753967645</v>
      </c>
      <c r="AC6" s="180">
        <v>1</v>
      </c>
    </row>
    <row r="7" spans="1:29" x14ac:dyDescent="0.25">
      <c r="A7" s="1837" t="s">
        <v>2458</v>
      </c>
      <c r="B7" s="1838"/>
      <c r="C7" s="1839"/>
      <c r="D7" s="189">
        <v>13679390894.200001</v>
      </c>
      <c r="E7" s="189">
        <v>884508984</v>
      </c>
      <c r="F7" s="189">
        <v>494215480</v>
      </c>
      <c r="G7" s="189">
        <v>860157672</v>
      </c>
      <c r="H7" s="189">
        <v>1279812200</v>
      </c>
      <c r="I7" s="189">
        <v>1371486752</v>
      </c>
      <c r="J7" s="189">
        <v>1334477960</v>
      </c>
      <c r="K7" s="189">
        <v>947601608</v>
      </c>
      <c r="L7" s="189">
        <v>1048194768</v>
      </c>
      <c r="M7" s="189">
        <v>1247028903.5999999</v>
      </c>
      <c r="N7" s="189">
        <v>1627530767</v>
      </c>
      <c r="O7" s="189">
        <v>901008535.20000005</v>
      </c>
      <c r="P7" s="189">
        <v>1683367264.4000001</v>
      </c>
      <c r="Q7" s="190">
        <v>6.2777341888052993E-2</v>
      </c>
      <c r="R7" s="190">
        <v>3.7662073096848735E-2</v>
      </c>
      <c r="S7" s="190">
        <v>7.2119706378891785E-2</v>
      </c>
      <c r="T7" s="190">
        <v>9.0909241266806717E-2</v>
      </c>
      <c r="U7" s="190">
        <v>0.10562046189469805</v>
      </c>
      <c r="V7" s="190">
        <v>9.2233726960412335E-2</v>
      </c>
      <c r="W7" s="190">
        <v>7.187073038979086E-2</v>
      </c>
      <c r="X7" s="190">
        <v>7.6369370630166689E-2</v>
      </c>
      <c r="Y7" s="190">
        <v>9.3066293861432323E-2</v>
      </c>
      <c r="Z7" s="190">
        <v>0.1133399347490438</v>
      </c>
      <c r="AA7" s="190">
        <v>7.2904190907340918E-2</v>
      </c>
      <c r="AB7" s="190">
        <v>0.11112692797651477</v>
      </c>
      <c r="AC7" s="190">
        <v>0.99999999999999989</v>
      </c>
    </row>
    <row r="8" spans="1:29" x14ac:dyDescent="0.25">
      <c r="A8" s="176">
        <f>+'[9]Promedio 2015'!A7</f>
        <v>2015</v>
      </c>
      <c r="B8" s="177" t="str">
        <f>+'[9]Promedio 2015'!B7</f>
        <v>0307 - 0101010204</v>
      </c>
      <c r="C8" s="178" t="str">
        <f>+'[9]Promedio 2015'!C7</f>
        <v>DEGUELLO DE GANADO MAYOR</v>
      </c>
      <c r="D8" s="179">
        <v>610335310</v>
      </c>
      <c r="E8" s="179">
        <v>6983600</v>
      </c>
      <c r="F8" s="179">
        <v>52781600</v>
      </c>
      <c r="G8" s="179">
        <v>46948000</v>
      </c>
      <c r="H8" s="179">
        <v>49259200</v>
      </c>
      <c r="I8" s="179">
        <v>50170400</v>
      </c>
      <c r="J8" s="179">
        <v>52102100</v>
      </c>
      <c r="K8" s="179">
        <v>48633210</v>
      </c>
      <c r="L8" s="179">
        <v>52849600</v>
      </c>
      <c r="M8" s="179">
        <v>50809600</v>
      </c>
      <c r="N8" s="179">
        <v>51217600</v>
      </c>
      <c r="O8" s="179">
        <v>55610800</v>
      </c>
      <c r="P8" s="179">
        <v>92969600</v>
      </c>
      <c r="Q8" s="180">
        <v>1.1442234924930036E-2</v>
      </c>
      <c r="R8" s="180">
        <v>8.6479676229120672E-2</v>
      </c>
      <c r="S8" s="180">
        <v>7.6921651477120018E-2</v>
      </c>
      <c r="T8" s="180">
        <v>8.0708422391619447E-2</v>
      </c>
      <c r="U8" s="180">
        <v>8.2201372226030966E-2</v>
      </c>
      <c r="V8" s="180">
        <v>8.5366353783463716E-2</v>
      </c>
      <c r="W8" s="180">
        <v>7.9682773064530713E-2</v>
      </c>
      <c r="X8" s="180">
        <v>8.6591090395867806E-2</v>
      </c>
      <c r="Y8" s="180">
        <v>8.3248665393453963E-2</v>
      </c>
      <c r="Z8" s="180">
        <v>8.391715039393674E-2</v>
      </c>
      <c r="AA8" s="180">
        <v>9.1115160943252657E-2</v>
      </c>
      <c r="AB8" s="180">
        <v>0.15232544877667326</v>
      </c>
      <c r="AC8" s="180">
        <v>1</v>
      </c>
    </row>
    <row r="9" spans="1:29" x14ac:dyDescent="0.25">
      <c r="A9" s="182">
        <f>+'[9]Promedio 2016'!A7</f>
        <v>2016</v>
      </c>
      <c r="B9" s="183" t="str">
        <f>+'[9]Promedio 2016'!B7</f>
        <v>0307 - 0101010204</v>
      </c>
      <c r="C9" s="183" t="str">
        <f>+'[9]Promedio 2016'!C7</f>
        <v>DEGUELLO DE GANADO MAYOR</v>
      </c>
      <c r="D9" s="184">
        <v>615511700</v>
      </c>
      <c r="E9" s="184">
        <v>9747202</v>
      </c>
      <c r="F9" s="184">
        <v>52208698</v>
      </c>
      <c r="G9" s="184">
        <v>50764700</v>
      </c>
      <c r="H9" s="184">
        <v>51183300</v>
      </c>
      <c r="I9" s="184">
        <v>54519800</v>
      </c>
      <c r="J9" s="184">
        <v>52922200</v>
      </c>
      <c r="K9" s="184">
        <v>53491500</v>
      </c>
      <c r="L9" s="184">
        <v>52494300</v>
      </c>
      <c r="M9" s="184">
        <v>50392200</v>
      </c>
      <c r="N9" s="184">
        <v>49678200</v>
      </c>
      <c r="O9" s="184">
        <v>50004200</v>
      </c>
      <c r="P9" s="184">
        <v>88105400</v>
      </c>
      <c r="Q9" s="185">
        <v>1.5835932931900401E-2</v>
      </c>
      <c r="R9" s="185">
        <v>8.4821617525710727E-2</v>
      </c>
      <c r="S9" s="185">
        <v>8.2475605256569454E-2</v>
      </c>
      <c r="T9" s="185">
        <v>8.3155689810607988E-2</v>
      </c>
      <c r="U9" s="185">
        <v>8.8576382869732614E-2</v>
      </c>
      <c r="V9" s="185">
        <v>8.5980818886139773E-2</v>
      </c>
      <c r="W9" s="185">
        <v>8.6905740378290131E-2</v>
      </c>
      <c r="X9" s="185">
        <v>8.5285624952377029E-2</v>
      </c>
      <c r="Y9" s="185">
        <v>8.1870417735357429E-2</v>
      </c>
      <c r="Z9" s="185">
        <v>8.0710407292014105E-2</v>
      </c>
      <c r="AA9" s="185">
        <v>8.124004791460504E-2</v>
      </c>
      <c r="AB9" s="185">
        <v>0.14314171444669532</v>
      </c>
      <c r="AC9" s="180">
        <v>1</v>
      </c>
    </row>
    <row r="10" spans="1:29" x14ac:dyDescent="0.25">
      <c r="A10" s="176">
        <f>+'[9]Promedio 2017'!A7</f>
        <v>2017</v>
      </c>
      <c r="B10" s="177" t="str">
        <f>+'[9]Promedio 2017'!B7</f>
        <v>0307 - 0101010204</v>
      </c>
      <c r="C10" s="177" t="str">
        <f>+'[9]Promedio 2017'!C7</f>
        <v>DEGUELLO DE GANADO MAYOR</v>
      </c>
      <c r="D10" s="186">
        <v>537403800</v>
      </c>
      <c r="E10" s="186">
        <v>6197400</v>
      </c>
      <c r="F10" s="186">
        <v>44321400</v>
      </c>
      <c r="G10" s="186">
        <v>40170000</v>
      </c>
      <c r="H10" s="186">
        <v>43605000</v>
      </c>
      <c r="I10" s="186">
        <v>39495000</v>
      </c>
      <c r="J10" s="186">
        <v>45990000</v>
      </c>
      <c r="K10" s="186">
        <v>46395000</v>
      </c>
      <c r="L10" s="186">
        <v>46290000</v>
      </c>
      <c r="M10" s="186">
        <v>45405000</v>
      </c>
      <c r="N10" s="186">
        <v>45480000</v>
      </c>
      <c r="O10" s="186">
        <v>44775000</v>
      </c>
      <c r="P10" s="186">
        <v>89280000</v>
      </c>
      <c r="Q10" s="180">
        <v>1.153211049121722E-2</v>
      </c>
      <c r="R10" s="180">
        <v>8.2473179385780304E-2</v>
      </c>
      <c r="S10" s="180">
        <v>7.4748261921482512E-2</v>
      </c>
      <c r="T10" s="180">
        <v>8.1140103586911747E-2</v>
      </c>
      <c r="U10" s="180">
        <v>7.3492223166267148E-2</v>
      </c>
      <c r="V10" s="180">
        <v>8.5578107188672647E-2</v>
      </c>
      <c r="W10" s="180">
        <v>8.6331730441801868E-2</v>
      </c>
      <c r="X10" s="180">
        <v>8.6136346635435027E-2</v>
      </c>
      <c r="Y10" s="180">
        <v>8.4489540267486007E-2</v>
      </c>
      <c r="Z10" s="180">
        <v>8.4629100129176613E-2</v>
      </c>
      <c r="AA10" s="180">
        <v>8.3317237429285013E-2</v>
      </c>
      <c r="AB10" s="180">
        <v>0.1661320593564839</v>
      </c>
      <c r="AC10" s="180">
        <v>0.99999999999999989</v>
      </c>
    </row>
    <row r="11" spans="1:29" x14ac:dyDescent="0.25">
      <c r="A11" s="182">
        <f>+'[9]Promedio 2018'!A7</f>
        <v>2018</v>
      </c>
      <c r="B11" s="183" t="str">
        <f>+'[9]Promedio 2018'!B7</f>
        <v>0307 - 0101010204</v>
      </c>
      <c r="C11" s="187" t="str">
        <f>+'[9]Promedio 2018'!C7</f>
        <v>DEGUELLO DE GANADO MAYOR</v>
      </c>
      <c r="D11" s="188">
        <v>565645500</v>
      </c>
      <c r="E11" s="188">
        <v>3990000</v>
      </c>
      <c r="F11" s="188">
        <v>49101900</v>
      </c>
      <c r="G11" s="188">
        <v>43508400</v>
      </c>
      <c r="H11" s="188">
        <v>55099200</v>
      </c>
      <c r="I11" s="188">
        <v>54069600</v>
      </c>
      <c r="J11" s="188">
        <v>53523600</v>
      </c>
      <c r="K11" s="188">
        <v>54069600</v>
      </c>
      <c r="L11" s="188">
        <v>52026000</v>
      </c>
      <c r="M11" s="188">
        <v>52696800</v>
      </c>
      <c r="N11" s="188">
        <v>48438000</v>
      </c>
      <c r="O11" s="188">
        <v>52322400</v>
      </c>
      <c r="P11" s="188">
        <v>46800000</v>
      </c>
      <c r="Q11" s="185">
        <v>7.0538879916838375E-3</v>
      </c>
      <c r="R11" s="185">
        <v>8.680684280171945E-2</v>
      </c>
      <c r="S11" s="185">
        <v>7.6918140425407788E-2</v>
      </c>
      <c r="T11" s="185">
        <v>9.7409419857490243E-2</v>
      </c>
      <c r="U11" s="185">
        <v>9.5589198535124917E-2</v>
      </c>
      <c r="V11" s="185">
        <v>9.4623929652052394E-2</v>
      </c>
      <c r="W11" s="185">
        <v>9.5589198535124917E-2</v>
      </c>
      <c r="X11" s="185">
        <v>9.1976335001339171E-2</v>
      </c>
      <c r="Y11" s="185">
        <v>9.3162236771971135E-2</v>
      </c>
      <c r="Z11" s="185">
        <v>8.5633139484005444E-2</v>
      </c>
      <c r="AA11" s="185">
        <v>9.250033810929284E-2</v>
      </c>
      <c r="AB11" s="185">
        <v>8.2737332834787861E-2</v>
      </c>
      <c r="AC11" s="180">
        <v>1</v>
      </c>
    </row>
    <row r="12" spans="1:29" x14ac:dyDescent="0.25">
      <c r="A12" s="176">
        <f>+'[9]Promedio 2019'!A7</f>
        <v>2019</v>
      </c>
      <c r="B12" s="177" t="str">
        <f>+'[9]Promedio 2019'!B7</f>
        <v>0307 - 0101010204</v>
      </c>
      <c r="C12" s="177" t="str">
        <f>+'[9]Promedio 2019'!C7</f>
        <v>DEGUELLO DE GANADO MAYOR</v>
      </c>
      <c r="D12" s="186">
        <v>647439300</v>
      </c>
      <c r="E12" s="186">
        <v>3993600</v>
      </c>
      <c r="F12" s="186">
        <v>98718300</v>
      </c>
      <c r="G12" s="186">
        <v>45498600</v>
      </c>
      <c r="H12" s="186">
        <v>49185500</v>
      </c>
      <c r="I12" s="186">
        <v>48895700</v>
      </c>
      <c r="J12" s="186">
        <v>52373300</v>
      </c>
      <c r="K12" s="186">
        <v>49443100</v>
      </c>
      <c r="L12" s="186">
        <v>0</v>
      </c>
      <c r="M12" s="186">
        <v>104279700</v>
      </c>
      <c r="N12" s="186">
        <v>47913600</v>
      </c>
      <c r="O12" s="186">
        <v>50248100</v>
      </c>
      <c r="P12" s="186">
        <v>96889800</v>
      </c>
      <c r="Q12" s="180">
        <v>6.1683002561012286E-3</v>
      </c>
      <c r="R12" s="180">
        <v>0.15247498877500948</v>
      </c>
      <c r="S12" s="180">
        <v>7.0274696021696545E-2</v>
      </c>
      <c r="T12" s="180">
        <v>7.5969283915882146E-2</v>
      </c>
      <c r="U12" s="180">
        <v>7.5521674387081544E-2</v>
      </c>
      <c r="V12" s="180">
        <v>8.0892988732688922E-2</v>
      </c>
      <c r="W12" s="180">
        <v>7.6367159052593808E-2</v>
      </c>
      <c r="X12" s="180">
        <v>0</v>
      </c>
      <c r="Y12" s="180">
        <v>0.16106482878008796</v>
      </c>
      <c r="Z12" s="180">
        <v>7.400477542836835E-2</v>
      </c>
      <c r="AA12" s="180">
        <v>7.7610518854817748E-2</v>
      </c>
      <c r="AB12" s="180">
        <v>0.14965078579567229</v>
      </c>
      <c r="AC12" s="180">
        <v>1</v>
      </c>
    </row>
    <row r="13" spans="1:29" x14ac:dyDescent="0.25">
      <c r="A13" s="1837" t="s">
        <v>2459</v>
      </c>
      <c r="B13" s="1838"/>
      <c r="C13" s="1839"/>
      <c r="D13" s="189">
        <v>595267122</v>
      </c>
      <c r="E13" s="189">
        <v>6182360.4000000004</v>
      </c>
      <c r="F13" s="189">
        <v>59426379.600000001</v>
      </c>
      <c r="G13" s="189">
        <v>45377940</v>
      </c>
      <c r="H13" s="189">
        <v>49666440</v>
      </c>
      <c r="I13" s="189">
        <v>49430100</v>
      </c>
      <c r="J13" s="189">
        <v>51382240</v>
      </c>
      <c r="K13" s="189">
        <v>50406482</v>
      </c>
      <c r="L13" s="189">
        <v>40731980</v>
      </c>
      <c r="M13" s="189">
        <v>60716660</v>
      </c>
      <c r="N13" s="189">
        <v>48545480</v>
      </c>
      <c r="O13" s="189">
        <v>50592100</v>
      </c>
      <c r="P13" s="189">
        <v>82808960</v>
      </c>
      <c r="Q13" s="190">
        <v>1.0406493319166543E-2</v>
      </c>
      <c r="R13" s="190">
        <v>9.8611260943468129E-2</v>
      </c>
      <c r="S13" s="190">
        <v>7.6267671020455258E-2</v>
      </c>
      <c r="T13" s="190">
        <v>8.3676583912502309E-2</v>
      </c>
      <c r="U13" s="190">
        <v>8.3076170236847435E-2</v>
      </c>
      <c r="V13" s="190">
        <v>8.6488439648603491E-2</v>
      </c>
      <c r="W13" s="190">
        <v>8.4975320294468276E-2</v>
      </c>
      <c r="X13" s="190">
        <v>6.9997879397003804E-2</v>
      </c>
      <c r="Y13" s="190">
        <v>0.10076713778967131</v>
      </c>
      <c r="Z13" s="190">
        <v>8.1778914545500264E-2</v>
      </c>
      <c r="AA13" s="190">
        <v>8.5156660650250654E-2</v>
      </c>
      <c r="AB13" s="190">
        <v>0.13879746824206252</v>
      </c>
      <c r="AC13" s="190">
        <v>1</v>
      </c>
    </row>
    <row r="14" spans="1:29" x14ac:dyDescent="0.25">
      <c r="A14" s="176">
        <f>+'[9]Promedio 2015'!A11</f>
        <v>2015</v>
      </c>
      <c r="B14" s="177" t="str">
        <f>+'[9]Promedio 2015'!B11</f>
        <v>0307 - 0101010208</v>
      </c>
      <c r="C14" s="178" t="str">
        <f>+'[9]Promedio 2015'!C11</f>
        <v>ESTAMPILLA PRO-ADULTO MAYOR</v>
      </c>
      <c r="D14" s="179">
        <v>5579890950</v>
      </c>
      <c r="E14" s="179">
        <v>242665250</v>
      </c>
      <c r="F14" s="179">
        <v>66809300</v>
      </c>
      <c r="G14" s="179">
        <v>325941500</v>
      </c>
      <c r="H14" s="179">
        <v>302881600</v>
      </c>
      <c r="I14" s="179">
        <v>235177900</v>
      </c>
      <c r="J14" s="179">
        <v>405740800</v>
      </c>
      <c r="K14" s="179">
        <v>505148600</v>
      </c>
      <c r="L14" s="179">
        <v>367383300</v>
      </c>
      <c r="M14" s="179">
        <v>507643900</v>
      </c>
      <c r="N14" s="179">
        <v>879457600</v>
      </c>
      <c r="O14" s="179">
        <v>628776800</v>
      </c>
      <c r="P14" s="179">
        <v>1112264400</v>
      </c>
      <c r="Q14" s="180">
        <v>4.3489245968149251E-2</v>
      </c>
      <c r="R14" s="180">
        <v>1.1973226824441793E-2</v>
      </c>
      <c r="S14" s="180">
        <v>5.841359677468249E-2</v>
      </c>
      <c r="T14" s="180">
        <v>5.4280917443377631E-2</v>
      </c>
      <c r="U14" s="180">
        <v>4.2147400748037918E-2</v>
      </c>
      <c r="V14" s="180">
        <v>7.2714826084549197E-2</v>
      </c>
      <c r="W14" s="180">
        <v>9.0530192171587157E-2</v>
      </c>
      <c r="X14" s="180">
        <v>6.5840587798584121E-2</v>
      </c>
      <c r="Y14" s="180">
        <v>9.0977387291054493E-2</v>
      </c>
      <c r="Z14" s="180">
        <v>0.1576119691012958</v>
      </c>
      <c r="AA14" s="180">
        <v>0.11268621656485957</v>
      </c>
      <c r="AB14" s="180">
        <v>0.19933443322938058</v>
      </c>
      <c r="AC14" s="180">
        <v>1</v>
      </c>
    </row>
    <row r="15" spans="1:29" x14ac:dyDescent="0.25">
      <c r="A15" s="182">
        <f>+'[9]Promedio 2016'!A11</f>
        <v>2016</v>
      </c>
      <c r="B15" s="183" t="str">
        <f>+'[9]Promedio 2016'!B11</f>
        <v>0307 - 0101010208</v>
      </c>
      <c r="C15" s="183" t="str">
        <f>+'[9]Promedio 2016'!C11</f>
        <v>ESTAMPILLA PRO-ADULTO MAYOR</v>
      </c>
      <c r="D15" s="184">
        <v>3908511362</v>
      </c>
      <c r="E15" s="184">
        <v>253459700</v>
      </c>
      <c r="F15" s="184">
        <v>81415200</v>
      </c>
      <c r="G15" s="184">
        <v>275585500</v>
      </c>
      <c r="H15" s="184">
        <v>316448400</v>
      </c>
      <c r="I15" s="184">
        <v>212440200</v>
      </c>
      <c r="J15" s="184">
        <v>272267100</v>
      </c>
      <c r="K15" s="184">
        <v>304454000</v>
      </c>
      <c r="L15" s="184">
        <v>304999400</v>
      </c>
      <c r="M15" s="184">
        <v>340849762</v>
      </c>
      <c r="N15" s="184">
        <v>233528500</v>
      </c>
      <c r="O15" s="184">
        <v>946531600</v>
      </c>
      <c r="P15" s="184">
        <v>366532000</v>
      </c>
      <c r="Q15" s="185">
        <v>6.4848142048205201E-2</v>
      </c>
      <c r="R15" s="185">
        <v>2.0830232397825124E-2</v>
      </c>
      <c r="S15" s="185">
        <v>7.0509069688102902E-2</v>
      </c>
      <c r="T15" s="185">
        <v>8.0963919684775371E-2</v>
      </c>
      <c r="U15" s="185">
        <v>5.4353225646322174E-2</v>
      </c>
      <c r="V15" s="185">
        <v>6.9660050792504258E-2</v>
      </c>
      <c r="W15" s="185">
        <v>7.7895129833832621E-2</v>
      </c>
      <c r="X15" s="185">
        <v>7.8034671451979773E-2</v>
      </c>
      <c r="Y15" s="185">
        <v>8.7207054152091776E-2</v>
      </c>
      <c r="Z15" s="185">
        <v>5.9748706955402728E-2</v>
      </c>
      <c r="AA15" s="185">
        <v>0.24217189419033855</v>
      </c>
      <c r="AB15" s="185">
        <v>9.3777903158619502E-2</v>
      </c>
      <c r="AC15" s="180">
        <v>1</v>
      </c>
    </row>
    <row r="16" spans="1:29" x14ac:dyDescent="0.25">
      <c r="A16" s="176">
        <f>+'[9]Promedio 2017'!A11</f>
        <v>2017</v>
      </c>
      <c r="B16" s="177" t="str">
        <f>+'[9]Promedio 2017'!B11</f>
        <v>0307 - 0101010208</v>
      </c>
      <c r="C16" s="177" t="str">
        <f>+'[9]Promedio 2017'!C11</f>
        <v>ESTAMPILLA PRO-ADULTO MAYOR</v>
      </c>
      <c r="D16" s="186">
        <v>3579000900</v>
      </c>
      <c r="E16" s="186">
        <v>628805400</v>
      </c>
      <c r="F16" s="186">
        <v>156516900</v>
      </c>
      <c r="G16" s="186">
        <v>195128600</v>
      </c>
      <c r="H16" s="186">
        <v>229161800</v>
      </c>
      <c r="I16" s="186">
        <v>277375600</v>
      </c>
      <c r="J16" s="186">
        <v>313058200</v>
      </c>
      <c r="K16" s="186">
        <v>243817800</v>
      </c>
      <c r="L16" s="186">
        <v>203107900</v>
      </c>
      <c r="M16" s="186">
        <v>313906400</v>
      </c>
      <c r="N16" s="186">
        <v>291161000</v>
      </c>
      <c r="O16" s="186">
        <v>289448900</v>
      </c>
      <c r="P16" s="186">
        <v>437512400</v>
      </c>
      <c r="Q16" s="180">
        <v>0.17569299856839934</v>
      </c>
      <c r="R16" s="180">
        <v>4.3732009120198881E-2</v>
      </c>
      <c r="S16" s="180">
        <v>5.4520410989558565E-2</v>
      </c>
      <c r="T16" s="180">
        <v>6.4029545228669826E-2</v>
      </c>
      <c r="U16" s="180">
        <v>7.7500846674835991E-2</v>
      </c>
      <c r="V16" s="180">
        <v>8.7470835785484161E-2</v>
      </c>
      <c r="W16" s="180">
        <v>6.8124542801875243E-2</v>
      </c>
      <c r="X16" s="180">
        <v>5.6749887936602642E-2</v>
      </c>
      <c r="Y16" s="180">
        <v>8.7707829299512055E-2</v>
      </c>
      <c r="Z16" s="180">
        <v>8.1352592004098126E-2</v>
      </c>
      <c r="AA16" s="180">
        <v>8.0874218276949864E-2</v>
      </c>
      <c r="AB16" s="180">
        <v>0.12224428331381532</v>
      </c>
      <c r="AC16" s="180">
        <v>1</v>
      </c>
    </row>
    <row r="17" spans="1:29" x14ac:dyDescent="0.25">
      <c r="A17" s="182">
        <f>+'[9]Promedio 2018'!A11</f>
        <v>2018</v>
      </c>
      <c r="B17" s="183" t="str">
        <f>+'[9]Promedio 2018'!B11</f>
        <v>0307 - 0101010208</v>
      </c>
      <c r="C17" s="187" t="str">
        <f>+'[9]Promedio 2018'!C11</f>
        <v>ESTAMPILLA PRO-ADULTO MAYOR</v>
      </c>
      <c r="D17" s="188">
        <v>4454135799</v>
      </c>
      <c r="E17" s="188">
        <v>650035600</v>
      </c>
      <c r="F17" s="188">
        <v>92532900</v>
      </c>
      <c r="G17" s="188">
        <v>200509000</v>
      </c>
      <c r="H17" s="188">
        <v>105073100</v>
      </c>
      <c r="I17" s="188">
        <v>354200700</v>
      </c>
      <c r="J17" s="188">
        <v>292406900</v>
      </c>
      <c r="K17" s="188">
        <v>217109300</v>
      </c>
      <c r="L17" s="188">
        <v>179627000</v>
      </c>
      <c r="M17" s="188">
        <v>269866900</v>
      </c>
      <c r="N17" s="188">
        <v>1248843700</v>
      </c>
      <c r="O17" s="188">
        <v>354511199</v>
      </c>
      <c r="P17" s="188">
        <v>489419500</v>
      </c>
      <c r="Q17" s="185">
        <v>0.1459397803151713</v>
      </c>
      <c r="R17" s="185">
        <v>2.0774602341665154E-2</v>
      </c>
      <c r="S17" s="185">
        <v>4.5016364351759632E-2</v>
      </c>
      <c r="T17" s="185">
        <v>2.3590008194988129E-2</v>
      </c>
      <c r="U17" s="185">
        <v>7.9521755955335213E-2</v>
      </c>
      <c r="V17" s="185">
        <v>6.5648402562321601E-2</v>
      </c>
      <c r="W17" s="185">
        <v>4.8743305053416494E-2</v>
      </c>
      <c r="X17" s="185">
        <v>4.0328137287670512E-2</v>
      </c>
      <c r="Y17" s="185">
        <v>6.0587937184265452E-2</v>
      </c>
      <c r="Z17" s="185">
        <v>0.28037845192784161</v>
      </c>
      <c r="AA17" s="185">
        <v>7.9591466223277577E-2</v>
      </c>
      <c r="AB17" s="185">
        <v>0.1098797886022873</v>
      </c>
      <c r="AC17" s="180">
        <v>1</v>
      </c>
    </row>
    <row r="18" spans="1:29" x14ac:dyDescent="0.25">
      <c r="A18" s="176">
        <f>+'[9]Promedio 2019'!A11</f>
        <v>2019</v>
      </c>
      <c r="B18" s="177" t="str">
        <f>+'[9]Promedio 2019'!B11</f>
        <v>0307 - 0101010208</v>
      </c>
      <c r="C18" s="177" t="str">
        <f>+'[9]Promedio 2019'!C11</f>
        <v>ESTAMPILLA PRO-ADULTO MAYOR</v>
      </c>
      <c r="D18" s="186">
        <v>4141927200</v>
      </c>
      <c r="E18" s="186">
        <v>783451900</v>
      </c>
      <c r="F18" s="186">
        <v>74279500</v>
      </c>
      <c r="G18" s="186">
        <v>184062900</v>
      </c>
      <c r="H18" s="186">
        <v>217554200</v>
      </c>
      <c r="I18" s="186">
        <v>320283300</v>
      </c>
      <c r="J18" s="186">
        <v>273529400</v>
      </c>
      <c r="K18" s="186">
        <v>315427600</v>
      </c>
      <c r="L18" s="186">
        <v>326873200</v>
      </c>
      <c r="M18" s="186">
        <v>301575100</v>
      </c>
      <c r="N18" s="186">
        <v>309672200</v>
      </c>
      <c r="O18" s="186">
        <v>349999400</v>
      </c>
      <c r="P18" s="186">
        <v>685218500</v>
      </c>
      <c r="Q18" s="180">
        <v>0.1891515379603968</v>
      </c>
      <c r="R18" s="180">
        <v>1.7933560010422202E-2</v>
      </c>
      <c r="S18" s="180">
        <v>4.4438951027434767E-2</v>
      </c>
      <c r="T18" s="180">
        <v>5.252487296251851E-2</v>
      </c>
      <c r="U18" s="180">
        <v>7.7327119607510236E-2</v>
      </c>
      <c r="V18" s="180">
        <v>6.6039161673338925E-2</v>
      </c>
      <c r="W18" s="180">
        <v>7.615479093886536E-2</v>
      </c>
      <c r="X18" s="180">
        <v>7.8918142259960536E-2</v>
      </c>
      <c r="Y18" s="180">
        <v>7.2810333315370679E-2</v>
      </c>
      <c r="Z18" s="180">
        <v>7.476524454606541E-2</v>
      </c>
      <c r="AA18" s="180">
        <v>8.4501581775749221E-2</v>
      </c>
      <c r="AB18" s="180">
        <v>0.16543470392236734</v>
      </c>
      <c r="AC18" s="180">
        <v>0.99999999999999989</v>
      </c>
    </row>
    <row r="19" spans="1:29" x14ac:dyDescent="0.25">
      <c r="A19" s="1837" t="s">
        <v>1059</v>
      </c>
      <c r="B19" s="1838"/>
      <c r="C19" s="1839"/>
      <c r="D19" s="189">
        <v>4332693242.1999998</v>
      </c>
      <c r="E19" s="189">
        <v>511683570</v>
      </c>
      <c r="F19" s="189">
        <v>94310760</v>
      </c>
      <c r="G19" s="189">
        <v>236245500</v>
      </c>
      <c r="H19" s="189">
        <v>234223820</v>
      </c>
      <c r="I19" s="189">
        <v>279895540</v>
      </c>
      <c r="J19" s="189">
        <v>311400480</v>
      </c>
      <c r="K19" s="189">
        <v>317191460</v>
      </c>
      <c r="L19" s="189">
        <v>276398160</v>
      </c>
      <c r="M19" s="189">
        <v>346768412.39999998</v>
      </c>
      <c r="N19" s="189">
        <v>592532600</v>
      </c>
      <c r="O19" s="189">
        <v>513853579.80000001</v>
      </c>
      <c r="P19" s="189">
        <v>618189360</v>
      </c>
      <c r="Q19" s="191">
        <v>0.12382434097206438</v>
      </c>
      <c r="R19" s="191">
        <v>2.3048726138910632E-2</v>
      </c>
      <c r="S19" s="191">
        <v>5.4579678566307667E-2</v>
      </c>
      <c r="T19" s="191">
        <v>5.5077852702865894E-2</v>
      </c>
      <c r="U19" s="191">
        <v>6.6170069726408307E-2</v>
      </c>
      <c r="V19" s="191">
        <v>7.2306655379639623E-2</v>
      </c>
      <c r="W19" s="191">
        <v>7.2289592159915372E-2</v>
      </c>
      <c r="X19" s="191">
        <v>6.3974285346959509E-2</v>
      </c>
      <c r="Y19" s="191">
        <v>7.9858108248458889E-2</v>
      </c>
      <c r="Z19" s="191">
        <v>0.13077139290694073</v>
      </c>
      <c r="AA19" s="191">
        <v>0.11996507540623495</v>
      </c>
      <c r="AB19" s="191">
        <v>0.138134222445294</v>
      </c>
      <c r="AC19" s="190">
        <v>0.99999999999999978</v>
      </c>
    </row>
    <row r="20" spans="1:29" x14ac:dyDescent="0.25">
      <c r="A20" s="176">
        <f>+'[9]Promedio 2015'!A10</f>
        <v>2015</v>
      </c>
      <c r="B20" s="177" t="str">
        <f>+'[9]Promedio 2015'!B10</f>
        <v>0307 - 0101010207</v>
      </c>
      <c r="C20" s="178" t="str">
        <f>+'[9]Promedio 2015'!C10</f>
        <v>ESTAMPILLA PRO-CULTURA</v>
      </c>
      <c r="D20" s="179">
        <v>2289938416</v>
      </c>
      <c r="E20" s="179">
        <v>108426550</v>
      </c>
      <c r="F20" s="179">
        <v>45609000</v>
      </c>
      <c r="G20" s="179">
        <v>143802900</v>
      </c>
      <c r="H20" s="179">
        <v>131015800</v>
      </c>
      <c r="I20" s="179">
        <v>105936900</v>
      </c>
      <c r="J20" s="179">
        <v>229739300</v>
      </c>
      <c r="K20" s="179">
        <v>143096500</v>
      </c>
      <c r="L20" s="179">
        <v>146607200</v>
      </c>
      <c r="M20" s="179">
        <v>200494200</v>
      </c>
      <c r="N20" s="179">
        <v>327842200</v>
      </c>
      <c r="O20" s="179">
        <v>240539600</v>
      </c>
      <c r="P20" s="179">
        <v>466828266</v>
      </c>
      <c r="Q20" s="180">
        <v>4.7349111767554186E-2</v>
      </c>
      <c r="R20" s="180">
        <v>1.9917129509390265E-2</v>
      </c>
      <c r="S20" s="180">
        <v>6.2797714993222772E-2</v>
      </c>
      <c r="T20" s="180">
        <v>5.7213678361208817E-2</v>
      </c>
      <c r="U20" s="180">
        <v>4.6261899123491539E-2</v>
      </c>
      <c r="V20" s="180">
        <v>0.10032553644010311</v>
      </c>
      <c r="W20" s="180">
        <v>6.2489235081682651E-2</v>
      </c>
      <c r="X20" s="180">
        <v>6.4022333079196664E-2</v>
      </c>
      <c r="Y20" s="180">
        <v>8.7554406965326875E-2</v>
      </c>
      <c r="Z20" s="180">
        <v>0.14316638286398353</v>
      </c>
      <c r="AA20" s="180">
        <v>0.10504195148626215</v>
      </c>
      <c r="AB20" s="180">
        <v>0.20386062032857744</v>
      </c>
      <c r="AC20" s="180">
        <v>1</v>
      </c>
    </row>
    <row r="21" spans="1:29" x14ac:dyDescent="0.25">
      <c r="A21" s="182">
        <f>+'[9]Promedio 2016'!A10</f>
        <v>2016</v>
      </c>
      <c r="B21" s="183" t="str">
        <f>+'[9]Promedio 2016'!B10</f>
        <v>0307 - 0101010207</v>
      </c>
      <c r="C21" s="183" t="str">
        <f>+'[9]Promedio 2016'!C10</f>
        <v>ESTAMPILLA PRO-CULTURA</v>
      </c>
      <c r="D21" s="184">
        <v>1599285121</v>
      </c>
      <c r="E21" s="184">
        <v>110708600</v>
      </c>
      <c r="F21" s="184">
        <v>61323700</v>
      </c>
      <c r="G21" s="184">
        <v>118957000</v>
      </c>
      <c r="H21" s="184">
        <v>140440500</v>
      </c>
      <c r="I21" s="184">
        <v>101542400</v>
      </c>
      <c r="J21" s="184">
        <v>118265600</v>
      </c>
      <c r="K21" s="184">
        <v>127726700</v>
      </c>
      <c r="L21" s="184">
        <v>136073800</v>
      </c>
      <c r="M21" s="184">
        <v>140241521</v>
      </c>
      <c r="N21" s="184">
        <v>106242300</v>
      </c>
      <c r="O21" s="184">
        <v>292941200</v>
      </c>
      <c r="P21" s="184">
        <v>144821800</v>
      </c>
      <c r="Q21" s="185">
        <v>6.9223804152430429E-2</v>
      </c>
      <c r="R21" s="185">
        <v>3.8344444773959728E-2</v>
      </c>
      <c r="S21" s="185">
        <v>7.4381358544509335E-2</v>
      </c>
      <c r="T21" s="185">
        <v>8.7814547985155672E-2</v>
      </c>
      <c r="U21" s="185">
        <v>6.3492368350496278E-2</v>
      </c>
      <c r="V21" s="185">
        <v>7.394904038502588E-2</v>
      </c>
      <c r="W21" s="185">
        <v>7.9864871074480537E-2</v>
      </c>
      <c r="X21" s="185">
        <v>8.5084140540816047E-2</v>
      </c>
      <c r="Y21" s="185">
        <v>8.7690130520510237E-2</v>
      </c>
      <c r="Z21" s="185">
        <v>6.6431118882397208E-2</v>
      </c>
      <c r="AA21" s="185">
        <v>0.18317009028185663</v>
      </c>
      <c r="AB21" s="185">
        <v>9.055408450836204E-2</v>
      </c>
      <c r="AC21" s="180">
        <v>0.99999999999999989</v>
      </c>
    </row>
    <row r="22" spans="1:29" x14ac:dyDescent="0.25">
      <c r="A22" s="176">
        <f>+'[9]Promedio 2017'!A10</f>
        <v>2017</v>
      </c>
      <c r="B22" s="177" t="str">
        <f>+'[9]Promedio 2017'!B10</f>
        <v>0307 - 0101010207</v>
      </c>
      <c r="C22" s="177" t="str">
        <f>+'[9]Promedio 2017'!C10</f>
        <v>ESTAMPILLA PRO-CULTURA</v>
      </c>
      <c r="D22" s="186">
        <v>1479244550</v>
      </c>
      <c r="E22" s="186">
        <v>242968200</v>
      </c>
      <c r="F22" s="186">
        <v>77666200</v>
      </c>
      <c r="G22" s="186">
        <v>90494200</v>
      </c>
      <c r="H22" s="186">
        <v>96964100</v>
      </c>
      <c r="I22" s="186">
        <v>120692050</v>
      </c>
      <c r="J22" s="186">
        <v>186944600</v>
      </c>
      <c r="K22" s="186">
        <v>43812400</v>
      </c>
      <c r="L22" s="186">
        <v>93314800</v>
      </c>
      <c r="M22" s="186">
        <v>125062700</v>
      </c>
      <c r="N22" s="186">
        <v>117355100</v>
      </c>
      <c r="O22" s="186">
        <v>117102200</v>
      </c>
      <c r="P22" s="186">
        <v>166868000</v>
      </c>
      <c r="Q22" s="180">
        <v>0.16425154312719961</v>
      </c>
      <c r="R22" s="180">
        <v>5.2503962242078227E-2</v>
      </c>
      <c r="S22" s="180">
        <v>6.1175956335279384E-2</v>
      </c>
      <c r="T22" s="180">
        <v>6.5549742941422365E-2</v>
      </c>
      <c r="U22" s="180">
        <v>8.1590329333983344E-2</v>
      </c>
      <c r="V22" s="180">
        <v>0.12637842742094266</v>
      </c>
      <c r="W22" s="180">
        <v>2.9618091207434229E-2</v>
      </c>
      <c r="X22" s="180">
        <v>6.3082740443424309E-2</v>
      </c>
      <c r="Y22" s="180">
        <v>8.4544979395056757E-2</v>
      </c>
      <c r="Z22" s="180">
        <v>7.9334481915109986E-2</v>
      </c>
      <c r="AA22" s="180">
        <v>7.9163516269165901E-2</v>
      </c>
      <c r="AB22" s="180">
        <v>0.11280622936890321</v>
      </c>
      <c r="AC22" s="180">
        <v>1</v>
      </c>
    </row>
    <row r="23" spans="1:29" x14ac:dyDescent="0.25">
      <c r="A23" s="182">
        <f>+'[9]Promedio 2018'!A10</f>
        <v>2018</v>
      </c>
      <c r="B23" s="183" t="str">
        <f>+'[9]Promedio 2018'!B10</f>
        <v>0307 - 0101010207</v>
      </c>
      <c r="C23" s="187" t="str">
        <f>+'[9]Promedio 2018'!C10</f>
        <v>ESTAMPILLA PRO-CULTURA</v>
      </c>
      <c r="D23" s="188">
        <v>1829394900</v>
      </c>
      <c r="E23" s="188">
        <v>256356800</v>
      </c>
      <c r="F23" s="188">
        <v>66955000</v>
      </c>
      <c r="G23" s="188">
        <v>79221900</v>
      </c>
      <c r="H23" s="188">
        <v>63059400</v>
      </c>
      <c r="I23" s="188">
        <v>151775100</v>
      </c>
      <c r="J23" s="188">
        <v>114697900</v>
      </c>
      <c r="K23" s="188">
        <v>101238200</v>
      </c>
      <c r="L23" s="188">
        <v>99229700</v>
      </c>
      <c r="M23" s="188">
        <v>102554600</v>
      </c>
      <c r="N23" s="188">
        <v>462107900</v>
      </c>
      <c r="O23" s="188">
        <v>143068500</v>
      </c>
      <c r="P23" s="188">
        <v>189129900</v>
      </c>
      <c r="Q23" s="185">
        <v>0.1401320185160678</v>
      </c>
      <c r="R23" s="185">
        <v>3.6599533539751317E-2</v>
      </c>
      <c r="S23" s="185">
        <v>4.3304974776085796E-2</v>
      </c>
      <c r="T23" s="185">
        <v>3.4470086256390024E-2</v>
      </c>
      <c r="U23" s="185">
        <v>8.2964645850931371E-2</v>
      </c>
      <c r="V23" s="185">
        <v>6.2697179269495071E-2</v>
      </c>
      <c r="W23" s="185">
        <v>5.5339719160690783E-2</v>
      </c>
      <c r="X23" s="185">
        <v>5.4241815148823251E-2</v>
      </c>
      <c r="Y23" s="185">
        <v>5.6059301356967815E-2</v>
      </c>
      <c r="Z23" s="185">
        <v>0.25260150227815764</v>
      </c>
      <c r="AA23" s="185">
        <v>7.8205367250121879E-2</v>
      </c>
      <c r="AB23" s="185">
        <v>0.10338385659651725</v>
      </c>
      <c r="AC23" s="180">
        <v>0.99999999999999989</v>
      </c>
    </row>
    <row r="24" spans="1:29" x14ac:dyDescent="0.25">
      <c r="A24" s="176">
        <f>+'[9]Promedio 2019'!A10</f>
        <v>2019</v>
      </c>
      <c r="B24" s="177" t="str">
        <f>+'[9]Promedio 2019'!B10</f>
        <v>0307 - 0101010207</v>
      </c>
      <c r="C24" s="177" t="str">
        <f>+'[9]Promedio 2019'!C10</f>
        <v>ESTAMPILLA PRO-CULTURA</v>
      </c>
      <c r="D24" s="186">
        <v>1746077600</v>
      </c>
      <c r="E24" s="186">
        <v>293413100</v>
      </c>
      <c r="F24" s="186">
        <v>54516600</v>
      </c>
      <c r="G24" s="186">
        <v>93512100</v>
      </c>
      <c r="H24" s="186">
        <v>100286600</v>
      </c>
      <c r="I24" s="186">
        <v>145217000</v>
      </c>
      <c r="J24" s="186">
        <v>116256300</v>
      </c>
      <c r="K24" s="186">
        <v>135253800</v>
      </c>
      <c r="L24" s="186">
        <v>135488100</v>
      </c>
      <c r="M24" s="186">
        <v>134886600</v>
      </c>
      <c r="N24" s="186">
        <v>128943300</v>
      </c>
      <c r="O24" s="186">
        <v>142198300</v>
      </c>
      <c r="P24" s="186">
        <v>266105800</v>
      </c>
      <c r="Q24" s="180">
        <v>0.16804127147613598</v>
      </c>
      <c r="R24" s="180">
        <v>3.1222323681375903E-2</v>
      </c>
      <c r="S24" s="180">
        <v>5.3555523534578306E-2</v>
      </c>
      <c r="T24" s="180">
        <v>5.743536255204236E-2</v>
      </c>
      <c r="U24" s="180">
        <v>8.316755223250101E-2</v>
      </c>
      <c r="V24" s="180">
        <v>6.658140508760893E-2</v>
      </c>
      <c r="W24" s="180">
        <v>7.7461505720020696E-2</v>
      </c>
      <c r="X24" s="180">
        <v>7.7595692196039859E-2</v>
      </c>
      <c r="Y24" s="180">
        <v>7.7251205788333804E-2</v>
      </c>
      <c r="Z24" s="180">
        <v>7.3847405178326553E-2</v>
      </c>
      <c r="AA24" s="180">
        <v>8.1438705816969423E-2</v>
      </c>
      <c r="AB24" s="180">
        <v>0.15240204673606716</v>
      </c>
      <c r="AC24" s="180">
        <v>1</v>
      </c>
    </row>
    <row r="25" spans="1:29" x14ac:dyDescent="0.25">
      <c r="A25" s="1837" t="s">
        <v>1053</v>
      </c>
      <c r="B25" s="1838"/>
      <c r="C25" s="1839"/>
      <c r="D25" s="189">
        <v>1788788117.4000001</v>
      </c>
      <c r="E25" s="189">
        <v>202374650</v>
      </c>
      <c r="F25" s="189">
        <v>61214100</v>
      </c>
      <c r="G25" s="189">
        <v>105197620</v>
      </c>
      <c r="H25" s="189">
        <v>106353280</v>
      </c>
      <c r="I25" s="189">
        <v>125032690</v>
      </c>
      <c r="J25" s="189">
        <v>153180740</v>
      </c>
      <c r="K25" s="189">
        <v>110225520</v>
      </c>
      <c r="L25" s="189">
        <v>122142720</v>
      </c>
      <c r="M25" s="189">
        <v>140647924.19999999</v>
      </c>
      <c r="N25" s="189">
        <v>228498160</v>
      </c>
      <c r="O25" s="189">
        <v>187169960</v>
      </c>
      <c r="P25" s="189">
        <v>246750753.19999999</v>
      </c>
      <c r="Q25" s="191">
        <v>0.11779954980787762</v>
      </c>
      <c r="R25" s="191">
        <v>3.5717478749311089E-2</v>
      </c>
      <c r="S25" s="191">
        <v>5.9043105636735128E-2</v>
      </c>
      <c r="T25" s="191">
        <v>6.0496683619243839E-2</v>
      </c>
      <c r="U25" s="191">
        <v>7.1495358978280715E-2</v>
      </c>
      <c r="V25" s="191">
        <v>8.5986317720635141E-2</v>
      </c>
      <c r="W25" s="191">
        <v>6.0954684448861776E-2</v>
      </c>
      <c r="X25" s="191">
        <v>6.8805344281660033E-2</v>
      </c>
      <c r="Y25" s="191">
        <v>7.8620004805239091E-2</v>
      </c>
      <c r="Z25" s="191">
        <v>0.12307617822359498</v>
      </c>
      <c r="AA25" s="191">
        <v>0.1054039262208752</v>
      </c>
      <c r="AB25" s="191">
        <v>0.13260136750768542</v>
      </c>
      <c r="AC25" s="191">
        <v>1</v>
      </c>
    </row>
    <row r="26" spans="1:29" x14ac:dyDescent="0.25">
      <c r="A26" s="176">
        <f>+'[9]Promedio 2015'!A9</f>
        <v>2015</v>
      </c>
      <c r="B26" s="177" t="str">
        <f>+'[9]Promedio 2015'!B9</f>
        <v>0307 - 0101010206</v>
      </c>
      <c r="C26" s="178" t="str">
        <f>+'[9]Promedio 2015'!C9</f>
        <v>ESTAMPILLA PRO-DESARROLLO</v>
      </c>
      <c r="D26" s="179">
        <v>11403197500</v>
      </c>
      <c r="E26" s="179">
        <v>674456900</v>
      </c>
      <c r="F26" s="179">
        <v>483047300</v>
      </c>
      <c r="G26" s="179">
        <v>880371600</v>
      </c>
      <c r="H26" s="179">
        <v>752486100</v>
      </c>
      <c r="I26" s="179">
        <v>642937000</v>
      </c>
      <c r="J26" s="179">
        <v>937009800</v>
      </c>
      <c r="K26" s="179">
        <v>1018925600</v>
      </c>
      <c r="L26" s="179">
        <v>833601900</v>
      </c>
      <c r="M26" s="179">
        <v>881744360</v>
      </c>
      <c r="N26" s="179">
        <v>1258658300</v>
      </c>
      <c r="O26" s="179">
        <v>1224287200</v>
      </c>
      <c r="P26" s="179">
        <v>1815671440</v>
      </c>
      <c r="Q26" s="180">
        <v>5.9146296466407774E-2</v>
      </c>
      <c r="R26" s="180">
        <v>4.2360688745415487E-2</v>
      </c>
      <c r="S26" s="180">
        <v>7.7203924600972668E-2</v>
      </c>
      <c r="T26" s="180">
        <v>6.5989043862478045E-2</v>
      </c>
      <c r="U26" s="180">
        <v>5.6382168247107886E-2</v>
      </c>
      <c r="V26" s="180">
        <v>8.2170794638959821E-2</v>
      </c>
      <c r="W26" s="180">
        <v>8.9354376261570501E-2</v>
      </c>
      <c r="X26" s="180">
        <v>7.3102469723952429E-2</v>
      </c>
      <c r="Y26" s="180">
        <v>7.7324308379294493E-2</v>
      </c>
      <c r="Z26" s="180">
        <v>0.11037766380876943</v>
      </c>
      <c r="AA26" s="180">
        <v>0.10736350045677978</v>
      </c>
      <c r="AB26" s="180">
        <v>0.1592247648082917</v>
      </c>
      <c r="AC26" s="180">
        <v>1</v>
      </c>
    </row>
    <row r="27" spans="1:29" x14ac:dyDescent="0.25">
      <c r="A27" s="182">
        <f>+'[9]Promedio 2016'!A9</f>
        <v>2016</v>
      </c>
      <c r="B27" s="183" t="str">
        <f>+'[9]Promedio 2016'!B9</f>
        <v>0307 - 0101010206</v>
      </c>
      <c r="C27" s="183" t="str">
        <f>+'[9]Promedio 2016'!C9</f>
        <v>ESTAMPILLA PRO-DESARROLLO</v>
      </c>
      <c r="D27" s="184">
        <v>10458539226</v>
      </c>
      <c r="E27" s="184">
        <v>1025079700</v>
      </c>
      <c r="F27" s="184">
        <v>450319600</v>
      </c>
      <c r="G27" s="184">
        <v>1093029500</v>
      </c>
      <c r="H27" s="184">
        <v>819647500</v>
      </c>
      <c r="I27" s="184">
        <v>664538300</v>
      </c>
      <c r="J27" s="184">
        <v>854638000</v>
      </c>
      <c r="K27" s="184">
        <v>740688700</v>
      </c>
      <c r="L27" s="184">
        <v>859071200</v>
      </c>
      <c r="M27" s="184">
        <v>775312226</v>
      </c>
      <c r="N27" s="184">
        <v>869798520</v>
      </c>
      <c r="O27" s="184">
        <v>1226822200</v>
      </c>
      <c r="P27" s="184">
        <v>1079593780</v>
      </c>
      <c r="Q27" s="185">
        <v>9.8013659254788166E-2</v>
      </c>
      <c r="R27" s="185">
        <v>4.305760013602114E-2</v>
      </c>
      <c r="S27" s="185">
        <v>0.10451072337929576</v>
      </c>
      <c r="T27" s="185">
        <v>7.8371126434402111E-2</v>
      </c>
      <c r="U27" s="185">
        <v>6.354025984316751E-2</v>
      </c>
      <c r="V27" s="185">
        <v>8.1716765748257092E-2</v>
      </c>
      <c r="W27" s="185">
        <v>7.0821429646565057E-2</v>
      </c>
      <c r="X27" s="185">
        <v>8.2140649036754873E-2</v>
      </c>
      <c r="Y27" s="185">
        <v>7.4131980503794312E-2</v>
      </c>
      <c r="Z27" s="185">
        <v>8.3166348684496488E-2</v>
      </c>
      <c r="AA27" s="185">
        <v>0.11730339902059282</v>
      </c>
      <c r="AB27" s="185">
        <v>0.10322605831186467</v>
      </c>
      <c r="AC27" s="180">
        <v>1</v>
      </c>
    </row>
    <row r="28" spans="1:29" x14ac:dyDescent="0.25">
      <c r="A28" s="176">
        <f>+'[9]Promedio 2017'!A9</f>
        <v>2017</v>
      </c>
      <c r="B28" s="177" t="str">
        <f>+'[9]Promedio 2017'!B9</f>
        <v>0307 - 0101010206</v>
      </c>
      <c r="C28" s="177" t="str">
        <f>+'[9]Promedio 2017'!C9</f>
        <v>ESTAMPILLA PRO-DESARROLLO</v>
      </c>
      <c r="D28" s="186">
        <v>10153842971.08</v>
      </c>
      <c r="E28" s="186">
        <v>1161101000</v>
      </c>
      <c r="F28" s="186">
        <v>683081400</v>
      </c>
      <c r="G28" s="186">
        <v>837700304</v>
      </c>
      <c r="H28" s="186">
        <v>703144481.25</v>
      </c>
      <c r="I28" s="186">
        <v>829408900</v>
      </c>
      <c r="J28" s="186">
        <v>785410660</v>
      </c>
      <c r="K28" s="186">
        <v>798742518.75</v>
      </c>
      <c r="L28" s="186">
        <v>716632050</v>
      </c>
      <c r="M28" s="186">
        <v>821348400</v>
      </c>
      <c r="N28" s="186">
        <v>806623114</v>
      </c>
      <c r="O28" s="186">
        <v>823659693.08000004</v>
      </c>
      <c r="P28" s="186">
        <v>1186990450</v>
      </c>
      <c r="Q28" s="180">
        <v>0.11435089190437825</v>
      </c>
      <c r="R28" s="180">
        <v>6.7273189268884759E-2</v>
      </c>
      <c r="S28" s="180">
        <v>8.2500813375381468E-2</v>
      </c>
      <c r="T28" s="180">
        <v>6.9249099405287631E-2</v>
      </c>
      <c r="U28" s="180">
        <v>8.1684235452754994E-2</v>
      </c>
      <c r="V28" s="180">
        <v>7.7351074094507186E-2</v>
      </c>
      <c r="W28" s="180">
        <v>7.8664060595083518E-2</v>
      </c>
      <c r="X28" s="180">
        <v>7.0577420986428385E-2</v>
      </c>
      <c r="Y28" s="180">
        <v>8.0890398082711173E-2</v>
      </c>
      <c r="Z28" s="180">
        <v>7.9440180067528135E-2</v>
      </c>
      <c r="AA28" s="180">
        <v>8.1118025502849841E-2</v>
      </c>
      <c r="AB28" s="180">
        <v>0.11690061126420466</v>
      </c>
      <c r="AC28" s="180">
        <v>1</v>
      </c>
    </row>
    <row r="29" spans="1:29" x14ac:dyDescent="0.25">
      <c r="A29" s="182">
        <f>+'[9]Promedio 2018'!A9</f>
        <v>2018</v>
      </c>
      <c r="B29" s="183" t="str">
        <f>+'[9]Promedio 2018'!B9</f>
        <v>0307 - 0101010206</v>
      </c>
      <c r="C29" s="187" t="str">
        <f>+'[9]Promedio 2018'!C9</f>
        <v>ESTAMPILLA PRO-DESARROLLO</v>
      </c>
      <c r="D29" s="188">
        <v>10604713000.049999</v>
      </c>
      <c r="E29" s="188">
        <v>1149968900</v>
      </c>
      <c r="F29" s="188">
        <v>755298200</v>
      </c>
      <c r="G29" s="188">
        <v>634126200</v>
      </c>
      <c r="H29" s="188">
        <v>738510000</v>
      </c>
      <c r="I29" s="188">
        <v>745073600</v>
      </c>
      <c r="J29" s="188">
        <v>783230900</v>
      </c>
      <c r="K29" s="188">
        <v>695276800</v>
      </c>
      <c r="L29" s="188">
        <v>679893900</v>
      </c>
      <c r="M29" s="188">
        <v>856943200</v>
      </c>
      <c r="N29" s="188">
        <v>1509593200</v>
      </c>
      <c r="O29" s="188">
        <v>832767500</v>
      </c>
      <c r="P29" s="188">
        <v>1224030600.05</v>
      </c>
      <c r="Q29" s="185">
        <v>0.10843941745472774</v>
      </c>
      <c r="R29" s="185">
        <v>7.1222879864494104E-2</v>
      </c>
      <c r="S29" s="185">
        <v>5.9796639475015519E-2</v>
      </c>
      <c r="T29" s="185">
        <v>6.9639791288695699E-2</v>
      </c>
      <c r="U29" s="185">
        <v>7.0258723644523624E-2</v>
      </c>
      <c r="V29" s="185">
        <v>7.3856869110583867E-2</v>
      </c>
      <c r="W29" s="185">
        <v>6.5563000148775544E-2</v>
      </c>
      <c r="X29" s="185">
        <v>6.4112428124815296E-2</v>
      </c>
      <c r="Y29" s="185">
        <v>8.0807769149052841E-2</v>
      </c>
      <c r="Z29" s="185">
        <v>0.14235116028061132</v>
      </c>
      <c r="AA29" s="185">
        <v>7.8528056345897684E-2</v>
      </c>
      <c r="AB29" s="185">
        <v>0.11542326511280682</v>
      </c>
      <c r="AC29" s="180">
        <v>1</v>
      </c>
    </row>
    <row r="30" spans="1:29" x14ac:dyDescent="0.25">
      <c r="A30" s="176">
        <f>+'[9]Promedio 2019'!A9</f>
        <v>2019</v>
      </c>
      <c r="B30" s="177" t="str">
        <f>+'[9]Promedio 2019'!B9</f>
        <v>0307 - 0101010206</v>
      </c>
      <c r="C30" s="177" t="str">
        <f>+'[9]Promedio 2019'!C9</f>
        <v>ESTAMPILLA PRO-DESARROLLO</v>
      </c>
      <c r="D30" s="186">
        <v>9996886200</v>
      </c>
      <c r="E30" s="186">
        <v>1143660100</v>
      </c>
      <c r="F30" s="186">
        <v>464238700</v>
      </c>
      <c r="G30" s="186">
        <v>964757600</v>
      </c>
      <c r="H30" s="186">
        <v>625605800</v>
      </c>
      <c r="I30" s="186">
        <v>913741400</v>
      </c>
      <c r="J30" s="186">
        <v>732641500</v>
      </c>
      <c r="K30" s="186">
        <v>873621700</v>
      </c>
      <c r="L30" s="186">
        <v>893126000</v>
      </c>
      <c r="M30" s="186">
        <v>890057700</v>
      </c>
      <c r="N30" s="186">
        <v>783115200</v>
      </c>
      <c r="O30" s="186">
        <v>679810400</v>
      </c>
      <c r="P30" s="186">
        <v>1032510100</v>
      </c>
      <c r="Q30" s="180">
        <v>0.11440163238029058</v>
      </c>
      <c r="R30" s="180">
        <v>4.643832996718518E-2</v>
      </c>
      <c r="S30" s="180">
        <v>9.650580997911129E-2</v>
      </c>
      <c r="T30" s="180">
        <v>6.2580066181007449E-2</v>
      </c>
      <c r="U30" s="180">
        <v>9.1402600941881282E-2</v>
      </c>
      <c r="V30" s="180">
        <v>7.3286970096748727E-2</v>
      </c>
      <c r="W30" s="180">
        <v>8.738938130555092E-2</v>
      </c>
      <c r="X30" s="180">
        <v>8.934041881961205E-2</v>
      </c>
      <c r="Y30" s="180">
        <v>8.9033493249127918E-2</v>
      </c>
      <c r="Z30" s="180">
        <v>7.8335912236352154E-2</v>
      </c>
      <c r="AA30" s="180">
        <v>6.800221452956022E-2</v>
      </c>
      <c r="AB30" s="180">
        <v>0.10328317031357225</v>
      </c>
      <c r="AC30" s="180">
        <v>1</v>
      </c>
    </row>
    <row r="31" spans="1:29" x14ac:dyDescent="0.25">
      <c r="A31" s="1837" t="s">
        <v>2460</v>
      </c>
      <c r="B31" s="1838"/>
      <c r="C31" s="1839"/>
      <c r="D31" s="189">
        <v>10523435779.426001</v>
      </c>
      <c r="E31" s="189">
        <v>1030853320</v>
      </c>
      <c r="F31" s="189">
        <v>567197040</v>
      </c>
      <c r="G31" s="189">
        <v>881997040.79999995</v>
      </c>
      <c r="H31" s="189">
        <v>727878776.25</v>
      </c>
      <c r="I31" s="189">
        <v>759139840</v>
      </c>
      <c r="J31" s="189">
        <v>818586172</v>
      </c>
      <c r="K31" s="189">
        <v>825451063.75</v>
      </c>
      <c r="L31" s="189">
        <v>796465010</v>
      </c>
      <c r="M31" s="189">
        <v>845081177.20000005</v>
      </c>
      <c r="N31" s="189">
        <v>1045557666.8</v>
      </c>
      <c r="O31" s="189">
        <v>957469398.61599994</v>
      </c>
      <c r="P31" s="189">
        <v>1267759274.01</v>
      </c>
      <c r="Q31" s="191">
        <v>9.8870379492118493E-2</v>
      </c>
      <c r="R31" s="191">
        <v>5.4070537596400139E-2</v>
      </c>
      <c r="S31" s="191">
        <v>8.4103582161955334E-2</v>
      </c>
      <c r="T31" s="191">
        <v>6.9165825434374176E-2</v>
      </c>
      <c r="U31" s="191">
        <v>7.2653597625887065E-2</v>
      </c>
      <c r="V31" s="191">
        <v>7.7676494737811339E-2</v>
      </c>
      <c r="W31" s="191">
        <v>7.8358449591509102E-2</v>
      </c>
      <c r="X31" s="191">
        <v>7.5854677338312609E-2</v>
      </c>
      <c r="Y31" s="191">
        <v>8.0437589872796145E-2</v>
      </c>
      <c r="Z31" s="191">
        <v>9.8734253015551499E-2</v>
      </c>
      <c r="AA31" s="191">
        <v>9.0463039171136073E-2</v>
      </c>
      <c r="AB31" s="191">
        <v>0.11961157396214801</v>
      </c>
      <c r="AC31" s="190">
        <v>1</v>
      </c>
    </row>
    <row r="32" spans="1:29" x14ac:dyDescent="0.25">
      <c r="A32" s="192">
        <f>+'[9]Promedio 2015'!A16</f>
        <v>2015</v>
      </c>
      <c r="B32" s="193" t="str">
        <f>+'[9]Promedio 2015'!B16</f>
        <v>0307 - 010201</v>
      </c>
      <c r="C32" s="194" t="str">
        <f>+'[9]Promedio 2015'!C16</f>
        <v>FONDO DE SEGURIDAD</v>
      </c>
      <c r="D32" s="195">
        <v>3812635261.7299995</v>
      </c>
      <c r="E32" s="195">
        <v>67500177</v>
      </c>
      <c r="F32" s="195">
        <v>51399324</v>
      </c>
      <c r="G32" s="195">
        <v>360922996</v>
      </c>
      <c r="H32" s="195">
        <v>154805381.75</v>
      </c>
      <c r="I32" s="195">
        <v>175854651</v>
      </c>
      <c r="J32" s="195">
        <v>359487824</v>
      </c>
      <c r="K32" s="195">
        <v>377502405.30000001</v>
      </c>
      <c r="L32" s="195">
        <v>174995606.52000001</v>
      </c>
      <c r="M32" s="195">
        <v>488172096</v>
      </c>
      <c r="N32" s="195">
        <v>644330233</v>
      </c>
      <c r="O32" s="195">
        <v>322881167</v>
      </c>
      <c r="P32" s="195">
        <v>634783400.15999997</v>
      </c>
      <c r="Q32" s="196">
        <v>1.7704336335957693E-2</v>
      </c>
      <c r="R32" s="196">
        <v>1.3481311605106789E-2</v>
      </c>
      <c r="S32" s="196">
        <v>9.4664968249868642E-2</v>
      </c>
      <c r="T32" s="196">
        <v>4.0603249753231416E-2</v>
      </c>
      <c r="U32" s="196">
        <v>4.6124173682484698E-2</v>
      </c>
      <c r="V32" s="196">
        <v>9.4288543047488071E-2</v>
      </c>
      <c r="W32" s="196">
        <v>9.9013511491447173E-2</v>
      </c>
      <c r="X32" s="196">
        <v>4.5898858534030085E-2</v>
      </c>
      <c r="Y32" s="196">
        <v>0.12804059724781799</v>
      </c>
      <c r="Z32" s="196">
        <v>0.16899865546216253</v>
      </c>
      <c r="AA32" s="196">
        <v>8.4687137592461784E-2</v>
      </c>
      <c r="AB32" s="196">
        <v>0.16649465699794327</v>
      </c>
      <c r="AC32" s="180">
        <v>1.0000000000000002</v>
      </c>
    </row>
    <row r="33" spans="1:29" x14ac:dyDescent="0.25">
      <c r="A33" s="175">
        <f>+'[9]Promedio 2016'!A16</f>
        <v>2016</v>
      </c>
      <c r="B33" s="197" t="str">
        <f>+'[9]Promedio 2016'!B16</f>
        <v>0307 - 010201</v>
      </c>
      <c r="C33" s="197" t="str">
        <f>+'[9]Promedio 2016'!C16</f>
        <v>FONDO DE SEGURIDAD</v>
      </c>
      <c r="D33" s="198">
        <v>3551445354.8699999</v>
      </c>
      <c r="E33" s="198">
        <v>31474800</v>
      </c>
      <c r="F33" s="198">
        <v>52277708</v>
      </c>
      <c r="G33" s="198">
        <v>195807185</v>
      </c>
      <c r="H33" s="198">
        <v>162212984</v>
      </c>
      <c r="I33" s="198">
        <v>341289069</v>
      </c>
      <c r="J33" s="198">
        <v>159304268</v>
      </c>
      <c r="K33" s="198">
        <v>171053082.84999999</v>
      </c>
      <c r="L33" s="198">
        <v>238164289</v>
      </c>
      <c r="M33" s="198">
        <v>173288854</v>
      </c>
      <c r="N33" s="198">
        <v>97214999.560000002</v>
      </c>
      <c r="O33" s="198">
        <v>683712250</v>
      </c>
      <c r="P33" s="198">
        <v>1245645865.46</v>
      </c>
      <c r="Q33" s="199">
        <v>8.8625325339271987E-3</v>
      </c>
      <c r="R33" s="199">
        <v>1.4720121746576505E-2</v>
      </c>
      <c r="S33" s="199">
        <v>5.5134505936152156E-2</v>
      </c>
      <c r="T33" s="199">
        <v>4.5675202006856666E-2</v>
      </c>
      <c r="U33" s="199">
        <v>9.6098640102120575E-2</v>
      </c>
      <c r="V33" s="199">
        <v>4.4856178846043746E-2</v>
      </c>
      <c r="W33" s="199">
        <v>4.8164357256810827E-2</v>
      </c>
      <c r="X33" s="199">
        <v>6.7061228655373173E-2</v>
      </c>
      <c r="Y33" s="199">
        <v>4.8793895635300635E-2</v>
      </c>
      <c r="Z33" s="199">
        <v>2.737336206699386E-2</v>
      </c>
      <c r="AA33" s="199">
        <v>0.19251661835721168</v>
      </c>
      <c r="AB33" s="199">
        <v>0.35074335685663299</v>
      </c>
      <c r="AC33" s="180">
        <v>1</v>
      </c>
    </row>
    <row r="34" spans="1:29" x14ac:dyDescent="0.25">
      <c r="A34" s="192">
        <f>+'[9]Promedio 2017'!A16</f>
        <v>2017</v>
      </c>
      <c r="B34" s="193" t="str">
        <f>+'[9]Promedio 2017'!B16</f>
        <v>0307 - 010201</v>
      </c>
      <c r="C34" s="193" t="str">
        <f>+'[9]Promedio 2017'!C16</f>
        <v>FONDO DE SEGURIDAD</v>
      </c>
      <c r="D34" s="200">
        <v>1452461762.0999999</v>
      </c>
      <c r="E34" s="200">
        <v>187377127</v>
      </c>
      <c r="F34" s="200">
        <v>114280692</v>
      </c>
      <c r="G34" s="200">
        <v>93694256</v>
      </c>
      <c r="H34" s="200">
        <v>227169089</v>
      </c>
      <c r="I34" s="200">
        <v>108996340.84</v>
      </c>
      <c r="J34" s="200">
        <v>127374730</v>
      </c>
      <c r="K34" s="200">
        <v>97588533.299999997</v>
      </c>
      <c r="L34" s="200">
        <v>75293020.959999993</v>
      </c>
      <c r="M34" s="200">
        <v>121357559</v>
      </c>
      <c r="N34" s="200">
        <v>102295056</v>
      </c>
      <c r="O34" s="200">
        <v>86054862</v>
      </c>
      <c r="P34" s="200">
        <v>110980496</v>
      </c>
      <c r="Q34" s="196">
        <v>0.12900658171481649</v>
      </c>
      <c r="R34" s="196">
        <v>7.8680688870439219E-2</v>
      </c>
      <c r="S34" s="196">
        <v>6.4507210065575055E-2</v>
      </c>
      <c r="T34" s="196">
        <v>0.1564028017312856</v>
      </c>
      <c r="U34" s="196">
        <v>7.5042485581452267E-2</v>
      </c>
      <c r="V34" s="196">
        <v>8.7695754424432434E-2</v>
      </c>
      <c r="W34" s="196">
        <v>6.7188366569392116E-2</v>
      </c>
      <c r="X34" s="196">
        <v>5.1838212147588485E-2</v>
      </c>
      <c r="Y34" s="196">
        <v>8.3553014727588193E-2</v>
      </c>
      <c r="Z34" s="196">
        <v>7.0428742889657656E-2</v>
      </c>
      <c r="AA34" s="196">
        <v>5.9247592085026779E-2</v>
      </c>
      <c r="AB34" s="196">
        <v>7.6408549192745742E-2</v>
      </c>
      <c r="AC34" s="180">
        <v>1</v>
      </c>
    </row>
    <row r="35" spans="1:29" x14ac:dyDescent="0.25">
      <c r="A35" s="175">
        <f>+'[9]Promedio 2018'!A16</f>
        <v>2018</v>
      </c>
      <c r="B35" s="197" t="str">
        <f>+'[9]Promedio 2018'!B16</f>
        <v>0307 - 010201</v>
      </c>
      <c r="C35" s="201" t="str">
        <f>+'[9]Promedio 2018'!C16</f>
        <v>FONDO DE SEGURIDAD</v>
      </c>
      <c r="D35" s="202">
        <v>2125937388.2</v>
      </c>
      <c r="E35" s="202">
        <v>280746634</v>
      </c>
      <c r="F35" s="202">
        <v>69343962</v>
      </c>
      <c r="G35" s="202">
        <v>699712537</v>
      </c>
      <c r="H35" s="202">
        <v>58266137</v>
      </c>
      <c r="I35" s="202">
        <v>32526620</v>
      </c>
      <c r="J35" s="202">
        <v>39300022</v>
      </c>
      <c r="K35" s="202">
        <v>50330504</v>
      </c>
      <c r="L35" s="202">
        <v>120990398</v>
      </c>
      <c r="M35" s="202">
        <v>128968447.2</v>
      </c>
      <c r="N35" s="202">
        <v>202018700</v>
      </c>
      <c r="O35" s="202">
        <v>214855628</v>
      </c>
      <c r="P35" s="202">
        <v>228877799</v>
      </c>
      <c r="Q35" s="199">
        <v>0.13205780920843771</v>
      </c>
      <c r="R35" s="199">
        <v>3.2618064099579396E-2</v>
      </c>
      <c r="S35" s="199">
        <v>0.32913130033073851</v>
      </c>
      <c r="T35" s="199">
        <v>2.7407268588155873E-2</v>
      </c>
      <c r="U35" s="199">
        <v>1.5299895556914689E-2</v>
      </c>
      <c r="V35" s="199">
        <v>1.848597339608141E-2</v>
      </c>
      <c r="W35" s="199">
        <v>2.3674499672172424E-2</v>
      </c>
      <c r="X35" s="199">
        <v>5.6911552838553162E-2</v>
      </c>
      <c r="Y35" s="199">
        <v>6.0664273518043585E-2</v>
      </c>
      <c r="Z35" s="199">
        <v>9.5025705423547893E-2</v>
      </c>
      <c r="AA35" s="199">
        <v>0.10106394910431257</v>
      </c>
      <c r="AB35" s="199">
        <v>0.10765970826346277</v>
      </c>
      <c r="AC35" s="180">
        <v>1</v>
      </c>
    </row>
    <row r="36" spans="1:29" x14ac:dyDescent="0.25">
      <c r="A36" s="192">
        <f>+'[9]Promedio 2019'!A16</f>
        <v>2019</v>
      </c>
      <c r="B36" s="193" t="str">
        <f>+'[9]Promedio 2019'!B16</f>
        <v>0307 - 010201</v>
      </c>
      <c r="C36" s="193" t="str">
        <f>+'[9]Promedio 2019'!C16</f>
        <v>FONDO DE SEGURIDAD</v>
      </c>
      <c r="D36" s="200">
        <v>1471834403.8</v>
      </c>
      <c r="E36" s="200">
        <v>254489326</v>
      </c>
      <c r="F36" s="200">
        <v>24467133</v>
      </c>
      <c r="G36" s="200">
        <v>87711252</v>
      </c>
      <c r="H36" s="200">
        <v>46089418.799999997</v>
      </c>
      <c r="I36" s="200">
        <v>169081010</v>
      </c>
      <c r="J36" s="200">
        <v>70408070</v>
      </c>
      <c r="K36" s="200">
        <v>98315305</v>
      </c>
      <c r="L36" s="200">
        <v>67786215</v>
      </c>
      <c r="M36" s="200">
        <v>33381811</v>
      </c>
      <c r="N36" s="200">
        <v>88083947</v>
      </c>
      <c r="O36" s="200">
        <v>105410863</v>
      </c>
      <c r="P36" s="200">
        <v>426610053</v>
      </c>
      <c r="Q36" s="196">
        <v>0.17290622188403557</v>
      </c>
      <c r="R36" s="196">
        <v>1.6623563722135085E-2</v>
      </c>
      <c r="S36" s="196">
        <v>5.9593152445374303E-2</v>
      </c>
      <c r="T36" s="196">
        <v>3.1314269241842545E-2</v>
      </c>
      <c r="U36" s="196">
        <v>0.11487774002528042</v>
      </c>
      <c r="V36" s="196">
        <v>4.7836950826954168E-2</v>
      </c>
      <c r="W36" s="196">
        <v>6.6797803303257727E-2</v>
      </c>
      <c r="X36" s="196">
        <v>4.6055598934899689E-2</v>
      </c>
      <c r="Y36" s="196">
        <v>2.2680412221520597E-2</v>
      </c>
      <c r="Z36" s="196">
        <v>5.984637046979184E-2</v>
      </c>
      <c r="AA36" s="196">
        <v>7.1618697543588433E-2</v>
      </c>
      <c r="AB36" s="196">
        <v>0.28984921938131963</v>
      </c>
      <c r="AC36" s="180">
        <v>1</v>
      </c>
    </row>
    <row r="37" spans="1:29" x14ac:dyDescent="0.25">
      <c r="A37" s="1837" t="s">
        <v>2461</v>
      </c>
      <c r="B37" s="1838"/>
      <c r="C37" s="1839"/>
      <c r="D37" s="189">
        <v>2482862834.1399999</v>
      </c>
      <c r="E37" s="189">
        <v>164317612.80000001</v>
      </c>
      <c r="F37" s="189">
        <v>62353763.799999997</v>
      </c>
      <c r="G37" s="189">
        <v>287569645.19999999</v>
      </c>
      <c r="H37" s="189">
        <v>129708602.10999998</v>
      </c>
      <c r="I37" s="189">
        <v>165549538.16800001</v>
      </c>
      <c r="J37" s="189">
        <v>151174982.80000001</v>
      </c>
      <c r="K37" s="189">
        <v>158957966.08999997</v>
      </c>
      <c r="L37" s="189">
        <v>135445905.896</v>
      </c>
      <c r="M37" s="189">
        <v>189033753.44</v>
      </c>
      <c r="N37" s="189">
        <v>226788587.11199999</v>
      </c>
      <c r="O37" s="189">
        <v>282582954</v>
      </c>
      <c r="P37" s="189">
        <v>529379522.72399998</v>
      </c>
      <c r="Q37" s="191">
        <v>9.2107496335434941E-2</v>
      </c>
      <c r="R37" s="191">
        <v>3.1224750008767399E-2</v>
      </c>
      <c r="S37" s="191">
        <v>0.12060622740554175</v>
      </c>
      <c r="T37" s="191">
        <v>6.028055826427442E-2</v>
      </c>
      <c r="U37" s="191">
        <v>6.9488586989650519E-2</v>
      </c>
      <c r="V37" s="191">
        <v>5.8632680108199976E-2</v>
      </c>
      <c r="W37" s="191">
        <v>6.0967707658616054E-2</v>
      </c>
      <c r="X37" s="191">
        <v>5.3553090222088914E-2</v>
      </c>
      <c r="Y37" s="191">
        <v>6.8746438670054213E-2</v>
      </c>
      <c r="Z37" s="191">
        <v>8.4334567262430757E-2</v>
      </c>
      <c r="AA37" s="191">
        <v>0.10182679893652025</v>
      </c>
      <c r="AB37" s="191">
        <v>0.19823109813842085</v>
      </c>
      <c r="AC37" s="190">
        <v>1</v>
      </c>
    </row>
    <row r="38" spans="1:29" x14ac:dyDescent="0.25">
      <c r="A38" s="192">
        <f>+'[9]Promedio 2015'!A5</f>
        <v>2015</v>
      </c>
      <c r="B38" s="193" t="str">
        <f>+'[9]Promedio 2015'!B5</f>
        <v>0307 - 0101010202</v>
      </c>
      <c r="C38" s="194" t="str">
        <f>+'[9]Promedio 2015'!C5</f>
        <v>IMPUESTO AL CONSUMO DE CERVEZA</v>
      </c>
      <c r="D38" s="195">
        <v>14297751000</v>
      </c>
      <c r="E38" s="195">
        <v>1422648000</v>
      </c>
      <c r="F38" s="195">
        <v>1195075000</v>
      </c>
      <c r="G38" s="195">
        <v>936550000</v>
      </c>
      <c r="H38" s="195">
        <v>999471000</v>
      </c>
      <c r="I38" s="195">
        <v>827318000</v>
      </c>
      <c r="J38" s="195">
        <v>1233739000</v>
      </c>
      <c r="K38" s="195">
        <v>1294987000</v>
      </c>
      <c r="L38" s="195">
        <v>1345672000</v>
      </c>
      <c r="M38" s="195">
        <v>1243998000</v>
      </c>
      <c r="N38" s="195">
        <v>1094009000</v>
      </c>
      <c r="O38" s="195">
        <v>1344559000</v>
      </c>
      <c r="P38" s="195">
        <v>1359725000</v>
      </c>
      <c r="Q38" s="196">
        <v>9.9501523001764403E-2</v>
      </c>
      <c r="R38" s="196">
        <v>8.3584823934897176E-2</v>
      </c>
      <c r="S38" s="196">
        <v>6.5503308877039479E-2</v>
      </c>
      <c r="T38" s="196">
        <v>6.9904070926959078E-2</v>
      </c>
      <c r="U38" s="196">
        <v>5.786350594579525E-2</v>
      </c>
      <c r="V38" s="196">
        <v>8.6289025455821691E-2</v>
      </c>
      <c r="W38" s="196">
        <v>9.0572776096044749E-2</v>
      </c>
      <c r="X38" s="196">
        <v>9.4117739216468377E-2</v>
      </c>
      <c r="Y38" s="196">
        <v>8.7006550890416257E-2</v>
      </c>
      <c r="Z38" s="196">
        <v>7.65161597792548E-2</v>
      </c>
      <c r="AA38" s="196">
        <v>9.4039894805833454E-2</v>
      </c>
      <c r="AB38" s="196">
        <v>9.5100621069705293E-2</v>
      </c>
      <c r="AC38" s="180">
        <v>0.99999999999999989</v>
      </c>
    </row>
    <row r="39" spans="1:29" x14ac:dyDescent="0.25">
      <c r="A39" s="175">
        <f>+'[9]Promedio 2016'!A5</f>
        <v>2016</v>
      </c>
      <c r="B39" s="197" t="str">
        <f>+'[9]Promedio 2016'!B5</f>
        <v>0307 - 0101010202</v>
      </c>
      <c r="C39" s="197" t="str">
        <f>+'[9]Promedio 2016'!C5</f>
        <v>IMPUESTO AL CONSUMO DE CERVEZA</v>
      </c>
      <c r="D39" s="198">
        <v>15955521000</v>
      </c>
      <c r="E39" s="198">
        <v>1291184000</v>
      </c>
      <c r="F39" s="198">
        <v>1741004320</v>
      </c>
      <c r="G39" s="198">
        <v>1216334000</v>
      </c>
      <c r="H39" s="198">
        <v>1237255680</v>
      </c>
      <c r="I39" s="198">
        <v>1287179000</v>
      </c>
      <c r="J39" s="198">
        <v>1255244000</v>
      </c>
      <c r="K39" s="198">
        <v>1304629000</v>
      </c>
      <c r="L39" s="198">
        <v>1325360000</v>
      </c>
      <c r="M39" s="198">
        <v>1344128000</v>
      </c>
      <c r="N39" s="198">
        <v>1158206000</v>
      </c>
      <c r="O39" s="198">
        <v>1428389000</v>
      </c>
      <c r="P39" s="198">
        <v>1366608000</v>
      </c>
      <c r="Q39" s="199">
        <v>8.0923963560951717E-2</v>
      </c>
      <c r="R39" s="199">
        <v>0.10911610595479772</v>
      </c>
      <c r="S39" s="199">
        <v>7.6232797412256234E-2</v>
      </c>
      <c r="T39" s="199">
        <v>7.7544047605841257E-2</v>
      </c>
      <c r="U39" s="199">
        <v>8.0672953268025538E-2</v>
      </c>
      <c r="V39" s="199">
        <v>7.8671451718812568E-2</v>
      </c>
      <c r="W39" s="199">
        <v>8.1766618589264498E-2</v>
      </c>
      <c r="X39" s="199">
        <v>8.3065918060588551E-2</v>
      </c>
      <c r="Y39" s="199">
        <v>8.4242188017552039E-2</v>
      </c>
      <c r="Z39" s="199">
        <v>7.2589669745036847E-2</v>
      </c>
      <c r="AA39" s="199">
        <v>8.952318134895125E-2</v>
      </c>
      <c r="AB39" s="199">
        <v>8.5651104717921783E-2</v>
      </c>
      <c r="AC39" s="180">
        <v>1</v>
      </c>
    </row>
    <row r="40" spans="1:29" x14ac:dyDescent="0.25">
      <c r="A40" s="192">
        <f>+'[9]Promedio 2017'!A5</f>
        <v>2017</v>
      </c>
      <c r="B40" s="193" t="str">
        <f>+'[9]Promedio 2017'!B5</f>
        <v>0307 - 0101010202</v>
      </c>
      <c r="C40" s="193" t="str">
        <f>+'[9]Promedio 2017'!C5</f>
        <v>IMPUESTO AL CONSUMO DE CERVEZA</v>
      </c>
      <c r="D40" s="200">
        <v>16661517001</v>
      </c>
      <c r="E40" s="200">
        <v>1983404000</v>
      </c>
      <c r="F40" s="200">
        <v>1125961000</v>
      </c>
      <c r="G40" s="200">
        <v>989035000</v>
      </c>
      <c r="H40" s="200">
        <v>1108613000</v>
      </c>
      <c r="I40" s="200">
        <v>988206000</v>
      </c>
      <c r="J40" s="200">
        <v>1152304000</v>
      </c>
      <c r="K40" s="200">
        <v>1410216000</v>
      </c>
      <c r="L40" s="200">
        <v>1420980000</v>
      </c>
      <c r="M40" s="200">
        <v>1452979000</v>
      </c>
      <c r="N40" s="200">
        <v>1454850000</v>
      </c>
      <c r="O40" s="200">
        <v>1874359001</v>
      </c>
      <c r="P40" s="200">
        <v>1700610000</v>
      </c>
      <c r="Q40" s="196">
        <v>0.11904102128761498</v>
      </c>
      <c r="R40" s="196">
        <v>6.7578540413362212E-2</v>
      </c>
      <c r="S40" s="196">
        <v>5.936044118555589E-2</v>
      </c>
      <c r="T40" s="196">
        <v>6.6537338702920182E-2</v>
      </c>
      <c r="U40" s="196">
        <v>5.9310685812143597E-2</v>
      </c>
      <c r="V40" s="196">
        <v>6.9159608931818176E-2</v>
      </c>
      <c r="W40" s="196">
        <v>8.4639111787681812E-2</v>
      </c>
      <c r="X40" s="196">
        <v>8.5285151400962766E-2</v>
      </c>
      <c r="Y40" s="196">
        <v>8.7205684807259404E-2</v>
      </c>
      <c r="Z40" s="196">
        <v>8.7317979504068083E-2</v>
      </c>
      <c r="AA40" s="196">
        <v>0.11249629915976461</v>
      </c>
      <c r="AB40" s="196">
        <v>0.10206813700684829</v>
      </c>
      <c r="AC40" s="180">
        <v>1.0000000000000002</v>
      </c>
    </row>
    <row r="41" spans="1:29" x14ac:dyDescent="0.25">
      <c r="A41" s="175">
        <f>+'[9]Promedio 2018'!A5</f>
        <v>2018</v>
      </c>
      <c r="B41" s="197" t="str">
        <f>+'[9]Promedio 2018'!B5</f>
        <v>0307 - 0101010202</v>
      </c>
      <c r="C41" s="201" t="str">
        <f>+'[9]Promedio 2018'!C5</f>
        <v>IMPUESTO AL CONSUMO DE CERVEZA</v>
      </c>
      <c r="D41" s="202">
        <v>15264790000</v>
      </c>
      <c r="E41" s="202">
        <v>1186653000</v>
      </c>
      <c r="F41" s="202">
        <v>1187861000</v>
      </c>
      <c r="G41" s="202">
        <v>1047549000</v>
      </c>
      <c r="H41" s="202">
        <v>1023181000</v>
      </c>
      <c r="I41" s="202">
        <v>1077505000</v>
      </c>
      <c r="J41" s="202">
        <v>1234781000</v>
      </c>
      <c r="K41" s="202">
        <v>1278208000</v>
      </c>
      <c r="L41" s="202">
        <v>1415160000</v>
      </c>
      <c r="M41" s="202">
        <v>1429027000</v>
      </c>
      <c r="N41" s="202">
        <v>1568390000</v>
      </c>
      <c r="O41" s="202">
        <v>1338901000</v>
      </c>
      <c r="P41" s="202">
        <v>1477574000</v>
      </c>
      <c r="Q41" s="199">
        <v>7.7737918438445602E-2</v>
      </c>
      <c r="R41" s="199">
        <v>7.7817054803898389E-2</v>
      </c>
      <c r="S41" s="199">
        <v>6.86251825278959E-2</v>
      </c>
      <c r="T41" s="199">
        <v>6.7028829089689407E-2</v>
      </c>
      <c r="U41" s="199">
        <v>7.0587607166557806E-2</v>
      </c>
      <c r="V41" s="199">
        <v>8.0890795091186976E-2</v>
      </c>
      <c r="W41" s="199">
        <v>8.3735708123072766E-2</v>
      </c>
      <c r="X41" s="199">
        <v>9.2707466005100631E-2</v>
      </c>
      <c r="Y41" s="199">
        <v>9.3615896451900091E-2</v>
      </c>
      <c r="Z41" s="199">
        <v>0.102745599513652</v>
      </c>
      <c r="AA41" s="199">
        <v>8.7711720894948442E-2</v>
      </c>
      <c r="AB41" s="199">
        <v>9.6796221893651987E-2</v>
      </c>
      <c r="AC41" s="180">
        <v>1</v>
      </c>
    </row>
    <row r="42" spans="1:29" x14ac:dyDescent="0.25">
      <c r="A42" s="192">
        <f>+'[9]Promedio 2019'!A5</f>
        <v>2019</v>
      </c>
      <c r="B42" s="193" t="str">
        <f>+'[9]Promedio 2019'!B5</f>
        <v>0307 - 0101010202</v>
      </c>
      <c r="C42" s="193" t="str">
        <f>+'[9]Promedio 2019'!C5</f>
        <v>IMPUESTO AL CONSUMO DE CERVEZA</v>
      </c>
      <c r="D42" s="200">
        <v>16634310844</v>
      </c>
      <c r="E42" s="200">
        <v>1526311000</v>
      </c>
      <c r="F42" s="200">
        <v>1849059000</v>
      </c>
      <c r="G42" s="200">
        <v>1063171000</v>
      </c>
      <c r="H42" s="200">
        <v>1095378000</v>
      </c>
      <c r="I42" s="200">
        <v>1080581000</v>
      </c>
      <c r="J42" s="200">
        <v>1182845000</v>
      </c>
      <c r="K42" s="200">
        <v>1302208416</v>
      </c>
      <c r="L42" s="200">
        <v>1442986000</v>
      </c>
      <c r="M42" s="200">
        <v>1766018000</v>
      </c>
      <c r="N42" s="200">
        <v>1413273428</v>
      </c>
      <c r="O42" s="200">
        <v>1246547000</v>
      </c>
      <c r="P42" s="200">
        <v>1665933000</v>
      </c>
      <c r="Q42" s="196">
        <v>9.1756791989404285E-2</v>
      </c>
      <c r="R42" s="196">
        <v>0.11115933911184279</v>
      </c>
      <c r="S42" s="196">
        <v>6.3914340063176464E-2</v>
      </c>
      <c r="T42" s="196">
        <v>6.5850518862649671E-2</v>
      </c>
      <c r="U42" s="196">
        <v>6.4960971941303222E-2</v>
      </c>
      <c r="V42" s="196">
        <v>7.1108746920324178E-2</v>
      </c>
      <c r="W42" s="196">
        <v>7.8284482489979851E-2</v>
      </c>
      <c r="X42" s="196">
        <v>8.6747567334326051E-2</v>
      </c>
      <c r="Y42" s="196">
        <v>0.10616718760170357</v>
      </c>
      <c r="Z42" s="196">
        <v>8.4961345333387714E-2</v>
      </c>
      <c r="AA42" s="196">
        <v>7.4938301423508019E-2</v>
      </c>
      <c r="AB42" s="196">
        <v>0.10015040692839418</v>
      </c>
      <c r="AC42" s="180">
        <v>1</v>
      </c>
    </row>
    <row r="43" spans="1:29" x14ac:dyDescent="0.25">
      <c r="A43" s="1837" t="s">
        <v>1037</v>
      </c>
      <c r="B43" s="1838"/>
      <c r="C43" s="1839"/>
      <c r="D43" s="189">
        <v>15762777969</v>
      </c>
      <c r="E43" s="189">
        <v>1482040000</v>
      </c>
      <c r="F43" s="189">
        <v>1419792064</v>
      </c>
      <c r="G43" s="189">
        <v>1050527800</v>
      </c>
      <c r="H43" s="189">
        <v>1092779736</v>
      </c>
      <c r="I43" s="189">
        <v>1052157800</v>
      </c>
      <c r="J43" s="189">
        <v>1211782600</v>
      </c>
      <c r="K43" s="189">
        <v>1318049683.2</v>
      </c>
      <c r="L43" s="189">
        <v>1390031600</v>
      </c>
      <c r="M43" s="189">
        <v>1447230000</v>
      </c>
      <c r="N43" s="189">
        <v>1337745685.5999999</v>
      </c>
      <c r="O43" s="189">
        <v>1446551000.2</v>
      </c>
      <c r="P43" s="189">
        <v>1514090000</v>
      </c>
      <c r="Q43" s="191">
        <v>9.3792243655636195E-2</v>
      </c>
      <c r="R43" s="191">
        <v>8.9851172843759652E-2</v>
      </c>
      <c r="S43" s="191">
        <v>6.6727214013184794E-2</v>
      </c>
      <c r="T43" s="191">
        <v>6.9372961037611924E-2</v>
      </c>
      <c r="U43" s="191">
        <v>6.6679144826765097E-2</v>
      </c>
      <c r="V43" s="191">
        <v>7.7223925623592704E-2</v>
      </c>
      <c r="W43" s="191">
        <v>8.3799739417208724E-2</v>
      </c>
      <c r="X43" s="191">
        <v>8.8384768403489272E-2</v>
      </c>
      <c r="Y43" s="191">
        <v>9.1647501553766275E-2</v>
      </c>
      <c r="Z43" s="191">
        <v>8.4826150775079892E-2</v>
      </c>
      <c r="AA43" s="191">
        <v>9.174187952660115E-2</v>
      </c>
      <c r="AB43" s="191">
        <v>9.5953298323304306E-2</v>
      </c>
      <c r="AC43" s="190">
        <v>1.0000000000000002</v>
      </c>
    </row>
    <row r="44" spans="1:29" x14ac:dyDescent="0.25">
      <c r="A44" s="192">
        <f>+'[9]Promedio 2015'!A4</f>
        <v>2015</v>
      </c>
      <c r="B44" s="193" t="str">
        <f>+'[9]Promedio 2015'!B4</f>
        <v>0307 - 0101010201</v>
      </c>
      <c r="C44" s="194" t="str">
        <f>+'[9]Promedio 2015'!C4</f>
        <v>IMPUESTO AL CONSUMO DE LICORES</v>
      </c>
      <c r="D44" s="195">
        <v>2588048042</v>
      </c>
      <c r="E44" s="195">
        <v>411769570</v>
      </c>
      <c r="F44" s="195">
        <v>105992215</v>
      </c>
      <c r="G44" s="195">
        <v>66252611</v>
      </c>
      <c r="H44" s="195">
        <v>94309489</v>
      </c>
      <c r="I44" s="195">
        <v>102208390</v>
      </c>
      <c r="J44" s="195">
        <v>188627089</v>
      </c>
      <c r="K44" s="195">
        <v>114474851</v>
      </c>
      <c r="L44" s="195">
        <v>195931736</v>
      </c>
      <c r="M44" s="195">
        <v>197192048</v>
      </c>
      <c r="N44" s="195">
        <v>264914229</v>
      </c>
      <c r="O44" s="195">
        <v>424920564</v>
      </c>
      <c r="P44" s="195">
        <v>421455250</v>
      </c>
      <c r="Q44" s="196">
        <v>0.15910429919291275</v>
      </c>
      <c r="R44" s="196">
        <v>4.0954500565642898E-2</v>
      </c>
      <c r="S44" s="196">
        <v>2.5599451758554333E-2</v>
      </c>
      <c r="T44" s="196">
        <v>3.6440393481691015E-2</v>
      </c>
      <c r="U44" s="196">
        <v>3.949246240460632E-2</v>
      </c>
      <c r="V44" s="196">
        <v>7.288392098557496E-2</v>
      </c>
      <c r="W44" s="196">
        <v>4.4232119783810413E-2</v>
      </c>
      <c r="X44" s="196">
        <v>7.57063751600945E-2</v>
      </c>
      <c r="Y44" s="196">
        <v>7.6193349118671427E-2</v>
      </c>
      <c r="Z44" s="196">
        <v>0.10236063036730908</v>
      </c>
      <c r="AA44" s="196">
        <v>0.16418573268509673</v>
      </c>
      <c r="AB44" s="196">
        <v>0.16284676449603558</v>
      </c>
      <c r="AC44" s="180">
        <v>0.99999999999999978</v>
      </c>
    </row>
    <row r="45" spans="1:29" x14ac:dyDescent="0.25">
      <c r="A45" s="175">
        <f>+'[9]Promedio 2016'!A4</f>
        <v>2016</v>
      </c>
      <c r="B45" s="197" t="str">
        <f>+'[9]Promedio 2016'!B4</f>
        <v>0307 - 0101010201</v>
      </c>
      <c r="C45" s="197" t="str">
        <f>+'[9]Promedio 2016'!C4</f>
        <v>IMPUESTO AL CONSUMO DE LICORES</v>
      </c>
      <c r="D45" s="198">
        <v>2581582049.4000001</v>
      </c>
      <c r="E45" s="198">
        <v>290409647</v>
      </c>
      <c r="F45" s="198">
        <v>100502011</v>
      </c>
      <c r="G45" s="198">
        <v>49231598</v>
      </c>
      <c r="H45" s="198">
        <v>42241926</v>
      </c>
      <c r="I45" s="198">
        <v>71115075</v>
      </c>
      <c r="J45" s="198">
        <v>210673739</v>
      </c>
      <c r="K45" s="198">
        <v>259902883.40000001</v>
      </c>
      <c r="L45" s="198">
        <v>60599591</v>
      </c>
      <c r="M45" s="198">
        <v>316686636</v>
      </c>
      <c r="N45" s="198">
        <v>341212062</v>
      </c>
      <c r="O45" s="198">
        <v>379065520.26999998</v>
      </c>
      <c r="P45" s="198">
        <v>459941360.73000002</v>
      </c>
      <c r="Q45" s="199">
        <v>0.11249289832469037</v>
      </c>
      <c r="R45" s="199">
        <v>3.8930395810335847E-2</v>
      </c>
      <c r="S45" s="199">
        <v>1.9070320856717372E-2</v>
      </c>
      <c r="T45" s="199">
        <v>1.6362805904161629E-2</v>
      </c>
      <c r="U45" s="199">
        <v>2.7547090752559365E-2</v>
      </c>
      <c r="V45" s="199">
        <v>8.1606447119882894E-2</v>
      </c>
      <c r="W45" s="199">
        <v>0.10067581755164648</v>
      </c>
      <c r="X45" s="199">
        <v>2.3473819479835744E-2</v>
      </c>
      <c r="Y45" s="199">
        <v>0.12267153626730667</v>
      </c>
      <c r="Z45" s="199">
        <v>0.13217168986718938</v>
      </c>
      <c r="AA45" s="199">
        <v>0.14683458166983332</v>
      </c>
      <c r="AB45" s="199">
        <v>0.17816259639584089</v>
      </c>
      <c r="AC45" s="180">
        <v>0.99999999999999989</v>
      </c>
    </row>
    <row r="46" spans="1:29" x14ac:dyDescent="0.25">
      <c r="A46" s="192">
        <f>+'[9]Promedio 2017'!A4</f>
        <v>2017</v>
      </c>
      <c r="B46" s="193" t="str">
        <f>+'[9]Promedio 2017'!B4</f>
        <v>0307 - 0101010201</v>
      </c>
      <c r="C46" s="193" t="str">
        <f>+'[9]Promedio 2017'!C4</f>
        <v>IMPUESTO AL CONSUMO DE LICORES</v>
      </c>
      <c r="D46" s="200">
        <v>3517938239</v>
      </c>
      <c r="E46" s="200">
        <v>365678126</v>
      </c>
      <c r="F46" s="200">
        <v>69699348</v>
      </c>
      <c r="G46" s="200">
        <v>139441313</v>
      </c>
      <c r="H46" s="200">
        <v>172615800</v>
      </c>
      <c r="I46" s="200">
        <v>60047400</v>
      </c>
      <c r="J46" s="200">
        <v>314585600</v>
      </c>
      <c r="K46" s="200">
        <v>158489600</v>
      </c>
      <c r="L46" s="200">
        <v>233040200</v>
      </c>
      <c r="M46" s="200">
        <v>383732780</v>
      </c>
      <c r="N46" s="200">
        <v>481244000</v>
      </c>
      <c r="O46" s="200">
        <v>618681400</v>
      </c>
      <c r="P46" s="200">
        <v>520682672</v>
      </c>
      <c r="Q46" s="196">
        <v>0.10394671570582965</v>
      </c>
      <c r="R46" s="196">
        <v>1.9812555896323112E-2</v>
      </c>
      <c r="S46" s="196">
        <v>3.963722599053849E-2</v>
      </c>
      <c r="T46" s="196">
        <v>4.9067319626699107E-2</v>
      </c>
      <c r="U46" s="196">
        <v>1.7068918190294585E-2</v>
      </c>
      <c r="V46" s="196">
        <v>8.9423286774193991E-2</v>
      </c>
      <c r="W46" s="196">
        <v>4.5051842651180778E-2</v>
      </c>
      <c r="X46" s="196">
        <v>6.6243402859239339E-2</v>
      </c>
      <c r="Y46" s="196">
        <v>0.10907888482689193</v>
      </c>
      <c r="Z46" s="196">
        <v>0.13679717132748676</v>
      </c>
      <c r="AA46" s="196">
        <v>0.17586477020581942</v>
      </c>
      <c r="AB46" s="196">
        <v>0.14800790594550287</v>
      </c>
      <c r="AC46" s="180">
        <v>1</v>
      </c>
    </row>
    <row r="47" spans="1:29" x14ac:dyDescent="0.25">
      <c r="A47" s="175">
        <f>+'[9]Promedio 2018'!A4</f>
        <v>2018</v>
      </c>
      <c r="B47" s="197" t="str">
        <f>+'[9]Promedio 2018'!B4</f>
        <v>0307 - 0101010201</v>
      </c>
      <c r="C47" s="201" t="str">
        <f>+'[9]Promedio 2018'!C4</f>
        <v>IMPUESTO AL CONSUMO DE LICORES</v>
      </c>
      <c r="D47" s="202">
        <v>3024300667.1999998</v>
      </c>
      <c r="E47" s="202">
        <v>617286600</v>
      </c>
      <c r="F47" s="202">
        <v>70113200</v>
      </c>
      <c r="G47" s="202">
        <v>151375600</v>
      </c>
      <c r="H47" s="202">
        <v>97785972</v>
      </c>
      <c r="I47" s="202">
        <v>162869800</v>
      </c>
      <c r="J47" s="202">
        <v>250134600</v>
      </c>
      <c r="K47" s="202">
        <v>32054740</v>
      </c>
      <c r="L47" s="202">
        <v>212494406</v>
      </c>
      <c r="M47" s="202">
        <v>343065840</v>
      </c>
      <c r="N47" s="202">
        <v>302563600</v>
      </c>
      <c r="O47" s="202">
        <v>339324409.19999999</v>
      </c>
      <c r="P47" s="202">
        <v>445231900</v>
      </c>
      <c r="Q47" s="199">
        <v>0.20410887273701689</v>
      </c>
      <c r="R47" s="199">
        <v>2.3183276967270974E-2</v>
      </c>
      <c r="S47" s="199">
        <v>5.0053092155069576E-2</v>
      </c>
      <c r="T47" s="199">
        <v>3.2333416138327797E-2</v>
      </c>
      <c r="U47" s="199">
        <v>5.3853706334955904E-2</v>
      </c>
      <c r="V47" s="199">
        <v>8.2708244822623109E-2</v>
      </c>
      <c r="W47" s="199">
        <v>1.059905860143111E-2</v>
      </c>
      <c r="X47" s="199">
        <v>7.0262328182050277E-2</v>
      </c>
      <c r="Y47" s="199">
        <v>0.11343641977159037</v>
      </c>
      <c r="Z47" s="199">
        <v>0.10004415344064439</v>
      </c>
      <c r="AA47" s="199">
        <v>0.11219929714004198</v>
      </c>
      <c r="AB47" s="199">
        <v>0.14721813370897768</v>
      </c>
      <c r="AC47" s="180">
        <v>1</v>
      </c>
    </row>
    <row r="48" spans="1:29" x14ac:dyDescent="0.25">
      <c r="A48" s="192">
        <f>+'[9]Promedio 2019'!A4</f>
        <v>2019</v>
      </c>
      <c r="B48" s="193" t="str">
        <f>+'[9]Promedio 2019'!B4</f>
        <v>0307 - 0101010201</v>
      </c>
      <c r="C48" s="193" t="str">
        <f>+'[9]Promedio 2019'!C4</f>
        <v>IMPUESTO AL CONSUMO DE LICORES</v>
      </c>
      <c r="D48" s="200">
        <v>4518440568</v>
      </c>
      <c r="E48" s="200">
        <v>391752238</v>
      </c>
      <c r="F48" s="200">
        <v>119138600</v>
      </c>
      <c r="G48" s="200">
        <v>218594800</v>
      </c>
      <c r="H48" s="200">
        <v>35520400</v>
      </c>
      <c r="I48" s="200">
        <v>696006420</v>
      </c>
      <c r="J48" s="200">
        <v>283590000</v>
      </c>
      <c r="K48" s="200">
        <v>344534240</v>
      </c>
      <c r="L48" s="200">
        <v>350065800</v>
      </c>
      <c r="M48" s="200">
        <v>222787800</v>
      </c>
      <c r="N48" s="200">
        <v>595225270</v>
      </c>
      <c r="O48" s="200">
        <v>403624400</v>
      </c>
      <c r="P48" s="200">
        <v>857600600</v>
      </c>
      <c r="Q48" s="196">
        <v>8.6700761491569536E-2</v>
      </c>
      <c r="R48" s="196">
        <v>2.636719421380691E-2</v>
      </c>
      <c r="S48" s="196">
        <v>4.8378372296873376E-2</v>
      </c>
      <c r="T48" s="196">
        <v>7.8612077475487107E-3</v>
      </c>
      <c r="U48" s="196">
        <v>0.15403686504790606</v>
      </c>
      <c r="V48" s="196">
        <v>6.2762804054215013E-2</v>
      </c>
      <c r="W48" s="196">
        <v>7.6250696410620572E-2</v>
      </c>
      <c r="X48" s="196">
        <v>7.7474915234959002E-2</v>
      </c>
      <c r="Y48" s="196">
        <v>4.9306347322083444E-2</v>
      </c>
      <c r="Z48" s="196">
        <v>0.13173245526685437</v>
      </c>
      <c r="AA48" s="196">
        <v>8.9328252507846193E-2</v>
      </c>
      <c r="AB48" s="196">
        <v>0.18980012840571681</v>
      </c>
      <c r="AC48" s="180">
        <v>1</v>
      </c>
    </row>
    <row r="49" spans="1:29" x14ac:dyDescent="0.25">
      <c r="A49" s="1837" t="s">
        <v>1032</v>
      </c>
      <c r="B49" s="1838"/>
      <c r="C49" s="1839"/>
      <c r="D49" s="189">
        <v>3246061913.1199999</v>
      </c>
      <c r="E49" s="189">
        <v>415379236.19999999</v>
      </c>
      <c r="F49" s="189">
        <v>93089074.799999997</v>
      </c>
      <c r="G49" s="189">
        <v>124979184.40000001</v>
      </c>
      <c r="H49" s="189">
        <v>88494717.400000006</v>
      </c>
      <c r="I49" s="189">
        <v>218449417</v>
      </c>
      <c r="J49" s="189">
        <v>249522205.59999999</v>
      </c>
      <c r="K49" s="189">
        <v>181891262.88</v>
      </c>
      <c r="L49" s="189">
        <v>210426346.59999999</v>
      </c>
      <c r="M49" s="189">
        <v>292693020.80000001</v>
      </c>
      <c r="N49" s="189">
        <v>397031832.19999999</v>
      </c>
      <c r="O49" s="189">
        <v>433123258.69400007</v>
      </c>
      <c r="P49" s="189">
        <v>540982356.546</v>
      </c>
      <c r="Q49" s="191">
        <v>0.13327070949040384</v>
      </c>
      <c r="R49" s="191">
        <v>2.9849584690675945E-2</v>
      </c>
      <c r="S49" s="191">
        <v>3.6547692611550629E-2</v>
      </c>
      <c r="T49" s="191">
        <v>2.841302857968565E-2</v>
      </c>
      <c r="U49" s="191">
        <v>5.8399808546064448E-2</v>
      </c>
      <c r="V49" s="191">
        <v>7.7876940751298002E-2</v>
      </c>
      <c r="W49" s="191">
        <v>5.5361906999737878E-2</v>
      </c>
      <c r="X49" s="191">
        <v>6.2632168183235776E-2</v>
      </c>
      <c r="Y49" s="191">
        <v>9.4137307461308758E-2</v>
      </c>
      <c r="Z49" s="191">
        <v>0.12062122005389679</v>
      </c>
      <c r="AA49" s="191">
        <v>0.13768252684172752</v>
      </c>
      <c r="AB49" s="191">
        <v>0.16520710579041478</v>
      </c>
      <c r="AC49" s="190">
        <v>1</v>
      </c>
    </row>
    <row r="50" spans="1:29" x14ac:dyDescent="0.25">
      <c r="A50" s="192">
        <f>+'[9]Promedio 2015'!A3</f>
        <v>2015</v>
      </c>
      <c r="B50" s="193" t="str">
        <f>+'[9]Promedio 2015'!B3</f>
        <v>0307 - 0101010102</v>
      </c>
      <c r="C50" s="194" t="str">
        <f>+'[9]Promedio 2015'!C3</f>
        <v>IMPUESTO AL REGISTRO</v>
      </c>
      <c r="D50" s="195">
        <v>10557827019</v>
      </c>
      <c r="E50" s="195">
        <v>492765000</v>
      </c>
      <c r="F50" s="195">
        <v>879896600</v>
      </c>
      <c r="G50" s="195">
        <v>779517100</v>
      </c>
      <c r="H50" s="195">
        <v>717177500</v>
      </c>
      <c r="I50" s="195">
        <v>735899700</v>
      </c>
      <c r="J50" s="195">
        <v>885585100</v>
      </c>
      <c r="K50" s="195">
        <v>1054798750</v>
      </c>
      <c r="L50" s="195">
        <v>776275800</v>
      </c>
      <c r="M50" s="195">
        <v>976357800</v>
      </c>
      <c r="N50" s="195">
        <v>969170569</v>
      </c>
      <c r="O50" s="195">
        <v>897318600</v>
      </c>
      <c r="P50" s="195">
        <v>1393064500</v>
      </c>
      <c r="Q50" s="196">
        <v>4.6672956387068462E-2</v>
      </c>
      <c r="R50" s="196">
        <v>8.334069107369603E-2</v>
      </c>
      <c r="S50" s="196">
        <v>7.3833100182184377E-2</v>
      </c>
      <c r="T50" s="196">
        <v>6.7928513955509806E-2</v>
      </c>
      <c r="U50" s="196">
        <v>6.9701814461978359E-2</v>
      </c>
      <c r="V50" s="196">
        <v>8.3879485656119371E-2</v>
      </c>
      <c r="W50" s="196">
        <v>9.9906803559271312E-2</v>
      </c>
      <c r="X50" s="196">
        <v>7.3526095720549717E-2</v>
      </c>
      <c r="Y50" s="196">
        <v>9.247715446018713E-2</v>
      </c>
      <c r="Z50" s="196">
        <v>9.1796405383027052E-2</v>
      </c>
      <c r="AA50" s="196">
        <v>8.4990841238938089E-2</v>
      </c>
      <c r="AB50" s="196">
        <v>0.13194613792147034</v>
      </c>
      <c r="AC50" s="180">
        <v>1</v>
      </c>
    </row>
    <row r="51" spans="1:29" x14ac:dyDescent="0.25">
      <c r="A51" s="175">
        <f>+'[9]Promedio 2016'!A3</f>
        <v>2016</v>
      </c>
      <c r="B51" s="197" t="str">
        <f>+'[9]Promedio 2016'!B3</f>
        <v>0307 - 0101010102</v>
      </c>
      <c r="C51" s="197" t="str">
        <f>+'[9]Promedio 2016'!C3</f>
        <v>IMPUESTO AL REGISTRO</v>
      </c>
      <c r="D51" s="198">
        <v>11299285109</v>
      </c>
      <c r="E51" s="198">
        <v>667052902</v>
      </c>
      <c r="F51" s="198">
        <v>711866350</v>
      </c>
      <c r="G51" s="198">
        <v>802276562</v>
      </c>
      <c r="H51" s="198">
        <v>838624141</v>
      </c>
      <c r="I51" s="198">
        <v>919324472</v>
      </c>
      <c r="J51" s="198">
        <v>1000025816</v>
      </c>
      <c r="K51" s="198">
        <v>995230160</v>
      </c>
      <c r="L51" s="198">
        <v>977749206</v>
      </c>
      <c r="M51" s="198">
        <v>1000785180</v>
      </c>
      <c r="N51" s="198">
        <v>1026566517</v>
      </c>
      <c r="O51" s="198">
        <v>1014194878</v>
      </c>
      <c r="P51" s="198">
        <v>1345588925</v>
      </c>
      <c r="Q51" s="199">
        <v>5.9034965094268248E-2</v>
      </c>
      <c r="R51" s="199">
        <v>6.300100786314268E-2</v>
      </c>
      <c r="S51" s="199">
        <v>7.1002417786677333E-2</v>
      </c>
      <c r="T51" s="199">
        <v>7.4219221208253874E-2</v>
      </c>
      <c r="U51" s="199">
        <v>8.1361295261746097E-2</v>
      </c>
      <c r="V51" s="199">
        <v>8.8503458966927823E-2</v>
      </c>
      <c r="W51" s="199">
        <v>8.8079037779769678E-2</v>
      </c>
      <c r="X51" s="199">
        <v>8.6531952824273145E-2</v>
      </c>
      <c r="Y51" s="199">
        <v>8.8570663572588679E-2</v>
      </c>
      <c r="Z51" s="199">
        <v>9.0852342170066047E-2</v>
      </c>
      <c r="AA51" s="199">
        <v>8.9757437591532499E-2</v>
      </c>
      <c r="AB51" s="199">
        <v>0.11908619988075389</v>
      </c>
      <c r="AC51" s="180">
        <v>1</v>
      </c>
    </row>
    <row r="52" spans="1:29" x14ac:dyDescent="0.25">
      <c r="A52" s="192">
        <f>+'[9]Promedio 2017'!A3</f>
        <v>2017</v>
      </c>
      <c r="B52" s="193" t="str">
        <f>+'[9]Promedio 2017'!B3</f>
        <v>0307 - 0101010102</v>
      </c>
      <c r="C52" s="193" t="str">
        <f>+'[9]Promedio 2017'!C3</f>
        <v>IMPUESTO AL REGISTRO</v>
      </c>
      <c r="D52" s="200">
        <v>13064937792.200001</v>
      </c>
      <c r="E52" s="200">
        <v>789618239</v>
      </c>
      <c r="F52" s="200">
        <v>924356543</v>
      </c>
      <c r="G52" s="200">
        <v>1085005256.3</v>
      </c>
      <c r="H52" s="200">
        <v>1172461902.3</v>
      </c>
      <c r="I52" s="200">
        <v>1099406560.5999999</v>
      </c>
      <c r="J52" s="200">
        <v>1087592890</v>
      </c>
      <c r="K52" s="200">
        <v>982352473</v>
      </c>
      <c r="L52" s="200">
        <v>1211999893</v>
      </c>
      <c r="M52" s="200">
        <v>1069269335</v>
      </c>
      <c r="N52" s="200">
        <v>1028160785</v>
      </c>
      <c r="O52" s="200">
        <v>1106507187</v>
      </c>
      <c r="P52" s="200">
        <v>1508206728</v>
      </c>
      <c r="Q52" s="196">
        <v>6.0437963927498839E-2</v>
      </c>
      <c r="R52" s="196">
        <v>7.0750933353227075E-2</v>
      </c>
      <c r="S52" s="196">
        <v>8.3047104667254318E-2</v>
      </c>
      <c r="T52" s="196">
        <v>8.9741101025370404E-2</v>
      </c>
      <c r="U52" s="196">
        <v>8.4149391147990388E-2</v>
      </c>
      <c r="V52" s="196">
        <v>8.3245164064180407E-2</v>
      </c>
      <c r="W52" s="196">
        <v>7.5189984722811451E-2</v>
      </c>
      <c r="X52" s="196">
        <v>9.2767368071479478E-2</v>
      </c>
      <c r="Y52" s="196">
        <v>8.1842665614402899E-2</v>
      </c>
      <c r="Z52" s="196">
        <v>7.8696186798059634E-2</v>
      </c>
      <c r="AA52" s="196">
        <v>8.4692878343485448E-2</v>
      </c>
      <c r="AB52" s="196">
        <v>0.11543925826423958</v>
      </c>
      <c r="AC52" s="180">
        <v>1</v>
      </c>
    </row>
    <row r="53" spans="1:29" x14ac:dyDescent="0.25">
      <c r="A53" s="182">
        <f>+'[9]Promedio 2018'!A3</f>
        <v>2018</v>
      </c>
      <c r="B53" s="183" t="str">
        <f>+'[9]Promedio 2018'!B3</f>
        <v>0307 - 0101010102</v>
      </c>
      <c r="C53" s="187" t="str">
        <f>+'[9]Promedio 2018'!C3</f>
        <v>IMPUESTO AL REGISTRO</v>
      </c>
      <c r="D53" s="188">
        <v>13570933605</v>
      </c>
      <c r="E53" s="188">
        <v>986410696</v>
      </c>
      <c r="F53" s="188">
        <v>1224665782</v>
      </c>
      <c r="G53" s="188">
        <v>1013698114</v>
      </c>
      <c r="H53" s="188">
        <v>1384464449</v>
      </c>
      <c r="I53" s="188">
        <v>1245785205</v>
      </c>
      <c r="J53" s="188">
        <v>995409193</v>
      </c>
      <c r="K53" s="188">
        <v>883900203</v>
      </c>
      <c r="L53" s="188">
        <v>1126777374</v>
      </c>
      <c r="M53" s="188">
        <v>1181046782</v>
      </c>
      <c r="N53" s="188">
        <v>1154472240</v>
      </c>
      <c r="O53" s="188">
        <v>1094354793</v>
      </c>
      <c r="P53" s="188">
        <v>1279948774</v>
      </c>
      <c r="Q53" s="185">
        <v>7.2685544319262774E-2</v>
      </c>
      <c r="R53" s="185">
        <v>9.0241822533771068E-2</v>
      </c>
      <c r="S53" s="185">
        <v>7.4696269505475935E-2</v>
      </c>
      <c r="T53" s="185">
        <v>0.10201689060581032</v>
      </c>
      <c r="U53" s="185">
        <v>9.1798047301698521E-2</v>
      </c>
      <c r="V53" s="185">
        <v>7.3348615649645274E-2</v>
      </c>
      <c r="W53" s="185">
        <v>6.5131864080032104E-2</v>
      </c>
      <c r="X53" s="185">
        <v>8.3028729400374951E-2</v>
      </c>
      <c r="Y53" s="185">
        <v>8.7027673730926042E-2</v>
      </c>
      <c r="Z53" s="185">
        <v>8.5069478165794923E-2</v>
      </c>
      <c r="AA53" s="185">
        <v>8.0639609982087149E-2</v>
      </c>
      <c r="AB53" s="185">
        <v>9.4315454725120956E-2</v>
      </c>
      <c r="AC53" s="180">
        <v>1</v>
      </c>
    </row>
    <row r="54" spans="1:29" x14ac:dyDescent="0.25">
      <c r="A54" s="176">
        <f>+'[9]Promedio 2019'!A3</f>
        <v>2019</v>
      </c>
      <c r="B54" s="177" t="str">
        <f>+'[9]Promedio 2019'!B3</f>
        <v>0307 - 0101010102</v>
      </c>
      <c r="C54" s="177" t="str">
        <f>+'[9]Promedio 2019'!C3</f>
        <v>IMPUESTO AL REGISTRO</v>
      </c>
      <c r="D54" s="186">
        <v>15060515283.299999</v>
      </c>
      <c r="E54" s="186">
        <v>873290681</v>
      </c>
      <c r="F54" s="186">
        <v>916866488.29999995</v>
      </c>
      <c r="G54" s="186">
        <v>987040629</v>
      </c>
      <c r="H54" s="186">
        <v>1176391853</v>
      </c>
      <c r="I54" s="186">
        <v>1272332056</v>
      </c>
      <c r="J54" s="186">
        <v>887920542</v>
      </c>
      <c r="K54" s="186">
        <v>1413154469</v>
      </c>
      <c r="L54" s="186">
        <v>1192910127</v>
      </c>
      <c r="M54" s="186">
        <v>1414956873</v>
      </c>
      <c r="N54" s="186">
        <v>1538672579</v>
      </c>
      <c r="O54" s="186">
        <v>1338634822</v>
      </c>
      <c r="P54" s="186">
        <v>2048344164</v>
      </c>
      <c r="Q54" s="180">
        <v>5.7985445024471172E-2</v>
      </c>
      <c r="R54" s="180">
        <v>6.0878825926804533E-2</v>
      </c>
      <c r="S54" s="180">
        <v>6.5538303997771552E-2</v>
      </c>
      <c r="T54" s="180">
        <v>7.8110996262156687E-2</v>
      </c>
      <c r="U54" s="180">
        <v>8.4481309707300514E-2</v>
      </c>
      <c r="V54" s="180">
        <v>5.8956850100911187E-2</v>
      </c>
      <c r="W54" s="180">
        <v>9.3831747614040159E-2</v>
      </c>
      <c r="X54" s="180">
        <v>7.9207789677871787E-2</v>
      </c>
      <c r="Y54" s="180">
        <v>9.3951425059738081E-2</v>
      </c>
      <c r="Z54" s="180">
        <v>0.10216599831123788</v>
      </c>
      <c r="AA54" s="180">
        <v>8.8883733180388488E-2</v>
      </c>
      <c r="AB54" s="180">
        <v>0.13600757513730799</v>
      </c>
      <c r="AC54" s="180">
        <v>1</v>
      </c>
    </row>
    <row r="55" spans="1:29" x14ac:dyDescent="0.25">
      <c r="A55" s="1837" t="s">
        <v>1024</v>
      </c>
      <c r="B55" s="1838"/>
      <c r="C55" s="1839"/>
      <c r="D55" s="189">
        <v>12710699761.700001</v>
      </c>
      <c r="E55" s="189">
        <v>761827503.60000002</v>
      </c>
      <c r="F55" s="189">
        <v>931530352.66000009</v>
      </c>
      <c r="G55" s="189">
        <v>933507532.25999999</v>
      </c>
      <c r="H55" s="189">
        <v>1057823969.0600001</v>
      </c>
      <c r="I55" s="189">
        <v>1054549598.72</v>
      </c>
      <c r="J55" s="189">
        <v>971306708.20000005</v>
      </c>
      <c r="K55" s="189">
        <v>1065887211</v>
      </c>
      <c r="L55" s="189">
        <v>1057142480</v>
      </c>
      <c r="M55" s="189">
        <v>1128483194</v>
      </c>
      <c r="N55" s="189">
        <v>1143408538</v>
      </c>
      <c r="O55" s="189">
        <v>1090202056</v>
      </c>
      <c r="P55" s="189">
        <v>1515030618.2</v>
      </c>
      <c r="Q55" s="191">
        <v>5.9363374950513893E-2</v>
      </c>
      <c r="R55" s="191">
        <v>7.3642656150128286E-2</v>
      </c>
      <c r="S55" s="191">
        <v>7.3623439227872706E-2</v>
      </c>
      <c r="T55" s="191">
        <v>8.2403344611420209E-2</v>
      </c>
      <c r="U55" s="191">
        <v>8.2298371576142768E-2</v>
      </c>
      <c r="V55" s="191">
        <v>7.7586714887556821E-2</v>
      </c>
      <c r="W55" s="191">
        <v>8.4427887551184938E-2</v>
      </c>
      <c r="X55" s="191">
        <v>8.3012387138909821E-2</v>
      </c>
      <c r="Y55" s="191">
        <v>8.8773916487568563E-2</v>
      </c>
      <c r="Z55" s="191">
        <v>8.9716082165637118E-2</v>
      </c>
      <c r="AA55" s="191">
        <v>8.5792900067286335E-2</v>
      </c>
      <c r="AB55" s="191">
        <v>0.11935892518577855</v>
      </c>
      <c r="AC55" s="190">
        <v>1</v>
      </c>
    </row>
    <row r="56" spans="1:29" x14ac:dyDescent="0.25">
      <c r="A56" s="176">
        <f>+'[9]Promedio 2015'!A2</f>
        <v>2015</v>
      </c>
      <c r="B56" s="177" t="str">
        <f>+'[9]Promedio 2015'!B2</f>
        <v>0307 - 0101010101</v>
      </c>
      <c r="C56" s="178" t="str">
        <f>+'[9]Promedio 2015'!C2</f>
        <v>IMPUESTO SOBRE VEHÍCULOS AUTOMOTORES</v>
      </c>
      <c r="D56" s="179">
        <v>8853239996</v>
      </c>
      <c r="E56" s="179">
        <v>667659200</v>
      </c>
      <c r="F56" s="179">
        <v>715987200</v>
      </c>
      <c r="G56" s="179">
        <v>917727200</v>
      </c>
      <c r="H56" s="179">
        <v>1511573600</v>
      </c>
      <c r="I56" s="179">
        <v>1968758062</v>
      </c>
      <c r="J56" s="179">
        <v>1428036998</v>
      </c>
      <c r="K56" s="179">
        <v>596075712</v>
      </c>
      <c r="L56" s="179">
        <v>216114195</v>
      </c>
      <c r="M56" s="179">
        <v>308653472</v>
      </c>
      <c r="N56" s="179">
        <v>268117103</v>
      </c>
      <c r="O56" s="179">
        <v>170835097</v>
      </c>
      <c r="P56" s="179">
        <v>83702157</v>
      </c>
      <c r="Q56" s="180">
        <v>7.5414108315335002E-2</v>
      </c>
      <c r="R56" s="180">
        <v>8.0872900805071549E-2</v>
      </c>
      <c r="S56" s="180">
        <v>0.10366003863157897</v>
      </c>
      <c r="T56" s="180">
        <v>0.17073676989248535</v>
      </c>
      <c r="U56" s="180">
        <v>0.22237712553703598</v>
      </c>
      <c r="V56" s="180">
        <v>0.16130106024971697</v>
      </c>
      <c r="W56" s="180">
        <v>6.7328538734894139E-2</v>
      </c>
      <c r="X56" s="180">
        <v>2.4410746246305643E-2</v>
      </c>
      <c r="Y56" s="180">
        <v>3.4863335020789379E-2</v>
      </c>
      <c r="Z56" s="180">
        <v>3.0284630612198306E-2</v>
      </c>
      <c r="AA56" s="180">
        <v>1.9296336378228234E-2</v>
      </c>
      <c r="AB56" s="180">
        <v>9.4544095763604789E-3</v>
      </c>
      <c r="AC56" s="180">
        <v>1</v>
      </c>
    </row>
    <row r="57" spans="1:29" x14ac:dyDescent="0.25">
      <c r="A57" s="182">
        <f>+'[9]Promedio 2016'!A2</f>
        <v>2016</v>
      </c>
      <c r="B57" s="183" t="str">
        <f>+'[9]Promedio 2016'!B2</f>
        <v>0307 - 0101010101</v>
      </c>
      <c r="C57" s="183" t="str">
        <f>+'[9]Promedio 2016'!C2</f>
        <v>IMPUESTO SOBRE VEHÍCULOS AUTOMOTORES</v>
      </c>
      <c r="D57" s="184">
        <v>9951188398</v>
      </c>
      <c r="E57" s="184">
        <v>0</v>
      </c>
      <c r="F57" s="184">
        <v>1106627916</v>
      </c>
      <c r="G57" s="184">
        <v>854195747</v>
      </c>
      <c r="H57" s="184">
        <v>1904312466</v>
      </c>
      <c r="I57" s="184">
        <v>2775310444</v>
      </c>
      <c r="J57" s="184">
        <v>1848189716</v>
      </c>
      <c r="K57" s="184">
        <v>754183339</v>
      </c>
      <c r="L57" s="184">
        <v>211948506</v>
      </c>
      <c r="M57" s="184">
        <v>141155165</v>
      </c>
      <c r="N57" s="184">
        <v>105599940</v>
      </c>
      <c r="O57" s="184">
        <v>96586674</v>
      </c>
      <c r="P57" s="184">
        <v>153078485</v>
      </c>
      <c r="Q57" s="185">
        <v>0</v>
      </c>
      <c r="R57" s="185">
        <v>0.11120560396810608</v>
      </c>
      <c r="S57" s="185">
        <v>8.58385664943975E-2</v>
      </c>
      <c r="T57" s="185">
        <v>0.1913653314394822</v>
      </c>
      <c r="U57" s="185">
        <v>0.27889236270089962</v>
      </c>
      <c r="V57" s="185">
        <v>0.18572552765370728</v>
      </c>
      <c r="W57" s="185">
        <v>7.5788268580220683E-2</v>
      </c>
      <c r="X57" s="185">
        <v>2.1298813520865271E-2</v>
      </c>
      <c r="Y57" s="185">
        <v>1.4184754559402123E-2</v>
      </c>
      <c r="Z57" s="185">
        <v>1.0611791856058476E-2</v>
      </c>
      <c r="AA57" s="185">
        <v>9.706044156435837E-3</v>
      </c>
      <c r="AB57" s="185">
        <v>1.5382935070424942E-2</v>
      </c>
      <c r="AC57" s="180">
        <v>1</v>
      </c>
    </row>
    <row r="58" spans="1:29" x14ac:dyDescent="0.25">
      <c r="A58" s="176">
        <f>+'[9]Promedio 2017'!A2</f>
        <v>2017</v>
      </c>
      <c r="B58" s="177" t="str">
        <f>+'[9]Promedio 2017'!B2</f>
        <v>0307 - 0101010101</v>
      </c>
      <c r="C58" s="177" t="str">
        <f>+'[9]Promedio 2017'!C2</f>
        <v>IMPUESTO SOBRE VEHÍCULOS AUTOMOTORES</v>
      </c>
      <c r="D58" s="186">
        <v>12628027398.599998</v>
      </c>
      <c r="E58" s="186">
        <v>927926063.04999995</v>
      </c>
      <c r="F58" s="186">
        <v>984115892.71000004</v>
      </c>
      <c r="G58" s="186">
        <v>1341117008.23</v>
      </c>
      <c r="H58" s="186">
        <v>1708870258.04</v>
      </c>
      <c r="I58" s="186">
        <v>3175118682.8099999</v>
      </c>
      <c r="J58" s="186">
        <v>2319839784</v>
      </c>
      <c r="K58" s="186">
        <v>959764567.63</v>
      </c>
      <c r="L58" s="186">
        <v>252898398.65000001</v>
      </c>
      <c r="M58" s="186">
        <v>493324074.72000003</v>
      </c>
      <c r="N58" s="186">
        <v>181222127.40000001</v>
      </c>
      <c r="O58" s="186">
        <v>132716951.2</v>
      </c>
      <c r="P58" s="186">
        <v>151113590.16</v>
      </c>
      <c r="Q58" s="180">
        <v>7.3481473690251431E-2</v>
      </c>
      <c r="R58" s="180">
        <v>7.7931086277109568E-2</v>
      </c>
      <c r="S58" s="180">
        <v>0.10620162325421328</v>
      </c>
      <c r="T58" s="180">
        <v>0.13532361025994077</v>
      </c>
      <c r="U58" s="180">
        <v>0.25143425672025455</v>
      </c>
      <c r="V58" s="180">
        <v>0.18370563436195808</v>
      </c>
      <c r="W58" s="180">
        <v>7.6002730856951098E-2</v>
      </c>
      <c r="X58" s="180">
        <v>2.0026754034287057E-2</v>
      </c>
      <c r="Y58" s="180">
        <v>3.9065806491257078E-2</v>
      </c>
      <c r="Z58" s="180">
        <v>1.4350786681068742E-2</v>
      </c>
      <c r="AA58" s="180">
        <v>1.050971359269569E-2</v>
      </c>
      <c r="AB58" s="180">
        <v>1.1966523780012795E-2</v>
      </c>
      <c r="AC58" s="180">
        <v>1.0000000000000002</v>
      </c>
    </row>
    <row r="59" spans="1:29" x14ac:dyDescent="0.25">
      <c r="A59" s="182">
        <f>+'[9]Promedio 2018'!A2</f>
        <v>2018</v>
      </c>
      <c r="B59" s="183" t="str">
        <f>+'[9]Promedio 2018'!B2</f>
        <v>0307 - 0101010101</v>
      </c>
      <c r="C59" s="187" t="str">
        <f>+'[9]Promedio 2018'!C2</f>
        <v>IMPUESTO SOBRE VEHÍCULOS AUTOMOTORES</v>
      </c>
      <c r="D59" s="188">
        <v>13740633217.23</v>
      </c>
      <c r="E59" s="188">
        <v>-151200</v>
      </c>
      <c r="F59" s="188">
        <v>2140436147.76</v>
      </c>
      <c r="G59" s="188">
        <v>1097517883.4200001</v>
      </c>
      <c r="H59" s="188">
        <v>1887915255.2</v>
      </c>
      <c r="I59" s="188">
        <v>3616306970</v>
      </c>
      <c r="J59" s="188">
        <v>2532400395.4899998</v>
      </c>
      <c r="K59" s="188">
        <v>1205123076.48</v>
      </c>
      <c r="L59" s="188">
        <v>277601237.02999997</v>
      </c>
      <c r="M59" s="188">
        <v>289713675.25999999</v>
      </c>
      <c r="N59" s="188">
        <v>259134234.30000001</v>
      </c>
      <c r="O59" s="188">
        <v>206056295.05000001</v>
      </c>
      <c r="P59" s="188">
        <v>228579247.24000001</v>
      </c>
      <c r="Q59" s="185">
        <v>-1.100385969188112E-5</v>
      </c>
      <c r="R59" s="185">
        <v>0.1557742000620474</v>
      </c>
      <c r="S59" s="185">
        <v>7.9873894169867871E-2</v>
      </c>
      <c r="T59" s="185">
        <v>0.13739652498930385</v>
      </c>
      <c r="U59" s="185">
        <v>0.26318342923711474</v>
      </c>
      <c r="V59" s="185">
        <v>0.18430012325156228</v>
      </c>
      <c r="W59" s="185">
        <v>8.7705061144405044E-2</v>
      </c>
      <c r="X59" s="185">
        <v>2.0202943535520858E-2</v>
      </c>
      <c r="Y59" s="185">
        <v>2.1084448633467267E-2</v>
      </c>
      <c r="Z59" s="185">
        <v>1.8858973251324393E-2</v>
      </c>
      <c r="AA59" s="185">
        <v>1.4996128038089012E-2</v>
      </c>
      <c r="AB59" s="185">
        <v>1.6635277546989187E-2</v>
      </c>
      <c r="AC59" s="180">
        <v>1</v>
      </c>
    </row>
    <row r="60" spans="1:29" x14ac:dyDescent="0.25">
      <c r="A60" s="176">
        <f>+'[9]Promedio 2019'!A2</f>
        <v>2019</v>
      </c>
      <c r="B60" s="177" t="str">
        <f>+'[9]Promedio 2019'!B2</f>
        <v>0307 - 0101010101</v>
      </c>
      <c r="C60" s="177" t="str">
        <f>+'[9]Promedio 2019'!C2</f>
        <v>IMPUESTO SOBRE VEHÍCULOS AUTOMOTORES</v>
      </c>
      <c r="D60" s="186">
        <v>14906182505</v>
      </c>
      <c r="E60" s="186">
        <v>949057323</v>
      </c>
      <c r="F60" s="186">
        <v>1306190527</v>
      </c>
      <c r="G60" s="186">
        <v>1348142922</v>
      </c>
      <c r="H60" s="186">
        <v>1886137662</v>
      </c>
      <c r="I60" s="186">
        <v>4299752015</v>
      </c>
      <c r="J60" s="186">
        <v>2868146424</v>
      </c>
      <c r="K60" s="186">
        <v>1208179176</v>
      </c>
      <c r="L60" s="186">
        <v>238045149</v>
      </c>
      <c r="M60" s="186">
        <v>193649120</v>
      </c>
      <c r="N60" s="186">
        <v>278115494</v>
      </c>
      <c r="O60" s="186">
        <v>162846773</v>
      </c>
      <c r="P60" s="186">
        <v>167919920</v>
      </c>
      <c r="Q60" s="180">
        <v>6.3668704088498618E-2</v>
      </c>
      <c r="R60" s="180">
        <v>8.7627434224816642E-2</v>
      </c>
      <c r="S60" s="180">
        <v>9.0441863404516265E-2</v>
      </c>
      <c r="T60" s="180">
        <v>0.12653391714259035</v>
      </c>
      <c r="U60" s="180">
        <v>0.28845427147814195</v>
      </c>
      <c r="V60" s="180">
        <v>0.19241320995754171</v>
      </c>
      <c r="W60" s="180">
        <v>8.1052219479718496E-2</v>
      </c>
      <c r="X60" s="180">
        <v>1.5969558196416298E-2</v>
      </c>
      <c r="Y60" s="180">
        <v>1.299119475660814E-2</v>
      </c>
      <c r="Z60" s="180">
        <v>1.8657727684919419E-2</v>
      </c>
      <c r="AA60" s="180">
        <v>1.0924780569765338E-2</v>
      </c>
      <c r="AB60" s="180">
        <v>1.1265119016466785E-2</v>
      </c>
      <c r="AC60" s="180">
        <v>1.0000000000000002</v>
      </c>
    </row>
    <row r="61" spans="1:29" x14ac:dyDescent="0.25">
      <c r="A61" s="1837" t="s">
        <v>2462</v>
      </c>
      <c r="B61" s="1838"/>
      <c r="C61" s="1839"/>
      <c r="D61" s="189">
        <v>12015854302.966</v>
      </c>
      <c r="E61" s="189">
        <v>508898277.21000004</v>
      </c>
      <c r="F61" s="189">
        <v>1250671536.694</v>
      </c>
      <c r="G61" s="189">
        <v>1111740152.1299999</v>
      </c>
      <c r="H61" s="189">
        <v>1779761848.2479999</v>
      </c>
      <c r="I61" s="189">
        <v>3167049234.7620001</v>
      </c>
      <c r="J61" s="189">
        <v>2199322663.4980001</v>
      </c>
      <c r="K61" s="189">
        <v>944665174.22200012</v>
      </c>
      <c r="L61" s="189">
        <v>239321497.13599998</v>
      </c>
      <c r="M61" s="189">
        <v>285299101.39600003</v>
      </c>
      <c r="N61" s="189">
        <v>218437779.74000001</v>
      </c>
      <c r="O61" s="189">
        <v>153808358.05000001</v>
      </c>
      <c r="P61" s="189">
        <v>156878679.88</v>
      </c>
      <c r="Q61" s="191">
        <v>4.2510656446878639E-2</v>
      </c>
      <c r="R61" s="191">
        <v>0.10268224506743025</v>
      </c>
      <c r="S61" s="191">
        <v>9.3203197190914772E-2</v>
      </c>
      <c r="T61" s="191">
        <v>0.15227123074476051</v>
      </c>
      <c r="U61" s="191">
        <v>0.26086828913468935</v>
      </c>
      <c r="V61" s="191">
        <v>0.18148911109489727</v>
      </c>
      <c r="W61" s="191">
        <v>7.7575363759237903E-2</v>
      </c>
      <c r="X61" s="191">
        <v>2.0381763106679024E-2</v>
      </c>
      <c r="Y61" s="191">
        <v>2.4437907892304798E-2</v>
      </c>
      <c r="Z61" s="191">
        <v>1.8552782017113866E-2</v>
      </c>
      <c r="AA61" s="191">
        <v>1.3086600547042823E-2</v>
      </c>
      <c r="AB61" s="191">
        <v>1.2940852998050839E-2</v>
      </c>
      <c r="AC61" s="190">
        <v>1</v>
      </c>
    </row>
    <row r="62" spans="1:29" x14ac:dyDescent="0.25">
      <c r="A62" s="176">
        <f>+'[9]Promedio 2015'!A15</f>
        <v>2015</v>
      </c>
      <c r="B62" s="177" t="str">
        <f>+'[9]Promedio 2015'!B15</f>
        <v>0307 - 010102040103</v>
      </c>
      <c r="C62" s="178" t="str">
        <f>+'[9]Promedio 2015'!C15</f>
        <v xml:space="preserve">IVA LICORES </v>
      </c>
      <c r="D62" s="179">
        <v>447062842</v>
      </c>
      <c r="E62" s="179">
        <v>70826326</v>
      </c>
      <c r="F62" s="179">
        <v>18214595</v>
      </c>
      <c r="G62" s="179">
        <v>11590025</v>
      </c>
      <c r="H62" s="179">
        <v>16303860</v>
      </c>
      <c r="I62" s="179">
        <v>17542967</v>
      </c>
      <c r="J62" s="179">
        <v>32483645</v>
      </c>
      <c r="K62" s="179">
        <v>19988775</v>
      </c>
      <c r="L62" s="179">
        <v>33843110</v>
      </c>
      <c r="M62" s="179">
        <v>34110555</v>
      </c>
      <c r="N62" s="179">
        <v>45694565</v>
      </c>
      <c r="O62" s="179">
        <v>73485385</v>
      </c>
      <c r="P62" s="179">
        <v>72979034</v>
      </c>
      <c r="Q62" s="180">
        <v>0.15842588411765163</v>
      </c>
      <c r="R62" s="180">
        <v>4.0742806802091594E-2</v>
      </c>
      <c r="S62" s="180">
        <v>2.5924822891006449E-2</v>
      </c>
      <c r="T62" s="180">
        <v>3.6468832719494949E-2</v>
      </c>
      <c r="U62" s="180">
        <v>3.924049451642863E-2</v>
      </c>
      <c r="V62" s="180">
        <v>7.2660131749442067E-2</v>
      </c>
      <c r="W62" s="180">
        <v>4.4711331656590685E-2</v>
      </c>
      <c r="X62" s="180">
        <v>7.5701012968552639E-2</v>
      </c>
      <c r="Y62" s="180">
        <v>7.6299239828122423E-2</v>
      </c>
      <c r="Z62" s="180">
        <v>0.10221060823480382</v>
      </c>
      <c r="AA62" s="180">
        <v>0.16437372578596007</v>
      </c>
      <c r="AB62" s="180">
        <v>0.16324110872985503</v>
      </c>
      <c r="AC62" s="180">
        <v>1</v>
      </c>
    </row>
    <row r="63" spans="1:29" x14ac:dyDescent="0.25">
      <c r="A63" s="182">
        <f>+'[9]Promedio 2016'!A15</f>
        <v>2016</v>
      </c>
      <c r="B63" s="183" t="str">
        <f>+'[9]Promedio 2016'!B15</f>
        <v>0307 - 010102040103</v>
      </c>
      <c r="C63" s="183" t="str">
        <f>+'[9]Promedio 2016'!C15</f>
        <v xml:space="preserve">IVA LICORES </v>
      </c>
      <c r="D63" s="184">
        <v>446322998</v>
      </c>
      <c r="E63" s="184">
        <v>49918895</v>
      </c>
      <c r="F63" s="184">
        <v>17271105</v>
      </c>
      <c r="G63" s="184">
        <v>8460890</v>
      </c>
      <c r="H63" s="184">
        <v>7385195</v>
      </c>
      <c r="I63" s="184">
        <v>12511265</v>
      </c>
      <c r="J63" s="184">
        <v>36308665</v>
      </c>
      <c r="K63" s="184">
        <v>45105475</v>
      </c>
      <c r="L63" s="184">
        <v>10618545</v>
      </c>
      <c r="M63" s="184">
        <v>54658455</v>
      </c>
      <c r="N63" s="184">
        <v>59003230</v>
      </c>
      <c r="O63" s="184">
        <v>65337935</v>
      </c>
      <c r="P63" s="184">
        <v>79743343</v>
      </c>
      <c r="Q63" s="185">
        <v>0.11184477435330366</v>
      </c>
      <c r="R63" s="185">
        <v>3.8696426304252421E-2</v>
      </c>
      <c r="S63" s="185">
        <v>1.8956876607106855E-2</v>
      </c>
      <c r="T63" s="185">
        <v>1.6546749849533856E-2</v>
      </c>
      <c r="U63" s="185">
        <v>2.8031862700474152E-2</v>
      </c>
      <c r="V63" s="185">
        <v>8.1350647765634526E-2</v>
      </c>
      <c r="W63" s="185">
        <v>0.10106016316013364</v>
      </c>
      <c r="X63" s="185">
        <v>2.3791167041766464E-2</v>
      </c>
      <c r="Y63" s="185">
        <v>0.12246390001171305</v>
      </c>
      <c r="Z63" s="185">
        <v>0.13219849809307832</v>
      </c>
      <c r="AA63" s="185">
        <v>0.14639159373992194</v>
      </c>
      <c r="AB63" s="185">
        <v>0.1786673403730811</v>
      </c>
      <c r="AC63" s="180">
        <v>1</v>
      </c>
    </row>
    <row r="64" spans="1:29" x14ac:dyDescent="0.25">
      <c r="A64" s="176">
        <f>+'[9]Promedio 2017'!A15</f>
        <v>2017</v>
      </c>
      <c r="B64" s="177" t="str">
        <f>+'[9]Promedio 2017'!B15</f>
        <v>0307 - 010102040103</v>
      </c>
      <c r="C64" s="177" t="str">
        <f>+'[9]Promedio 2017'!C15</f>
        <v xml:space="preserve">IVA LICORES </v>
      </c>
      <c r="D64" s="186">
        <v>701872547.90999997</v>
      </c>
      <c r="E64" s="186">
        <v>62865135</v>
      </c>
      <c r="F64" s="186">
        <v>29384857</v>
      </c>
      <c r="G64" s="186">
        <v>51146035</v>
      </c>
      <c r="H64" s="186">
        <v>25995730</v>
      </c>
      <c r="I64" s="186">
        <v>32803630</v>
      </c>
      <c r="J64" s="186">
        <v>53371270</v>
      </c>
      <c r="K64" s="186">
        <v>36219970</v>
      </c>
      <c r="L64" s="186">
        <v>71133910</v>
      </c>
      <c r="M64" s="186">
        <v>64710900</v>
      </c>
      <c r="N64" s="186">
        <v>76970540</v>
      </c>
      <c r="O64" s="186">
        <v>104288040.91</v>
      </c>
      <c r="P64" s="186">
        <v>92982530</v>
      </c>
      <c r="Q64" s="180">
        <v>8.9567735890506858E-2</v>
      </c>
      <c r="R64" s="180">
        <v>4.1866371733017223E-2</v>
      </c>
      <c r="S64" s="180">
        <v>7.2870829828435429E-2</v>
      </c>
      <c r="T64" s="180">
        <v>3.7037678817056954E-2</v>
      </c>
      <c r="U64" s="180">
        <v>4.6737303086836726E-2</v>
      </c>
      <c r="V64" s="180">
        <v>7.6041255864652671E-2</v>
      </c>
      <c r="W64" s="180">
        <v>5.1604767999338295E-2</v>
      </c>
      <c r="X64" s="180">
        <v>0.10134875656815316</v>
      </c>
      <c r="Y64" s="180">
        <v>9.2197508212413765E-2</v>
      </c>
      <c r="Z64" s="180">
        <v>0.1096645540977474</v>
      </c>
      <c r="AA64" s="180">
        <v>0.14858543936579877</v>
      </c>
      <c r="AB64" s="180">
        <v>0.13247779853604277</v>
      </c>
      <c r="AC64" s="180">
        <v>1</v>
      </c>
    </row>
    <row r="65" spans="1:29" x14ac:dyDescent="0.25">
      <c r="A65" s="175">
        <f>+'[9]Promedio 2018'!A15</f>
        <v>2018</v>
      </c>
      <c r="B65" s="197" t="str">
        <f>+'[9]Promedio 2018'!B15</f>
        <v>0307 - 010102040106</v>
      </c>
      <c r="C65" s="201" t="str">
        <f>+'[9]Promedio 2018'!C15</f>
        <v>Impuesto al Consumo de Licores</v>
      </c>
      <c r="D65" s="202">
        <v>157789808.06</v>
      </c>
      <c r="E65" s="202">
        <v>31619830</v>
      </c>
      <c r="F65" s="202">
        <v>3806440.6</v>
      </c>
      <c r="G65" s="202">
        <v>7824930</v>
      </c>
      <c r="H65" s="202">
        <v>6112425</v>
      </c>
      <c r="I65" s="202">
        <v>8543940</v>
      </c>
      <c r="J65" s="202">
        <v>13048480</v>
      </c>
      <c r="K65" s="202">
        <v>1714843</v>
      </c>
      <c r="L65" s="202">
        <v>11055282</v>
      </c>
      <c r="M65" s="202">
        <v>18338792</v>
      </c>
      <c r="N65" s="202">
        <v>15537080</v>
      </c>
      <c r="O65" s="202">
        <v>17410870.460000001</v>
      </c>
      <c r="P65" s="202">
        <v>22776895</v>
      </c>
      <c r="Q65" s="199">
        <v>0.20039209368945093</v>
      </c>
      <c r="R65" s="199">
        <v>2.4123488372281881E-2</v>
      </c>
      <c r="S65" s="199">
        <v>4.9590845544501515E-2</v>
      </c>
      <c r="T65" s="199">
        <v>3.8737768143274079E-2</v>
      </c>
      <c r="U65" s="199">
        <v>5.4147603733386528E-2</v>
      </c>
      <c r="V65" s="199">
        <v>8.2695328427285247E-2</v>
      </c>
      <c r="W65" s="199">
        <v>1.0867894581302275E-2</v>
      </c>
      <c r="X65" s="199">
        <v>7.0063346523599287E-2</v>
      </c>
      <c r="Y65" s="199">
        <v>0.11622291848549955</v>
      </c>
      <c r="Z65" s="199">
        <v>9.8466942770422686E-2</v>
      </c>
      <c r="AA65" s="199">
        <v>0.11034217402292212</v>
      </c>
      <c r="AB65" s="199">
        <v>0.14434959570607389</v>
      </c>
      <c r="AC65" s="180">
        <v>1</v>
      </c>
    </row>
    <row r="66" spans="1:29" x14ac:dyDescent="0.25">
      <c r="A66" s="192">
        <f>+'[9]Promedio 2019'!A15</f>
        <v>2019</v>
      </c>
      <c r="B66" s="193" t="str">
        <f>+'[9]Promedio 2019'!B15</f>
        <v>0307 - 010102040106</v>
      </c>
      <c r="C66" s="193" t="str">
        <f>+'[9]Promedio 2019'!C15</f>
        <v>Impuesto al Consumo de Licores</v>
      </c>
      <c r="D66" s="200">
        <v>234634941.90000001</v>
      </c>
      <c r="E66" s="200">
        <v>20166811.899999999</v>
      </c>
      <c r="F66" s="200">
        <v>6015230</v>
      </c>
      <c r="G66" s="200">
        <v>11526090</v>
      </c>
      <c r="H66" s="200">
        <v>1788670</v>
      </c>
      <c r="I66" s="200">
        <v>35930260</v>
      </c>
      <c r="J66" s="200">
        <v>14668150</v>
      </c>
      <c r="K66" s="200">
        <v>17037002</v>
      </c>
      <c r="L66" s="200">
        <v>17957640</v>
      </c>
      <c r="M66" s="200">
        <v>11796840</v>
      </c>
      <c r="N66" s="200">
        <v>33124748</v>
      </c>
      <c r="O66" s="200">
        <v>20715570</v>
      </c>
      <c r="P66" s="200">
        <v>43907930</v>
      </c>
      <c r="Q66" s="196">
        <v>8.5949738503121043E-2</v>
      </c>
      <c r="R66" s="196">
        <v>2.5636548210980676E-2</v>
      </c>
      <c r="S66" s="196">
        <v>4.9123501839348167E-2</v>
      </c>
      <c r="T66" s="196">
        <v>7.6232038822347283E-3</v>
      </c>
      <c r="U66" s="196">
        <v>0.15313260552349128</v>
      </c>
      <c r="V66" s="196">
        <v>6.2514772442765487E-2</v>
      </c>
      <c r="W66" s="196">
        <v>7.2610677088585845E-2</v>
      </c>
      <c r="X66" s="196">
        <v>7.6534380832559187E-2</v>
      </c>
      <c r="Y66" s="196">
        <v>5.0277422043251092E-2</v>
      </c>
      <c r="Z66" s="196">
        <v>0.14117568223967925</v>
      </c>
      <c r="AA66" s="196">
        <v>8.8288512496271121E-2</v>
      </c>
      <c r="AB66" s="196">
        <v>0.18713295489771209</v>
      </c>
      <c r="AC66" s="180">
        <v>1</v>
      </c>
    </row>
    <row r="67" spans="1:29" x14ac:dyDescent="0.25">
      <c r="A67" s="1837" t="s">
        <v>2463</v>
      </c>
      <c r="B67" s="1838"/>
      <c r="C67" s="1839"/>
      <c r="D67" s="189">
        <v>397536627.574</v>
      </c>
      <c r="E67" s="189">
        <v>47079399.579999998</v>
      </c>
      <c r="F67" s="189">
        <v>14938445.52</v>
      </c>
      <c r="G67" s="189">
        <v>18109594</v>
      </c>
      <c r="H67" s="189">
        <v>11517176</v>
      </c>
      <c r="I67" s="189">
        <v>21466412.399999999</v>
      </c>
      <c r="J67" s="189">
        <v>29976042</v>
      </c>
      <c r="K67" s="189">
        <v>24013213</v>
      </c>
      <c r="L67" s="189">
        <v>28921697.399999999</v>
      </c>
      <c r="M67" s="189">
        <v>36723108.399999999</v>
      </c>
      <c r="N67" s="189">
        <v>46066032.600000001</v>
      </c>
      <c r="O67" s="189">
        <v>56247560.274000004</v>
      </c>
      <c r="P67" s="189">
        <v>62477946.399999999</v>
      </c>
      <c r="Q67" s="191">
        <v>0.12923604531080682</v>
      </c>
      <c r="R67" s="191">
        <v>3.421312828452476E-2</v>
      </c>
      <c r="S67" s="191">
        <v>4.3293375342079679E-2</v>
      </c>
      <c r="T67" s="191">
        <v>2.7282846682318913E-2</v>
      </c>
      <c r="U67" s="191">
        <v>6.425797391212347E-2</v>
      </c>
      <c r="V67" s="191">
        <v>7.5052427249956005E-2</v>
      </c>
      <c r="W67" s="191">
        <v>5.6170966897190144E-2</v>
      </c>
      <c r="X67" s="191">
        <v>6.9487732786926146E-2</v>
      </c>
      <c r="Y67" s="191">
        <v>9.1492197716199958E-2</v>
      </c>
      <c r="Z67" s="191">
        <v>0.11674325708714628</v>
      </c>
      <c r="AA67" s="191">
        <v>0.13159628908217483</v>
      </c>
      <c r="AB67" s="191">
        <v>0.16117375964855299</v>
      </c>
      <c r="AC67" s="190">
        <v>0.99999999999999989</v>
      </c>
    </row>
    <row r="68" spans="1:29" x14ac:dyDescent="0.25">
      <c r="A68" s="176">
        <f>+'[9]Promedio 2015'!A14</f>
        <v>2015</v>
      </c>
      <c r="B68" s="177" t="str">
        <f>+'[9]Promedio 2015'!B14</f>
        <v>0307 - 010102040102</v>
      </c>
      <c r="C68" s="178" t="str">
        <f>+'[9]Promedio 2015'!C14</f>
        <v>IVA TELEFONIA MOVIL CELULAR</v>
      </c>
      <c r="D68" s="179">
        <v>446695888</v>
      </c>
      <c r="E68" s="179">
        <v>0</v>
      </c>
      <c r="F68" s="179">
        <v>0</v>
      </c>
      <c r="G68" s="179">
        <v>0</v>
      </c>
      <c r="H68" s="179">
        <v>0</v>
      </c>
      <c r="I68" s="179">
        <v>446695888</v>
      </c>
      <c r="J68" s="179">
        <v>0</v>
      </c>
      <c r="K68" s="179">
        <v>0</v>
      </c>
      <c r="L68" s="179">
        <v>0</v>
      </c>
      <c r="M68" s="179">
        <v>0</v>
      </c>
      <c r="N68" s="179">
        <v>0</v>
      </c>
      <c r="O68" s="179">
        <v>0</v>
      </c>
      <c r="P68" s="179">
        <v>0</v>
      </c>
      <c r="Q68" s="180">
        <v>0</v>
      </c>
      <c r="R68" s="180">
        <v>0</v>
      </c>
      <c r="S68" s="180">
        <v>0</v>
      </c>
      <c r="T68" s="180">
        <v>0</v>
      </c>
      <c r="U68" s="180">
        <v>1</v>
      </c>
      <c r="V68" s="180">
        <v>0</v>
      </c>
      <c r="W68" s="180">
        <v>0</v>
      </c>
      <c r="X68" s="180">
        <v>0</v>
      </c>
      <c r="Y68" s="180">
        <v>0</v>
      </c>
      <c r="Z68" s="180">
        <v>0</v>
      </c>
      <c r="AA68" s="180">
        <v>0</v>
      </c>
      <c r="AB68" s="180">
        <v>0</v>
      </c>
      <c r="AC68" s="180">
        <v>1</v>
      </c>
    </row>
    <row r="69" spans="1:29" x14ac:dyDescent="0.25">
      <c r="A69" s="182">
        <f>+'[9]Promedio 2016'!A14</f>
        <v>2016</v>
      </c>
      <c r="B69" s="183" t="str">
        <f>+'[9]Promedio 2016'!B14</f>
        <v>0307 - 010102040102</v>
      </c>
      <c r="C69" s="183" t="str">
        <f>+'[9]Promedio 2016'!C14</f>
        <v>IVA TELEFONIA MOVIL CELULAR</v>
      </c>
      <c r="D69" s="184">
        <v>435938414.19999999</v>
      </c>
      <c r="E69" s="184">
        <v>0</v>
      </c>
      <c r="F69" s="184">
        <v>0</v>
      </c>
      <c r="G69" s="184">
        <v>0</v>
      </c>
      <c r="H69" s="184">
        <v>0</v>
      </c>
      <c r="I69" s="184">
        <v>217969207</v>
      </c>
      <c r="J69" s="184">
        <v>0</v>
      </c>
      <c r="K69" s="184">
        <v>217969207.19999999</v>
      </c>
      <c r="L69" s="184">
        <v>0</v>
      </c>
      <c r="M69" s="184">
        <v>0</v>
      </c>
      <c r="N69" s="184">
        <v>0</v>
      </c>
      <c r="O69" s="184">
        <v>0</v>
      </c>
      <c r="P69" s="184">
        <v>0</v>
      </c>
      <c r="Q69" s="185">
        <v>0</v>
      </c>
      <c r="R69" s="185">
        <v>0</v>
      </c>
      <c r="S69" s="185">
        <v>0</v>
      </c>
      <c r="T69" s="185">
        <v>0</v>
      </c>
      <c r="U69" s="185">
        <v>0.49999999977060983</v>
      </c>
      <c r="V69" s="185">
        <v>0</v>
      </c>
      <c r="W69" s="185">
        <v>0.50000000022939017</v>
      </c>
      <c r="X69" s="185">
        <v>0</v>
      </c>
      <c r="Y69" s="185">
        <v>0</v>
      </c>
      <c r="Z69" s="185">
        <v>0</v>
      </c>
      <c r="AA69" s="185">
        <v>0</v>
      </c>
      <c r="AB69" s="185">
        <v>0</v>
      </c>
      <c r="AC69" s="180">
        <v>1</v>
      </c>
    </row>
    <row r="70" spans="1:29" x14ac:dyDescent="0.25">
      <c r="A70" s="176">
        <f>+'[9]Promedio 2017'!A14</f>
        <v>2017</v>
      </c>
      <c r="B70" s="177" t="str">
        <f>+'[9]Promedio 2017'!B14</f>
        <v>0307 - 010102040102</v>
      </c>
      <c r="C70" s="177" t="str">
        <f>+'[9]Promedio 2017'!C14</f>
        <v>IVA TELEFONIA MOVIL CELULAR</v>
      </c>
      <c r="D70" s="186">
        <v>413355286</v>
      </c>
      <c r="E70" s="186">
        <v>0</v>
      </c>
      <c r="F70" s="186">
        <v>0</v>
      </c>
      <c r="G70" s="186">
        <v>0</v>
      </c>
      <c r="H70" s="186">
        <v>0</v>
      </c>
      <c r="I70" s="186">
        <v>0</v>
      </c>
      <c r="J70" s="186">
        <v>0</v>
      </c>
      <c r="K70" s="186">
        <v>206677643</v>
      </c>
      <c r="L70" s="186">
        <v>0</v>
      </c>
      <c r="M70" s="186">
        <v>206677643</v>
      </c>
      <c r="N70" s="186">
        <v>0</v>
      </c>
      <c r="O70" s="186">
        <v>0</v>
      </c>
      <c r="P70" s="186">
        <v>0</v>
      </c>
      <c r="Q70" s="180">
        <v>0</v>
      </c>
      <c r="R70" s="180">
        <v>0</v>
      </c>
      <c r="S70" s="180">
        <v>0</v>
      </c>
      <c r="T70" s="180">
        <v>0</v>
      </c>
      <c r="U70" s="180">
        <v>0</v>
      </c>
      <c r="V70" s="180">
        <v>0</v>
      </c>
      <c r="W70" s="180">
        <v>0.5</v>
      </c>
      <c r="X70" s="180">
        <v>0</v>
      </c>
      <c r="Y70" s="180">
        <v>0.5</v>
      </c>
      <c r="Z70" s="180">
        <v>0</v>
      </c>
      <c r="AA70" s="180">
        <v>0</v>
      </c>
      <c r="AB70" s="180">
        <v>0</v>
      </c>
      <c r="AC70" s="180">
        <v>1</v>
      </c>
    </row>
    <row r="71" spans="1:29" x14ac:dyDescent="0.25">
      <c r="A71" s="182">
        <f>+'[9]Promedio 2018'!A14</f>
        <v>2018</v>
      </c>
      <c r="B71" s="183" t="str">
        <f>+'[9]Promedio 2018'!B14</f>
        <v>0307 - 010102040102</v>
      </c>
      <c r="C71" s="187" t="str">
        <f>+'[9]Promedio 2018'!C14</f>
        <v>IVA TELEFONIA MOVIL CELULAR</v>
      </c>
      <c r="D71" s="188">
        <v>176268649</v>
      </c>
      <c r="E71" s="188">
        <v>0</v>
      </c>
      <c r="F71" s="188">
        <v>0</v>
      </c>
      <c r="G71" s="188">
        <v>0</v>
      </c>
      <c r="H71" s="188">
        <v>176268649</v>
      </c>
      <c r="I71" s="188">
        <v>0</v>
      </c>
      <c r="J71" s="188">
        <v>0</v>
      </c>
      <c r="K71" s="188">
        <v>0</v>
      </c>
      <c r="L71" s="188">
        <v>0</v>
      </c>
      <c r="M71" s="188">
        <v>0</v>
      </c>
      <c r="N71" s="188">
        <v>0</v>
      </c>
      <c r="O71" s="188">
        <v>0</v>
      </c>
      <c r="P71" s="188">
        <v>0</v>
      </c>
      <c r="Q71" s="185">
        <v>0</v>
      </c>
      <c r="R71" s="185">
        <v>0</v>
      </c>
      <c r="S71" s="185">
        <v>0</v>
      </c>
      <c r="T71" s="185">
        <v>1</v>
      </c>
      <c r="U71" s="185">
        <v>0</v>
      </c>
      <c r="V71" s="185">
        <v>0</v>
      </c>
      <c r="W71" s="185">
        <v>0</v>
      </c>
      <c r="X71" s="185">
        <v>0</v>
      </c>
      <c r="Y71" s="185">
        <v>0</v>
      </c>
      <c r="Z71" s="185">
        <v>0</v>
      </c>
      <c r="AA71" s="185">
        <v>0</v>
      </c>
      <c r="AB71" s="185">
        <v>0</v>
      </c>
      <c r="AC71" s="180">
        <v>1</v>
      </c>
    </row>
    <row r="72" spans="1:29" x14ac:dyDescent="0.25">
      <c r="A72" s="176">
        <f>+'[9]Promedio 2019'!A14</f>
        <v>2019</v>
      </c>
      <c r="B72" s="177" t="str">
        <f>+'[9]Promedio 2019'!B14</f>
        <v>0307 - 010102040102</v>
      </c>
      <c r="C72" s="177" t="str">
        <f>+'[9]Promedio 2019'!C14</f>
        <v>IVA TELEFONIA MOVIL CELULAR</v>
      </c>
      <c r="D72" s="186">
        <v>173782366</v>
      </c>
      <c r="E72" s="186">
        <v>0</v>
      </c>
      <c r="F72" s="186">
        <v>0</v>
      </c>
      <c r="G72" s="186">
        <v>173782366</v>
      </c>
      <c r="H72" s="186">
        <v>0</v>
      </c>
      <c r="I72" s="186">
        <v>0</v>
      </c>
      <c r="J72" s="186">
        <v>0</v>
      </c>
      <c r="K72" s="186">
        <v>0</v>
      </c>
      <c r="L72" s="186">
        <v>0</v>
      </c>
      <c r="M72" s="186">
        <v>0</v>
      </c>
      <c r="N72" s="186">
        <v>0</v>
      </c>
      <c r="O72" s="186">
        <v>0</v>
      </c>
      <c r="P72" s="186">
        <v>0</v>
      </c>
      <c r="Q72" s="180">
        <v>0</v>
      </c>
      <c r="R72" s="180">
        <v>0</v>
      </c>
      <c r="S72" s="180">
        <v>1</v>
      </c>
      <c r="T72" s="180">
        <v>0</v>
      </c>
      <c r="U72" s="180">
        <v>0</v>
      </c>
      <c r="V72" s="180">
        <v>0</v>
      </c>
      <c r="W72" s="180">
        <v>0</v>
      </c>
      <c r="X72" s="180">
        <v>0</v>
      </c>
      <c r="Y72" s="180">
        <v>0</v>
      </c>
      <c r="Z72" s="180">
        <v>0</v>
      </c>
      <c r="AA72" s="180">
        <v>0</v>
      </c>
      <c r="AB72" s="180">
        <v>0</v>
      </c>
      <c r="AC72" s="180">
        <v>1</v>
      </c>
    </row>
    <row r="73" spans="1:29" x14ac:dyDescent="0.25">
      <c r="A73" s="1837" t="s">
        <v>1092</v>
      </c>
      <c r="B73" s="1838"/>
      <c r="C73" s="1839"/>
      <c r="D73" s="189">
        <v>329208120.63999999</v>
      </c>
      <c r="E73" s="189">
        <v>0</v>
      </c>
      <c r="F73" s="189">
        <v>0</v>
      </c>
      <c r="G73" s="189">
        <v>34756473.200000003</v>
      </c>
      <c r="H73" s="189">
        <v>35253729.799999997</v>
      </c>
      <c r="I73" s="189">
        <v>132933019</v>
      </c>
      <c r="J73" s="189">
        <v>0</v>
      </c>
      <c r="K73" s="189">
        <v>84929370.039999992</v>
      </c>
      <c r="L73" s="189">
        <v>0</v>
      </c>
      <c r="M73" s="189">
        <v>41335528.600000001</v>
      </c>
      <c r="N73" s="189">
        <v>0</v>
      </c>
      <c r="O73" s="189">
        <v>0</v>
      </c>
      <c r="P73" s="189">
        <v>0</v>
      </c>
      <c r="Q73" s="191">
        <v>0</v>
      </c>
      <c r="R73" s="191">
        <v>0</v>
      </c>
      <c r="S73" s="191">
        <v>0.2</v>
      </c>
      <c r="T73" s="191">
        <v>0.2</v>
      </c>
      <c r="U73" s="191">
        <v>0.29999999995412197</v>
      </c>
      <c r="V73" s="191">
        <v>0</v>
      </c>
      <c r="W73" s="191">
        <v>0.20000000004587806</v>
      </c>
      <c r="X73" s="191">
        <v>0</v>
      </c>
      <c r="Y73" s="191">
        <v>0.1</v>
      </c>
      <c r="Z73" s="191">
        <v>0</v>
      </c>
      <c r="AA73" s="191">
        <v>0</v>
      </c>
      <c r="AB73" s="191">
        <v>0</v>
      </c>
      <c r="AC73" s="190">
        <v>1</v>
      </c>
    </row>
    <row r="74" spans="1:29" ht="30" x14ac:dyDescent="0.25">
      <c r="A74" s="176">
        <f>+'[9]Promedio 2015'!A26</f>
        <v>2015</v>
      </c>
      <c r="B74" s="177" t="str">
        <f>+'[9]Promedio 2015'!B26</f>
        <v>0318 - 0102040402</v>
      </c>
      <c r="C74" s="178" t="str">
        <f>+'[9]Promedio 2015'!C26</f>
        <v>JUEGOS DE SUERTE Y AZAR OTROS GASTOS EN SALUD</v>
      </c>
      <c r="D74" s="179">
        <v>2604448698.6300001</v>
      </c>
      <c r="E74" s="179">
        <v>249548634</v>
      </c>
      <c r="F74" s="179">
        <v>190247601</v>
      </c>
      <c r="G74" s="179">
        <v>227041557</v>
      </c>
      <c r="H74" s="179">
        <v>207767899.88</v>
      </c>
      <c r="I74" s="179">
        <v>181836621</v>
      </c>
      <c r="J74" s="179">
        <v>263811672</v>
      </c>
      <c r="K74" s="179">
        <v>199241664.75</v>
      </c>
      <c r="L74" s="179">
        <v>243533192</v>
      </c>
      <c r="M74" s="179">
        <v>193412475</v>
      </c>
      <c r="N74" s="179">
        <v>205134527</v>
      </c>
      <c r="O74" s="179">
        <v>230750659</v>
      </c>
      <c r="P74" s="179">
        <v>212122196</v>
      </c>
      <c r="Q74" s="180">
        <v>9.5816298524623783E-2</v>
      </c>
      <c r="R74" s="180">
        <v>7.3047167755722966E-2</v>
      </c>
      <c r="S74" s="180">
        <v>8.7174516863944784E-2</v>
      </c>
      <c r="T74" s="180">
        <v>7.9774233982527934E-2</v>
      </c>
      <c r="U74" s="180">
        <v>6.9817701187836895E-2</v>
      </c>
      <c r="V74" s="180">
        <v>0.10129271201954218</v>
      </c>
      <c r="W74" s="180">
        <v>7.6500514237353073E-2</v>
      </c>
      <c r="X74" s="180">
        <v>9.3506618935555938E-2</v>
      </c>
      <c r="Y74" s="180">
        <v>7.4262347767394848E-2</v>
      </c>
      <c r="Z74" s="180">
        <v>7.876312829963035E-2</v>
      </c>
      <c r="AA74" s="180">
        <v>8.8598657797091626E-2</v>
      </c>
      <c r="AB74" s="180">
        <v>8.144610262877558E-2</v>
      </c>
      <c r="AC74" s="180">
        <v>0.99999999999999989</v>
      </c>
    </row>
    <row r="75" spans="1:29" x14ac:dyDescent="0.25">
      <c r="A75" s="182">
        <f>+'[9]Promedio 2016'!A26</f>
        <v>2016</v>
      </c>
      <c r="B75" s="183" t="str">
        <f>+'[9]Promedio 2016'!B26</f>
        <v>0318 - 0102040402</v>
      </c>
      <c r="C75" s="183" t="str">
        <f>+'[9]Promedio 2016'!C26</f>
        <v>JUEGOS DE SUERTE Y AZAR OTROS GASTOS EN SALUD</v>
      </c>
      <c r="D75" s="184">
        <v>2774405564.52</v>
      </c>
      <c r="E75" s="184">
        <v>303069421.44</v>
      </c>
      <c r="F75" s="184">
        <v>193143106.24000001</v>
      </c>
      <c r="G75" s="184">
        <v>182195622.08000001</v>
      </c>
      <c r="H75" s="184">
        <v>210692986.88</v>
      </c>
      <c r="I75" s="184">
        <v>211454201.28</v>
      </c>
      <c r="J75" s="184">
        <v>250707282.88</v>
      </c>
      <c r="K75" s="184">
        <v>222985096.63999999</v>
      </c>
      <c r="L75" s="184">
        <v>225658535.68000001</v>
      </c>
      <c r="M75" s="184">
        <v>210329553</v>
      </c>
      <c r="N75" s="184">
        <v>268558076.16000003</v>
      </c>
      <c r="O75" s="184">
        <v>273362429.75999999</v>
      </c>
      <c r="P75" s="184">
        <v>222249252.47999999</v>
      </c>
      <c r="Q75" s="185">
        <v>0.10923760581933308</v>
      </c>
      <c r="R75" s="185">
        <v>6.9616031884442861E-2</v>
      </c>
      <c r="S75" s="185">
        <v>6.5670147295686265E-2</v>
      </c>
      <c r="T75" s="185">
        <v>7.5941668216936403E-2</v>
      </c>
      <c r="U75" s="185">
        <v>7.6216038485557067E-2</v>
      </c>
      <c r="V75" s="185">
        <v>9.0364323834311103E-2</v>
      </c>
      <c r="W75" s="185">
        <v>8.0372206389579759E-2</v>
      </c>
      <c r="X75" s="185">
        <v>8.1335814260825701E-2</v>
      </c>
      <c r="Y75" s="185">
        <v>7.5810672992356512E-2</v>
      </c>
      <c r="Z75" s="185">
        <v>9.6798420387562645E-2</v>
      </c>
      <c r="AA75" s="185">
        <v>9.8530089924792383E-2</v>
      </c>
      <c r="AB75" s="185">
        <v>8.0106980508616213E-2</v>
      </c>
      <c r="AC75" s="180">
        <v>1</v>
      </c>
    </row>
    <row r="76" spans="1:29" x14ac:dyDescent="0.25">
      <c r="A76" s="176">
        <f>+'[9]Promedio 2017'!A26</f>
        <v>2017</v>
      </c>
      <c r="B76" s="177" t="str">
        <f>+'[9]Promedio 2017'!B26</f>
        <v>0318 - 0102040402</v>
      </c>
      <c r="C76" s="177" t="str">
        <f>+'[9]Promedio 2017'!C26</f>
        <v>JUEGOS DE SUERTE Y AZAR OTROS GASTOS EN SALUD</v>
      </c>
      <c r="D76" s="186">
        <v>2960664813.4399996</v>
      </c>
      <c r="E76" s="186">
        <v>268222233.59999999</v>
      </c>
      <c r="F76" s="186">
        <v>216853228.80000001</v>
      </c>
      <c r="G76" s="186">
        <v>200793363.19999999</v>
      </c>
      <c r="H76" s="186">
        <v>240594883.19999999</v>
      </c>
      <c r="I76" s="186">
        <v>232251630.08000001</v>
      </c>
      <c r="J76" s="186">
        <v>221770226.56</v>
      </c>
      <c r="K76" s="186">
        <v>236126794.24000001</v>
      </c>
      <c r="L76" s="186">
        <v>241962795.52000001</v>
      </c>
      <c r="M76" s="186">
        <v>331991587.19999999</v>
      </c>
      <c r="N76" s="186">
        <v>221277811.52000001</v>
      </c>
      <c r="O76" s="186">
        <v>307798371.19999999</v>
      </c>
      <c r="P76" s="186">
        <v>241021888.31999999</v>
      </c>
      <c r="Q76" s="180">
        <v>9.0595271839756922E-2</v>
      </c>
      <c r="R76" s="180">
        <v>7.3244775232775505E-2</v>
      </c>
      <c r="S76" s="180">
        <v>6.7820363280738274E-2</v>
      </c>
      <c r="T76" s="180">
        <v>8.1263803355183781E-2</v>
      </c>
      <c r="U76" s="180">
        <v>7.8445769688513509E-2</v>
      </c>
      <c r="V76" s="180">
        <v>7.4905550116064964E-2</v>
      </c>
      <c r="W76" s="180">
        <v>7.9754652795580749E-2</v>
      </c>
      <c r="X76" s="180">
        <v>8.1725832124462341E-2</v>
      </c>
      <c r="Y76" s="180">
        <v>0.11213413477031148</v>
      </c>
      <c r="Z76" s="180">
        <v>7.4739231038753448E-2</v>
      </c>
      <c r="AA76" s="180">
        <v>0.10396258630924476</v>
      </c>
      <c r="AB76" s="180">
        <v>8.1408029448614416E-2</v>
      </c>
      <c r="AC76" s="180">
        <v>1</v>
      </c>
    </row>
    <row r="77" spans="1:29" ht="30" x14ac:dyDescent="0.25">
      <c r="A77" s="182">
        <f>+'[9]Promedio 2018'!A26</f>
        <v>2018</v>
      </c>
      <c r="B77" s="183" t="str">
        <f>+'[9]Promedio 2018'!B26</f>
        <v>0318 - 0102040402</v>
      </c>
      <c r="C77" s="187" t="str">
        <f>+'[9]Promedio 2018'!C26</f>
        <v>JUEGOS DE SUERTE Y AZAR OTROS GASTOS EN SALUD</v>
      </c>
      <c r="D77" s="188">
        <v>3174157127.8800001</v>
      </c>
      <c r="E77" s="188">
        <v>371259601.60000002</v>
      </c>
      <c r="F77" s="188">
        <v>192234916.16</v>
      </c>
      <c r="G77" s="188">
        <v>164872147.5</v>
      </c>
      <c r="H77" s="188">
        <v>197546509.5</v>
      </c>
      <c r="I77" s="188">
        <v>174280613.75</v>
      </c>
      <c r="J77" s="188">
        <v>193542450.25</v>
      </c>
      <c r="K77" s="188">
        <v>219798987.25</v>
      </c>
      <c r="L77" s="188">
        <v>244857143</v>
      </c>
      <c r="M77" s="188">
        <v>605272029.25</v>
      </c>
      <c r="N77" s="188">
        <v>181235444</v>
      </c>
      <c r="O77" s="188">
        <v>276597679.87</v>
      </c>
      <c r="P77" s="188">
        <v>352659605.75</v>
      </c>
      <c r="Q77" s="185">
        <v>0.11696320838658734</v>
      </c>
      <c r="R77" s="185">
        <v>6.0562507908482936E-2</v>
      </c>
      <c r="S77" s="185">
        <v>5.1942024562003045E-2</v>
      </c>
      <c r="T77" s="185">
        <v>6.223589492935408E-2</v>
      </c>
      <c r="U77" s="185">
        <v>5.4906107898445765E-2</v>
      </c>
      <c r="V77" s="185">
        <v>6.0974439025098234E-2</v>
      </c>
      <c r="W77" s="185">
        <v>6.9246410431106284E-2</v>
      </c>
      <c r="X77" s="185">
        <v>7.7140838696771949E-2</v>
      </c>
      <c r="Y77" s="185">
        <v>0.19068748170455488</v>
      </c>
      <c r="Z77" s="185">
        <v>5.7097187284186536E-2</v>
      </c>
      <c r="AA77" s="185">
        <v>8.7140512812211621E-2</v>
      </c>
      <c r="AB77" s="185">
        <v>0.11110338636119731</v>
      </c>
      <c r="AC77" s="180">
        <v>1</v>
      </c>
    </row>
    <row r="78" spans="1:29" x14ac:dyDescent="0.25">
      <c r="A78" s="176">
        <f>+'[9]Promedio 2019'!A26</f>
        <v>2019</v>
      </c>
      <c r="B78" s="177" t="str">
        <f>+'[9]Promedio 2019'!B26</f>
        <v>0318 - 0102040402</v>
      </c>
      <c r="C78" s="177" t="str">
        <f>+'[9]Promedio 2019'!C26</f>
        <v>JUEGOS DE SUERTE Y AZAR OTROS GASTOS EN SALUD</v>
      </c>
      <c r="D78" s="186">
        <v>3040290223.3600001</v>
      </c>
      <c r="E78" s="186">
        <v>233920145</v>
      </c>
      <c r="F78" s="186">
        <v>312038627</v>
      </c>
      <c r="G78" s="186">
        <v>168305748</v>
      </c>
      <c r="H78" s="186">
        <v>204012136</v>
      </c>
      <c r="I78" s="186">
        <v>200824460.36000001</v>
      </c>
      <c r="J78" s="186">
        <v>474908765.5</v>
      </c>
      <c r="K78" s="186">
        <v>237352068.25</v>
      </c>
      <c r="L78" s="186">
        <v>232729227.75</v>
      </c>
      <c r="M78" s="186">
        <v>390527881.25</v>
      </c>
      <c r="N78" s="186">
        <v>182939737</v>
      </c>
      <c r="O78" s="186">
        <v>243620115.25</v>
      </c>
      <c r="P78" s="186">
        <v>159111312</v>
      </c>
      <c r="Q78" s="180">
        <v>7.6940070787545195E-2</v>
      </c>
      <c r="R78" s="180">
        <v>0.10263448686656898</v>
      </c>
      <c r="S78" s="180">
        <v>5.5358447922776138E-2</v>
      </c>
      <c r="T78" s="180">
        <v>6.7102849074235554E-2</v>
      </c>
      <c r="U78" s="180">
        <v>6.6054371657340433E-2</v>
      </c>
      <c r="V78" s="180">
        <v>0.15620507603223185</v>
      </c>
      <c r="W78" s="180">
        <v>7.8068885143369154E-2</v>
      </c>
      <c r="X78" s="180">
        <v>7.6548359088165444E-2</v>
      </c>
      <c r="Y78" s="180">
        <v>0.12845085585888741</v>
      </c>
      <c r="Z78" s="180">
        <v>6.0171800571664748E-2</v>
      </c>
      <c r="AA78" s="180">
        <v>8.0130545886096805E-2</v>
      </c>
      <c r="AB78" s="180">
        <v>5.2334251111118238E-2</v>
      </c>
      <c r="AC78" s="180">
        <v>1</v>
      </c>
    </row>
    <row r="79" spans="1:29" x14ac:dyDescent="0.25">
      <c r="A79" s="1837" t="s">
        <v>2464</v>
      </c>
      <c r="B79" s="1838"/>
      <c r="C79" s="1839"/>
      <c r="D79" s="189">
        <v>2910793285.566</v>
      </c>
      <c r="E79" s="189">
        <v>285204007.12800002</v>
      </c>
      <c r="F79" s="189">
        <v>220903495.83999997</v>
      </c>
      <c r="G79" s="189">
        <v>188641687.55599999</v>
      </c>
      <c r="H79" s="189">
        <v>212122883.09200001</v>
      </c>
      <c r="I79" s="189">
        <v>200129505.294</v>
      </c>
      <c r="J79" s="189">
        <v>280948079.43800002</v>
      </c>
      <c r="K79" s="189">
        <v>223100922.22600001</v>
      </c>
      <c r="L79" s="189">
        <v>237748178.79000002</v>
      </c>
      <c r="M79" s="189">
        <v>346306705.13999999</v>
      </c>
      <c r="N79" s="189">
        <v>211829119.13600001</v>
      </c>
      <c r="O79" s="189">
        <v>266425851.01599997</v>
      </c>
      <c r="P79" s="189">
        <v>237432850.91</v>
      </c>
      <c r="Q79" s="191">
        <v>9.7910491071569267E-2</v>
      </c>
      <c r="R79" s="191">
        <v>7.5820993929598651E-2</v>
      </c>
      <c r="S79" s="191">
        <v>6.5593099985029685E-2</v>
      </c>
      <c r="T79" s="191">
        <v>7.3263689911647556E-2</v>
      </c>
      <c r="U79" s="191">
        <v>6.9087997783538732E-2</v>
      </c>
      <c r="V79" s="191">
        <v>9.6748420205449673E-2</v>
      </c>
      <c r="W79" s="191">
        <v>7.6788533799397804E-2</v>
      </c>
      <c r="X79" s="191">
        <v>8.2051492621156269E-2</v>
      </c>
      <c r="Y79" s="191">
        <v>0.11626909861870102</v>
      </c>
      <c r="Z79" s="191">
        <v>7.3513953516359559E-2</v>
      </c>
      <c r="AA79" s="191">
        <v>9.1672478545887434E-2</v>
      </c>
      <c r="AB79" s="191">
        <v>8.1279750011664348E-2</v>
      </c>
      <c r="AC79" s="190">
        <v>1</v>
      </c>
    </row>
    <row r="80" spans="1:29" ht="30" x14ac:dyDescent="0.25">
      <c r="A80" s="176" t="s">
        <v>2465</v>
      </c>
      <c r="B80" s="177" t="str">
        <f>+'[9]Promedio 2015'!B22</f>
        <v>0318 - 0102040302</v>
      </c>
      <c r="C80" s="178" t="str">
        <f>+'[9]Promedio 2015'!C22</f>
        <v>JUEGOS DE SUERTE Y AZAR REGIMEN SUBSIDIADO</v>
      </c>
      <c r="D80" s="179">
        <v>5534453480.8099995</v>
      </c>
      <c r="E80" s="179">
        <v>530290847</v>
      </c>
      <c r="F80" s="179">
        <v>404276156</v>
      </c>
      <c r="G80" s="179">
        <v>482463309</v>
      </c>
      <c r="H80" s="179">
        <v>441506786.12</v>
      </c>
      <c r="I80" s="179">
        <v>386402817</v>
      </c>
      <c r="J80" s="179">
        <v>560599800</v>
      </c>
      <c r="K80" s="179">
        <v>423388535.19</v>
      </c>
      <c r="L80" s="179">
        <v>517508032</v>
      </c>
      <c r="M80" s="179">
        <v>411001508</v>
      </c>
      <c r="N80" s="179">
        <v>435910871</v>
      </c>
      <c r="O80" s="179">
        <v>490345150.5</v>
      </c>
      <c r="P80" s="179">
        <v>450759669</v>
      </c>
      <c r="Q80" s="180">
        <v>9.5816298544872558E-2</v>
      </c>
      <c r="R80" s="180">
        <v>7.3047168505756752E-2</v>
      </c>
      <c r="S80" s="180">
        <v>8.7174516991222167E-2</v>
      </c>
      <c r="T80" s="180">
        <v>7.977423383372316E-2</v>
      </c>
      <c r="U80" s="180">
        <v>6.9817700761204651E-2</v>
      </c>
      <c r="V80" s="180">
        <v>0.10129271154664271</v>
      </c>
      <c r="W80" s="180">
        <v>7.6500513855260494E-2</v>
      </c>
      <c r="X80" s="180">
        <v>9.3506618818713E-2</v>
      </c>
      <c r="Y80" s="180">
        <v>7.4262347569655163E-2</v>
      </c>
      <c r="Z80" s="180">
        <v>7.876312855667944E-2</v>
      </c>
      <c r="AA80" s="180">
        <v>8.8598657880169795E-2</v>
      </c>
      <c r="AB80" s="180">
        <v>8.1446103136100206E-2</v>
      </c>
      <c r="AC80" s="180">
        <v>1.0000000000000002</v>
      </c>
    </row>
    <row r="81" spans="1:29" x14ac:dyDescent="0.25">
      <c r="A81" s="182">
        <f>+'[9]Promedio 2016'!A22</f>
        <v>2016</v>
      </c>
      <c r="B81" s="183" t="str">
        <f>+'[9]Promedio 2016'!B22</f>
        <v>0318 - 0102040302</v>
      </c>
      <c r="C81" s="183" t="str">
        <f>+'[9]Promedio 2016'!C22</f>
        <v>JUEGOS DE SUERTE Y AZAR REGIMEN SUBSIDIADO</v>
      </c>
      <c r="D81" s="184">
        <v>5895611824.4799995</v>
      </c>
      <c r="E81" s="184">
        <v>644022520.55999994</v>
      </c>
      <c r="F81" s="184">
        <v>410429100.75999999</v>
      </c>
      <c r="G81" s="184">
        <v>387165696.92000002</v>
      </c>
      <c r="H81" s="184">
        <v>447722597.12</v>
      </c>
      <c r="I81" s="184">
        <v>449340177.72000003</v>
      </c>
      <c r="J81" s="184">
        <v>532752976.12</v>
      </c>
      <c r="K81" s="184">
        <v>473843330.36000001</v>
      </c>
      <c r="L81" s="184">
        <v>479524388.31999999</v>
      </c>
      <c r="M81" s="184">
        <v>446950300</v>
      </c>
      <c r="N81" s="184">
        <v>570685911.84000003</v>
      </c>
      <c r="O81" s="184">
        <v>580895163.24000001</v>
      </c>
      <c r="P81" s="184">
        <v>472279661.51999998</v>
      </c>
      <c r="Q81" s="185">
        <v>0.10923760582164915</v>
      </c>
      <c r="R81" s="185">
        <v>6.9616031885918875E-2</v>
      </c>
      <c r="S81" s="185">
        <v>6.5670147297078624E-2</v>
      </c>
      <c r="T81" s="185">
        <v>7.5941668218546546E-2</v>
      </c>
      <c r="U81" s="185">
        <v>7.6216038487173024E-2</v>
      </c>
      <c r="V81" s="185">
        <v>9.0364323836227042E-2</v>
      </c>
      <c r="W81" s="185">
        <v>8.037220639128384E-2</v>
      </c>
      <c r="X81" s="185">
        <v>8.133581426255021E-2</v>
      </c>
      <c r="Y81" s="185">
        <v>7.5810672972761672E-2</v>
      </c>
      <c r="Z81" s="185">
        <v>9.6798420389614989E-2</v>
      </c>
      <c r="AA81" s="185">
        <v>9.8530089926881462E-2</v>
      </c>
      <c r="AB81" s="185">
        <v>8.010698051031466E-2</v>
      </c>
      <c r="AC81" s="180">
        <v>1</v>
      </c>
    </row>
    <row r="82" spans="1:29" x14ac:dyDescent="0.25">
      <c r="A82" s="176">
        <f>+'[9]Promedio 2017'!A22</f>
        <v>2017</v>
      </c>
      <c r="B82" s="177" t="str">
        <f>+'[9]Promedio 2017'!B22</f>
        <v>0318 - 0102040302</v>
      </c>
      <c r="C82" s="177" t="str">
        <f>+'[9]Promedio 2017'!C22</f>
        <v>JUEGOS DE SUERTE Y AZAR REGIMEN SUBSIDIADO</v>
      </c>
      <c r="D82" s="186">
        <v>6291412728.5600004</v>
      </c>
      <c r="E82" s="186">
        <v>569972246.39999998</v>
      </c>
      <c r="F82" s="186">
        <v>460813111.19999999</v>
      </c>
      <c r="G82" s="186">
        <v>426685896.80000001</v>
      </c>
      <c r="H82" s="186">
        <v>511264126.80000001</v>
      </c>
      <c r="I82" s="186">
        <v>493534713.92000002</v>
      </c>
      <c r="J82" s="186">
        <v>471261731.44</v>
      </c>
      <c r="K82" s="186">
        <v>501769437.75999999</v>
      </c>
      <c r="L82" s="186">
        <v>514170940.48000002</v>
      </c>
      <c r="M82" s="186">
        <v>705482122.79999995</v>
      </c>
      <c r="N82" s="186">
        <v>470215349.48000002</v>
      </c>
      <c r="O82" s="186">
        <v>654071538.79999995</v>
      </c>
      <c r="P82" s="186">
        <v>512171512.68000001</v>
      </c>
      <c r="Q82" s="180">
        <v>9.0595271839756908E-2</v>
      </c>
      <c r="R82" s="180">
        <v>7.3244775232775491E-2</v>
      </c>
      <c r="S82" s="180">
        <v>6.7820363280738274E-2</v>
      </c>
      <c r="T82" s="180">
        <v>8.1263803355183767E-2</v>
      </c>
      <c r="U82" s="180">
        <v>7.8445769688513495E-2</v>
      </c>
      <c r="V82" s="180">
        <v>7.4905550116064937E-2</v>
      </c>
      <c r="W82" s="180">
        <v>7.9754652795580722E-2</v>
      </c>
      <c r="X82" s="180">
        <v>8.1725832124462314E-2</v>
      </c>
      <c r="Y82" s="180">
        <v>0.11213413477031145</v>
      </c>
      <c r="Z82" s="180">
        <v>7.4739231038753434E-2</v>
      </c>
      <c r="AA82" s="180">
        <v>0.10396258630924474</v>
      </c>
      <c r="AB82" s="180">
        <v>8.1408029448614402E-2</v>
      </c>
      <c r="AC82" s="180">
        <v>0.99999999999999978</v>
      </c>
    </row>
    <row r="83" spans="1:29" ht="30" x14ac:dyDescent="0.25">
      <c r="A83" s="182">
        <f>+'[9]Promedio 2018'!A22</f>
        <v>2018</v>
      </c>
      <c r="B83" s="183" t="str">
        <f>+'[9]Promedio 2018'!B22</f>
        <v>0318 - 0102040302</v>
      </c>
      <c r="C83" s="187" t="str">
        <f>+'[9]Promedio 2018'!C22</f>
        <v>JUEGOS DE SUERTE Y AZAR REGIMEN SUBSIDIADO</v>
      </c>
      <c r="D83" s="188">
        <v>6239097830.2399998</v>
      </c>
      <c r="E83" s="188">
        <v>788926653.39999998</v>
      </c>
      <c r="F83" s="188">
        <v>304493740.83999997</v>
      </c>
      <c r="G83" s="188">
        <v>14409540</v>
      </c>
      <c r="H83" s="188">
        <v>1027650</v>
      </c>
      <c r="I83" s="188">
        <v>0</v>
      </c>
      <c r="J83" s="188">
        <v>0</v>
      </c>
      <c r="K83" s="188">
        <v>0</v>
      </c>
      <c r="L83" s="188">
        <v>0</v>
      </c>
      <c r="M83" s="188">
        <v>3320379545</v>
      </c>
      <c r="N83" s="188">
        <v>0</v>
      </c>
      <c r="O83" s="188">
        <v>766191936</v>
      </c>
      <c r="P83" s="188">
        <v>1043668765</v>
      </c>
      <c r="Q83" s="185">
        <v>0.12644883521078756</v>
      </c>
      <c r="R83" s="185">
        <v>4.8804129879830238E-2</v>
      </c>
      <c r="S83" s="185">
        <v>2.3095550658236283E-3</v>
      </c>
      <c r="T83" s="185">
        <v>1.6471131371255791E-4</v>
      </c>
      <c r="U83" s="185">
        <v>0</v>
      </c>
      <c r="V83" s="185">
        <v>0</v>
      </c>
      <c r="W83" s="185">
        <v>0</v>
      </c>
      <c r="X83" s="185">
        <v>0</v>
      </c>
      <c r="Y83" s="185">
        <v>0.5321890496582059</v>
      </c>
      <c r="Z83" s="185">
        <v>0</v>
      </c>
      <c r="AA83" s="185">
        <v>0.12280492418092551</v>
      </c>
      <c r="AB83" s="185">
        <v>0.16727879469071463</v>
      </c>
      <c r="AC83" s="180">
        <v>1</v>
      </c>
    </row>
    <row r="84" spans="1:29" x14ac:dyDescent="0.25">
      <c r="A84" s="176">
        <f>+'[9]Promedio 2019'!A22</f>
        <v>2019</v>
      </c>
      <c r="B84" s="177" t="str">
        <f>+'[9]Promedio 2019'!B22</f>
        <v>0318 - 0102040302</v>
      </c>
      <c r="C84" s="177" t="str">
        <f>+'[9]Promedio 2019'!C22</f>
        <v>JUEGOS DE SUERTE Y AZAR REGIMEN SUBSIDIADO</v>
      </c>
      <c r="D84" s="186">
        <v>6485959632</v>
      </c>
      <c r="E84" s="186">
        <v>0</v>
      </c>
      <c r="F84" s="186">
        <v>1155313253</v>
      </c>
      <c r="G84" s="186">
        <v>0</v>
      </c>
      <c r="H84" s="186">
        <v>0</v>
      </c>
      <c r="I84" s="186">
        <v>3048026</v>
      </c>
      <c r="J84" s="186">
        <v>2712508141</v>
      </c>
      <c r="K84" s="186">
        <v>0</v>
      </c>
      <c r="L84" s="186">
        <v>0</v>
      </c>
      <c r="M84" s="186">
        <v>1669851915</v>
      </c>
      <c r="N84" s="186">
        <v>0</v>
      </c>
      <c r="O84" s="186">
        <v>397194273</v>
      </c>
      <c r="P84" s="186">
        <v>548044024</v>
      </c>
      <c r="Q84" s="180">
        <v>0</v>
      </c>
      <c r="R84" s="180">
        <v>0.17812526111016658</v>
      </c>
      <c r="S84" s="180">
        <v>0</v>
      </c>
      <c r="T84" s="180">
        <v>0</v>
      </c>
      <c r="U84" s="180">
        <v>4.6994217863488547E-4</v>
      </c>
      <c r="V84" s="180">
        <v>0.41821230702966544</v>
      </c>
      <c r="W84" s="180">
        <v>0</v>
      </c>
      <c r="X84" s="180">
        <v>0</v>
      </c>
      <c r="Y84" s="180">
        <v>0.25745641504788203</v>
      </c>
      <c r="Z84" s="180">
        <v>0</v>
      </c>
      <c r="AA84" s="180">
        <v>6.1239091134694869E-2</v>
      </c>
      <c r="AB84" s="180">
        <v>8.4496983498956194E-2</v>
      </c>
      <c r="AC84" s="180">
        <v>0.99999999999999989</v>
      </c>
    </row>
    <row r="85" spans="1:29" x14ac:dyDescent="0.25">
      <c r="A85" s="1837" t="s">
        <v>2466</v>
      </c>
      <c r="B85" s="1838"/>
      <c r="C85" s="1839"/>
      <c r="D85" s="189">
        <v>6089307099.2179995</v>
      </c>
      <c r="E85" s="189">
        <v>506642453.472</v>
      </c>
      <c r="F85" s="189">
        <v>547065072.36000001</v>
      </c>
      <c r="G85" s="189">
        <v>262144888.544</v>
      </c>
      <c r="H85" s="189">
        <v>280304232.00800002</v>
      </c>
      <c r="I85" s="189">
        <v>266465146.92800003</v>
      </c>
      <c r="J85" s="189">
        <v>855424529.71200001</v>
      </c>
      <c r="K85" s="189">
        <v>279800260.662</v>
      </c>
      <c r="L85" s="189">
        <v>302240672.15999997</v>
      </c>
      <c r="M85" s="189">
        <v>1310733078.1600001</v>
      </c>
      <c r="N85" s="189">
        <v>295362426.46400005</v>
      </c>
      <c r="O85" s="189">
        <v>577739612.30799997</v>
      </c>
      <c r="P85" s="189">
        <v>605384726.43999994</v>
      </c>
      <c r="Q85" s="191">
        <v>8.4419602283413234E-2</v>
      </c>
      <c r="R85" s="191">
        <v>8.8567473322889584E-2</v>
      </c>
      <c r="S85" s="191">
        <v>4.4594916526972533E-2</v>
      </c>
      <c r="T85" s="191">
        <v>4.7428883344233209E-2</v>
      </c>
      <c r="U85" s="191">
        <v>4.4989890223105213E-2</v>
      </c>
      <c r="V85" s="191">
        <v>0.13695497850572003</v>
      </c>
      <c r="W85" s="191">
        <v>4.7325474608425011E-2</v>
      </c>
      <c r="X85" s="191">
        <v>5.1313653041145102E-2</v>
      </c>
      <c r="Y85" s="191">
        <v>0.21037052400376327</v>
      </c>
      <c r="Z85" s="191">
        <v>5.0060155997009567E-2</v>
      </c>
      <c r="AA85" s="191">
        <v>9.5027069886383264E-2</v>
      </c>
      <c r="AB85" s="191">
        <v>9.8947378256940027E-2</v>
      </c>
      <c r="AC85" s="190">
        <v>1.0000000000000002</v>
      </c>
    </row>
    <row r="86" spans="1:29" x14ac:dyDescent="0.25">
      <c r="A86" s="192">
        <f>+'[9]Promedio 2015'!A23</f>
        <v>2015</v>
      </c>
      <c r="B86" s="193" t="str">
        <f>+'[9]Promedio 2015'!B23</f>
        <v>0318 - 0102040303</v>
      </c>
      <c r="C86" s="194" t="str">
        <f>+'[9]Promedio 2015'!C23</f>
        <v>LEY 1393 DE 2.010 REGIMEN SUBSIDIADO</v>
      </c>
      <c r="D86" s="195">
        <v>4146250118.2799997</v>
      </c>
      <c r="E86" s="195">
        <v>185589056</v>
      </c>
      <c r="F86" s="195">
        <v>324339700.69999999</v>
      </c>
      <c r="G86" s="195">
        <v>321783604.69</v>
      </c>
      <c r="H86" s="195">
        <v>271067247</v>
      </c>
      <c r="I86" s="195">
        <v>380279828.44</v>
      </c>
      <c r="J86" s="195">
        <v>323660881.12</v>
      </c>
      <c r="K86" s="195">
        <v>382712166.63</v>
      </c>
      <c r="L86" s="195">
        <v>274735010.95999998</v>
      </c>
      <c r="M86" s="195">
        <v>310112466.70999998</v>
      </c>
      <c r="N86" s="195">
        <v>391880141.02999997</v>
      </c>
      <c r="O86" s="195">
        <v>528814410</v>
      </c>
      <c r="P86" s="195">
        <v>451275605</v>
      </c>
      <c r="Q86" s="196">
        <v>4.4760699597396314E-2</v>
      </c>
      <c r="R86" s="196">
        <v>7.8224827602669258E-2</v>
      </c>
      <c r="S86" s="196">
        <v>7.7608343807171562E-2</v>
      </c>
      <c r="T86" s="196">
        <v>6.5376482186860346E-2</v>
      </c>
      <c r="U86" s="196">
        <v>9.171656740229471E-2</v>
      </c>
      <c r="V86" s="196">
        <v>7.8061108685422265E-2</v>
      </c>
      <c r="W86" s="196">
        <v>9.2303203065993891E-2</v>
      </c>
      <c r="X86" s="196">
        <v>6.6261080041637485E-2</v>
      </c>
      <c r="Y86" s="196">
        <v>7.479347792907505E-2</v>
      </c>
      <c r="Z86" s="196">
        <v>9.4514351486485987E-2</v>
      </c>
      <c r="AA86" s="196">
        <v>0.12754040275297465</v>
      </c>
      <c r="AB86" s="196">
        <v>0.10883945544201851</v>
      </c>
      <c r="AC86" s="180">
        <v>1</v>
      </c>
    </row>
    <row r="87" spans="1:29" x14ac:dyDescent="0.25">
      <c r="A87" s="175">
        <f>+'[9]Promedio 2016'!A23</f>
        <v>2016</v>
      </c>
      <c r="B87" s="197" t="str">
        <f>+'[9]Promedio 2016'!B23</f>
        <v>0318 - 0102040303</v>
      </c>
      <c r="C87" s="197" t="str">
        <f>+'[9]Promedio 2016'!C23</f>
        <v>LEY 1393 DE 2.010 REGIMEN SUBSIDIADO</v>
      </c>
      <c r="D87" s="198">
        <v>4603829671</v>
      </c>
      <c r="E87" s="198">
        <v>279054486</v>
      </c>
      <c r="F87" s="198">
        <v>244925584</v>
      </c>
      <c r="G87" s="198">
        <v>442309366</v>
      </c>
      <c r="H87" s="198">
        <v>372993258</v>
      </c>
      <c r="I87" s="198">
        <v>390587181</v>
      </c>
      <c r="J87" s="198">
        <v>334481414</v>
      </c>
      <c r="K87" s="198">
        <v>354030496</v>
      </c>
      <c r="L87" s="198">
        <v>389315580</v>
      </c>
      <c r="M87" s="198">
        <v>506292271</v>
      </c>
      <c r="N87" s="198">
        <v>375883271</v>
      </c>
      <c r="O87" s="198">
        <v>445240618</v>
      </c>
      <c r="P87" s="198">
        <v>468716146</v>
      </c>
      <c r="Q87" s="199">
        <v>6.0613555657324403E-2</v>
      </c>
      <c r="R87" s="199">
        <v>5.3200400862527912E-2</v>
      </c>
      <c r="S87" s="199">
        <v>9.6074224636535213E-2</v>
      </c>
      <c r="T87" s="199">
        <v>8.1018040339225231E-2</v>
      </c>
      <c r="U87" s="199">
        <v>8.4839624597831911E-2</v>
      </c>
      <c r="V87" s="199">
        <v>7.2652864658945368E-2</v>
      </c>
      <c r="W87" s="199">
        <v>7.6899129920047812E-2</v>
      </c>
      <c r="X87" s="199">
        <v>8.4563419548802851E-2</v>
      </c>
      <c r="Y87" s="199">
        <v>0.10997198141129927</v>
      </c>
      <c r="Z87" s="199">
        <v>8.1645781417094485E-2</v>
      </c>
      <c r="AA87" s="199">
        <v>9.6710923256917339E-2</v>
      </c>
      <c r="AB87" s="199">
        <v>0.10181005369344821</v>
      </c>
      <c r="AC87" s="180">
        <v>0.99999999999999989</v>
      </c>
    </row>
    <row r="88" spans="1:29" x14ac:dyDescent="0.25">
      <c r="A88" s="192">
        <f>+'[9]Promedio 2017'!A23</f>
        <v>2017</v>
      </c>
      <c r="B88" s="193" t="str">
        <f>+'[9]Promedio 2017'!B23</f>
        <v>0318 - 0102040303</v>
      </c>
      <c r="C88" s="193" t="str">
        <f>+'[9]Promedio 2017'!C23</f>
        <v>LEY 1393 DE 2.010 REGIMEN SUBSIDIADO</v>
      </c>
      <c r="D88" s="200">
        <v>4775762717.3299999</v>
      </c>
      <c r="E88" s="200">
        <v>317725053</v>
      </c>
      <c r="F88" s="200">
        <v>362967387</v>
      </c>
      <c r="G88" s="200">
        <v>341921980</v>
      </c>
      <c r="H88" s="200">
        <v>207471934</v>
      </c>
      <c r="I88" s="200">
        <v>315291352</v>
      </c>
      <c r="J88" s="200">
        <v>397166765</v>
      </c>
      <c r="K88" s="200">
        <v>407706224</v>
      </c>
      <c r="L88" s="200">
        <v>333142152</v>
      </c>
      <c r="M88" s="200">
        <v>473534836</v>
      </c>
      <c r="N88" s="200">
        <v>482885828</v>
      </c>
      <c r="O88" s="200">
        <v>450824897.32999998</v>
      </c>
      <c r="P88" s="200">
        <v>685124309</v>
      </c>
      <c r="Q88" s="196">
        <v>6.6528651402017622E-2</v>
      </c>
      <c r="R88" s="196">
        <v>7.6001972560924322E-2</v>
      </c>
      <c r="S88" s="196">
        <v>7.1595261372440919E-2</v>
      </c>
      <c r="T88" s="196">
        <v>4.344268052663889E-2</v>
      </c>
      <c r="U88" s="196">
        <v>6.60190571981078E-2</v>
      </c>
      <c r="V88" s="196">
        <v>8.3163002122945764E-2</v>
      </c>
      <c r="W88" s="196">
        <v>8.5369866162014335E-2</v>
      </c>
      <c r="X88" s="196">
        <v>6.9756847590252719E-2</v>
      </c>
      <c r="Y88" s="196">
        <v>9.9153761195393E-2</v>
      </c>
      <c r="Z88" s="196">
        <v>0.10111177137166656</v>
      </c>
      <c r="AA88" s="196">
        <v>9.4398512659365122E-2</v>
      </c>
      <c r="AB88" s="196">
        <v>0.14345861583823297</v>
      </c>
      <c r="AC88" s="180">
        <v>1</v>
      </c>
    </row>
    <row r="89" spans="1:29" x14ac:dyDescent="0.25">
      <c r="A89" s="175">
        <f>+'[9]Promedio 2018'!A23</f>
        <v>2018</v>
      </c>
      <c r="B89" s="197" t="str">
        <f>+'[9]Promedio 2018'!B23</f>
        <v>0318 - 0102040303</v>
      </c>
      <c r="C89" s="201" t="str">
        <f>+'[9]Promedio 2018'!C23</f>
        <v>LEY 1393 DE 2.010 REGIMEN SUBSIDIADO</v>
      </c>
      <c r="D89" s="202">
        <v>4362688820</v>
      </c>
      <c r="E89" s="202">
        <v>416180855</v>
      </c>
      <c r="F89" s="202">
        <v>74777637</v>
      </c>
      <c r="G89" s="202">
        <v>50957349</v>
      </c>
      <c r="H89" s="202">
        <v>488971893</v>
      </c>
      <c r="I89" s="202">
        <v>117019000</v>
      </c>
      <c r="J89" s="202">
        <v>367956000</v>
      </c>
      <c r="K89" s="202">
        <v>285492000</v>
      </c>
      <c r="L89" s="202">
        <v>387300000</v>
      </c>
      <c r="M89" s="202">
        <v>696150647</v>
      </c>
      <c r="N89" s="202">
        <v>376756000</v>
      </c>
      <c r="O89" s="202">
        <v>392119378</v>
      </c>
      <c r="P89" s="202">
        <v>709008061</v>
      </c>
      <c r="Q89" s="199">
        <v>9.5395493965118511E-2</v>
      </c>
      <c r="R89" s="199">
        <v>1.7140263742212079E-2</v>
      </c>
      <c r="S89" s="199">
        <v>1.1680262127886535E-2</v>
      </c>
      <c r="T89" s="199">
        <v>0.11208039655691052</v>
      </c>
      <c r="U89" s="199">
        <v>2.6822678588384857E-2</v>
      </c>
      <c r="V89" s="199">
        <v>8.4341564384140519E-2</v>
      </c>
      <c r="W89" s="199">
        <v>6.5439459878781817E-2</v>
      </c>
      <c r="X89" s="199">
        <v>8.8775527198843393E-2</v>
      </c>
      <c r="Y89" s="199">
        <v>0.15956917298538839</v>
      </c>
      <c r="Z89" s="199">
        <v>8.635866905584158E-2</v>
      </c>
      <c r="AA89" s="199">
        <v>8.9880207866853995E-2</v>
      </c>
      <c r="AB89" s="199">
        <v>0.16251630364963779</v>
      </c>
      <c r="AC89" s="180">
        <v>1</v>
      </c>
    </row>
    <row r="90" spans="1:29" x14ac:dyDescent="0.25">
      <c r="A90" s="192">
        <f>+'[9]Promedio 2019'!A23</f>
        <v>2019</v>
      </c>
      <c r="B90" s="193" t="str">
        <f>+'[9]Promedio 2019'!B23</f>
        <v>0318 - 0102040303</v>
      </c>
      <c r="C90" s="193" t="str">
        <f>+'[9]Promedio 2019'!C23</f>
        <v>LEY 1393 DE 2.010 REGIMEN SUBSIDIADO</v>
      </c>
      <c r="D90" s="200">
        <v>8435612212</v>
      </c>
      <c r="E90" s="200">
        <v>379119000</v>
      </c>
      <c r="F90" s="200">
        <v>245823069</v>
      </c>
      <c r="G90" s="200">
        <v>162989000</v>
      </c>
      <c r="H90" s="200">
        <v>485670000</v>
      </c>
      <c r="I90" s="200">
        <v>634228000</v>
      </c>
      <c r="J90" s="200">
        <v>929601338.38</v>
      </c>
      <c r="K90" s="200">
        <v>77358000</v>
      </c>
      <c r="L90" s="200">
        <v>44958000</v>
      </c>
      <c r="M90" s="200">
        <v>299858550</v>
      </c>
      <c r="N90" s="200">
        <v>597259</v>
      </c>
      <c r="O90" s="200">
        <v>4466849785.6199999</v>
      </c>
      <c r="P90" s="200">
        <v>708560210</v>
      </c>
      <c r="Q90" s="196">
        <v>4.4942677599699034E-2</v>
      </c>
      <c r="R90" s="196">
        <v>2.9141105923563761E-2</v>
      </c>
      <c r="S90" s="196">
        <v>1.9321537773884574E-2</v>
      </c>
      <c r="T90" s="196">
        <v>5.7573770319730294E-2</v>
      </c>
      <c r="U90" s="196">
        <v>7.5184584599299734E-2</v>
      </c>
      <c r="V90" s="196">
        <v>0.11019962926432351</v>
      </c>
      <c r="W90" s="196">
        <v>9.1704073226546758E-3</v>
      </c>
      <c r="X90" s="196">
        <v>5.3295479770923354E-3</v>
      </c>
      <c r="Y90" s="196">
        <v>3.5546744262786173E-2</v>
      </c>
      <c r="Z90" s="196">
        <v>7.0802092958988195E-5</v>
      </c>
      <c r="AA90" s="196">
        <v>0.52952289334326264</v>
      </c>
      <c r="AB90" s="196">
        <v>8.3996299520744264E-2</v>
      </c>
      <c r="AC90" s="180">
        <v>1</v>
      </c>
    </row>
    <row r="91" spans="1:29" x14ac:dyDescent="0.25">
      <c r="A91" s="1837" t="s">
        <v>2467</v>
      </c>
      <c r="B91" s="1838"/>
      <c r="C91" s="1839"/>
      <c r="D91" s="189">
        <v>5264828707.7220001</v>
      </c>
      <c r="E91" s="189">
        <v>315533690</v>
      </c>
      <c r="F91" s="189">
        <v>250566675.54000002</v>
      </c>
      <c r="G91" s="189">
        <v>263992259.93800002</v>
      </c>
      <c r="H91" s="189">
        <v>365234866.39999998</v>
      </c>
      <c r="I91" s="189">
        <v>367481072.28799999</v>
      </c>
      <c r="J91" s="189">
        <v>470573279.69999999</v>
      </c>
      <c r="K91" s="189">
        <v>301459777.32600003</v>
      </c>
      <c r="L91" s="189">
        <v>285890148.59200001</v>
      </c>
      <c r="M91" s="189">
        <v>457189754.14200002</v>
      </c>
      <c r="N91" s="189">
        <v>325600499.80599999</v>
      </c>
      <c r="O91" s="189">
        <v>1256769817.79</v>
      </c>
      <c r="P91" s="189">
        <v>604536866.20000005</v>
      </c>
      <c r="Q91" s="191">
        <v>6.2448215644311175E-2</v>
      </c>
      <c r="R91" s="191">
        <v>5.0741714138379468E-2</v>
      </c>
      <c r="S91" s="191">
        <v>5.5255925943583764E-2</v>
      </c>
      <c r="T91" s="191">
        <v>7.1898273985873049E-2</v>
      </c>
      <c r="U91" s="191">
        <v>6.8916502477183811E-2</v>
      </c>
      <c r="V91" s="191">
        <v>8.5683633823155497E-2</v>
      </c>
      <c r="W91" s="191">
        <v>6.5836413269898503E-2</v>
      </c>
      <c r="X91" s="191">
        <v>6.2937284471325766E-2</v>
      </c>
      <c r="Y91" s="191">
        <v>9.5807027556788354E-2</v>
      </c>
      <c r="Z91" s="191">
        <v>7.2740275084809528E-2</v>
      </c>
      <c r="AA91" s="191">
        <v>0.18761058797587477</v>
      </c>
      <c r="AB91" s="191">
        <v>0.12012414562881635</v>
      </c>
      <c r="AC91" s="190">
        <v>1</v>
      </c>
    </row>
    <row r="92" spans="1:29" x14ac:dyDescent="0.25">
      <c r="A92" s="192">
        <f>+'[9]Promedio 2015'!A12</f>
        <v>2015</v>
      </c>
      <c r="B92" s="193" t="str">
        <f>+'[9]Promedio 2015'!B12</f>
        <v>0307 - 01010202</v>
      </c>
      <c r="C92" s="194" t="str">
        <f>+'[9]Promedio 2015'!C12</f>
        <v>MONOPOLIO</v>
      </c>
      <c r="D92" s="195">
        <v>10116967147</v>
      </c>
      <c r="E92" s="195">
        <v>458796848</v>
      </c>
      <c r="F92" s="195">
        <v>362348138</v>
      </c>
      <c r="G92" s="195">
        <v>435923449</v>
      </c>
      <c r="H92" s="195">
        <v>585127816</v>
      </c>
      <c r="I92" s="195">
        <v>306839884</v>
      </c>
      <c r="J92" s="195">
        <v>753299456</v>
      </c>
      <c r="K92" s="195">
        <v>695501300</v>
      </c>
      <c r="L92" s="195">
        <v>664931748</v>
      </c>
      <c r="M92" s="195">
        <v>355733365</v>
      </c>
      <c r="N92" s="195">
        <v>1164056426</v>
      </c>
      <c r="O92" s="195">
        <v>1271948028</v>
      </c>
      <c r="P92" s="195">
        <v>3062460689</v>
      </c>
      <c r="Q92" s="196">
        <v>4.5349247589090744E-2</v>
      </c>
      <c r="R92" s="196">
        <v>3.5815885604357986E-2</v>
      </c>
      <c r="S92" s="196">
        <v>4.3088352731210068E-2</v>
      </c>
      <c r="T92" s="196">
        <v>5.7836287051056486E-2</v>
      </c>
      <c r="U92" s="196">
        <v>3.0329235979676746E-2</v>
      </c>
      <c r="V92" s="196">
        <v>7.4459019689846181E-2</v>
      </c>
      <c r="W92" s="196">
        <v>6.8746027331544515E-2</v>
      </c>
      <c r="X92" s="196">
        <v>6.5724415068123779E-2</v>
      </c>
      <c r="Y92" s="196">
        <v>3.5162055963133793E-2</v>
      </c>
      <c r="Z92" s="196">
        <v>0.11505982070379456</v>
      </c>
      <c r="AA92" s="196">
        <v>0.12572424220801912</v>
      </c>
      <c r="AB92" s="196">
        <v>0.30270541008014601</v>
      </c>
      <c r="AC92" s="180">
        <v>1</v>
      </c>
    </row>
    <row r="93" spans="1:29" x14ac:dyDescent="0.25">
      <c r="A93" s="175">
        <f>+'[9]Promedio 2016'!A12</f>
        <v>2016</v>
      </c>
      <c r="B93" s="197" t="str">
        <f>+'[9]Promedio 2016'!B12</f>
        <v>0307 - 01010202</v>
      </c>
      <c r="C93" s="197" t="str">
        <f>+'[9]Promedio 2016'!C12</f>
        <v>MONOPOLIO</v>
      </c>
      <c r="D93" s="198">
        <v>9917557263.6000004</v>
      </c>
      <c r="E93" s="198">
        <v>194618775</v>
      </c>
      <c r="F93" s="198">
        <v>253480438</v>
      </c>
      <c r="G93" s="198">
        <v>391930227</v>
      </c>
      <c r="H93" s="198">
        <v>783671231</v>
      </c>
      <c r="I93" s="198">
        <v>472565119</v>
      </c>
      <c r="J93" s="198">
        <v>602949722</v>
      </c>
      <c r="K93" s="198">
        <v>1061604722.6</v>
      </c>
      <c r="L93" s="198">
        <v>1426755007</v>
      </c>
      <c r="M93" s="198">
        <v>753929875</v>
      </c>
      <c r="N93" s="198">
        <v>846143961</v>
      </c>
      <c r="O93" s="198">
        <v>946277723.73000002</v>
      </c>
      <c r="P93" s="198">
        <v>2183630462.27</v>
      </c>
      <c r="Q93" s="199">
        <v>1.9623660325542181E-2</v>
      </c>
      <c r="R93" s="199">
        <v>2.5558757188157488E-2</v>
      </c>
      <c r="S93" s="199">
        <v>3.9518826721423157E-2</v>
      </c>
      <c r="T93" s="199">
        <v>7.9018573845424225E-2</v>
      </c>
      <c r="U93" s="199">
        <v>4.7649346148414609E-2</v>
      </c>
      <c r="V93" s="199">
        <v>6.0796192648464094E-2</v>
      </c>
      <c r="W93" s="199">
        <v>0.10704296374434498</v>
      </c>
      <c r="X93" s="199">
        <v>0.14386153455715953</v>
      </c>
      <c r="Y93" s="199">
        <v>7.601971483110237E-2</v>
      </c>
      <c r="Z93" s="199">
        <v>8.5317779218232206E-2</v>
      </c>
      <c r="AA93" s="199">
        <v>9.5414394752534881E-2</v>
      </c>
      <c r="AB93" s="199">
        <v>0.22017825601920024</v>
      </c>
      <c r="AC93" s="180">
        <v>1</v>
      </c>
    </row>
    <row r="94" spans="1:29" x14ac:dyDescent="0.25">
      <c r="A94" s="192">
        <f>+'[9]Promedio 2017'!A12</f>
        <v>2017</v>
      </c>
      <c r="B94" s="193" t="str">
        <f>+'[9]Promedio 2017'!B12</f>
        <v>0307 - 01010202</v>
      </c>
      <c r="C94" s="193" t="str">
        <f>+'[9]Promedio 2017'!C12</f>
        <v>MONOPOLIO</v>
      </c>
      <c r="D94" s="200">
        <v>9840903469.9700012</v>
      </c>
      <c r="E94" s="200">
        <v>919030762</v>
      </c>
      <c r="F94" s="200">
        <v>446156600</v>
      </c>
      <c r="G94" s="200">
        <v>622129000</v>
      </c>
      <c r="H94" s="200">
        <v>246439800</v>
      </c>
      <c r="I94" s="200">
        <v>595993200</v>
      </c>
      <c r="J94" s="200">
        <v>657675000</v>
      </c>
      <c r="K94" s="200">
        <v>526255800</v>
      </c>
      <c r="L94" s="200">
        <v>1159371000</v>
      </c>
      <c r="M94" s="200">
        <v>863837220</v>
      </c>
      <c r="N94" s="200">
        <v>1017490800</v>
      </c>
      <c r="O94" s="200">
        <v>1458892359.97</v>
      </c>
      <c r="P94" s="200">
        <v>1327631928</v>
      </c>
      <c r="Q94" s="196">
        <v>9.3388860565949805E-2</v>
      </c>
      <c r="R94" s="196">
        <v>4.5336955225855909E-2</v>
      </c>
      <c r="S94" s="196">
        <v>6.321868737951318E-2</v>
      </c>
      <c r="T94" s="196">
        <v>2.5042395827987046E-2</v>
      </c>
      <c r="U94" s="196">
        <v>6.0562853991882194E-2</v>
      </c>
      <c r="V94" s="196">
        <v>6.6830754107783649E-2</v>
      </c>
      <c r="W94" s="196">
        <v>5.3476370498490848E-2</v>
      </c>
      <c r="X94" s="196">
        <v>0.11781143911612155</v>
      </c>
      <c r="Y94" s="196">
        <v>8.7780275727329465E-2</v>
      </c>
      <c r="Z94" s="196">
        <v>0.10339404335231242</v>
      </c>
      <c r="AA94" s="196">
        <v>0.14824780716749042</v>
      </c>
      <c r="AB94" s="196">
        <v>0.13490955703928342</v>
      </c>
      <c r="AC94" s="180">
        <v>0.99999999999999989</v>
      </c>
    </row>
    <row r="95" spans="1:29" x14ac:dyDescent="0.25">
      <c r="A95" s="175">
        <f>+'[9]Promedio 2018'!A12</f>
        <v>2018</v>
      </c>
      <c r="B95" s="197" t="str">
        <f>+'[9]Promedio 2018'!B12</f>
        <v>0307 - 01010202</v>
      </c>
      <c r="C95" s="201" t="str">
        <f>+'[9]Promedio 2018'!C12</f>
        <v>MONOPOLIO</v>
      </c>
      <c r="D95" s="202">
        <v>10454522631.41</v>
      </c>
      <c r="E95" s="202">
        <v>2420356050</v>
      </c>
      <c r="F95" s="202">
        <v>59757308.07</v>
      </c>
      <c r="G95" s="202">
        <v>11420123</v>
      </c>
      <c r="H95" s="202">
        <v>508667430</v>
      </c>
      <c r="I95" s="202">
        <v>457825410</v>
      </c>
      <c r="J95" s="202">
        <v>651351330</v>
      </c>
      <c r="K95" s="202">
        <v>679623387</v>
      </c>
      <c r="L95" s="202">
        <v>843373818</v>
      </c>
      <c r="M95" s="202">
        <v>755696340</v>
      </c>
      <c r="N95" s="202">
        <v>1595950020</v>
      </c>
      <c r="O95" s="202">
        <v>2002096100.3399999</v>
      </c>
      <c r="P95" s="202">
        <v>468405315</v>
      </c>
      <c r="Q95" s="199">
        <v>0.23151282323768493</v>
      </c>
      <c r="R95" s="199">
        <v>5.7159289024314389E-3</v>
      </c>
      <c r="S95" s="199">
        <v>1.0923619760206851E-3</v>
      </c>
      <c r="T95" s="199">
        <v>4.8655251696690438E-2</v>
      </c>
      <c r="U95" s="199">
        <v>4.3792091340879635E-2</v>
      </c>
      <c r="V95" s="199">
        <v>6.2303306708912098E-2</v>
      </c>
      <c r="W95" s="199">
        <v>6.5007596325642972E-2</v>
      </c>
      <c r="X95" s="199">
        <v>8.0670715223871897E-2</v>
      </c>
      <c r="Y95" s="199">
        <v>7.2284155541406991E-2</v>
      </c>
      <c r="Z95" s="199">
        <v>0.1526564221311322</v>
      </c>
      <c r="AA95" s="199">
        <v>0.19150526245213911</v>
      </c>
      <c r="AB95" s="199">
        <v>4.4804084463187607E-2</v>
      </c>
      <c r="AC95" s="180">
        <v>1</v>
      </c>
    </row>
    <row r="96" spans="1:29" x14ac:dyDescent="0.25">
      <c r="A96" s="192">
        <f>+'[9]Promedio 2019'!A12</f>
        <v>2019</v>
      </c>
      <c r="B96" s="193" t="str">
        <f>+'[9]Promedio 2019'!B12</f>
        <v>0307 - 01010202</v>
      </c>
      <c r="C96" s="193" t="str">
        <f>+'[9]Promedio 2019'!C12</f>
        <v>MONOPOLIO</v>
      </c>
      <c r="D96" s="200">
        <v>11929590703.1</v>
      </c>
      <c r="E96" s="200">
        <v>2299961137.0999999</v>
      </c>
      <c r="F96" s="200">
        <v>51600780</v>
      </c>
      <c r="G96" s="200">
        <v>239883210</v>
      </c>
      <c r="H96" s="200">
        <v>631416555</v>
      </c>
      <c r="I96" s="200">
        <v>361840500</v>
      </c>
      <c r="J96" s="200">
        <v>1084998600</v>
      </c>
      <c r="K96" s="200">
        <v>635848980</v>
      </c>
      <c r="L96" s="200">
        <v>1007858880</v>
      </c>
      <c r="M96" s="200">
        <v>834973020</v>
      </c>
      <c r="N96" s="200">
        <v>1187314821</v>
      </c>
      <c r="O96" s="200">
        <v>772516080</v>
      </c>
      <c r="P96" s="200">
        <v>2821378140</v>
      </c>
      <c r="Q96" s="196">
        <v>0.19279463934184568</v>
      </c>
      <c r="R96" s="196">
        <v>4.3254442909421128E-3</v>
      </c>
      <c r="S96" s="196">
        <v>2.0108251487426506E-2</v>
      </c>
      <c r="T96" s="196">
        <v>5.2928601719413666E-2</v>
      </c>
      <c r="U96" s="196">
        <v>3.0331342374216815E-2</v>
      </c>
      <c r="V96" s="196">
        <v>9.0950194939886278E-2</v>
      </c>
      <c r="W96" s="196">
        <v>5.330015051017379E-2</v>
      </c>
      <c r="X96" s="196">
        <v>8.4483944594855184E-2</v>
      </c>
      <c r="Y96" s="196">
        <v>6.9991757536411167E-2</v>
      </c>
      <c r="Z96" s="196">
        <v>9.9526869827266301E-2</v>
      </c>
      <c r="AA96" s="196">
        <v>6.4756293759454422E-2</v>
      </c>
      <c r="AB96" s="196">
        <v>0.23650250961810804</v>
      </c>
      <c r="AC96" s="180">
        <v>1</v>
      </c>
    </row>
    <row r="97" spans="1:29" x14ac:dyDescent="0.25">
      <c r="A97" s="1837" t="s">
        <v>1079</v>
      </c>
      <c r="B97" s="1838"/>
      <c r="C97" s="1839"/>
      <c r="D97" s="189">
        <v>10451908243.015999</v>
      </c>
      <c r="E97" s="189">
        <v>1258552714.4200001</v>
      </c>
      <c r="F97" s="189">
        <v>234668652.81399998</v>
      </c>
      <c r="G97" s="189">
        <v>340257201.80000001</v>
      </c>
      <c r="H97" s="189">
        <v>551064566.39999998</v>
      </c>
      <c r="I97" s="189">
        <v>439012822.60000002</v>
      </c>
      <c r="J97" s="189">
        <v>750054821.60000002</v>
      </c>
      <c r="K97" s="189">
        <v>719766837.91999996</v>
      </c>
      <c r="L97" s="189">
        <v>1020458090.6</v>
      </c>
      <c r="M97" s="189">
        <v>712833964</v>
      </c>
      <c r="N97" s="189">
        <v>1162191205.5999999</v>
      </c>
      <c r="O97" s="189">
        <v>1290346058.408</v>
      </c>
      <c r="P97" s="189">
        <v>1972701306.8540001</v>
      </c>
      <c r="Q97" s="191">
        <v>0.11653384621202267</v>
      </c>
      <c r="R97" s="191">
        <v>2.3350594242348987E-2</v>
      </c>
      <c r="S97" s="191">
        <v>3.3405296059118725E-2</v>
      </c>
      <c r="T97" s="191">
        <v>5.2696222028114373E-2</v>
      </c>
      <c r="U97" s="191">
        <v>4.2532973967013998E-2</v>
      </c>
      <c r="V97" s="191">
        <v>7.1067893618978459E-2</v>
      </c>
      <c r="W97" s="191">
        <v>6.9514621682039424E-2</v>
      </c>
      <c r="X97" s="191">
        <v>9.8510409712026403E-2</v>
      </c>
      <c r="Y97" s="191">
        <v>6.8247591919876754E-2</v>
      </c>
      <c r="Z97" s="191">
        <v>0.11119098704654753</v>
      </c>
      <c r="AA97" s="191">
        <v>0.12512960006792759</v>
      </c>
      <c r="AB97" s="191">
        <v>0.18781996344398505</v>
      </c>
      <c r="AC97" s="190">
        <v>1</v>
      </c>
    </row>
    <row r="98" spans="1:29" x14ac:dyDescent="0.25">
      <c r="A98" s="192">
        <f>+'[9]Promedio 2015'!A25</f>
        <v>2015</v>
      </c>
      <c r="B98" s="193" t="str">
        <f>+'[9]Promedio 2015'!B25</f>
        <v>0318 - 0102040401</v>
      </c>
      <c r="C98" s="194" t="str">
        <f>+'[9]Promedio 2015'!C25</f>
        <v>RENTAS CEDIDAS OTROS GASTOS EN SALUD</v>
      </c>
      <c r="D98" s="195">
        <v>2447025109.75</v>
      </c>
      <c r="E98" s="195">
        <v>178036106</v>
      </c>
      <c r="F98" s="195">
        <v>122114866</v>
      </c>
      <c r="G98" s="195">
        <v>93373082</v>
      </c>
      <c r="H98" s="195">
        <v>143093959.5</v>
      </c>
      <c r="I98" s="195">
        <v>117888606</v>
      </c>
      <c r="J98" s="195">
        <v>188374903</v>
      </c>
      <c r="K98" s="195">
        <v>175643837</v>
      </c>
      <c r="L98" s="195">
        <v>207470428</v>
      </c>
      <c r="M98" s="195">
        <v>132779378</v>
      </c>
      <c r="N98" s="195">
        <v>247850798</v>
      </c>
      <c r="O98" s="195">
        <v>291761453</v>
      </c>
      <c r="P98" s="195">
        <v>548637693.25</v>
      </c>
      <c r="Q98" s="196">
        <v>7.2756141851845993E-2</v>
      </c>
      <c r="R98" s="196">
        <v>4.9903397195820293E-2</v>
      </c>
      <c r="S98" s="196">
        <v>3.8157794796613041E-2</v>
      </c>
      <c r="T98" s="196">
        <v>5.8476702560121739E-2</v>
      </c>
      <c r="U98" s="196">
        <v>4.8176295997242165E-2</v>
      </c>
      <c r="V98" s="196">
        <v>7.6981189220099708E-2</v>
      </c>
      <c r="W98" s="196">
        <v>7.1778518454984161E-2</v>
      </c>
      <c r="X98" s="196">
        <v>8.478475646749542E-2</v>
      </c>
      <c r="Y98" s="196">
        <v>5.4261551085417914E-2</v>
      </c>
      <c r="Z98" s="196">
        <v>0.10128657732708009</v>
      </c>
      <c r="AA98" s="196">
        <v>0.11923108260618044</v>
      </c>
      <c r="AB98" s="196">
        <v>0.22420599243709907</v>
      </c>
      <c r="AC98" s="180">
        <v>1.0000000000000002</v>
      </c>
    </row>
    <row r="99" spans="1:29" x14ac:dyDescent="0.25">
      <c r="A99" s="175">
        <f>+'[9]Promedio 2016'!A25</f>
        <v>2016</v>
      </c>
      <c r="B99" s="197" t="str">
        <f>+'[9]Promedio 2016'!B25</f>
        <v>0318 - 0102040401</v>
      </c>
      <c r="C99" s="197" t="str">
        <f>+'[9]Promedio 2016'!C25</f>
        <v>RENTAS CEDIDAS OTROS GASTOS EN SALUD</v>
      </c>
      <c r="D99" s="198">
        <v>2475256363</v>
      </c>
      <c r="E99" s="198">
        <v>121490701.25</v>
      </c>
      <c r="F99" s="198">
        <v>142369736.25</v>
      </c>
      <c r="G99" s="198">
        <v>121824840</v>
      </c>
      <c r="H99" s="198">
        <v>169345063.75</v>
      </c>
      <c r="I99" s="198">
        <v>139017158.75</v>
      </c>
      <c r="J99" s="198">
        <v>170129508.75</v>
      </c>
      <c r="K99" s="198">
        <v>243051865</v>
      </c>
      <c r="L99" s="198">
        <v>276552976.75</v>
      </c>
      <c r="M99" s="198">
        <v>206767798.75</v>
      </c>
      <c r="N99" s="198">
        <v>213122830</v>
      </c>
      <c r="O99" s="198">
        <v>244821079</v>
      </c>
      <c r="P99" s="198">
        <v>426762804.75</v>
      </c>
      <c r="Q99" s="199">
        <v>4.9082068050015554E-2</v>
      </c>
      <c r="R99" s="199">
        <v>5.7517168071208789E-2</v>
      </c>
      <c r="S99" s="199">
        <v>4.9217059623007625E-2</v>
      </c>
      <c r="T99" s="199">
        <v>6.8415161468266872E-2</v>
      </c>
      <c r="U99" s="199">
        <v>5.6162731597430099E-2</v>
      </c>
      <c r="V99" s="199">
        <v>6.8732076116674951E-2</v>
      </c>
      <c r="W99" s="199">
        <v>9.8192602848386254E-2</v>
      </c>
      <c r="X99" s="199">
        <v>0.11172700366875089</v>
      </c>
      <c r="Y99" s="199">
        <v>8.3533892424539943E-2</v>
      </c>
      <c r="Z99" s="199">
        <v>8.6101315882164242E-2</v>
      </c>
      <c r="AA99" s="199">
        <v>9.8907362752227376E-2</v>
      </c>
      <c r="AB99" s="199">
        <v>0.17241155749732739</v>
      </c>
      <c r="AC99" s="180">
        <v>1</v>
      </c>
    </row>
    <row r="100" spans="1:29" x14ac:dyDescent="0.25">
      <c r="A100" s="192">
        <f>+'[9]Promedio 2017'!A25</f>
        <v>2017</v>
      </c>
      <c r="B100" s="193" t="str">
        <f>+'[9]Promedio 2017'!B25</f>
        <v>0318 - 0102040401</v>
      </c>
      <c r="C100" s="193" t="str">
        <f>+'[9]Promedio 2017'!C25</f>
        <v>RENTAS CEDIDAS OTROS GASTOS EN SALUD</v>
      </c>
      <c r="D100" s="200">
        <v>2846281338.4499998</v>
      </c>
      <c r="E100" s="200">
        <v>267343666.25</v>
      </c>
      <c r="F100" s="200">
        <v>134195271.25</v>
      </c>
      <c r="G100" s="200">
        <v>161030403.75</v>
      </c>
      <c r="H100" s="200">
        <v>117721917.5</v>
      </c>
      <c r="I100" s="200">
        <v>150494192.5</v>
      </c>
      <c r="J100" s="200">
        <v>205329242.5</v>
      </c>
      <c r="K100" s="200">
        <v>175076407.5</v>
      </c>
      <c r="L100" s="200">
        <v>284923972.5</v>
      </c>
      <c r="M100" s="200">
        <v>263797025</v>
      </c>
      <c r="N100" s="200">
        <v>302844915</v>
      </c>
      <c r="O100" s="200">
        <v>413823857.19999999</v>
      </c>
      <c r="P100" s="200">
        <v>369700467.5</v>
      </c>
      <c r="Q100" s="196">
        <v>9.3927350974934695E-2</v>
      </c>
      <c r="R100" s="196">
        <v>4.7147577942199752E-2</v>
      </c>
      <c r="S100" s="196">
        <v>5.6575715680197786E-2</v>
      </c>
      <c r="T100" s="196">
        <v>4.135990209741805E-2</v>
      </c>
      <c r="U100" s="196">
        <v>5.2873969437594197E-2</v>
      </c>
      <c r="V100" s="196">
        <v>7.2139475366063494E-2</v>
      </c>
      <c r="W100" s="196">
        <v>6.1510577023753177E-2</v>
      </c>
      <c r="X100" s="196">
        <v>0.10010393865532671</v>
      </c>
      <c r="Y100" s="196">
        <v>9.2681289595798008E-2</v>
      </c>
      <c r="Z100" s="196">
        <v>0.10640020398156436</v>
      </c>
      <c r="AA100" s="196">
        <v>0.14539105871570523</v>
      </c>
      <c r="AB100" s="196">
        <v>0.12988894052944461</v>
      </c>
      <c r="AC100" s="180">
        <v>1</v>
      </c>
    </row>
    <row r="101" spans="1:29" x14ac:dyDescent="0.25">
      <c r="A101" s="175">
        <f>+'[9]Promedio 2018'!A25</f>
        <v>2018</v>
      </c>
      <c r="B101" s="197" t="str">
        <f>+'[9]Promedio 2018'!B25</f>
        <v>0318 - 0102040401</v>
      </c>
      <c r="C101" s="201" t="str">
        <f>+'[9]Promedio 2018'!C25</f>
        <v>RENTAS CEDIDAS OTROS GASTOS EN SALUD</v>
      </c>
      <c r="D101" s="202">
        <v>2836437403.3499999</v>
      </c>
      <c r="E101" s="202">
        <v>509443630</v>
      </c>
      <c r="F101" s="202">
        <v>78922599.599999994</v>
      </c>
      <c r="G101" s="202">
        <v>68481131.75</v>
      </c>
      <c r="H101" s="202">
        <v>140646993.25</v>
      </c>
      <c r="I101" s="202">
        <v>146507712.5</v>
      </c>
      <c r="J101" s="202">
        <v>273749837.5</v>
      </c>
      <c r="K101" s="202">
        <v>168584257.5</v>
      </c>
      <c r="L101" s="202">
        <v>227912664</v>
      </c>
      <c r="M101" s="202">
        <v>236301126</v>
      </c>
      <c r="N101" s="202">
        <v>358620825</v>
      </c>
      <c r="O101" s="202">
        <v>414437103.75</v>
      </c>
      <c r="P101" s="202">
        <v>212829522.5</v>
      </c>
      <c r="Q101" s="199">
        <v>0.17960686507599885</v>
      </c>
      <c r="R101" s="199">
        <v>2.7824551850426083E-2</v>
      </c>
      <c r="S101" s="199">
        <v>2.4143360847350182E-2</v>
      </c>
      <c r="T101" s="199">
        <v>4.9585791346527727E-2</v>
      </c>
      <c r="U101" s="199">
        <v>5.1652016831736092E-2</v>
      </c>
      <c r="V101" s="199">
        <v>9.6511855744352157E-2</v>
      </c>
      <c r="W101" s="199">
        <v>5.9435211685225996E-2</v>
      </c>
      <c r="X101" s="199">
        <v>8.0351734091089658E-2</v>
      </c>
      <c r="Y101" s="199">
        <v>8.3309127753326911E-2</v>
      </c>
      <c r="Z101" s="199">
        <v>0.12643354109505384</v>
      </c>
      <c r="AA101" s="199">
        <v>0.1461118455357151</v>
      </c>
      <c r="AB101" s="199">
        <v>7.5034098143197447E-2</v>
      </c>
      <c r="AC101" s="180">
        <v>1</v>
      </c>
    </row>
    <row r="102" spans="1:29" x14ac:dyDescent="0.25">
      <c r="A102" s="192">
        <f>+'[9]Promedio 2019'!A25</f>
        <v>2019</v>
      </c>
      <c r="B102" s="193" t="str">
        <f>+'[9]Promedio 2019'!B25</f>
        <v>0318 - 0102040401</v>
      </c>
      <c r="C102" s="193" t="str">
        <f>+'[9]Promedio 2019'!C25</f>
        <v>RENTAS CEDIDAS OTROS GASTOS EN SALUD</v>
      </c>
      <c r="D102" s="200">
        <v>3343717481</v>
      </c>
      <c r="E102" s="200">
        <v>476005270.75</v>
      </c>
      <c r="F102" s="200">
        <v>118591147.5</v>
      </c>
      <c r="G102" s="200">
        <v>122410038</v>
      </c>
      <c r="H102" s="200">
        <v>152930218.75</v>
      </c>
      <c r="I102" s="200">
        <v>217599205</v>
      </c>
      <c r="J102" s="200">
        <v>312953115.5</v>
      </c>
      <c r="K102" s="200">
        <v>210112615.5</v>
      </c>
      <c r="L102" s="200">
        <v>275654420</v>
      </c>
      <c r="M102" s="200">
        <v>246882833.5</v>
      </c>
      <c r="N102" s="200">
        <v>337810984</v>
      </c>
      <c r="O102" s="200">
        <v>239627487.5</v>
      </c>
      <c r="P102" s="200">
        <v>633140145</v>
      </c>
      <c r="Q102" s="196">
        <v>0.14235810096241799</v>
      </c>
      <c r="R102" s="196">
        <v>3.5466856327985324E-2</v>
      </c>
      <c r="S102" s="196">
        <v>3.6608965528807484E-2</v>
      </c>
      <c r="T102" s="196">
        <v>4.5736584989310582E-2</v>
      </c>
      <c r="U102" s="196">
        <v>6.5077030651202919E-2</v>
      </c>
      <c r="V102" s="196">
        <v>9.3594365336872196E-2</v>
      </c>
      <c r="W102" s="196">
        <v>6.2838028838836574E-2</v>
      </c>
      <c r="X102" s="196">
        <v>8.2439506796357837E-2</v>
      </c>
      <c r="Y102" s="196">
        <v>7.3834836496462955E-2</v>
      </c>
      <c r="Z102" s="196">
        <v>0.10102856653396788</v>
      </c>
      <c r="AA102" s="196">
        <v>7.1664992291255128E-2</v>
      </c>
      <c r="AB102" s="196">
        <v>0.18935216524652312</v>
      </c>
      <c r="AC102" s="180">
        <v>0.99999999999999989</v>
      </c>
    </row>
    <row r="103" spans="1:29" x14ac:dyDescent="0.25">
      <c r="A103" s="1837" t="s">
        <v>2468</v>
      </c>
      <c r="B103" s="1838"/>
      <c r="C103" s="1839"/>
      <c r="D103" s="189">
        <v>2789743539.1099997</v>
      </c>
      <c r="E103" s="189">
        <v>310463874.85000002</v>
      </c>
      <c r="F103" s="189">
        <v>119238724.12</v>
      </c>
      <c r="G103" s="189">
        <v>113423899.09999999</v>
      </c>
      <c r="H103" s="189">
        <v>144747630.55000001</v>
      </c>
      <c r="I103" s="189">
        <v>154301374.94999999</v>
      </c>
      <c r="J103" s="189">
        <v>230107321.44999999</v>
      </c>
      <c r="K103" s="189">
        <v>194493796.5</v>
      </c>
      <c r="L103" s="189">
        <v>254502892.25</v>
      </c>
      <c r="M103" s="189">
        <v>217305632.25</v>
      </c>
      <c r="N103" s="189">
        <v>292050070.39999998</v>
      </c>
      <c r="O103" s="189">
        <v>320894196.09000003</v>
      </c>
      <c r="P103" s="189">
        <v>438214126.60000002</v>
      </c>
      <c r="Q103" s="191">
        <v>0.10754610538304261</v>
      </c>
      <c r="R103" s="191">
        <v>4.3571910277528055E-2</v>
      </c>
      <c r="S103" s="191">
        <v>4.0940579295195227E-2</v>
      </c>
      <c r="T103" s="191">
        <v>5.2714828492329002E-2</v>
      </c>
      <c r="U103" s="191">
        <v>5.4788408903041097E-2</v>
      </c>
      <c r="V103" s="191">
        <v>8.1591792356812493E-2</v>
      </c>
      <c r="W103" s="191">
        <v>7.0750987770237223E-2</v>
      </c>
      <c r="X103" s="191">
        <v>9.1881387935804096E-2</v>
      </c>
      <c r="Y103" s="191">
        <v>7.7524139471109144E-2</v>
      </c>
      <c r="Z103" s="191">
        <v>0.10425004096396609</v>
      </c>
      <c r="AA103" s="191">
        <v>0.11626126838021666</v>
      </c>
      <c r="AB103" s="191">
        <v>0.1581785507707183</v>
      </c>
      <c r="AC103" s="190">
        <v>1</v>
      </c>
    </row>
    <row r="104" spans="1:29" x14ac:dyDescent="0.25">
      <c r="A104" s="192">
        <f>+'[9]Promedio 2015'!A19</f>
        <v>2015</v>
      </c>
      <c r="B104" s="193" t="str">
        <f>+'[9]Promedio 2015'!B19</f>
        <v>0318 - 0102040101</v>
      </c>
      <c r="C104" s="194" t="str">
        <f>+'[9]Promedio 2015'!C19</f>
        <v>RENTAS CEDIDAS PRESTACION DE SERVICIOS</v>
      </c>
      <c r="D104" s="195">
        <v>2447025109.75</v>
      </c>
      <c r="E104" s="195">
        <v>178036106</v>
      </c>
      <c r="F104" s="195">
        <v>122114866</v>
      </c>
      <c r="G104" s="195">
        <v>93373082</v>
      </c>
      <c r="H104" s="195">
        <v>143093959.5</v>
      </c>
      <c r="I104" s="195">
        <v>117888606</v>
      </c>
      <c r="J104" s="195">
        <v>188374903</v>
      </c>
      <c r="K104" s="195">
        <v>175643837</v>
      </c>
      <c r="L104" s="195">
        <v>207470428</v>
      </c>
      <c r="M104" s="195">
        <v>132779378</v>
      </c>
      <c r="N104" s="195">
        <v>247850798</v>
      </c>
      <c r="O104" s="195">
        <v>291761453</v>
      </c>
      <c r="P104" s="195">
        <v>548637693.25</v>
      </c>
      <c r="Q104" s="196">
        <v>7.2756141851845993E-2</v>
      </c>
      <c r="R104" s="196">
        <v>4.9903397195820293E-2</v>
      </c>
      <c r="S104" s="196">
        <v>3.8157794796613041E-2</v>
      </c>
      <c r="T104" s="196">
        <v>5.8476702560121739E-2</v>
      </c>
      <c r="U104" s="196">
        <v>4.8176295997242165E-2</v>
      </c>
      <c r="V104" s="196">
        <v>7.6981189220099708E-2</v>
      </c>
      <c r="W104" s="196">
        <v>7.1778518454984161E-2</v>
      </c>
      <c r="X104" s="196">
        <v>8.478475646749542E-2</v>
      </c>
      <c r="Y104" s="196">
        <v>5.4261551085417914E-2</v>
      </c>
      <c r="Z104" s="196">
        <v>0.10128657732708009</v>
      </c>
      <c r="AA104" s="196">
        <v>0.11923108260618044</v>
      </c>
      <c r="AB104" s="196">
        <v>0.22420599243709907</v>
      </c>
      <c r="AC104" s="180">
        <v>1.0000000000000002</v>
      </c>
    </row>
    <row r="105" spans="1:29" x14ac:dyDescent="0.25">
      <c r="A105" s="175">
        <f>+'[9]Promedio 2016'!A19</f>
        <v>2016</v>
      </c>
      <c r="B105" s="197" t="str">
        <f>+'[9]Promedio 2016'!B19</f>
        <v>0318 - 0102040101</v>
      </c>
      <c r="C105" s="197" t="str">
        <f>+'[9]Promedio 2016'!C19</f>
        <v>RENTAS CEDIDAS PRESTACION DE SERVICIOS</v>
      </c>
      <c r="D105" s="198">
        <v>2475256363</v>
      </c>
      <c r="E105" s="198">
        <v>121490701.25</v>
      </c>
      <c r="F105" s="198">
        <v>142369736.25</v>
      </c>
      <c r="G105" s="198">
        <v>121824840</v>
      </c>
      <c r="H105" s="198">
        <v>169345063.75</v>
      </c>
      <c r="I105" s="198">
        <v>139017158.75</v>
      </c>
      <c r="J105" s="198">
        <v>170129508.75</v>
      </c>
      <c r="K105" s="198">
        <v>243051865</v>
      </c>
      <c r="L105" s="198">
        <v>276552976.75</v>
      </c>
      <c r="M105" s="198">
        <v>206767798.75</v>
      </c>
      <c r="N105" s="198">
        <v>213122830</v>
      </c>
      <c r="O105" s="198">
        <v>244821079</v>
      </c>
      <c r="P105" s="198">
        <v>426762804.75</v>
      </c>
      <c r="Q105" s="199">
        <v>4.9082068050015554E-2</v>
      </c>
      <c r="R105" s="199">
        <v>5.7517168071208789E-2</v>
      </c>
      <c r="S105" s="199">
        <v>4.9217059623007625E-2</v>
      </c>
      <c r="T105" s="199">
        <v>6.8415161468266872E-2</v>
      </c>
      <c r="U105" s="199">
        <v>5.6162731597430099E-2</v>
      </c>
      <c r="V105" s="199">
        <v>6.8732076116674951E-2</v>
      </c>
      <c r="W105" s="199">
        <v>9.8192602848386254E-2</v>
      </c>
      <c r="X105" s="199">
        <v>0.11172700366875089</v>
      </c>
      <c r="Y105" s="199">
        <v>8.3533892424539943E-2</v>
      </c>
      <c r="Z105" s="199">
        <v>8.6101315882164242E-2</v>
      </c>
      <c r="AA105" s="199">
        <v>9.8907362752227376E-2</v>
      </c>
      <c r="AB105" s="199">
        <v>0.17241155749732739</v>
      </c>
      <c r="AC105" s="180">
        <v>1</v>
      </c>
    </row>
    <row r="106" spans="1:29" x14ac:dyDescent="0.25">
      <c r="A106" s="192">
        <f>+'[9]Promedio 2017'!A19</f>
        <v>2017</v>
      </c>
      <c r="B106" s="193" t="str">
        <f>+'[9]Promedio 2017'!B19</f>
        <v>0318 - 0102040101</v>
      </c>
      <c r="C106" s="193" t="str">
        <f>+'[9]Promedio 2017'!C19</f>
        <v>RENTAS CEDIDAS PRESTACION DE SERVICIOS</v>
      </c>
      <c r="D106" s="200">
        <v>2846281338.4499998</v>
      </c>
      <c r="E106" s="200">
        <v>267343666.25</v>
      </c>
      <c r="F106" s="200">
        <v>134195271.25</v>
      </c>
      <c r="G106" s="200">
        <v>161030403.75</v>
      </c>
      <c r="H106" s="200">
        <v>117721917.5</v>
      </c>
      <c r="I106" s="200">
        <v>150494192.5</v>
      </c>
      <c r="J106" s="200">
        <v>205329242.5</v>
      </c>
      <c r="K106" s="200">
        <v>175076407.5</v>
      </c>
      <c r="L106" s="200">
        <v>284923972.5</v>
      </c>
      <c r="M106" s="200">
        <v>263797025</v>
      </c>
      <c r="N106" s="200">
        <v>302844915</v>
      </c>
      <c r="O106" s="200">
        <v>413823857.19999999</v>
      </c>
      <c r="P106" s="200">
        <v>369700467.5</v>
      </c>
      <c r="Q106" s="196">
        <v>9.3927350974934695E-2</v>
      </c>
      <c r="R106" s="196">
        <v>4.7147577942199752E-2</v>
      </c>
      <c r="S106" s="196">
        <v>5.6575715680197786E-2</v>
      </c>
      <c r="T106" s="196">
        <v>4.135990209741805E-2</v>
      </c>
      <c r="U106" s="196">
        <v>5.2873969437594197E-2</v>
      </c>
      <c r="V106" s="196">
        <v>7.2139475366063494E-2</v>
      </c>
      <c r="W106" s="196">
        <v>6.1510577023753177E-2</v>
      </c>
      <c r="X106" s="196">
        <v>0.10010393865532671</v>
      </c>
      <c r="Y106" s="196">
        <v>9.2681289595798008E-2</v>
      </c>
      <c r="Z106" s="196">
        <v>0.10640020398156436</v>
      </c>
      <c r="AA106" s="196">
        <v>0.14539105871570523</v>
      </c>
      <c r="AB106" s="196">
        <v>0.12988894052944461</v>
      </c>
      <c r="AC106" s="180">
        <v>1</v>
      </c>
    </row>
    <row r="107" spans="1:29" x14ac:dyDescent="0.25">
      <c r="A107" s="175">
        <f>+'[9]Promedio 2018'!A19</f>
        <v>2018</v>
      </c>
      <c r="B107" s="197" t="str">
        <f>+'[9]Promedio 2018'!B19</f>
        <v>0318 - 0102040101</v>
      </c>
      <c r="C107" s="201" t="str">
        <f>+'[9]Promedio 2018'!C19</f>
        <v>RENTAS CEDIDAS PRESTACION DE SERVICIOS</v>
      </c>
      <c r="D107" s="202">
        <v>2759451958.3499999</v>
      </c>
      <c r="E107" s="202">
        <v>509443630</v>
      </c>
      <c r="F107" s="202">
        <v>78922599.599999994</v>
      </c>
      <c r="G107" s="202">
        <v>68481131.75</v>
      </c>
      <c r="H107" s="202">
        <v>140646993.25</v>
      </c>
      <c r="I107" s="202">
        <v>146507712.5</v>
      </c>
      <c r="J107" s="202">
        <v>196764397.5</v>
      </c>
      <c r="K107" s="202">
        <v>168584257.5</v>
      </c>
      <c r="L107" s="202">
        <v>227912659</v>
      </c>
      <c r="M107" s="202">
        <v>326866227</v>
      </c>
      <c r="N107" s="202">
        <v>358620825</v>
      </c>
      <c r="O107" s="202">
        <v>437080858.75</v>
      </c>
      <c r="P107" s="202">
        <v>99620666.5</v>
      </c>
      <c r="Q107" s="199">
        <v>0.18461768412327034</v>
      </c>
      <c r="R107" s="199">
        <v>2.8600823928527953E-2</v>
      </c>
      <c r="S107" s="199">
        <v>2.4816932051590395E-2</v>
      </c>
      <c r="T107" s="199">
        <v>5.0969176261397624E-2</v>
      </c>
      <c r="U107" s="199">
        <v>5.3093046993144079E-2</v>
      </c>
      <c r="V107" s="199">
        <v>7.1305607225593537E-2</v>
      </c>
      <c r="W107" s="199">
        <v>6.109338377494497E-2</v>
      </c>
      <c r="X107" s="199">
        <v>8.2593450598168486E-2</v>
      </c>
      <c r="Y107" s="199">
        <v>0.11845331316999916</v>
      </c>
      <c r="Z107" s="199">
        <v>0.12996088731127448</v>
      </c>
      <c r="AA107" s="199">
        <v>0.15839408163182889</v>
      </c>
      <c r="AB107" s="199">
        <v>3.6101612930260131E-2</v>
      </c>
      <c r="AC107" s="180">
        <v>1</v>
      </c>
    </row>
    <row r="108" spans="1:29" x14ac:dyDescent="0.25">
      <c r="A108" s="192">
        <f>+'[9]Promedio 2019'!A19</f>
        <v>2019</v>
      </c>
      <c r="B108" s="193" t="str">
        <f>+'[9]Promedio 2019'!B19</f>
        <v>0318 - 0102040101</v>
      </c>
      <c r="C108" s="193" t="str">
        <f>+'[9]Promedio 2019'!C19</f>
        <v>RENTAS CEDIDAS PRESTACION DE SERVICIOS</v>
      </c>
      <c r="D108" s="200">
        <v>3292620178</v>
      </c>
      <c r="E108" s="200">
        <v>476005270.75</v>
      </c>
      <c r="F108" s="200">
        <v>118591147.5</v>
      </c>
      <c r="G108" s="200">
        <v>122410038</v>
      </c>
      <c r="H108" s="200">
        <v>152930218.75</v>
      </c>
      <c r="I108" s="200">
        <v>217599205</v>
      </c>
      <c r="J108" s="200">
        <v>261855812.5</v>
      </c>
      <c r="K108" s="200">
        <v>210112615.5</v>
      </c>
      <c r="L108" s="200">
        <v>275654420</v>
      </c>
      <c r="M108" s="200">
        <v>246882833.5</v>
      </c>
      <c r="N108" s="200">
        <v>337810984</v>
      </c>
      <c r="O108" s="200">
        <v>239627487.5</v>
      </c>
      <c r="P108" s="200">
        <v>633140145</v>
      </c>
      <c r="Q108" s="196">
        <v>0.1445673187361485</v>
      </c>
      <c r="R108" s="196">
        <v>3.6017257104958435E-2</v>
      </c>
      <c r="S108" s="196">
        <v>3.7177090396850507E-2</v>
      </c>
      <c r="T108" s="196">
        <v>4.6446358973263872E-2</v>
      </c>
      <c r="U108" s="196">
        <v>6.6086943903798184E-2</v>
      </c>
      <c r="V108" s="196">
        <v>7.9528095663635334E-2</v>
      </c>
      <c r="W108" s="196">
        <v>6.3813195613599868E-2</v>
      </c>
      <c r="X108" s="196">
        <v>8.3718863731023399E-2</v>
      </c>
      <c r="Y108" s="196">
        <v>7.4980659825136992E-2</v>
      </c>
      <c r="Z108" s="196">
        <v>0.1025964021775487</v>
      </c>
      <c r="AA108" s="196">
        <v>7.2777142380738943E-2</v>
      </c>
      <c r="AB108" s="196">
        <v>0.19229067149329729</v>
      </c>
      <c r="AC108" s="180">
        <v>1.0000000000000002</v>
      </c>
    </row>
    <row r="109" spans="1:29" x14ac:dyDescent="0.25">
      <c r="A109" s="1837" t="s">
        <v>2469</v>
      </c>
      <c r="B109" s="1838"/>
      <c r="C109" s="1839"/>
      <c r="D109" s="189">
        <v>2764126989.5099998</v>
      </c>
      <c r="E109" s="189">
        <v>310463874.85000002</v>
      </c>
      <c r="F109" s="189">
        <v>119238724.12</v>
      </c>
      <c r="G109" s="189">
        <v>113423899.09999999</v>
      </c>
      <c r="H109" s="189">
        <v>144747630.55000001</v>
      </c>
      <c r="I109" s="189">
        <v>154301374.94999999</v>
      </c>
      <c r="J109" s="189">
        <v>204490772.84999999</v>
      </c>
      <c r="K109" s="189">
        <v>194493796.5</v>
      </c>
      <c r="L109" s="189">
        <v>254502891.25</v>
      </c>
      <c r="M109" s="189">
        <v>235418652.44999999</v>
      </c>
      <c r="N109" s="189">
        <v>292050070.39999998</v>
      </c>
      <c r="O109" s="189">
        <v>325422947.09000003</v>
      </c>
      <c r="P109" s="189">
        <v>415572355.39999998</v>
      </c>
      <c r="Q109" s="191">
        <v>0.10899011274724302</v>
      </c>
      <c r="R109" s="191">
        <v>4.3837244848543046E-2</v>
      </c>
      <c r="S109" s="191">
        <v>4.1188918509651874E-2</v>
      </c>
      <c r="T109" s="191">
        <v>5.3133460272093633E-2</v>
      </c>
      <c r="U109" s="191">
        <v>5.5278597585841749E-2</v>
      </c>
      <c r="V109" s="191">
        <v>7.3737288718413396E-2</v>
      </c>
      <c r="W109" s="191">
        <v>7.1277655543133686E-2</v>
      </c>
      <c r="X109" s="191">
        <v>9.2585602624152968E-2</v>
      </c>
      <c r="Y109" s="191">
        <v>8.4782141220178422E-2</v>
      </c>
      <c r="Z109" s="191">
        <v>0.10526907733592636</v>
      </c>
      <c r="AA109" s="191">
        <v>0.11894014561733617</v>
      </c>
      <c r="AB109" s="191">
        <v>0.15097975497748567</v>
      </c>
      <c r="AC109" s="190">
        <v>1</v>
      </c>
    </row>
    <row r="110" spans="1:29" x14ac:dyDescent="0.25">
      <c r="A110" s="192">
        <f>+'[9]Promedio 2015'!A21</f>
        <v>2015</v>
      </c>
      <c r="B110" s="193" t="str">
        <f>+'[9]Promedio 2015'!B21</f>
        <v>0318 - 0102040301</v>
      </c>
      <c r="C110" s="194" t="str">
        <f>+'[9]Promedio 2015'!C21</f>
        <v>RENTAS CEDIDAS REGIMEN SUBSIDIADO</v>
      </c>
      <c r="D110" s="195">
        <v>4894050224.5</v>
      </c>
      <c r="E110" s="195">
        <v>356072212</v>
      </c>
      <c r="F110" s="195">
        <v>244229723</v>
      </c>
      <c r="G110" s="195">
        <v>186746160</v>
      </c>
      <c r="H110" s="195">
        <v>286187919</v>
      </c>
      <c r="I110" s="195">
        <v>235777210</v>
      </c>
      <c r="J110" s="195">
        <v>376749799</v>
      </c>
      <c r="K110" s="195">
        <v>351287651</v>
      </c>
      <c r="L110" s="195">
        <v>414940829</v>
      </c>
      <c r="M110" s="195">
        <v>265558739</v>
      </c>
      <c r="N110" s="195">
        <v>495701589</v>
      </c>
      <c r="O110" s="195">
        <v>583522909</v>
      </c>
      <c r="P110" s="195">
        <v>1097275484.5</v>
      </c>
      <c r="Q110" s="196">
        <v>7.2756141777514771E-2</v>
      </c>
      <c r="R110" s="196">
        <v>4.990339530586891E-2</v>
      </c>
      <c r="S110" s="196">
        <v>3.8157793940310228E-2</v>
      </c>
      <c r="T110" s="196">
        <v>5.8476702500379091E-2</v>
      </c>
      <c r="U110" s="196">
        <v>4.8176295539363444E-2</v>
      </c>
      <c r="V110" s="196">
        <v>7.6981187711143803E-2</v>
      </c>
      <c r="W110" s="196">
        <v>7.1778513682067752E-2</v>
      </c>
      <c r="X110" s="196">
        <v>8.4784750863972261E-2</v>
      </c>
      <c r="Y110" s="196">
        <v>5.4261547556376126E-2</v>
      </c>
      <c r="Z110" s="196">
        <v>0.10128657579329262</v>
      </c>
      <c r="AA110" s="196">
        <v>0.11923108309735737</v>
      </c>
      <c r="AB110" s="196">
        <v>0.22420601223235362</v>
      </c>
      <c r="AC110" s="180">
        <v>1</v>
      </c>
    </row>
    <row r="111" spans="1:29" x14ac:dyDescent="0.25">
      <c r="A111" s="175">
        <f>+'[9]Promedio 2016'!A21</f>
        <v>2016</v>
      </c>
      <c r="B111" s="197" t="str">
        <f>+'[9]Promedio 2016'!B21</f>
        <v>0318 - 0102040301</v>
      </c>
      <c r="C111" s="197" t="str">
        <f>+'[9]Promedio 2016'!C21</f>
        <v>RENTAS CEDIDAS REGIMEN SUBSIDIADO</v>
      </c>
      <c r="D111" s="198">
        <v>4950512726</v>
      </c>
      <c r="E111" s="198">
        <v>242981402.5</v>
      </c>
      <c r="F111" s="198">
        <v>284739472.5</v>
      </c>
      <c r="G111" s="198">
        <v>243649680</v>
      </c>
      <c r="H111" s="198">
        <v>338690127.5</v>
      </c>
      <c r="I111" s="198">
        <v>278034317.5</v>
      </c>
      <c r="J111" s="198">
        <v>340259017.5</v>
      </c>
      <c r="K111" s="198">
        <v>486103730</v>
      </c>
      <c r="L111" s="198">
        <v>553105953.5</v>
      </c>
      <c r="M111" s="198">
        <v>413535597.5</v>
      </c>
      <c r="N111" s="198">
        <v>426245660</v>
      </c>
      <c r="O111" s="198">
        <v>489642158</v>
      </c>
      <c r="P111" s="198">
        <v>853525609.5</v>
      </c>
      <c r="Q111" s="199">
        <v>4.9082068050015554E-2</v>
      </c>
      <c r="R111" s="199">
        <v>5.7517168071208789E-2</v>
      </c>
      <c r="S111" s="199">
        <v>4.9217059623007625E-2</v>
      </c>
      <c r="T111" s="199">
        <v>6.8415161468266872E-2</v>
      </c>
      <c r="U111" s="199">
        <v>5.6162731597430099E-2</v>
      </c>
      <c r="V111" s="199">
        <v>6.8732076116674951E-2</v>
      </c>
      <c r="W111" s="199">
        <v>9.8192602848386254E-2</v>
      </c>
      <c r="X111" s="199">
        <v>0.11172700366875089</v>
      </c>
      <c r="Y111" s="199">
        <v>8.3533892424539943E-2</v>
      </c>
      <c r="Z111" s="199">
        <v>8.6101315882164242E-2</v>
      </c>
      <c r="AA111" s="199">
        <v>9.8907362752227376E-2</v>
      </c>
      <c r="AB111" s="199">
        <v>0.17241155749732739</v>
      </c>
      <c r="AC111" s="180">
        <v>1</v>
      </c>
    </row>
    <row r="112" spans="1:29" x14ac:dyDescent="0.25">
      <c r="A112" s="192">
        <f>+'[9]Promedio 2017'!A21</f>
        <v>2017</v>
      </c>
      <c r="B112" s="193" t="str">
        <f>+'[9]Promedio 2017'!B21</f>
        <v>0318 - 0102040301</v>
      </c>
      <c r="C112" s="193" t="str">
        <f>+'[9]Promedio 2017'!C21</f>
        <v>RENTAS CEDIDAS REGIMEN SUBSIDIADO</v>
      </c>
      <c r="D112" s="200">
        <v>5692562676.8900003</v>
      </c>
      <c r="E112" s="200">
        <v>534687332.5</v>
      </c>
      <c r="F112" s="200">
        <v>268390542.5</v>
      </c>
      <c r="G112" s="200">
        <v>322060807.5</v>
      </c>
      <c r="H112" s="200">
        <v>235443835</v>
      </c>
      <c r="I112" s="200">
        <v>300988385</v>
      </c>
      <c r="J112" s="200">
        <v>410658485</v>
      </c>
      <c r="K112" s="200">
        <v>350152815</v>
      </c>
      <c r="L112" s="200">
        <v>569847945</v>
      </c>
      <c r="M112" s="200">
        <v>527594050</v>
      </c>
      <c r="N112" s="200">
        <v>605689830</v>
      </c>
      <c r="O112" s="200">
        <v>827647714.38999999</v>
      </c>
      <c r="P112" s="200">
        <v>739400935</v>
      </c>
      <c r="Q112" s="196">
        <v>9.3927350975099674E-2</v>
      </c>
      <c r="R112" s="196">
        <v>4.7147577942282567E-2</v>
      </c>
      <c r="S112" s="196">
        <v>5.6575715680297164E-2</v>
      </c>
      <c r="T112" s="196">
        <v>4.13599020974907E-2</v>
      </c>
      <c r="U112" s="196">
        <v>5.2873969437687074E-2</v>
      </c>
      <c r="V112" s="196">
        <v>7.2139475366190212E-2</v>
      </c>
      <c r="W112" s="196">
        <v>6.1510577023861222E-2</v>
      </c>
      <c r="X112" s="196">
        <v>0.10010393865550256</v>
      </c>
      <c r="Y112" s="196">
        <v>9.2681289595960809E-2</v>
      </c>
      <c r="Z112" s="196">
        <v>0.10640020398175126</v>
      </c>
      <c r="AA112" s="196">
        <v>0.14539105871420394</v>
      </c>
      <c r="AB112" s="196">
        <v>0.12988894052967276</v>
      </c>
      <c r="AC112" s="180">
        <v>1</v>
      </c>
    </row>
    <row r="113" spans="1:29" x14ac:dyDescent="0.25">
      <c r="A113" s="175">
        <f>+'[9]Promedio 2018'!A21</f>
        <v>2018</v>
      </c>
      <c r="B113" s="197" t="str">
        <f>+'[9]Promedio 2018'!B21</f>
        <v>0318 - 0102040301</v>
      </c>
      <c r="C113" s="201" t="str">
        <f>+'[9]Promedio 2018'!C21</f>
        <v>RENTAS CEDIDAS REGIMEN SUBSIDIADO</v>
      </c>
      <c r="D113" s="202">
        <v>6728181272.6900005</v>
      </c>
      <c r="E113" s="202">
        <v>1019283260</v>
      </c>
      <c r="F113" s="202">
        <v>157948199.19</v>
      </c>
      <c r="G113" s="202">
        <v>137007263.5</v>
      </c>
      <c r="H113" s="202">
        <v>268365186.5</v>
      </c>
      <c r="I113" s="202">
        <v>262224425</v>
      </c>
      <c r="J113" s="202">
        <v>332488795</v>
      </c>
      <c r="K113" s="202">
        <v>337204515</v>
      </c>
      <c r="L113" s="202">
        <v>400934171</v>
      </c>
      <c r="M113" s="202">
        <v>864181496</v>
      </c>
      <c r="N113" s="202">
        <v>639384650</v>
      </c>
      <c r="O113" s="202">
        <v>805992724.5</v>
      </c>
      <c r="P113" s="202">
        <v>1503166587</v>
      </c>
      <c r="Q113" s="199">
        <v>0.15149461922753449</v>
      </c>
      <c r="R113" s="199">
        <v>2.3475615889113906E-2</v>
      </c>
      <c r="S113" s="199">
        <v>2.0363194442474197E-2</v>
      </c>
      <c r="T113" s="199">
        <v>3.988673545246272E-2</v>
      </c>
      <c r="U113" s="199">
        <v>3.8974042816649589E-2</v>
      </c>
      <c r="V113" s="199">
        <v>4.9417336056266414E-2</v>
      </c>
      <c r="W113" s="199">
        <v>5.0118226803538835E-2</v>
      </c>
      <c r="X113" s="199">
        <v>5.9590274808351308E-2</v>
      </c>
      <c r="Y113" s="199">
        <v>0.12844206494669708</v>
      </c>
      <c r="Z113" s="199">
        <v>9.5030829890878826E-2</v>
      </c>
      <c r="AA113" s="199">
        <v>0.11979355071355788</v>
      </c>
      <c r="AB113" s="199">
        <v>0.22341350895247469</v>
      </c>
      <c r="AC113" s="180">
        <v>1</v>
      </c>
    </row>
    <row r="114" spans="1:29" x14ac:dyDescent="0.25">
      <c r="A114" s="192">
        <f>+'[9]Promedio 2019'!A21</f>
        <v>2019</v>
      </c>
      <c r="B114" s="193" t="str">
        <f>+'[9]Promedio 2019'!B21</f>
        <v>0318 - 0102040301</v>
      </c>
      <c r="C114" s="193" t="str">
        <f>+'[9]Promedio 2019'!C21</f>
        <v>RENTAS CEDIDAS REGIMEN SUBSIDIADO</v>
      </c>
      <c r="D114" s="200">
        <v>6618694373</v>
      </c>
      <c r="E114" s="200">
        <v>857680965.5</v>
      </c>
      <c r="F114" s="200">
        <v>399126135</v>
      </c>
      <c r="G114" s="200">
        <v>176001824</v>
      </c>
      <c r="H114" s="200">
        <v>305192437.5</v>
      </c>
      <c r="I114" s="200">
        <v>219533410</v>
      </c>
      <c r="J114" s="200">
        <v>1027197213</v>
      </c>
      <c r="K114" s="200">
        <v>332448231</v>
      </c>
      <c r="L114" s="200">
        <v>446389840</v>
      </c>
      <c r="M114" s="200">
        <v>703530398</v>
      </c>
      <c r="N114" s="200">
        <v>509428476</v>
      </c>
      <c r="O114" s="200">
        <v>499736782</v>
      </c>
      <c r="P114" s="200">
        <v>1142428661</v>
      </c>
      <c r="Q114" s="196">
        <v>0.12958461550948547</v>
      </c>
      <c r="R114" s="196">
        <v>6.0302850155489418E-2</v>
      </c>
      <c r="S114" s="196">
        <v>2.6591622770492897E-2</v>
      </c>
      <c r="T114" s="196">
        <v>4.6110670821270752E-2</v>
      </c>
      <c r="U114" s="196">
        <v>3.3168688207685579E-2</v>
      </c>
      <c r="V114" s="196">
        <v>0.1551963506866704</v>
      </c>
      <c r="W114" s="196">
        <v>5.0228672343018914E-2</v>
      </c>
      <c r="X114" s="196">
        <v>6.7443791002192569E-2</v>
      </c>
      <c r="Y114" s="196">
        <v>0.10629443789850002</v>
      </c>
      <c r="Z114" s="196">
        <v>7.6968122002753186E-2</v>
      </c>
      <c r="AA114" s="196">
        <v>7.5503831093728005E-2</v>
      </c>
      <c r="AB114" s="196">
        <v>0.17260634750871282</v>
      </c>
      <c r="AC114" s="180">
        <v>1</v>
      </c>
    </row>
    <row r="115" spans="1:29" x14ac:dyDescent="0.25">
      <c r="A115" s="1837" t="s">
        <v>2470</v>
      </c>
      <c r="B115" s="1838"/>
      <c r="C115" s="1839"/>
      <c r="D115" s="189">
        <v>5776800254.6160002</v>
      </c>
      <c r="E115" s="189">
        <v>602141034.5</v>
      </c>
      <c r="F115" s="189">
        <v>270886814.43800002</v>
      </c>
      <c r="G115" s="189">
        <v>213093147</v>
      </c>
      <c r="H115" s="189">
        <v>286775901.10000002</v>
      </c>
      <c r="I115" s="189">
        <v>259311549.5</v>
      </c>
      <c r="J115" s="189">
        <v>497470661.89999998</v>
      </c>
      <c r="K115" s="189">
        <v>371439388.39999998</v>
      </c>
      <c r="L115" s="189">
        <v>477043747.69999999</v>
      </c>
      <c r="M115" s="189">
        <v>554880056.10000002</v>
      </c>
      <c r="N115" s="189">
        <v>535290041</v>
      </c>
      <c r="O115" s="189">
        <v>641308457.57799995</v>
      </c>
      <c r="P115" s="189">
        <v>1067159455.4</v>
      </c>
      <c r="Q115" s="191">
        <v>9.9368959107929991E-2</v>
      </c>
      <c r="R115" s="191">
        <v>4.7669321472792715E-2</v>
      </c>
      <c r="S115" s="191">
        <v>3.8181077291316423E-2</v>
      </c>
      <c r="T115" s="191">
        <v>5.0849834467974031E-2</v>
      </c>
      <c r="U115" s="191">
        <v>4.5871145519763158E-2</v>
      </c>
      <c r="V115" s="191">
        <v>8.4493285187389147E-2</v>
      </c>
      <c r="W115" s="191">
        <v>6.6365718540174604E-2</v>
      </c>
      <c r="X115" s="191">
        <v>8.4729951799753928E-2</v>
      </c>
      <c r="Y115" s="191">
        <v>9.3042646484414793E-2</v>
      </c>
      <c r="Z115" s="191">
        <v>9.3157409510168016E-2</v>
      </c>
      <c r="AA115" s="191">
        <v>0.11176537727421491</v>
      </c>
      <c r="AB115" s="191">
        <v>0.18450527334410827</v>
      </c>
      <c r="AC115" s="190">
        <v>1</v>
      </c>
    </row>
    <row r="116" spans="1:29" x14ac:dyDescent="0.25">
      <c r="A116" s="176">
        <f>+'[9]Promedio 2015'!A8</f>
        <v>2015</v>
      </c>
      <c r="B116" s="177" t="str">
        <f>+'[9]Promedio 2015'!B8</f>
        <v>0307 - 0101010205</v>
      </c>
      <c r="C116" s="178" t="str">
        <f>+'[9]Promedio 2015'!C8</f>
        <v xml:space="preserve">SOBRETASA A LA GASOLINA  </v>
      </c>
      <c r="D116" s="179">
        <v>5986710600</v>
      </c>
      <c r="E116" s="179">
        <v>542340850</v>
      </c>
      <c r="F116" s="179">
        <v>518858250</v>
      </c>
      <c r="G116" s="179">
        <v>424440300</v>
      </c>
      <c r="H116" s="179">
        <v>483218400</v>
      </c>
      <c r="I116" s="179">
        <v>493740450</v>
      </c>
      <c r="J116" s="179">
        <v>480114850</v>
      </c>
      <c r="K116" s="179">
        <v>502063400</v>
      </c>
      <c r="L116" s="179">
        <v>526296200</v>
      </c>
      <c r="M116" s="179">
        <v>510062350</v>
      </c>
      <c r="N116" s="179">
        <v>492599700</v>
      </c>
      <c r="O116" s="179">
        <v>541821850</v>
      </c>
      <c r="P116" s="179">
        <v>471154000</v>
      </c>
      <c r="Q116" s="180">
        <v>9.0590791210117955E-2</v>
      </c>
      <c r="R116" s="180">
        <v>8.6668336698954518E-2</v>
      </c>
      <c r="S116" s="180">
        <v>7.0897079942364341E-2</v>
      </c>
      <c r="T116" s="180">
        <v>8.0715176043418574E-2</v>
      </c>
      <c r="U116" s="180">
        <v>8.2472743880420737E-2</v>
      </c>
      <c r="V116" s="180">
        <v>8.0196769491413203E-2</v>
      </c>
      <c r="W116" s="180">
        <v>8.3862981450949045E-2</v>
      </c>
      <c r="X116" s="180">
        <v>8.7910746846523696E-2</v>
      </c>
      <c r="Y116" s="180">
        <v>8.519909915137705E-2</v>
      </c>
      <c r="Z116" s="180">
        <v>8.2282196837775989E-2</v>
      </c>
      <c r="AA116" s="180">
        <v>9.0504099195975837E-2</v>
      </c>
      <c r="AB116" s="180">
        <v>7.8699979250709068E-2</v>
      </c>
      <c r="AC116" s="180">
        <v>0.99999999999999978</v>
      </c>
    </row>
    <row r="117" spans="1:29" x14ac:dyDescent="0.25">
      <c r="A117" s="182">
        <f>+'[9]Promedio 2016'!A8</f>
        <v>2016</v>
      </c>
      <c r="B117" s="183" t="str">
        <f>+'[9]Promedio 2016'!B8</f>
        <v>0307 - 0101010205</v>
      </c>
      <c r="C117" s="183" t="str">
        <f>+'[9]Promedio 2016'!C8</f>
        <v xml:space="preserve">SOBRETASA A LA GASOLINA  </v>
      </c>
      <c r="D117" s="184">
        <v>6704117400</v>
      </c>
      <c r="E117" s="184">
        <v>616894150</v>
      </c>
      <c r="F117" s="184">
        <v>578174000</v>
      </c>
      <c r="G117" s="184">
        <v>506256850</v>
      </c>
      <c r="H117" s="184">
        <v>586005250</v>
      </c>
      <c r="I117" s="184">
        <v>534196450</v>
      </c>
      <c r="J117" s="184">
        <v>544735950</v>
      </c>
      <c r="K117" s="184">
        <v>533659750</v>
      </c>
      <c r="L117" s="184">
        <v>579006250</v>
      </c>
      <c r="M117" s="184">
        <v>575447550</v>
      </c>
      <c r="N117" s="184">
        <v>544610800</v>
      </c>
      <c r="O117" s="184">
        <v>562357950</v>
      </c>
      <c r="P117" s="184">
        <v>542772450</v>
      </c>
      <c r="Q117" s="185">
        <v>9.2017205724947482E-2</v>
      </c>
      <c r="R117" s="185">
        <v>8.6241628167191706E-2</v>
      </c>
      <c r="S117" s="185">
        <v>7.5514317514785767E-2</v>
      </c>
      <c r="T117" s="185">
        <v>8.7409753594112183E-2</v>
      </c>
      <c r="U117" s="185">
        <v>7.9681845965286949E-2</v>
      </c>
      <c r="V117" s="185">
        <v>8.125393955660741E-2</v>
      </c>
      <c r="W117" s="185">
        <v>7.9601790684632107E-2</v>
      </c>
      <c r="X117" s="185">
        <v>8.6365768296360682E-2</v>
      </c>
      <c r="Y117" s="185">
        <v>8.5834945253196196E-2</v>
      </c>
      <c r="Z117" s="185">
        <v>8.1235271924086527E-2</v>
      </c>
      <c r="AA117" s="185">
        <v>8.3882473478164327E-2</v>
      </c>
      <c r="AB117" s="185">
        <v>8.096105984062868E-2</v>
      </c>
      <c r="AC117" s="180">
        <v>1</v>
      </c>
    </row>
    <row r="118" spans="1:29" x14ac:dyDescent="0.25">
      <c r="A118" s="176">
        <f>+'[9]Promedio 2017'!A8</f>
        <v>2017</v>
      </c>
      <c r="B118" s="177" t="str">
        <f>+'[9]Promedio 2017'!B8</f>
        <v>0307 - 0101010205</v>
      </c>
      <c r="C118" s="177" t="str">
        <f>+'[9]Promedio 2017'!C8</f>
        <v xml:space="preserve">SOBRETASA A LA GASOLINA  </v>
      </c>
      <c r="D118" s="186">
        <v>6713558000</v>
      </c>
      <c r="E118" s="186">
        <v>673989750</v>
      </c>
      <c r="F118" s="186">
        <v>441109050</v>
      </c>
      <c r="G118" s="186">
        <v>385790300</v>
      </c>
      <c r="H118" s="186">
        <v>566399650</v>
      </c>
      <c r="I118" s="186">
        <v>593202500</v>
      </c>
      <c r="J118" s="186">
        <v>557916000</v>
      </c>
      <c r="K118" s="186">
        <v>594038500</v>
      </c>
      <c r="L118" s="186">
        <v>582160300</v>
      </c>
      <c r="M118" s="186">
        <v>594922600</v>
      </c>
      <c r="N118" s="186">
        <v>567557550</v>
      </c>
      <c r="O118" s="186">
        <v>575562550</v>
      </c>
      <c r="P118" s="186">
        <v>580909250</v>
      </c>
      <c r="Q118" s="180">
        <v>0.10039233294774544</v>
      </c>
      <c r="R118" s="180">
        <v>6.570421377159473E-2</v>
      </c>
      <c r="S118" s="180">
        <v>5.7464357945518608E-2</v>
      </c>
      <c r="T118" s="180">
        <v>8.436653857760669E-2</v>
      </c>
      <c r="U118" s="180">
        <v>8.8358885109803179E-2</v>
      </c>
      <c r="V118" s="180">
        <v>8.3102879278022179E-2</v>
      </c>
      <c r="W118" s="180">
        <v>8.8483409244397682E-2</v>
      </c>
      <c r="X118" s="180">
        <v>8.6714123866956982E-2</v>
      </c>
      <c r="Y118" s="180">
        <v>8.8615097985300789E-2</v>
      </c>
      <c r="Z118" s="180">
        <v>8.4539010462112638E-2</v>
      </c>
      <c r="AA118" s="180">
        <v>8.5731373736549238E-2</v>
      </c>
      <c r="AB118" s="180">
        <v>8.6527777074391854E-2</v>
      </c>
      <c r="AC118" s="180">
        <v>1</v>
      </c>
    </row>
    <row r="119" spans="1:29" x14ac:dyDescent="0.25">
      <c r="A119" s="182">
        <f>+'[9]Promedio 2018'!A8</f>
        <v>2018</v>
      </c>
      <c r="B119" s="183" t="str">
        <f>+'[9]Promedio 2018'!B8</f>
        <v>0307 - 0101010205</v>
      </c>
      <c r="C119" s="187" t="str">
        <f>+'[9]Promedio 2018'!C8</f>
        <v xml:space="preserve">SOBRETASA A LA GASOLINA  </v>
      </c>
      <c r="D119" s="188">
        <v>6992548550</v>
      </c>
      <c r="E119" s="188">
        <v>648694600</v>
      </c>
      <c r="F119" s="188">
        <v>632021100</v>
      </c>
      <c r="G119" s="188">
        <v>523387850</v>
      </c>
      <c r="H119" s="188">
        <v>618727650</v>
      </c>
      <c r="I119" s="188">
        <v>546704600</v>
      </c>
      <c r="J119" s="188">
        <v>562708700</v>
      </c>
      <c r="K119" s="188">
        <v>576134300</v>
      </c>
      <c r="L119" s="188">
        <v>579926900</v>
      </c>
      <c r="M119" s="188">
        <v>596530200</v>
      </c>
      <c r="N119" s="188">
        <v>548604300</v>
      </c>
      <c r="O119" s="188">
        <v>588500000</v>
      </c>
      <c r="P119" s="188">
        <v>570608350</v>
      </c>
      <c r="Q119" s="185">
        <v>9.2769409516648971E-2</v>
      </c>
      <c r="R119" s="185">
        <v>9.038494269732314E-2</v>
      </c>
      <c r="S119" s="185">
        <v>7.4849369476312044E-2</v>
      </c>
      <c r="T119" s="185">
        <v>8.8483854717033031E-2</v>
      </c>
      <c r="U119" s="185">
        <v>7.818388332820371E-2</v>
      </c>
      <c r="V119" s="185">
        <v>8.0472619671693238E-2</v>
      </c>
      <c r="W119" s="185">
        <v>8.2392606340931304E-2</v>
      </c>
      <c r="X119" s="185">
        <v>8.2934983697753512E-2</v>
      </c>
      <c r="Y119" s="185">
        <v>8.5309411258932197E-2</v>
      </c>
      <c r="Z119" s="185">
        <v>7.8455558238490888E-2</v>
      </c>
      <c r="AA119" s="185">
        <v>8.4161017373272293E-2</v>
      </c>
      <c r="AB119" s="185">
        <v>8.1602343683405673E-2</v>
      </c>
      <c r="AC119" s="180">
        <v>1</v>
      </c>
    </row>
    <row r="120" spans="1:29" x14ac:dyDescent="0.25">
      <c r="A120" s="176">
        <f>+'[9]Promedio 2019'!A8</f>
        <v>2019</v>
      </c>
      <c r="B120" s="177" t="str">
        <f>+'[9]Promedio 2019'!B8</f>
        <v>0307 - 0101010205</v>
      </c>
      <c r="C120" s="177" t="str">
        <f>+'[9]Promedio 2019'!C8</f>
        <v xml:space="preserve">SOBRETASA A LA GASOLINA  </v>
      </c>
      <c r="D120" s="186">
        <v>7173915300</v>
      </c>
      <c r="E120" s="186">
        <v>666662350</v>
      </c>
      <c r="F120" s="186">
        <v>628553250</v>
      </c>
      <c r="G120" s="186">
        <v>531949700</v>
      </c>
      <c r="H120" s="186">
        <v>578577550</v>
      </c>
      <c r="I120" s="186">
        <v>607273250</v>
      </c>
      <c r="J120" s="186">
        <v>578860650</v>
      </c>
      <c r="K120" s="186">
        <v>579973100</v>
      </c>
      <c r="L120" s="186">
        <v>605412950</v>
      </c>
      <c r="M120" s="186">
        <v>625890950</v>
      </c>
      <c r="N120" s="186">
        <v>561008650</v>
      </c>
      <c r="O120" s="186">
        <v>614186350</v>
      </c>
      <c r="P120" s="186">
        <v>595566550</v>
      </c>
      <c r="Q120" s="180">
        <v>9.2928661981832986E-2</v>
      </c>
      <c r="R120" s="180">
        <v>8.7616486076996195E-2</v>
      </c>
      <c r="S120" s="180">
        <v>7.4150540918708638E-2</v>
      </c>
      <c r="T120" s="180">
        <v>8.0650178571246858E-2</v>
      </c>
      <c r="U120" s="180">
        <v>8.4650183979730009E-2</v>
      </c>
      <c r="V120" s="180">
        <v>8.0689640983076558E-2</v>
      </c>
      <c r="W120" s="180">
        <v>8.0844709722179178E-2</v>
      </c>
      <c r="X120" s="180">
        <v>8.4390869515841654E-2</v>
      </c>
      <c r="Y120" s="180">
        <v>8.7245377708878163E-2</v>
      </c>
      <c r="Z120" s="180">
        <v>7.820118115974968E-2</v>
      </c>
      <c r="AA120" s="180">
        <v>8.5613827919044427E-2</v>
      </c>
      <c r="AB120" s="180">
        <v>8.3018341462715625E-2</v>
      </c>
      <c r="AC120" s="180">
        <v>0.99999999999999989</v>
      </c>
    </row>
    <row r="121" spans="1:29" x14ac:dyDescent="0.25">
      <c r="A121" s="1837" t="s">
        <v>2471</v>
      </c>
      <c r="B121" s="1838"/>
      <c r="C121" s="1839"/>
      <c r="D121" s="189">
        <v>6714169970</v>
      </c>
      <c r="E121" s="189">
        <v>629716340</v>
      </c>
      <c r="F121" s="189">
        <v>559743130</v>
      </c>
      <c r="G121" s="189">
        <v>474365000</v>
      </c>
      <c r="H121" s="189">
        <v>566585700</v>
      </c>
      <c r="I121" s="189">
        <v>555023450</v>
      </c>
      <c r="J121" s="189">
        <v>544867230</v>
      </c>
      <c r="K121" s="189">
        <v>557173810</v>
      </c>
      <c r="L121" s="189">
        <v>574560520</v>
      </c>
      <c r="M121" s="189">
        <v>580570730</v>
      </c>
      <c r="N121" s="189">
        <v>542876200</v>
      </c>
      <c r="O121" s="189">
        <v>576485740</v>
      </c>
      <c r="P121" s="189">
        <v>552202120</v>
      </c>
      <c r="Q121" s="191">
        <v>9.3739680276258563E-2</v>
      </c>
      <c r="R121" s="191">
        <v>8.3323121482412069E-2</v>
      </c>
      <c r="S121" s="191">
        <v>7.0575133159537867E-2</v>
      </c>
      <c r="T121" s="191">
        <v>8.4325100300683464E-2</v>
      </c>
      <c r="U121" s="191">
        <v>8.2669508452688917E-2</v>
      </c>
      <c r="V121" s="191">
        <v>8.1143169796162512E-2</v>
      </c>
      <c r="W121" s="191">
        <v>8.3037099488617858E-2</v>
      </c>
      <c r="X121" s="191">
        <v>8.56632984446873E-2</v>
      </c>
      <c r="Y121" s="191">
        <v>8.6440786271536882E-2</v>
      </c>
      <c r="Z121" s="191">
        <v>8.0942643724443139E-2</v>
      </c>
      <c r="AA121" s="191">
        <v>8.5978558340601224E-2</v>
      </c>
      <c r="AB121" s="191">
        <v>8.2161900262370177E-2</v>
      </c>
      <c r="AC121" s="190">
        <v>0.99999999999999989</v>
      </c>
    </row>
    <row r="122" spans="1:29" x14ac:dyDescent="0.25">
      <c r="A122" s="176">
        <f>+'[9]Promedio 2015'!A13</f>
        <v>2015</v>
      </c>
      <c r="B122" s="177" t="str">
        <f>+'[9]Promedio 2015'!B13</f>
        <v>0307 - 010102040101</v>
      </c>
      <c r="C122" s="178" t="str">
        <f>+'[9]Promedio 2015'!C13</f>
        <v>SOBRETASA AL ACPM</v>
      </c>
      <c r="D122" s="179">
        <v>2287233345</v>
      </c>
      <c r="E122" s="179">
        <v>179305713</v>
      </c>
      <c r="F122" s="179">
        <v>196636857</v>
      </c>
      <c r="G122" s="179">
        <v>183178245</v>
      </c>
      <c r="H122" s="179">
        <v>173056195</v>
      </c>
      <c r="I122" s="179">
        <v>183727193</v>
      </c>
      <c r="J122" s="179">
        <v>190304367</v>
      </c>
      <c r="K122" s="179">
        <v>196357364</v>
      </c>
      <c r="L122" s="179">
        <v>194738992</v>
      </c>
      <c r="M122" s="179">
        <v>201739573</v>
      </c>
      <c r="N122" s="179">
        <v>190641505</v>
      </c>
      <c r="O122" s="179">
        <v>192343967</v>
      </c>
      <c r="P122" s="179">
        <v>205203374</v>
      </c>
      <c r="Q122" s="180">
        <v>7.8394149592113438E-2</v>
      </c>
      <c r="R122" s="180">
        <v>8.5971489279770011E-2</v>
      </c>
      <c r="S122" s="180">
        <v>8.0087257122425343E-2</v>
      </c>
      <c r="T122" s="180">
        <v>7.5661801354159605E-2</v>
      </c>
      <c r="U122" s="180">
        <v>8.0327262367714383E-2</v>
      </c>
      <c r="V122" s="180">
        <v>8.3202864900520243E-2</v>
      </c>
      <c r="W122" s="180">
        <v>8.5849292302967894E-2</v>
      </c>
      <c r="X122" s="180">
        <v>8.5141724794152995E-2</v>
      </c>
      <c r="Y122" s="180">
        <v>8.8202444862485158E-2</v>
      </c>
      <c r="Z122" s="180">
        <v>8.3350264815241229E-2</v>
      </c>
      <c r="AA122" s="180">
        <v>8.4094597265501128E-2</v>
      </c>
      <c r="AB122" s="180">
        <v>8.9716851342948573E-2</v>
      </c>
      <c r="AC122" s="180">
        <v>1</v>
      </c>
    </row>
    <row r="123" spans="1:29" x14ac:dyDescent="0.25">
      <c r="A123" s="182">
        <f>+'[9]Promedio 2016'!A13</f>
        <v>2016</v>
      </c>
      <c r="B123" s="183" t="str">
        <f>+'[9]Promedio 2016'!B13</f>
        <v>0307 - 010102040101</v>
      </c>
      <c r="C123" s="183" t="str">
        <f>+'[9]Promedio 2016'!C13</f>
        <v>SOBRETASA AL ACPM</v>
      </c>
      <c r="D123" s="184">
        <v>2410945833</v>
      </c>
      <c r="E123" s="184">
        <v>181592445</v>
      </c>
      <c r="F123" s="184">
        <v>0</v>
      </c>
      <c r="G123" s="184">
        <v>388687459</v>
      </c>
      <c r="H123" s="184">
        <v>182870216</v>
      </c>
      <c r="I123" s="184">
        <v>192142479</v>
      </c>
      <c r="J123" s="184">
        <v>199988939</v>
      </c>
      <c r="K123" s="184">
        <v>202344049</v>
      </c>
      <c r="L123" s="184">
        <v>198047105</v>
      </c>
      <c r="M123" s="184">
        <v>187358081</v>
      </c>
      <c r="N123" s="184">
        <v>235018207</v>
      </c>
      <c r="O123" s="184">
        <v>220355285</v>
      </c>
      <c r="P123" s="184">
        <v>222541568</v>
      </c>
      <c r="Q123" s="185">
        <v>7.5320002015159329E-2</v>
      </c>
      <c r="R123" s="185">
        <v>0</v>
      </c>
      <c r="S123" s="185">
        <v>0.16121783147502178</v>
      </c>
      <c r="T123" s="185">
        <v>7.5849989451007294E-2</v>
      </c>
      <c r="U123" s="185">
        <v>7.9695892114221553E-2</v>
      </c>
      <c r="V123" s="185">
        <v>8.2950407372341828E-2</v>
      </c>
      <c r="W123" s="185">
        <v>8.3927248066049773E-2</v>
      </c>
      <c r="X123" s="185">
        <v>8.2144983221611845E-2</v>
      </c>
      <c r="Y123" s="185">
        <v>7.7711443548636544E-2</v>
      </c>
      <c r="Z123" s="185">
        <v>9.7479671166050622E-2</v>
      </c>
      <c r="AA123" s="185">
        <v>9.1397858045531633E-2</v>
      </c>
      <c r="AB123" s="185">
        <v>9.2304673524367817E-2</v>
      </c>
      <c r="AC123" s="180">
        <v>1</v>
      </c>
    </row>
    <row r="124" spans="1:29" x14ac:dyDescent="0.25">
      <c r="A124" s="176">
        <f>+'[9]Promedio 2017'!A13</f>
        <v>2017</v>
      </c>
      <c r="B124" s="177" t="str">
        <f>+'[9]Promedio 2017'!B13</f>
        <v>0307 - 010102040101</v>
      </c>
      <c r="C124" s="177" t="str">
        <f>+'[9]Promedio 2017'!C13</f>
        <v>SOBRETASA AL ACPM</v>
      </c>
      <c r="D124" s="186">
        <v>2269932364</v>
      </c>
      <c r="E124" s="186">
        <v>210735854</v>
      </c>
      <c r="F124" s="186">
        <v>219926968</v>
      </c>
      <c r="G124" s="186">
        <v>144767668</v>
      </c>
      <c r="H124" s="186">
        <v>147316804</v>
      </c>
      <c r="I124" s="186">
        <v>211797456</v>
      </c>
      <c r="J124" s="186">
        <v>184216430</v>
      </c>
      <c r="K124" s="186">
        <v>174728103</v>
      </c>
      <c r="L124" s="186">
        <v>186074085</v>
      </c>
      <c r="M124" s="186">
        <v>197237432</v>
      </c>
      <c r="N124" s="186">
        <v>205748469</v>
      </c>
      <c r="O124" s="186">
        <v>198794612</v>
      </c>
      <c r="P124" s="186">
        <v>188588483</v>
      </c>
      <c r="Q124" s="180">
        <v>9.2837944135325784E-2</v>
      </c>
      <c r="R124" s="180">
        <v>9.6887013678439271E-2</v>
      </c>
      <c r="S124" s="180">
        <v>6.377620333360734E-2</v>
      </c>
      <c r="T124" s="180">
        <v>6.4899204194966933E-2</v>
      </c>
      <c r="U124" s="180">
        <v>9.3305624149425101E-2</v>
      </c>
      <c r="V124" s="180">
        <v>8.1155030397196445E-2</v>
      </c>
      <c r="W124" s="180">
        <v>7.6975026115800163E-2</v>
      </c>
      <c r="X124" s="180">
        <v>8.1973405001418795E-2</v>
      </c>
      <c r="Y124" s="180">
        <v>8.6891325542596654E-2</v>
      </c>
      <c r="Z124" s="180">
        <v>9.0640792766810391E-2</v>
      </c>
      <c r="AA124" s="180">
        <v>8.7577328361313239E-2</v>
      </c>
      <c r="AB124" s="180">
        <v>8.3081102323099884E-2</v>
      </c>
      <c r="AC124" s="180">
        <v>1</v>
      </c>
    </row>
    <row r="125" spans="1:29" x14ac:dyDescent="0.25">
      <c r="A125" s="182">
        <f>+'[9]Promedio 2018'!A13</f>
        <v>2018</v>
      </c>
      <c r="B125" s="183" t="str">
        <f>+'[9]Promedio 2018'!B13</f>
        <v>0307 - 010102040101</v>
      </c>
      <c r="C125" s="187" t="str">
        <f>+'[9]Promedio 2018'!C13</f>
        <v>SOBRETASA AL ACPM</v>
      </c>
      <c r="D125" s="188">
        <v>2329571431</v>
      </c>
      <c r="E125" s="188">
        <v>196968229</v>
      </c>
      <c r="F125" s="188">
        <v>0</v>
      </c>
      <c r="G125" s="188">
        <v>379360369</v>
      </c>
      <c r="H125" s="188">
        <v>175908991</v>
      </c>
      <c r="I125" s="188">
        <v>195653109</v>
      </c>
      <c r="J125" s="188">
        <v>194367665</v>
      </c>
      <c r="K125" s="188">
        <v>194724238</v>
      </c>
      <c r="L125" s="188">
        <v>200869283</v>
      </c>
      <c r="M125" s="188">
        <v>197193790</v>
      </c>
      <c r="N125" s="188">
        <v>200650636</v>
      </c>
      <c r="O125" s="188">
        <v>192842823</v>
      </c>
      <c r="P125" s="188">
        <v>201032298</v>
      </c>
      <c r="Q125" s="185">
        <v>8.4551272555505513E-2</v>
      </c>
      <c r="R125" s="185">
        <v>0</v>
      </c>
      <c r="S125" s="185">
        <v>0.16284556204278072</v>
      </c>
      <c r="T125" s="185">
        <v>7.5511310217471497E-2</v>
      </c>
      <c r="U125" s="185">
        <v>8.3986739533465721E-2</v>
      </c>
      <c r="V125" s="185">
        <v>8.3434945335230631E-2</v>
      </c>
      <c r="W125" s="185">
        <v>8.3588009111363451E-2</v>
      </c>
      <c r="X125" s="185">
        <v>8.6225852672727074E-2</v>
      </c>
      <c r="Y125" s="185">
        <v>8.464809766118736E-2</v>
      </c>
      <c r="Z125" s="185">
        <v>8.6131995494925867E-2</v>
      </c>
      <c r="AA125" s="185">
        <v>8.2780386312180876E-2</v>
      </c>
      <c r="AB125" s="185">
        <v>8.6295829063161272E-2</v>
      </c>
      <c r="AC125" s="180">
        <v>1</v>
      </c>
    </row>
    <row r="126" spans="1:29" x14ac:dyDescent="0.25">
      <c r="A126" s="176">
        <f>+'[9]Promedio 2019'!A13</f>
        <v>2019</v>
      </c>
      <c r="B126" s="177" t="str">
        <f>+'[9]Promedio 2019'!B13</f>
        <v>0307 - 010102040101</v>
      </c>
      <c r="C126" s="177" t="str">
        <f>+'[9]Promedio 2019'!C13</f>
        <v>SOBRETASA AL ACPM</v>
      </c>
      <c r="D126" s="186">
        <v>2335055953</v>
      </c>
      <c r="E126" s="186">
        <v>190821441</v>
      </c>
      <c r="F126" s="186">
        <v>193657567</v>
      </c>
      <c r="G126" s="186">
        <v>182790865</v>
      </c>
      <c r="H126" s="186">
        <v>174971434</v>
      </c>
      <c r="I126" s="186">
        <v>0</v>
      </c>
      <c r="J126" s="186">
        <v>381992055</v>
      </c>
      <c r="K126" s="186">
        <v>199384676</v>
      </c>
      <c r="L126" s="186">
        <v>183934665</v>
      </c>
      <c r="M126" s="186">
        <v>205648733</v>
      </c>
      <c r="N126" s="186">
        <v>212447454</v>
      </c>
      <c r="O126" s="186">
        <v>200905469</v>
      </c>
      <c r="P126" s="186">
        <v>208501594</v>
      </c>
      <c r="Q126" s="180">
        <v>8.1720286297567793E-2</v>
      </c>
      <c r="R126" s="180">
        <v>8.2934872182054309E-2</v>
      </c>
      <c r="S126" s="180">
        <v>7.8281149865019953E-2</v>
      </c>
      <c r="T126" s="180">
        <v>7.4932437389863271E-2</v>
      </c>
      <c r="U126" s="180">
        <v>0</v>
      </c>
      <c r="V126" s="180">
        <v>0.16359010776989291</v>
      </c>
      <c r="W126" s="180">
        <v>8.5387536749959844E-2</v>
      </c>
      <c r="X126" s="180">
        <v>7.877098823421641E-2</v>
      </c>
      <c r="Y126" s="180">
        <v>8.8070152124530274E-2</v>
      </c>
      <c r="Z126" s="180">
        <v>9.0981740170746131E-2</v>
      </c>
      <c r="AA126" s="180">
        <v>8.6038824355315138E-2</v>
      </c>
      <c r="AB126" s="180">
        <v>8.9291904860833965E-2</v>
      </c>
      <c r="AC126" s="180">
        <v>0.99999999999999989</v>
      </c>
    </row>
    <row r="127" spans="1:29" x14ac:dyDescent="0.25">
      <c r="A127" s="1837" t="s">
        <v>145</v>
      </c>
      <c r="B127" s="1838"/>
      <c r="C127" s="1839"/>
      <c r="D127" s="189">
        <v>2326547785.1999998</v>
      </c>
      <c r="E127" s="189">
        <v>191884736.40000001</v>
      </c>
      <c r="F127" s="189">
        <v>122044278.40000001</v>
      </c>
      <c r="G127" s="189">
        <v>255756921.19999999</v>
      </c>
      <c r="H127" s="189">
        <v>170824728</v>
      </c>
      <c r="I127" s="189">
        <v>156664047.40000001</v>
      </c>
      <c r="J127" s="189">
        <v>230173891.19999999</v>
      </c>
      <c r="K127" s="189">
        <v>193507686</v>
      </c>
      <c r="L127" s="189">
        <v>192732826</v>
      </c>
      <c r="M127" s="189">
        <v>197835521.80000001</v>
      </c>
      <c r="N127" s="189">
        <v>208901254.19999999</v>
      </c>
      <c r="O127" s="189">
        <v>201048431.19999999</v>
      </c>
      <c r="P127" s="189">
        <v>205173463.40000001</v>
      </c>
      <c r="Q127" s="191">
        <v>8.2564730919134369E-2</v>
      </c>
      <c r="R127" s="191">
        <v>5.3158675028052715E-2</v>
      </c>
      <c r="S127" s="191">
        <v>0.10924160076777104</v>
      </c>
      <c r="T127" s="191">
        <v>7.3370948521493715E-2</v>
      </c>
      <c r="U127" s="191">
        <v>6.7463103632965343E-2</v>
      </c>
      <c r="V127" s="191">
        <v>9.8866671155036417E-2</v>
      </c>
      <c r="W127" s="191">
        <v>8.3145422469228222E-2</v>
      </c>
      <c r="X127" s="191">
        <v>8.2851390784825424E-2</v>
      </c>
      <c r="Y127" s="191">
        <v>8.5104692747887206E-2</v>
      </c>
      <c r="Z127" s="191">
        <v>8.9716892882754834E-2</v>
      </c>
      <c r="AA127" s="191">
        <v>8.6377798867968397E-2</v>
      </c>
      <c r="AB127" s="191">
        <v>8.8138072222882308E-2</v>
      </c>
      <c r="AC127" s="190">
        <v>0.99999999999999989</v>
      </c>
    </row>
    <row r="131" spans="4:6" x14ac:dyDescent="0.25">
      <c r="D131" s="202">
        <f>+D96</f>
        <v>11929590703.1</v>
      </c>
      <c r="E131" s="202">
        <f>+D131/37*100</f>
        <v>32242137035.405411</v>
      </c>
      <c r="F131" s="202">
        <f>+E131*0.46</f>
        <v>14831383036.286489</v>
      </c>
    </row>
  </sheetData>
  <mergeCells count="21">
    <mergeCell ref="A115:C115"/>
    <mergeCell ref="A121:C121"/>
    <mergeCell ref="A127:C127"/>
    <mergeCell ref="A79:C79"/>
    <mergeCell ref="A85:C85"/>
    <mergeCell ref="A91:C91"/>
    <mergeCell ref="A97:C97"/>
    <mergeCell ref="A103:C103"/>
    <mergeCell ref="A109:C109"/>
    <mergeCell ref="A73:C73"/>
    <mergeCell ref="A7:C7"/>
    <mergeCell ref="A13:C13"/>
    <mergeCell ref="A19:C19"/>
    <mergeCell ref="A25:C25"/>
    <mergeCell ref="A31:C31"/>
    <mergeCell ref="A37:C37"/>
    <mergeCell ref="A43:C43"/>
    <mergeCell ref="A49:C49"/>
    <mergeCell ref="A55:C55"/>
    <mergeCell ref="A61:C61"/>
    <mergeCell ref="A67:C6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1" filterMode="1"/>
  <dimension ref="A1:J159"/>
  <sheetViews>
    <sheetView zoomScale="190" zoomScaleNormal="190" workbookViewId="0">
      <pane xSplit="2" ySplit="6" topLeftCell="C139" activePane="bottomRight" state="frozen"/>
      <selection pane="topRight"/>
      <selection pane="bottomLeft"/>
      <selection pane="bottomRight"/>
    </sheetView>
  </sheetViews>
  <sheetFormatPr baseColWidth="10" defaultColWidth="11.42578125" defaultRowHeight="12.75" x14ac:dyDescent="0.25"/>
  <cols>
    <col min="1" max="1" width="11.42578125" style="42"/>
    <col min="2" max="2" width="30.42578125" style="95" customWidth="1"/>
    <col min="3" max="3" width="23.28515625" style="42" bestFit="1" customWidth="1"/>
    <col min="4" max="4" width="18.140625" style="42" bestFit="1" customWidth="1"/>
    <col min="5" max="5" width="18.140625" style="42" customWidth="1"/>
    <col min="6" max="6" width="16.28515625" style="42" bestFit="1" customWidth="1"/>
    <col min="7" max="10" width="11.42578125" style="41"/>
    <col min="11" max="258" width="11.42578125" style="42"/>
    <col min="259" max="259" width="30.42578125" style="42" customWidth="1"/>
    <col min="260" max="260" width="23.28515625" style="42" bestFit="1" customWidth="1"/>
    <col min="261" max="261" width="18.140625" style="42" bestFit="1" customWidth="1"/>
    <col min="262" max="262" width="15.85546875" style="42" bestFit="1" customWidth="1"/>
    <col min="263" max="514" width="11.42578125" style="42"/>
    <col min="515" max="515" width="30.42578125" style="42" customWidth="1"/>
    <col min="516" max="516" width="23.28515625" style="42" bestFit="1" customWidth="1"/>
    <col min="517" max="517" width="18.140625" style="42" bestFit="1" customWidth="1"/>
    <col min="518" max="518" width="15.85546875" style="42" bestFit="1" customWidth="1"/>
    <col min="519" max="770" width="11.42578125" style="42"/>
    <col min="771" max="771" width="30.42578125" style="42" customWidth="1"/>
    <col min="772" max="772" width="23.28515625" style="42" bestFit="1" customWidth="1"/>
    <col min="773" max="773" width="18.140625" style="42" bestFit="1" customWidth="1"/>
    <col min="774" max="774" width="15.85546875" style="42" bestFit="1" customWidth="1"/>
    <col min="775" max="1026" width="11.42578125" style="42"/>
    <col min="1027" max="1027" width="30.42578125" style="42" customWidth="1"/>
    <col min="1028" max="1028" width="23.28515625" style="42" bestFit="1" customWidth="1"/>
    <col min="1029" max="1029" width="18.140625" style="42" bestFit="1" customWidth="1"/>
    <col min="1030" max="1030" width="15.85546875" style="42" bestFit="1" customWidth="1"/>
    <col min="1031" max="1282" width="11.42578125" style="42"/>
    <col min="1283" max="1283" width="30.42578125" style="42" customWidth="1"/>
    <col min="1284" max="1284" width="23.28515625" style="42" bestFit="1" customWidth="1"/>
    <col min="1285" max="1285" width="18.140625" style="42" bestFit="1" customWidth="1"/>
    <col min="1286" max="1286" width="15.85546875" style="42" bestFit="1" customWidth="1"/>
    <col min="1287" max="1538" width="11.42578125" style="42"/>
    <col min="1539" max="1539" width="30.42578125" style="42" customWidth="1"/>
    <col min="1540" max="1540" width="23.28515625" style="42" bestFit="1" customWidth="1"/>
    <col min="1541" max="1541" width="18.140625" style="42" bestFit="1" customWidth="1"/>
    <col min="1542" max="1542" width="15.85546875" style="42" bestFit="1" customWidth="1"/>
    <col min="1543" max="1794" width="11.42578125" style="42"/>
    <col min="1795" max="1795" width="30.42578125" style="42" customWidth="1"/>
    <col min="1796" max="1796" width="23.28515625" style="42" bestFit="1" customWidth="1"/>
    <col min="1797" max="1797" width="18.140625" style="42" bestFit="1" customWidth="1"/>
    <col min="1798" max="1798" width="15.85546875" style="42" bestFit="1" customWidth="1"/>
    <col min="1799" max="2050" width="11.42578125" style="42"/>
    <col min="2051" max="2051" width="30.42578125" style="42" customWidth="1"/>
    <col min="2052" max="2052" width="23.28515625" style="42" bestFit="1" customWidth="1"/>
    <col min="2053" max="2053" width="18.140625" style="42" bestFit="1" customWidth="1"/>
    <col min="2054" max="2054" width="15.85546875" style="42" bestFit="1" customWidth="1"/>
    <col min="2055" max="2306" width="11.42578125" style="42"/>
    <col min="2307" max="2307" width="30.42578125" style="42" customWidth="1"/>
    <col min="2308" max="2308" width="23.28515625" style="42" bestFit="1" customWidth="1"/>
    <col min="2309" max="2309" width="18.140625" style="42" bestFit="1" customWidth="1"/>
    <col min="2310" max="2310" width="15.85546875" style="42" bestFit="1" customWidth="1"/>
    <col min="2311" max="2562" width="11.42578125" style="42"/>
    <col min="2563" max="2563" width="30.42578125" style="42" customWidth="1"/>
    <col min="2564" max="2564" width="23.28515625" style="42" bestFit="1" customWidth="1"/>
    <col min="2565" max="2565" width="18.140625" style="42" bestFit="1" customWidth="1"/>
    <col min="2566" max="2566" width="15.85546875" style="42" bestFit="1" customWidth="1"/>
    <col min="2567" max="2818" width="11.42578125" style="42"/>
    <col min="2819" max="2819" width="30.42578125" style="42" customWidth="1"/>
    <col min="2820" max="2820" width="23.28515625" style="42" bestFit="1" customWidth="1"/>
    <col min="2821" max="2821" width="18.140625" style="42" bestFit="1" customWidth="1"/>
    <col min="2822" max="2822" width="15.85546875" style="42" bestFit="1" customWidth="1"/>
    <col min="2823" max="3074" width="11.42578125" style="42"/>
    <col min="3075" max="3075" width="30.42578125" style="42" customWidth="1"/>
    <col min="3076" max="3076" width="23.28515625" style="42" bestFit="1" customWidth="1"/>
    <col min="3077" max="3077" width="18.140625" style="42" bestFit="1" customWidth="1"/>
    <col min="3078" max="3078" width="15.85546875" style="42" bestFit="1" customWidth="1"/>
    <col min="3079" max="3330" width="11.42578125" style="42"/>
    <col min="3331" max="3331" width="30.42578125" style="42" customWidth="1"/>
    <col min="3332" max="3332" width="23.28515625" style="42" bestFit="1" customWidth="1"/>
    <col min="3333" max="3333" width="18.140625" style="42" bestFit="1" customWidth="1"/>
    <col min="3334" max="3334" width="15.85546875" style="42" bestFit="1" customWidth="1"/>
    <col min="3335" max="3586" width="11.42578125" style="42"/>
    <col min="3587" max="3587" width="30.42578125" style="42" customWidth="1"/>
    <col min="3588" max="3588" width="23.28515625" style="42" bestFit="1" customWidth="1"/>
    <col min="3589" max="3589" width="18.140625" style="42" bestFit="1" customWidth="1"/>
    <col min="3590" max="3590" width="15.85546875" style="42" bestFit="1" customWidth="1"/>
    <col min="3591" max="3842" width="11.42578125" style="42"/>
    <col min="3843" max="3843" width="30.42578125" style="42" customWidth="1"/>
    <col min="3844" max="3844" width="23.28515625" style="42" bestFit="1" customWidth="1"/>
    <col min="3845" max="3845" width="18.140625" style="42" bestFit="1" customWidth="1"/>
    <col min="3846" max="3846" width="15.85546875" style="42" bestFit="1" customWidth="1"/>
    <col min="3847" max="4098" width="11.42578125" style="42"/>
    <col min="4099" max="4099" width="30.42578125" style="42" customWidth="1"/>
    <col min="4100" max="4100" width="23.28515625" style="42" bestFit="1" customWidth="1"/>
    <col min="4101" max="4101" width="18.140625" style="42" bestFit="1" customWidth="1"/>
    <col min="4102" max="4102" width="15.85546875" style="42" bestFit="1" customWidth="1"/>
    <col min="4103" max="4354" width="11.42578125" style="42"/>
    <col min="4355" max="4355" width="30.42578125" style="42" customWidth="1"/>
    <col min="4356" max="4356" width="23.28515625" style="42" bestFit="1" customWidth="1"/>
    <col min="4357" max="4357" width="18.140625" style="42" bestFit="1" customWidth="1"/>
    <col min="4358" max="4358" width="15.85546875" style="42" bestFit="1" customWidth="1"/>
    <col min="4359" max="4610" width="11.42578125" style="42"/>
    <col min="4611" max="4611" width="30.42578125" style="42" customWidth="1"/>
    <col min="4612" max="4612" width="23.28515625" style="42" bestFit="1" customWidth="1"/>
    <col min="4613" max="4613" width="18.140625" style="42" bestFit="1" customWidth="1"/>
    <col min="4614" max="4614" width="15.85546875" style="42" bestFit="1" customWidth="1"/>
    <col min="4615" max="4866" width="11.42578125" style="42"/>
    <col min="4867" max="4867" width="30.42578125" style="42" customWidth="1"/>
    <col min="4868" max="4868" width="23.28515625" style="42" bestFit="1" customWidth="1"/>
    <col min="4869" max="4869" width="18.140625" style="42" bestFit="1" customWidth="1"/>
    <col min="4870" max="4870" width="15.85546875" style="42" bestFit="1" customWidth="1"/>
    <col min="4871" max="5122" width="11.42578125" style="42"/>
    <col min="5123" max="5123" width="30.42578125" style="42" customWidth="1"/>
    <col min="5124" max="5124" width="23.28515625" style="42" bestFit="1" customWidth="1"/>
    <col min="5125" max="5125" width="18.140625" style="42" bestFit="1" customWidth="1"/>
    <col min="5126" max="5126" width="15.85546875" style="42" bestFit="1" customWidth="1"/>
    <col min="5127" max="5378" width="11.42578125" style="42"/>
    <col min="5379" max="5379" width="30.42578125" style="42" customWidth="1"/>
    <col min="5380" max="5380" width="23.28515625" style="42" bestFit="1" customWidth="1"/>
    <col min="5381" max="5381" width="18.140625" style="42" bestFit="1" customWidth="1"/>
    <col min="5382" max="5382" width="15.85546875" style="42" bestFit="1" customWidth="1"/>
    <col min="5383" max="5634" width="11.42578125" style="42"/>
    <col min="5635" max="5635" width="30.42578125" style="42" customWidth="1"/>
    <col min="5636" max="5636" width="23.28515625" style="42" bestFit="1" customWidth="1"/>
    <col min="5637" max="5637" width="18.140625" style="42" bestFit="1" customWidth="1"/>
    <col min="5638" max="5638" width="15.85546875" style="42" bestFit="1" customWidth="1"/>
    <col min="5639" max="5890" width="11.42578125" style="42"/>
    <col min="5891" max="5891" width="30.42578125" style="42" customWidth="1"/>
    <col min="5892" max="5892" width="23.28515625" style="42" bestFit="1" customWidth="1"/>
    <col min="5893" max="5893" width="18.140625" style="42" bestFit="1" customWidth="1"/>
    <col min="5894" max="5894" width="15.85546875" style="42" bestFit="1" customWidth="1"/>
    <col min="5895" max="6146" width="11.42578125" style="42"/>
    <col min="6147" max="6147" width="30.42578125" style="42" customWidth="1"/>
    <col min="6148" max="6148" width="23.28515625" style="42" bestFit="1" customWidth="1"/>
    <col min="6149" max="6149" width="18.140625" style="42" bestFit="1" customWidth="1"/>
    <col min="6150" max="6150" width="15.85546875" style="42" bestFit="1" customWidth="1"/>
    <col min="6151" max="6402" width="11.42578125" style="42"/>
    <col min="6403" max="6403" width="30.42578125" style="42" customWidth="1"/>
    <col min="6404" max="6404" width="23.28515625" style="42" bestFit="1" customWidth="1"/>
    <col min="6405" max="6405" width="18.140625" style="42" bestFit="1" customWidth="1"/>
    <col min="6406" max="6406" width="15.85546875" style="42" bestFit="1" customWidth="1"/>
    <col min="6407" max="6658" width="11.42578125" style="42"/>
    <col min="6659" max="6659" width="30.42578125" style="42" customWidth="1"/>
    <col min="6660" max="6660" width="23.28515625" style="42" bestFit="1" customWidth="1"/>
    <col min="6661" max="6661" width="18.140625" style="42" bestFit="1" customWidth="1"/>
    <col min="6662" max="6662" width="15.85546875" style="42" bestFit="1" customWidth="1"/>
    <col min="6663" max="6914" width="11.42578125" style="42"/>
    <col min="6915" max="6915" width="30.42578125" style="42" customWidth="1"/>
    <col min="6916" max="6916" width="23.28515625" style="42" bestFit="1" customWidth="1"/>
    <col min="6917" max="6917" width="18.140625" style="42" bestFit="1" customWidth="1"/>
    <col min="6918" max="6918" width="15.85546875" style="42" bestFit="1" customWidth="1"/>
    <col min="6919" max="7170" width="11.42578125" style="42"/>
    <col min="7171" max="7171" width="30.42578125" style="42" customWidth="1"/>
    <col min="7172" max="7172" width="23.28515625" style="42" bestFit="1" customWidth="1"/>
    <col min="7173" max="7173" width="18.140625" style="42" bestFit="1" customWidth="1"/>
    <col min="7174" max="7174" width="15.85546875" style="42" bestFit="1" customWidth="1"/>
    <col min="7175" max="7426" width="11.42578125" style="42"/>
    <col min="7427" max="7427" width="30.42578125" style="42" customWidth="1"/>
    <col min="7428" max="7428" width="23.28515625" style="42" bestFit="1" customWidth="1"/>
    <col min="7429" max="7429" width="18.140625" style="42" bestFit="1" customWidth="1"/>
    <col min="7430" max="7430" width="15.85546875" style="42" bestFit="1" customWidth="1"/>
    <col min="7431" max="7682" width="11.42578125" style="42"/>
    <col min="7683" max="7683" width="30.42578125" style="42" customWidth="1"/>
    <col min="7684" max="7684" width="23.28515625" style="42" bestFit="1" customWidth="1"/>
    <col min="7685" max="7685" width="18.140625" style="42" bestFit="1" customWidth="1"/>
    <col min="7686" max="7686" width="15.85546875" style="42" bestFit="1" customWidth="1"/>
    <col min="7687" max="7938" width="11.42578125" style="42"/>
    <col min="7939" max="7939" width="30.42578125" style="42" customWidth="1"/>
    <col min="7940" max="7940" width="23.28515625" style="42" bestFit="1" customWidth="1"/>
    <col min="7941" max="7941" width="18.140625" style="42" bestFit="1" customWidth="1"/>
    <col min="7942" max="7942" width="15.85546875" style="42" bestFit="1" customWidth="1"/>
    <col min="7943" max="8194" width="11.42578125" style="42"/>
    <col min="8195" max="8195" width="30.42578125" style="42" customWidth="1"/>
    <col min="8196" max="8196" width="23.28515625" style="42" bestFit="1" customWidth="1"/>
    <col min="8197" max="8197" width="18.140625" style="42" bestFit="1" customWidth="1"/>
    <col min="8198" max="8198" width="15.85546875" style="42" bestFit="1" customWidth="1"/>
    <col min="8199" max="8450" width="11.42578125" style="42"/>
    <col min="8451" max="8451" width="30.42578125" style="42" customWidth="1"/>
    <col min="8452" max="8452" width="23.28515625" style="42" bestFit="1" customWidth="1"/>
    <col min="8453" max="8453" width="18.140625" style="42" bestFit="1" customWidth="1"/>
    <col min="8454" max="8454" width="15.85546875" style="42" bestFit="1" customWidth="1"/>
    <col min="8455" max="8706" width="11.42578125" style="42"/>
    <col min="8707" max="8707" width="30.42578125" style="42" customWidth="1"/>
    <col min="8708" max="8708" width="23.28515625" style="42" bestFit="1" customWidth="1"/>
    <col min="8709" max="8709" width="18.140625" style="42" bestFit="1" customWidth="1"/>
    <col min="8710" max="8710" width="15.85546875" style="42" bestFit="1" customWidth="1"/>
    <col min="8711" max="8962" width="11.42578125" style="42"/>
    <col min="8963" max="8963" width="30.42578125" style="42" customWidth="1"/>
    <col min="8964" max="8964" width="23.28515625" style="42" bestFit="1" customWidth="1"/>
    <col min="8965" max="8965" width="18.140625" style="42" bestFit="1" customWidth="1"/>
    <col min="8966" max="8966" width="15.85546875" style="42" bestFit="1" customWidth="1"/>
    <col min="8967" max="9218" width="11.42578125" style="42"/>
    <col min="9219" max="9219" width="30.42578125" style="42" customWidth="1"/>
    <col min="9220" max="9220" width="23.28515625" style="42" bestFit="1" customWidth="1"/>
    <col min="9221" max="9221" width="18.140625" style="42" bestFit="1" customWidth="1"/>
    <col min="9222" max="9222" width="15.85546875" style="42" bestFit="1" customWidth="1"/>
    <col min="9223" max="9474" width="11.42578125" style="42"/>
    <col min="9475" max="9475" width="30.42578125" style="42" customWidth="1"/>
    <col min="9476" max="9476" width="23.28515625" style="42" bestFit="1" customWidth="1"/>
    <col min="9477" max="9477" width="18.140625" style="42" bestFit="1" customWidth="1"/>
    <col min="9478" max="9478" width="15.85546875" style="42" bestFit="1" customWidth="1"/>
    <col min="9479" max="9730" width="11.42578125" style="42"/>
    <col min="9731" max="9731" width="30.42578125" style="42" customWidth="1"/>
    <col min="9732" max="9732" width="23.28515625" style="42" bestFit="1" customWidth="1"/>
    <col min="9733" max="9733" width="18.140625" style="42" bestFit="1" customWidth="1"/>
    <col min="9734" max="9734" width="15.85546875" style="42" bestFit="1" customWidth="1"/>
    <col min="9735" max="9986" width="11.42578125" style="42"/>
    <col min="9987" max="9987" width="30.42578125" style="42" customWidth="1"/>
    <col min="9988" max="9988" width="23.28515625" style="42" bestFit="1" customWidth="1"/>
    <col min="9989" max="9989" width="18.140625" style="42" bestFit="1" customWidth="1"/>
    <col min="9990" max="9990" width="15.85546875" style="42" bestFit="1" customWidth="1"/>
    <col min="9991" max="10242" width="11.42578125" style="42"/>
    <col min="10243" max="10243" width="30.42578125" style="42" customWidth="1"/>
    <col min="10244" max="10244" width="23.28515625" style="42" bestFit="1" customWidth="1"/>
    <col min="10245" max="10245" width="18.140625" style="42" bestFit="1" customWidth="1"/>
    <col min="10246" max="10246" width="15.85546875" style="42" bestFit="1" customWidth="1"/>
    <col min="10247" max="10498" width="11.42578125" style="42"/>
    <col min="10499" max="10499" width="30.42578125" style="42" customWidth="1"/>
    <col min="10500" max="10500" width="23.28515625" style="42" bestFit="1" customWidth="1"/>
    <col min="10501" max="10501" width="18.140625" style="42" bestFit="1" customWidth="1"/>
    <col min="10502" max="10502" width="15.85546875" style="42" bestFit="1" customWidth="1"/>
    <col min="10503" max="10754" width="11.42578125" style="42"/>
    <col min="10755" max="10755" width="30.42578125" style="42" customWidth="1"/>
    <col min="10756" max="10756" width="23.28515625" style="42" bestFit="1" customWidth="1"/>
    <col min="10757" max="10757" width="18.140625" style="42" bestFit="1" customWidth="1"/>
    <col min="10758" max="10758" width="15.85546875" style="42" bestFit="1" customWidth="1"/>
    <col min="10759" max="11010" width="11.42578125" style="42"/>
    <col min="11011" max="11011" width="30.42578125" style="42" customWidth="1"/>
    <col min="11012" max="11012" width="23.28515625" style="42" bestFit="1" customWidth="1"/>
    <col min="11013" max="11013" width="18.140625" style="42" bestFit="1" customWidth="1"/>
    <col min="11014" max="11014" width="15.85546875" style="42" bestFit="1" customWidth="1"/>
    <col min="11015" max="11266" width="11.42578125" style="42"/>
    <col min="11267" max="11267" width="30.42578125" style="42" customWidth="1"/>
    <col min="11268" max="11268" width="23.28515625" style="42" bestFit="1" customWidth="1"/>
    <col min="11269" max="11269" width="18.140625" style="42" bestFit="1" customWidth="1"/>
    <col min="11270" max="11270" width="15.85546875" style="42" bestFit="1" customWidth="1"/>
    <col min="11271" max="11522" width="11.42578125" style="42"/>
    <col min="11523" max="11523" width="30.42578125" style="42" customWidth="1"/>
    <col min="11524" max="11524" width="23.28515625" style="42" bestFit="1" customWidth="1"/>
    <col min="11525" max="11525" width="18.140625" style="42" bestFit="1" customWidth="1"/>
    <col min="11526" max="11526" width="15.85546875" style="42" bestFit="1" customWidth="1"/>
    <col min="11527" max="11778" width="11.42578125" style="42"/>
    <col min="11779" max="11779" width="30.42578125" style="42" customWidth="1"/>
    <col min="11780" max="11780" width="23.28515625" style="42" bestFit="1" customWidth="1"/>
    <col min="11781" max="11781" width="18.140625" style="42" bestFit="1" customWidth="1"/>
    <col min="11782" max="11782" width="15.85546875" style="42" bestFit="1" customWidth="1"/>
    <col min="11783" max="12034" width="11.42578125" style="42"/>
    <col min="12035" max="12035" width="30.42578125" style="42" customWidth="1"/>
    <col min="12036" max="12036" width="23.28515625" style="42" bestFit="1" customWidth="1"/>
    <col min="12037" max="12037" width="18.140625" style="42" bestFit="1" customWidth="1"/>
    <col min="12038" max="12038" width="15.85546875" style="42" bestFit="1" customWidth="1"/>
    <col min="12039" max="12290" width="11.42578125" style="42"/>
    <col min="12291" max="12291" width="30.42578125" style="42" customWidth="1"/>
    <col min="12292" max="12292" width="23.28515625" style="42" bestFit="1" customWidth="1"/>
    <col min="12293" max="12293" width="18.140625" style="42" bestFit="1" customWidth="1"/>
    <col min="12294" max="12294" width="15.85546875" style="42" bestFit="1" customWidth="1"/>
    <col min="12295" max="12546" width="11.42578125" style="42"/>
    <col min="12547" max="12547" width="30.42578125" style="42" customWidth="1"/>
    <col min="12548" max="12548" width="23.28515625" style="42" bestFit="1" customWidth="1"/>
    <col min="12549" max="12549" width="18.140625" style="42" bestFit="1" customWidth="1"/>
    <col min="12550" max="12550" width="15.85546875" style="42" bestFit="1" customWidth="1"/>
    <col min="12551" max="12802" width="11.42578125" style="42"/>
    <col min="12803" max="12803" width="30.42578125" style="42" customWidth="1"/>
    <col min="12804" max="12804" width="23.28515625" style="42" bestFit="1" customWidth="1"/>
    <col min="12805" max="12805" width="18.140625" style="42" bestFit="1" customWidth="1"/>
    <col min="12806" max="12806" width="15.85546875" style="42" bestFit="1" customWidth="1"/>
    <col min="12807" max="13058" width="11.42578125" style="42"/>
    <col min="13059" max="13059" width="30.42578125" style="42" customWidth="1"/>
    <col min="13060" max="13060" width="23.28515625" style="42" bestFit="1" customWidth="1"/>
    <col min="13061" max="13061" width="18.140625" style="42" bestFit="1" customWidth="1"/>
    <col min="13062" max="13062" width="15.85546875" style="42" bestFit="1" customWidth="1"/>
    <col min="13063" max="13314" width="11.42578125" style="42"/>
    <col min="13315" max="13315" width="30.42578125" style="42" customWidth="1"/>
    <col min="13316" max="13316" width="23.28515625" style="42" bestFit="1" customWidth="1"/>
    <col min="13317" max="13317" width="18.140625" style="42" bestFit="1" customWidth="1"/>
    <col min="13318" max="13318" width="15.85546875" style="42" bestFit="1" customWidth="1"/>
    <col min="13319" max="13570" width="11.42578125" style="42"/>
    <col min="13571" max="13571" width="30.42578125" style="42" customWidth="1"/>
    <col min="13572" max="13572" width="23.28515625" style="42" bestFit="1" customWidth="1"/>
    <col min="13573" max="13573" width="18.140625" style="42" bestFit="1" customWidth="1"/>
    <col min="13574" max="13574" width="15.85546875" style="42" bestFit="1" customWidth="1"/>
    <col min="13575" max="13826" width="11.42578125" style="42"/>
    <col min="13827" max="13827" width="30.42578125" style="42" customWidth="1"/>
    <col min="13828" max="13828" width="23.28515625" style="42" bestFit="1" customWidth="1"/>
    <col min="13829" max="13829" width="18.140625" style="42" bestFit="1" customWidth="1"/>
    <col min="13830" max="13830" width="15.85546875" style="42" bestFit="1" customWidth="1"/>
    <col min="13831" max="14082" width="11.42578125" style="42"/>
    <col min="14083" max="14083" width="30.42578125" style="42" customWidth="1"/>
    <col min="14084" max="14084" width="23.28515625" style="42" bestFit="1" customWidth="1"/>
    <col min="14085" max="14085" width="18.140625" style="42" bestFit="1" customWidth="1"/>
    <col min="14086" max="14086" width="15.85546875" style="42" bestFit="1" customWidth="1"/>
    <col min="14087" max="14338" width="11.42578125" style="42"/>
    <col min="14339" max="14339" width="30.42578125" style="42" customWidth="1"/>
    <col min="14340" max="14340" width="23.28515625" style="42" bestFit="1" customWidth="1"/>
    <col min="14341" max="14341" width="18.140625" style="42" bestFit="1" customWidth="1"/>
    <col min="14342" max="14342" width="15.85546875" style="42" bestFit="1" customWidth="1"/>
    <col min="14343" max="14594" width="11.42578125" style="42"/>
    <col min="14595" max="14595" width="30.42578125" style="42" customWidth="1"/>
    <col min="14596" max="14596" width="23.28515625" style="42" bestFit="1" customWidth="1"/>
    <col min="14597" max="14597" width="18.140625" style="42" bestFit="1" customWidth="1"/>
    <col min="14598" max="14598" width="15.85546875" style="42" bestFit="1" customWidth="1"/>
    <col min="14599" max="14850" width="11.42578125" style="42"/>
    <col min="14851" max="14851" width="30.42578125" style="42" customWidth="1"/>
    <col min="14852" max="14852" width="23.28515625" style="42" bestFit="1" customWidth="1"/>
    <col min="14853" max="14853" width="18.140625" style="42" bestFit="1" customWidth="1"/>
    <col min="14854" max="14854" width="15.85546875" style="42" bestFit="1" customWidth="1"/>
    <col min="14855" max="15106" width="11.42578125" style="42"/>
    <col min="15107" max="15107" width="30.42578125" style="42" customWidth="1"/>
    <col min="15108" max="15108" width="23.28515625" style="42" bestFit="1" customWidth="1"/>
    <col min="15109" max="15109" width="18.140625" style="42" bestFit="1" customWidth="1"/>
    <col min="15110" max="15110" width="15.85546875" style="42" bestFit="1" customWidth="1"/>
    <col min="15111" max="15362" width="11.42578125" style="42"/>
    <col min="15363" max="15363" width="30.42578125" style="42" customWidth="1"/>
    <col min="15364" max="15364" width="23.28515625" style="42" bestFit="1" customWidth="1"/>
    <col min="15365" max="15365" width="18.140625" style="42" bestFit="1" customWidth="1"/>
    <col min="15366" max="15366" width="15.85546875" style="42" bestFit="1" customWidth="1"/>
    <col min="15367" max="15618" width="11.42578125" style="42"/>
    <col min="15619" max="15619" width="30.42578125" style="42" customWidth="1"/>
    <col min="15620" max="15620" width="23.28515625" style="42" bestFit="1" customWidth="1"/>
    <col min="15621" max="15621" width="18.140625" style="42" bestFit="1" customWidth="1"/>
    <col min="15622" max="15622" width="15.85546875" style="42" bestFit="1" customWidth="1"/>
    <col min="15623" max="15874" width="11.42578125" style="42"/>
    <col min="15875" max="15875" width="30.42578125" style="42" customWidth="1"/>
    <col min="15876" max="15876" width="23.28515625" style="42" bestFit="1" customWidth="1"/>
    <col min="15877" max="15877" width="18.140625" style="42" bestFit="1" customWidth="1"/>
    <col min="15878" max="15878" width="15.85546875" style="42" bestFit="1" customWidth="1"/>
    <col min="15879" max="16130" width="11.42578125" style="42"/>
    <col min="16131" max="16131" width="30.42578125" style="42" customWidth="1"/>
    <col min="16132" max="16132" width="23.28515625" style="42" bestFit="1" customWidth="1"/>
    <col min="16133" max="16133" width="18.140625" style="42" bestFit="1" customWidth="1"/>
    <col min="16134" max="16134" width="15.85546875" style="42" bestFit="1" customWidth="1"/>
    <col min="16135" max="16384" width="11.42578125" style="42"/>
  </cols>
  <sheetData>
    <row r="1" spans="1:10" x14ac:dyDescent="0.25">
      <c r="B1" s="1834" t="s">
        <v>1767</v>
      </c>
      <c r="C1" s="1834"/>
      <c r="D1" s="1834"/>
      <c r="E1" s="1834"/>
      <c r="F1" s="1834"/>
    </row>
    <row r="2" spans="1:10" hidden="1" x14ac:dyDescent="0.25">
      <c r="B2" s="1834" t="s">
        <v>1768</v>
      </c>
      <c r="C2" s="1834"/>
      <c r="D2" s="1834"/>
      <c r="E2" s="1834"/>
      <c r="F2" s="1834"/>
    </row>
    <row r="3" spans="1:10" x14ac:dyDescent="0.25">
      <c r="B3" s="1834" t="s">
        <v>1769</v>
      </c>
      <c r="C3" s="1834"/>
      <c r="D3" s="1834"/>
      <c r="E3" s="1834"/>
      <c r="F3" s="1834"/>
    </row>
    <row r="4" spans="1:10" x14ac:dyDescent="0.25">
      <c r="B4" s="1834" t="s">
        <v>1876</v>
      </c>
      <c r="C4" s="1834"/>
      <c r="D4" s="1834"/>
      <c r="E4" s="1834"/>
      <c r="F4" s="1834"/>
    </row>
    <row r="5" spans="1:10" x14ac:dyDescent="0.25">
      <c r="A5" s="1751" t="s">
        <v>1771</v>
      </c>
      <c r="B5" s="1751" t="s">
        <v>1772</v>
      </c>
      <c r="C5" s="1834" t="s">
        <v>1773</v>
      </c>
      <c r="D5" s="1834" t="s">
        <v>1877</v>
      </c>
      <c r="E5" s="1834" t="s">
        <v>1978</v>
      </c>
      <c r="F5" s="1834" t="s">
        <v>1776</v>
      </c>
    </row>
    <row r="6" spans="1:10" s="44" customFormat="1" x14ac:dyDescent="0.25">
      <c r="A6" s="1752"/>
      <c r="B6" s="1752"/>
      <c r="C6" s="1835"/>
      <c r="D6" s="1835"/>
      <c r="E6" s="1835"/>
      <c r="F6" s="1835"/>
      <c r="G6" s="43"/>
      <c r="H6" s="43"/>
      <c r="I6" s="43"/>
      <c r="J6" s="43"/>
    </row>
    <row r="7" spans="1:10" ht="25.5" x14ac:dyDescent="0.25">
      <c r="A7" s="42">
        <v>20</v>
      </c>
      <c r="B7" s="45" t="s">
        <v>1023</v>
      </c>
      <c r="C7" s="15">
        <v>18095781361</v>
      </c>
      <c r="D7" s="47"/>
      <c r="E7" s="47"/>
      <c r="F7" s="47">
        <f>+C7</f>
        <v>18095781361</v>
      </c>
    </row>
    <row r="8" spans="1:10" ht="15" x14ac:dyDescent="0.25">
      <c r="B8" s="45" t="s">
        <v>2472</v>
      </c>
      <c r="C8" s="15">
        <v>17120461821</v>
      </c>
      <c r="D8" s="47"/>
      <c r="E8" s="47"/>
      <c r="F8" s="47"/>
    </row>
    <row r="9" spans="1:10" ht="25.5" x14ac:dyDescent="0.25">
      <c r="A9" s="42">
        <v>20</v>
      </c>
      <c r="B9" s="45" t="s">
        <v>1025</v>
      </c>
      <c r="C9" s="46">
        <f>C8-C10-C11-C12-C13</f>
        <v>10272277092.599998</v>
      </c>
      <c r="D9" s="47"/>
      <c r="E9" s="47"/>
      <c r="F9" s="47">
        <f>+C9</f>
        <v>10272277092.599998</v>
      </c>
    </row>
    <row r="10" spans="1:10" ht="25.5" x14ac:dyDescent="0.25">
      <c r="A10" s="42">
        <v>1</v>
      </c>
      <c r="B10" s="45" t="s">
        <v>1780</v>
      </c>
      <c r="C10" s="46">
        <f>C8*20%</f>
        <v>3424092364.2000003</v>
      </c>
      <c r="D10" s="48"/>
      <c r="E10" s="48"/>
      <c r="F10" s="47"/>
    </row>
    <row r="11" spans="1:10" ht="25.5" x14ac:dyDescent="0.25">
      <c r="A11" s="42">
        <v>52</v>
      </c>
      <c r="B11" s="45" t="s">
        <v>1028</v>
      </c>
      <c r="C11" s="46">
        <f>C8*0.04</f>
        <v>684818472.84000003</v>
      </c>
      <c r="D11" s="47"/>
      <c r="E11" s="47"/>
      <c r="F11" s="47"/>
    </row>
    <row r="12" spans="1:10" ht="25.5" x14ac:dyDescent="0.25">
      <c r="A12" s="42">
        <v>53</v>
      </c>
      <c r="B12" s="45" t="s">
        <v>1029</v>
      </c>
      <c r="C12" s="46">
        <f>C8*0.06</f>
        <v>1027227709.26</v>
      </c>
      <c r="D12" s="49"/>
      <c r="E12" s="49"/>
      <c r="F12" s="47"/>
    </row>
    <row r="13" spans="1:10" ht="38.25" x14ac:dyDescent="0.25">
      <c r="A13" s="42">
        <v>13</v>
      </c>
      <c r="B13" s="45" t="s">
        <v>1030</v>
      </c>
      <c r="C13" s="46">
        <f>C8*0.1</f>
        <v>1712046182.1000001</v>
      </c>
      <c r="D13" s="48"/>
      <c r="E13" s="48"/>
      <c r="F13" s="47"/>
    </row>
    <row r="14" spans="1:10" ht="25.5" x14ac:dyDescent="0.25">
      <c r="A14" s="42">
        <v>145</v>
      </c>
      <c r="B14" s="45" t="s">
        <v>1782</v>
      </c>
      <c r="C14" s="11">
        <v>149729169</v>
      </c>
      <c r="D14" s="47"/>
      <c r="E14" s="47"/>
      <c r="F14" s="47">
        <f>+C14</f>
        <v>149729169</v>
      </c>
    </row>
    <row r="15" spans="1:10" ht="25.5" x14ac:dyDescent="0.25">
      <c r="A15" s="42">
        <v>20</v>
      </c>
      <c r="B15" s="45" t="s">
        <v>1783</v>
      </c>
      <c r="C15" s="11">
        <v>2994583375</v>
      </c>
      <c r="D15" s="47"/>
      <c r="E15" s="47"/>
      <c r="F15" s="47">
        <f t="shared" ref="F15:F23" si="0">+C15</f>
        <v>2994583375</v>
      </c>
    </row>
    <row r="16" spans="1:10" ht="25.5" x14ac:dyDescent="0.25">
      <c r="A16" s="42">
        <v>20</v>
      </c>
      <c r="B16" s="45" t="s">
        <v>1035</v>
      </c>
      <c r="C16" s="11">
        <v>2325192551</v>
      </c>
      <c r="D16" s="47"/>
      <c r="E16" s="47"/>
      <c r="F16" s="47"/>
    </row>
    <row r="17" spans="1:6" ht="25.5" x14ac:dyDescent="0.25">
      <c r="A17" s="42">
        <v>145</v>
      </c>
      <c r="B17" s="45" t="s">
        <v>1036</v>
      </c>
      <c r="C17" s="11">
        <v>116259628</v>
      </c>
      <c r="D17" s="47"/>
      <c r="E17" s="47"/>
      <c r="F17" s="47"/>
    </row>
    <row r="18" spans="1:6" ht="25.5" x14ac:dyDescent="0.25">
      <c r="A18" s="42">
        <v>20</v>
      </c>
      <c r="B18" s="45" t="s">
        <v>1786</v>
      </c>
      <c r="C18" s="15">
        <v>15386487440</v>
      </c>
      <c r="D18" s="47"/>
      <c r="E18" s="47"/>
      <c r="F18" s="47">
        <f t="shared" si="0"/>
        <v>15386487440</v>
      </c>
    </row>
    <row r="19" spans="1:6" ht="25.5" x14ac:dyDescent="0.25">
      <c r="A19" s="42">
        <v>20</v>
      </c>
      <c r="B19" s="45" t="s">
        <v>1787</v>
      </c>
      <c r="C19" s="15">
        <v>503513293</v>
      </c>
      <c r="D19" s="47"/>
      <c r="E19" s="47"/>
      <c r="F19" s="47">
        <f t="shared" si="0"/>
        <v>503513293</v>
      </c>
    </row>
    <row r="20" spans="1:6" ht="25.5" x14ac:dyDescent="0.25">
      <c r="A20" s="42">
        <v>20</v>
      </c>
      <c r="B20" s="45" t="s">
        <v>1788</v>
      </c>
      <c r="C20" s="15">
        <v>9526413536</v>
      </c>
      <c r="D20" s="47"/>
      <c r="E20" s="47"/>
      <c r="F20" s="47">
        <f t="shared" si="0"/>
        <v>9526413536</v>
      </c>
    </row>
    <row r="21" spans="1:6" ht="25.5" x14ac:dyDescent="0.25">
      <c r="A21" s="42">
        <v>20</v>
      </c>
      <c r="B21" s="45" t="s">
        <v>1045</v>
      </c>
      <c r="C21" s="15">
        <v>693652915</v>
      </c>
      <c r="D21" s="47"/>
      <c r="E21" s="47"/>
      <c r="F21" s="47">
        <f>+C21</f>
        <v>693652915</v>
      </c>
    </row>
    <row r="22" spans="1:6" ht="25.5" x14ac:dyDescent="0.25">
      <c r="A22" s="42">
        <v>20</v>
      </c>
      <c r="B22" s="45" t="s">
        <v>1047</v>
      </c>
      <c r="C22" s="15">
        <v>7947476705</v>
      </c>
      <c r="D22" s="47"/>
      <c r="E22" s="47"/>
      <c r="F22" s="47">
        <f t="shared" si="0"/>
        <v>7947476705</v>
      </c>
    </row>
    <row r="23" spans="1:6" ht="15" x14ac:dyDescent="0.25">
      <c r="B23" s="45" t="s">
        <v>2473</v>
      </c>
      <c r="C23" s="15">
        <v>7056699903</v>
      </c>
      <c r="D23" s="47"/>
      <c r="E23" s="47"/>
      <c r="F23" s="47">
        <f t="shared" si="0"/>
        <v>7056699903</v>
      </c>
    </row>
    <row r="24" spans="1:6" x14ac:dyDescent="0.25">
      <c r="A24" s="42">
        <v>4</v>
      </c>
      <c r="B24" s="45" t="s">
        <v>1050</v>
      </c>
      <c r="C24" s="46">
        <f>C23-C26-C25</f>
        <v>3528349951.5</v>
      </c>
      <c r="D24" s="47"/>
      <c r="E24" s="47"/>
      <c r="F24" s="47"/>
    </row>
    <row r="25" spans="1:6" ht="25.5" x14ac:dyDescent="0.25">
      <c r="A25" s="42">
        <v>176</v>
      </c>
      <c r="B25" s="45" t="s">
        <v>1051</v>
      </c>
      <c r="C25" s="46">
        <f>C23*0.2</f>
        <v>1411339980.6000001</v>
      </c>
      <c r="D25" s="49"/>
      <c r="E25" s="49"/>
      <c r="F25" s="47"/>
    </row>
    <row r="26" spans="1:6" ht="25.5" x14ac:dyDescent="0.25">
      <c r="A26" s="42">
        <v>177</v>
      </c>
      <c r="B26" s="45" t="s">
        <v>1052</v>
      </c>
      <c r="C26" s="46">
        <f>C23*0.3</f>
        <v>2117009970.8999999</v>
      </c>
      <c r="D26" s="49"/>
      <c r="E26" s="49"/>
      <c r="F26" s="47"/>
    </row>
    <row r="27" spans="1:6" ht="15" x14ac:dyDescent="0.25">
      <c r="B27" s="45" t="s">
        <v>34</v>
      </c>
      <c r="C27" s="15">
        <v>1743176194.55</v>
      </c>
      <c r="D27" s="49"/>
      <c r="E27" s="49"/>
      <c r="F27" s="47"/>
    </row>
    <row r="28" spans="1:6" ht="25.5" x14ac:dyDescent="0.25">
      <c r="A28" s="42">
        <v>5</v>
      </c>
      <c r="B28" s="45" t="s">
        <v>1054</v>
      </c>
      <c r="C28" s="50">
        <f>C27*0.2</f>
        <v>348635238.91000003</v>
      </c>
      <c r="D28" s="49"/>
      <c r="E28" s="49"/>
      <c r="F28" s="47"/>
    </row>
    <row r="29" spans="1:6" ht="25.5" x14ac:dyDescent="0.25">
      <c r="A29" s="42">
        <v>33</v>
      </c>
      <c r="B29" s="45" t="s">
        <v>1055</v>
      </c>
      <c r="C29" s="50">
        <f>C27*0.1</f>
        <v>174317619.45500001</v>
      </c>
      <c r="D29" s="47"/>
      <c r="E29" s="47"/>
      <c r="F29" s="47"/>
    </row>
    <row r="30" spans="1:6" ht="25.5" x14ac:dyDescent="0.25">
      <c r="A30" s="42">
        <v>34</v>
      </c>
      <c r="B30" s="45" t="s">
        <v>1056</v>
      </c>
      <c r="C30" s="50">
        <f>C27*0.1</f>
        <v>174317619.45500001</v>
      </c>
      <c r="D30" s="47"/>
      <c r="E30" s="47"/>
      <c r="F30" s="47"/>
    </row>
    <row r="31" spans="1:6" ht="25.5" x14ac:dyDescent="0.25">
      <c r="A31" s="42">
        <v>39</v>
      </c>
      <c r="B31" s="45" t="s">
        <v>1057</v>
      </c>
      <c r="C31" s="50">
        <f>C27*0.5</f>
        <v>871588097.27499998</v>
      </c>
      <c r="D31" s="47"/>
      <c r="E31" s="47"/>
      <c r="F31" s="47"/>
    </row>
    <row r="32" spans="1:6" ht="25.5" x14ac:dyDescent="0.25">
      <c r="A32" s="42">
        <v>41</v>
      </c>
      <c r="B32" s="45" t="s">
        <v>1058</v>
      </c>
      <c r="C32" s="50">
        <f>C27*0.1</f>
        <v>174317619.45500001</v>
      </c>
      <c r="D32" s="47"/>
      <c r="E32" s="47"/>
      <c r="F32" s="47"/>
    </row>
    <row r="33" spans="1:10" x14ac:dyDescent="0.25">
      <c r="B33" s="45" t="s">
        <v>2474</v>
      </c>
      <c r="C33" s="50">
        <v>4241398702.9726</v>
      </c>
      <c r="D33" s="47"/>
      <c r="E33" s="47"/>
      <c r="F33" s="47"/>
    </row>
    <row r="34" spans="1:10" ht="25.5" x14ac:dyDescent="0.25">
      <c r="A34" s="42">
        <v>6</v>
      </c>
      <c r="B34" s="45" t="s">
        <v>1060</v>
      </c>
      <c r="C34" s="50">
        <f>C33*0.8</f>
        <v>3393118962.3780804</v>
      </c>
      <c r="D34" s="47"/>
      <c r="E34" s="47"/>
      <c r="F34" s="47"/>
    </row>
    <row r="35" spans="1:10" ht="25.5" x14ac:dyDescent="0.25">
      <c r="A35" s="42">
        <v>178</v>
      </c>
      <c r="B35" s="45" t="s">
        <v>1061</v>
      </c>
      <c r="C35" s="50">
        <f>C33*0.2</f>
        <v>848279740.59452009</v>
      </c>
      <c r="D35" s="49"/>
      <c r="E35" s="49"/>
      <c r="F35" s="47"/>
    </row>
    <row r="36" spans="1:10" s="54" customFormat="1" x14ac:dyDescent="0.25">
      <c r="A36" s="42">
        <v>8</v>
      </c>
      <c r="B36" s="51" t="s">
        <v>1062</v>
      </c>
      <c r="C36" s="50">
        <v>8761326000</v>
      </c>
      <c r="D36" s="49"/>
      <c r="E36" s="49"/>
      <c r="F36" s="52"/>
      <c r="G36" s="53"/>
      <c r="H36" s="53"/>
      <c r="I36" s="53"/>
      <c r="J36" s="53"/>
    </row>
    <row r="37" spans="1:10" x14ac:dyDescent="0.25">
      <c r="B37" s="45" t="s">
        <v>1068</v>
      </c>
      <c r="C37" s="46"/>
      <c r="D37" s="47"/>
      <c r="E37" s="47"/>
      <c r="F37" s="47">
        <f t="shared" ref="F37:F46" si="1">+C37</f>
        <v>0</v>
      </c>
    </row>
    <row r="38" spans="1:10" x14ac:dyDescent="0.25">
      <c r="A38" s="42">
        <v>190</v>
      </c>
      <c r="B38" s="45" t="s">
        <v>1915</v>
      </c>
      <c r="C38" s="46">
        <f>+(C23*2.5)/2</f>
        <v>8820874878.75</v>
      </c>
      <c r="D38" s="47"/>
      <c r="E38" s="47"/>
      <c r="F38" s="47"/>
    </row>
    <row r="39" spans="1:10" ht="25.5" x14ac:dyDescent="0.25">
      <c r="A39" s="42">
        <v>20</v>
      </c>
      <c r="B39" s="45" t="s">
        <v>1069</v>
      </c>
      <c r="C39" s="46">
        <v>244827263</v>
      </c>
      <c r="D39" s="47"/>
      <c r="E39" s="47"/>
      <c r="F39" s="47">
        <f t="shared" si="1"/>
        <v>244827263</v>
      </c>
    </row>
    <row r="40" spans="1:10" x14ac:dyDescent="0.25">
      <c r="A40" s="42">
        <v>20</v>
      </c>
      <c r="B40" s="45" t="s">
        <v>1070</v>
      </c>
      <c r="C40" s="46">
        <v>118460356</v>
      </c>
      <c r="D40" s="47"/>
      <c r="E40" s="47"/>
      <c r="F40" s="47">
        <f t="shared" si="1"/>
        <v>118460356</v>
      </c>
    </row>
    <row r="41" spans="1:10" x14ac:dyDescent="0.25">
      <c r="A41" s="42">
        <v>20</v>
      </c>
      <c r="B41" s="45" t="s">
        <v>1979</v>
      </c>
      <c r="C41" s="46">
        <v>354197207</v>
      </c>
      <c r="D41" s="47"/>
      <c r="E41" s="47"/>
      <c r="F41" s="47">
        <f>+C41</f>
        <v>354197207</v>
      </c>
    </row>
    <row r="42" spans="1:10" ht="25.5" x14ac:dyDescent="0.25">
      <c r="A42" s="42">
        <v>20</v>
      </c>
      <c r="B42" s="45" t="s">
        <v>1072</v>
      </c>
      <c r="C42" s="46">
        <v>30000000</v>
      </c>
      <c r="D42" s="47"/>
      <c r="E42" s="47"/>
      <c r="F42" s="47">
        <f t="shared" si="1"/>
        <v>30000000</v>
      </c>
    </row>
    <row r="43" spans="1:10" s="54" customFormat="1" ht="15" x14ac:dyDescent="0.25">
      <c r="B43" s="45" t="s">
        <v>1079</v>
      </c>
      <c r="C43" s="11">
        <f>+C44+C45+C46</f>
        <v>11081356224.75</v>
      </c>
      <c r="D43" s="52"/>
      <c r="E43" s="52"/>
      <c r="F43" s="47">
        <f t="shared" si="1"/>
        <v>11081356224.75</v>
      </c>
      <c r="G43" s="53"/>
      <c r="H43" s="53"/>
      <c r="I43" s="53"/>
      <c r="J43" s="53"/>
    </row>
    <row r="44" spans="1:10" s="54" customFormat="1" ht="15" x14ac:dyDescent="0.25">
      <c r="A44" s="54">
        <v>35</v>
      </c>
      <c r="B44" s="45" t="s">
        <v>1796</v>
      </c>
      <c r="C44" s="11">
        <v>2462523605.5</v>
      </c>
      <c r="D44" s="52"/>
      <c r="E44" s="52"/>
      <c r="F44" s="47"/>
      <c r="G44" s="53"/>
      <c r="H44" s="53"/>
      <c r="I44" s="53"/>
      <c r="J44" s="53"/>
    </row>
    <row r="45" spans="1:10" s="54" customFormat="1" ht="15" x14ac:dyDescent="0.25">
      <c r="A45" s="54">
        <v>179</v>
      </c>
      <c r="B45" s="45" t="s">
        <v>1797</v>
      </c>
      <c r="C45" s="11">
        <v>527683629.75</v>
      </c>
      <c r="D45" s="52"/>
      <c r="E45" s="52"/>
      <c r="F45" s="47"/>
      <c r="G45" s="53"/>
      <c r="H45" s="53"/>
      <c r="I45" s="53"/>
      <c r="J45" s="53"/>
    </row>
    <row r="46" spans="1:10" x14ac:dyDescent="0.25">
      <c r="A46" s="42">
        <v>20</v>
      </c>
      <c r="B46" s="45" t="s">
        <v>1080</v>
      </c>
      <c r="C46" s="46">
        <v>8091148989.5</v>
      </c>
      <c r="D46" s="47"/>
      <c r="E46" s="47"/>
      <c r="F46" s="47">
        <f t="shared" si="1"/>
        <v>8091148989.5</v>
      </c>
    </row>
    <row r="47" spans="1:10" s="54" customFormat="1" x14ac:dyDescent="0.25">
      <c r="A47" s="54">
        <v>18</v>
      </c>
      <c r="B47" s="45" t="s">
        <v>1085</v>
      </c>
      <c r="C47" s="46">
        <f>561606231*1.03</f>
        <v>578454417.93000007</v>
      </c>
      <c r="D47" s="55"/>
      <c r="E47" s="55"/>
      <c r="F47" s="52"/>
      <c r="G47" s="53"/>
      <c r="H47" s="53"/>
      <c r="I47" s="53"/>
      <c r="J47" s="53"/>
    </row>
    <row r="48" spans="1:10" s="54" customFormat="1" ht="25.5" x14ac:dyDescent="0.25">
      <c r="A48" s="54">
        <v>56</v>
      </c>
      <c r="B48" s="45" t="s">
        <v>1799</v>
      </c>
      <c r="C48" s="50">
        <v>250000000</v>
      </c>
      <c r="D48" s="47"/>
      <c r="E48" s="47"/>
      <c r="F48" s="52"/>
      <c r="G48" s="53"/>
      <c r="H48" s="53"/>
      <c r="I48" s="53"/>
      <c r="J48" s="53"/>
    </row>
    <row r="49" spans="1:6" x14ac:dyDescent="0.25">
      <c r="A49" s="42">
        <v>23</v>
      </c>
      <c r="B49" s="45" t="s">
        <v>1800</v>
      </c>
      <c r="C49" s="46">
        <v>2995430273.4450002</v>
      </c>
      <c r="D49" s="47"/>
      <c r="E49" s="47"/>
      <c r="F49" s="47">
        <f>+C49</f>
        <v>2995430273.4450002</v>
      </c>
    </row>
    <row r="50" spans="1:6" x14ac:dyDescent="0.25">
      <c r="A50" s="42">
        <v>47</v>
      </c>
      <c r="B50" s="45" t="s">
        <v>1093</v>
      </c>
      <c r="C50" s="46">
        <v>141163803</v>
      </c>
      <c r="D50" s="47"/>
      <c r="E50" s="47"/>
      <c r="F50" s="47"/>
    </row>
    <row r="51" spans="1:6" ht="25.5" x14ac:dyDescent="0.25">
      <c r="B51" s="56" t="s">
        <v>1802</v>
      </c>
      <c r="C51" s="57"/>
      <c r="D51" s="47"/>
      <c r="E51" s="47"/>
      <c r="F51" s="47"/>
    </row>
    <row r="52" spans="1:6" x14ac:dyDescent="0.25">
      <c r="B52" s="56" t="s">
        <v>2433</v>
      </c>
      <c r="C52" s="50"/>
      <c r="D52" s="57"/>
      <c r="E52" s="57"/>
      <c r="F52" s="47"/>
    </row>
    <row r="53" spans="1:6" s="41" customFormat="1" ht="25.5" x14ac:dyDescent="0.25">
      <c r="B53" s="58" t="s">
        <v>2434</v>
      </c>
      <c r="C53" s="50"/>
      <c r="D53" s="47"/>
      <c r="E53" s="47"/>
      <c r="F53" s="47"/>
    </row>
    <row r="54" spans="1:6" s="41" customFormat="1" ht="25.5" x14ac:dyDescent="0.25">
      <c r="A54" s="42"/>
      <c r="B54" s="56" t="s">
        <v>2435</v>
      </c>
      <c r="C54" s="50"/>
      <c r="D54" s="52"/>
      <c r="E54" s="52"/>
      <c r="F54" s="47"/>
    </row>
    <row r="55" spans="1:6" s="41" customFormat="1" x14ac:dyDescent="0.25">
      <c r="A55" s="42"/>
      <c r="B55" s="59" t="s">
        <v>2436</v>
      </c>
      <c r="C55" s="50"/>
      <c r="D55" s="47"/>
      <c r="E55" s="47"/>
      <c r="F55" s="57">
        <f>SUM(F7:F50)</f>
        <v>95542035103.295013</v>
      </c>
    </row>
    <row r="56" spans="1:6" s="41" customFormat="1" x14ac:dyDescent="0.25">
      <c r="A56" s="42"/>
      <c r="B56" s="59"/>
      <c r="C56" s="50"/>
      <c r="D56" s="47"/>
      <c r="E56" s="47"/>
      <c r="F56" s="57"/>
    </row>
    <row r="57" spans="1:6" s="41" customFormat="1" ht="25.5" x14ac:dyDescent="0.25">
      <c r="A57" s="42">
        <v>20</v>
      </c>
      <c r="B57" s="45" t="s">
        <v>1157</v>
      </c>
      <c r="C57" s="46">
        <v>868223930</v>
      </c>
      <c r="D57" s="47"/>
      <c r="E57" s="47"/>
      <c r="F57" s="50">
        <f t="shared" ref="F57:F62" si="2">+C57</f>
        <v>868223930</v>
      </c>
    </row>
    <row r="58" spans="1:6" s="41" customFormat="1" ht="25.5" x14ac:dyDescent="0.25">
      <c r="A58" s="42">
        <v>20</v>
      </c>
      <c r="B58" s="45" t="s">
        <v>1158</v>
      </c>
      <c r="C58" s="46">
        <v>2282349720</v>
      </c>
      <c r="D58" s="47"/>
      <c r="E58" s="47"/>
      <c r="F58" s="50">
        <f t="shared" si="2"/>
        <v>2282349720</v>
      </c>
    </row>
    <row r="59" spans="1:6" s="41" customFormat="1" x14ac:dyDescent="0.25">
      <c r="A59" s="42">
        <v>20</v>
      </c>
      <c r="B59" s="45" t="s">
        <v>1159</v>
      </c>
      <c r="C59" s="46">
        <f>15000000+7920583+175000000</f>
        <v>197920583</v>
      </c>
      <c r="D59" s="47"/>
      <c r="E59" s="47"/>
      <c r="F59" s="50">
        <f t="shared" si="2"/>
        <v>197920583</v>
      </c>
    </row>
    <row r="60" spans="1:6" s="41" customFormat="1" ht="25.5" x14ac:dyDescent="0.25">
      <c r="A60" s="42">
        <v>20</v>
      </c>
      <c r="B60" s="45" t="s">
        <v>1160</v>
      </c>
      <c r="C60" s="46">
        <v>500000000</v>
      </c>
      <c r="D60" s="47"/>
      <c r="E60" s="47"/>
      <c r="F60" s="50">
        <f>+C60</f>
        <v>500000000</v>
      </c>
    </row>
    <row r="61" spans="1:6" s="41" customFormat="1" x14ac:dyDescent="0.25">
      <c r="A61" s="42">
        <v>20</v>
      </c>
      <c r="B61" s="45" t="s">
        <v>606</v>
      </c>
      <c r="C61" s="46">
        <v>10000000</v>
      </c>
      <c r="D61" s="47"/>
      <c r="E61" s="47"/>
      <c r="F61" s="50">
        <f t="shared" si="2"/>
        <v>10000000</v>
      </c>
    </row>
    <row r="62" spans="1:6" s="41" customFormat="1" ht="25.5" x14ac:dyDescent="0.25">
      <c r="A62" s="42">
        <v>20</v>
      </c>
      <c r="B62" s="45" t="s">
        <v>1804</v>
      </c>
      <c r="C62" s="46">
        <v>412620217</v>
      </c>
      <c r="D62" s="47"/>
      <c r="E62" s="47"/>
      <c r="F62" s="50">
        <f t="shared" si="2"/>
        <v>412620217</v>
      </c>
    </row>
    <row r="63" spans="1:6" s="41" customFormat="1" ht="25.5" x14ac:dyDescent="0.25">
      <c r="A63" s="42">
        <v>4</v>
      </c>
      <c r="B63" s="45" t="s">
        <v>1805</v>
      </c>
      <c r="C63" s="46">
        <f>+'[10]04'!$I$117</f>
        <v>1664967</v>
      </c>
      <c r="D63" s="47"/>
      <c r="E63" s="47"/>
      <c r="F63" s="57"/>
    </row>
    <row r="64" spans="1:6" s="41" customFormat="1" ht="25.5" x14ac:dyDescent="0.25">
      <c r="A64" s="42">
        <v>176</v>
      </c>
      <c r="B64" s="45" t="s">
        <v>1806</v>
      </c>
      <c r="C64" s="46">
        <v>481528</v>
      </c>
      <c r="D64" s="49"/>
      <c r="E64" s="49"/>
      <c r="F64" s="57"/>
    </row>
    <row r="65" spans="1:8" s="41" customFormat="1" ht="38.25" x14ac:dyDescent="0.25">
      <c r="A65" s="42">
        <v>177</v>
      </c>
      <c r="B65" s="45" t="s">
        <v>2437</v>
      </c>
      <c r="C65" s="46">
        <v>361146</v>
      </c>
      <c r="D65" s="49"/>
      <c r="E65" s="49"/>
      <c r="F65" s="57"/>
    </row>
    <row r="66" spans="1:8" s="41" customFormat="1" ht="25.5" x14ac:dyDescent="0.25">
      <c r="A66" s="42">
        <v>5</v>
      </c>
      <c r="B66" s="45" t="s">
        <v>1807</v>
      </c>
      <c r="C66" s="46">
        <v>316121</v>
      </c>
      <c r="D66" s="49"/>
      <c r="E66" s="49"/>
      <c r="F66" s="57"/>
    </row>
    <row r="67" spans="1:8" s="41" customFormat="1" ht="25.5" x14ac:dyDescent="0.25">
      <c r="A67" s="42">
        <v>33</v>
      </c>
      <c r="B67" s="45" t="s">
        <v>1808</v>
      </c>
      <c r="C67" s="46">
        <v>158060</v>
      </c>
      <c r="D67" s="47"/>
      <c r="E67" s="47"/>
      <c r="F67" s="57"/>
    </row>
    <row r="68" spans="1:8" ht="25.5" x14ac:dyDescent="0.25">
      <c r="A68" s="42">
        <v>34</v>
      </c>
      <c r="B68" s="45" t="s">
        <v>1809</v>
      </c>
      <c r="C68" s="46">
        <v>158060</v>
      </c>
      <c r="D68" s="47"/>
      <c r="E68" s="47"/>
      <c r="F68" s="57"/>
    </row>
    <row r="69" spans="1:8" ht="25.5" x14ac:dyDescent="0.25">
      <c r="A69" s="42">
        <v>39</v>
      </c>
      <c r="B69" s="45" t="s">
        <v>1810</v>
      </c>
      <c r="C69" s="46">
        <v>790301</v>
      </c>
      <c r="D69" s="47"/>
      <c r="E69" s="47"/>
      <c r="F69" s="57"/>
    </row>
    <row r="70" spans="1:8" ht="25.5" x14ac:dyDescent="0.25">
      <c r="A70" s="42">
        <v>41</v>
      </c>
      <c r="B70" s="45" t="s">
        <v>1811</v>
      </c>
      <c r="C70" s="46">
        <v>158060</v>
      </c>
      <c r="D70" s="47"/>
      <c r="E70" s="47"/>
      <c r="F70" s="57"/>
    </row>
    <row r="71" spans="1:8" ht="25.5" x14ac:dyDescent="0.25">
      <c r="A71" s="42">
        <v>6</v>
      </c>
      <c r="B71" s="45" t="s">
        <v>1812</v>
      </c>
      <c r="C71" s="46">
        <v>1400016</v>
      </c>
      <c r="D71" s="47"/>
      <c r="E71" s="47"/>
      <c r="F71" s="57"/>
    </row>
    <row r="72" spans="1:8" ht="25.5" x14ac:dyDescent="0.25">
      <c r="A72" s="42">
        <v>178</v>
      </c>
      <c r="B72" s="45" t="s">
        <v>1813</v>
      </c>
      <c r="C72" s="46">
        <v>325004</v>
      </c>
      <c r="D72" s="49"/>
      <c r="E72" s="49"/>
      <c r="F72" s="57"/>
    </row>
    <row r="73" spans="1:8" ht="25.5" x14ac:dyDescent="0.25">
      <c r="A73" s="42">
        <v>42</v>
      </c>
      <c r="B73" s="45" t="s">
        <v>1814</v>
      </c>
      <c r="C73" s="46">
        <v>2314305</v>
      </c>
      <c r="D73" s="47"/>
      <c r="E73" s="47"/>
      <c r="F73" s="57"/>
    </row>
    <row r="74" spans="1:8" ht="25.5" x14ac:dyDescent="0.25">
      <c r="A74" s="42">
        <v>27</v>
      </c>
      <c r="B74" s="45" t="s">
        <v>1815</v>
      </c>
      <c r="C74" s="46">
        <v>311522</v>
      </c>
      <c r="D74" s="47"/>
      <c r="E74" s="47"/>
      <c r="F74" s="57"/>
    </row>
    <row r="75" spans="1:8" ht="25.5" x14ac:dyDescent="0.25">
      <c r="A75" s="42">
        <v>136</v>
      </c>
      <c r="B75" s="45" t="s">
        <v>1816</v>
      </c>
      <c r="C75" s="46">
        <v>39724450</v>
      </c>
      <c r="D75" s="49"/>
      <c r="E75" s="49"/>
      <c r="F75" s="57"/>
    </row>
    <row r="76" spans="1:8" ht="25.5" x14ac:dyDescent="0.25">
      <c r="A76" s="42">
        <v>20</v>
      </c>
      <c r="B76" s="45" t="s">
        <v>1184</v>
      </c>
      <c r="C76" s="46">
        <v>150000000</v>
      </c>
      <c r="D76" s="47"/>
      <c r="E76" s="47"/>
      <c r="F76" s="50">
        <f>+C76</f>
        <v>150000000</v>
      </c>
    </row>
    <row r="77" spans="1:8" ht="25.5" x14ac:dyDescent="0.25">
      <c r="B77" s="56" t="s">
        <v>1817</v>
      </c>
      <c r="C77" s="60"/>
      <c r="D77" s="47"/>
      <c r="E77" s="47"/>
      <c r="F77" s="50"/>
    </row>
    <row r="78" spans="1:8" ht="25.5" x14ac:dyDescent="0.25">
      <c r="B78" s="56" t="s">
        <v>2438</v>
      </c>
      <c r="C78" s="46"/>
      <c r="D78" s="52"/>
      <c r="E78" s="52"/>
      <c r="F78" s="50"/>
      <c r="H78" s="41">
        <f>+D74+D73+D71+D70+D69+D68+D67+D63</f>
        <v>0</v>
      </c>
    </row>
    <row r="79" spans="1:8" ht="25.5" x14ac:dyDescent="0.25">
      <c r="B79" s="58" t="s">
        <v>2434</v>
      </c>
      <c r="C79" s="46"/>
      <c r="D79" s="47"/>
      <c r="E79" s="47"/>
      <c r="F79" s="50"/>
    </row>
    <row r="80" spans="1:8" ht="25.5" x14ac:dyDescent="0.25">
      <c r="B80" s="56" t="s">
        <v>2439</v>
      </c>
      <c r="C80" s="50"/>
      <c r="D80" s="52"/>
      <c r="E80" s="52"/>
      <c r="F80" s="57"/>
    </row>
    <row r="81" spans="1:10" ht="25.5" x14ac:dyDescent="0.25">
      <c r="B81" s="59" t="s">
        <v>2440</v>
      </c>
      <c r="C81" s="50"/>
      <c r="D81" s="47"/>
      <c r="E81" s="47"/>
      <c r="F81" s="52">
        <f>SUM(F57:F80)</f>
        <v>4421114450</v>
      </c>
    </row>
    <row r="82" spans="1:10" x14ac:dyDescent="0.25">
      <c r="B82" s="59"/>
      <c r="C82" s="50"/>
      <c r="D82" s="47"/>
      <c r="E82" s="47"/>
      <c r="F82" s="47"/>
    </row>
    <row r="83" spans="1:10" s="54" customFormat="1" x14ac:dyDescent="0.25">
      <c r="B83" s="61" t="s">
        <v>953</v>
      </c>
      <c r="C83" s="62"/>
      <c r="D83" s="52"/>
      <c r="E83" s="52"/>
      <c r="F83" s="52"/>
      <c r="G83" s="53"/>
      <c r="H83" s="53"/>
      <c r="I83" s="53"/>
      <c r="J83" s="53"/>
    </row>
    <row r="84" spans="1:10" ht="25.5" x14ac:dyDescent="0.25">
      <c r="B84" s="63" t="s">
        <v>1100</v>
      </c>
      <c r="C84" s="64">
        <f>SUBTOTAL(9,C85:C92)</f>
        <v>190482000000</v>
      </c>
      <c r="D84" s="47"/>
      <c r="E84" s="47"/>
      <c r="F84" s="47"/>
    </row>
    <row r="85" spans="1:10" ht="38.25" x14ac:dyDescent="0.25">
      <c r="A85" s="42">
        <v>25</v>
      </c>
      <c r="B85" s="45" t="s">
        <v>1101</v>
      </c>
      <c r="C85" s="46">
        <v>148302000000</v>
      </c>
      <c r="D85" s="47"/>
      <c r="E85" s="47"/>
      <c r="F85" s="47"/>
    </row>
    <row r="86" spans="1:10" s="54" customFormat="1" ht="38.25" x14ac:dyDescent="0.25">
      <c r="A86" s="42">
        <v>26</v>
      </c>
      <c r="B86" s="45" t="s">
        <v>1102</v>
      </c>
      <c r="C86" s="46">
        <v>29000000000</v>
      </c>
      <c r="D86" s="47"/>
      <c r="E86" s="47"/>
      <c r="F86" s="52"/>
      <c r="G86" s="53"/>
      <c r="H86" s="53"/>
      <c r="I86" s="53"/>
      <c r="J86" s="53"/>
    </row>
    <row r="87" spans="1:10" x14ac:dyDescent="0.25">
      <c r="A87" s="42">
        <v>26</v>
      </c>
      <c r="B87" s="45" t="s">
        <v>1103</v>
      </c>
      <c r="C87" s="46"/>
      <c r="D87" s="47"/>
      <c r="E87" s="47"/>
      <c r="F87" s="47"/>
    </row>
    <row r="88" spans="1:10" ht="25.5" x14ac:dyDescent="0.25">
      <c r="A88" s="42">
        <v>25</v>
      </c>
      <c r="B88" s="45" t="s">
        <v>1105</v>
      </c>
      <c r="C88" s="46">
        <v>622000000</v>
      </c>
      <c r="D88" s="47"/>
      <c r="E88" s="47"/>
      <c r="F88" s="47"/>
    </row>
    <row r="89" spans="1:10" ht="25.5" x14ac:dyDescent="0.25">
      <c r="A89" s="42">
        <v>25</v>
      </c>
      <c r="B89" s="45" t="s">
        <v>1106</v>
      </c>
      <c r="C89" s="46">
        <v>1463000000</v>
      </c>
      <c r="D89" s="47"/>
      <c r="E89" s="47"/>
      <c r="F89" s="47"/>
    </row>
    <row r="90" spans="1:10" ht="25.5" x14ac:dyDescent="0.25">
      <c r="A90" s="42">
        <v>81</v>
      </c>
      <c r="B90" s="45" t="s">
        <v>1107</v>
      </c>
      <c r="C90" s="46">
        <v>11000000000</v>
      </c>
      <c r="D90" s="47"/>
      <c r="E90" s="47"/>
      <c r="F90" s="47"/>
    </row>
    <row r="91" spans="1:10" s="54" customFormat="1" ht="25.5" x14ac:dyDescent="0.25">
      <c r="A91" s="42">
        <v>21</v>
      </c>
      <c r="B91" s="45" t="s">
        <v>1111</v>
      </c>
      <c r="C91" s="46">
        <f>5000000+10000000</f>
        <v>15000000</v>
      </c>
      <c r="D91" s="47"/>
      <c r="E91" s="47"/>
      <c r="F91" s="52"/>
      <c r="G91" s="53"/>
      <c r="H91" s="53"/>
      <c r="I91" s="53"/>
      <c r="J91" s="53"/>
    </row>
    <row r="92" spans="1:10" s="54" customFormat="1" x14ac:dyDescent="0.25">
      <c r="A92" s="42">
        <v>9</v>
      </c>
      <c r="B92" s="45" t="s">
        <v>606</v>
      </c>
      <c r="C92" s="46">
        <v>80000000</v>
      </c>
      <c r="D92" s="47"/>
      <c r="E92" s="47"/>
      <c r="F92" s="52"/>
      <c r="G92" s="53"/>
      <c r="H92" s="53"/>
      <c r="I92" s="53"/>
      <c r="J92" s="53"/>
    </row>
    <row r="93" spans="1:10" s="54" customFormat="1" ht="25.5" x14ac:dyDescent="0.25">
      <c r="B93" s="63" t="s">
        <v>1116</v>
      </c>
      <c r="C93" s="64"/>
      <c r="D93" s="52"/>
      <c r="E93" s="52"/>
      <c r="F93" s="52"/>
      <c r="G93" s="53"/>
      <c r="H93" s="53"/>
      <c r="I93" s="53"/>
      <c r="J93" s="53"/>
    </row>
    <row r="94" spans="1:10" s="54" customFormat="1" ht="25.5" x14ac:dyDescent="0.25">
      <c r="A94" s="54">
        <v>61</v>
      </c>
      <c r="B94" s="45" t="s">
        <v>1119</v>
      </c>
      <c r="C94" s="64">
        <v>4274847597</v>
      </c>
      <c r="D94" s="47"/>
      <c r="E94" s="47"/>
      <c r="F94" s="52"/>
      <c r="G94" s="53"/>
      <c r="H94" s="53"/>
      <c r="I94" s="53"/>
      <c r="J94" s="53"/>
    </row>
    <row r="95" spans="1:10" s="54" customFormat="1" ht="25.5" x14ac:dyDescent="0.25">
      <c r="A95" s="54">
        <v>171</v>
      </c>
      <c r="B95" s="45" t="s">
        <v>1120</v>
      </c>
      <c r="C95" s="64">
        <v>1724393294</v>
      </c>
      <c r="D95" s="47"/>
      <c r="E95" s="47"/>
      <c r="F95" s="52"/>
      <c r="G95" s="53"/>
      <c r="H95" s="53"/>
      <c r="I95" s="53"/>
      <c r="J95" s="53"/>
    </row>
    <row r="96" spans="1:10" s="54" customFormat="1" ht="38.25" x14ac:dyDescent="0.25">
      <c r="B96" s="45" t="str">
        <f>+'[3]Plan Financiero 2021'!A100</f>
        <v>Rendimientos por Operaciones Financieras. (SGP - Salud Pública )</v>
      </c>
      <c r="C96" s="46"/>
      <c r="D96" s="47"/>
      <c r="E96" s="47"/>
      <c r="F96" s="52"/>
      <c r="G96" s="53"/>
      <c r="H96" s="53"/>
      <c r="I96" s="53"/>
      <c r="J96" s="53"/>
    </row>
    <row r="97" spans="2:10" s="54" customFormat="1" ht="25.5" x14ac:dyDescent="0.25">
      <c r="B97" s="45" t="str">
        <f>+'[3]Plan Financiero 2021'!A101</f>
        <v>Rendimientos por Operaciones Financieras. (SGP - Oferta)</v>
      </c>
      <c r="C97" s="46"/>
      <c r="D97" s="47"/>
      <c r="E97" s="47"/>
      <c r="F97" s="52"/>
      <c r="G97" s="53"/>
      <c r="H97" s="53"/>
      <c r="I97" s="53"/>
      <c r="J97" s="53"/>
    </row>
    <row r="98" spans="2:10" s="54" customFormat="1" ht="38.25" x14ac:dyDescent="0.25">
      <c r="B98" s="45" t="str">
        <f>+'[3]Plan Financiero 2021'!A102</f>
        <v>Rendimientos por Operaciones Financieras. (Fondo Estupefacientes )</v>
      </c>
      <c r="C98" s="46"/>
      <c r="D98" s="47"/>
      <c r="E98" s="47"/>
      <c r="F98" s="52"/>
      <c r="G98" s="53"/>
      <c r="H98" s="53"/>
      <c r="I98" s="53"/>
      <c r="J98" s="53"/>
    </row>
    <row r="99" spans="2:10" s="54" customFormat="1" ht="25.5" x14ac:dyDescent="0.25">
      <c r="B99" s="45" t="str">
        <f>+'[3]Plan Financiero 2021'!A103</f>
        <v>Rendimientos por Operaciones Financieras. (Rentas Cedidas )</v>
      </c>
      <c r="C99" s="46"/>
      <c r="D99" s="47"/>
      <c r="E99" s="47"/>
      <c r="F99" s="52"/>
      <c r="G99" s="53"/>
      <c r="H99" s="53"/>
      <c r="I99" s="53"/>
      <c r="J99" s="53"/>
    </row>
    <row r="100" spans="2:10" s="54" customFormat="1" ht="15" x14ac:dyDescent="0.25">
      <c r="B100" s="45" t="s">
        <v>1126</v>
      </c>
      <c r="C100" s="24">
        <v>6508098100.25</v>
      </c>
      <c r="D100" s="47"/>
      <c r="E100" s="47"/>
      <c r="F100" s="52"/>
      <c r="G100" s="53"/>
      <c r="H100" s="53"/>
      <c r="I100" s="53"/>
      <c r="J100" s="53"/>
    </row>
    <row r="101" spans="2:10" s="54" customFormat="1" ht="25.5" x14ac:dyDescent="0.25">
      <c r="B101" s="45" t="s">
        <v>1127</v>
      </c>
      <c r="C101" s="46">
        <f>1488626551*2*1.03</f>
        <v>3066570695.0599999</v>
      </c>
      <c r="D101" s="47"/>
      <c r="E101" s="47"/>
      <c r="F101" s="52"/>
      <c r="G101" s="53"/>
      <c r="H101" s="53"/>
      <c r="I101" s="53"/>
      <c r="J101" s="53"/>
    </row>
    <row r="102" spans="2:10" s="54" customFormat="1" ht="25.5" x14ac:dyDescent="0.25">
      <c r="B102" s="45" t="s">
        <v>1128</v>
      </c>
      <c r="C102" s="46">
        <v>6177689520</v>
      </c>
      <c r="D102" s="47"/>
      <c r="E102" s="47"/>
      <c r="F102" s="52"/>
      <c r="G102" s="53"/>
      <c r="H102" s="53"/>
      <c r="I102" s="53"/>
      <c r="J102" s="53"/>
    </row>
    <row r="103" spans="2:10" s="54" customFormat="1" x14ac:dyDescent="0.25">
      <c r="B103" s="45" t="s">
        <v>1129</v>
      </c>
      <c r="C103" s="46"/>
      <c r="D103" s="47"/>
      <c r="E103" s="47"/>
      <c r="F103" s="52"/>
      <c r="G103" s="53"/>
      <c r="H103" s="53"/>
      <c r="I103" s="53"/>
      <c r="J103" s="53"/>
    </row>
    <row r="104" spans="2:10" x14ac:dyDescent="0.25">
      <c r="B104" s="45" t="s">
        <v>1130</v>
      </c>
      <c r="C104" s="46"/>
      <c r="D104" s="47"/>
      <c r="E104" s="47"/>
      <c r="F104" s="47"/>
    </row>
    <row r="105" spans="2:10" s="54" customFormat="1" x14ac:dyDescent="0.25">
      <c r="B105" s="45" t="s">
        <v>1977</v>
      </c>
      <c r="C105" s="46"/>
      <c r="D105" s="47"/>
      <c r="E105" s="47"/>
      <c r="F105" s="52"/>
      <c r="G105" s="53"/>
      <c r="H105" s="53"/>
      <c r="I105" s="53"/>
      <c r="J105" s="53"/>
    </row>
    <row r="106" spans="2:10" s="54" customFormat="1" ht="25.5" x14ac:dyDescent="0.25">
      <c r="B106" s="45" t="s">
        <v>1132</v>
      </c>
      <c r="C106" s="46">
        <f>1846659748+1433868740</f>
        <v>3280528488</v>
      </c>
      <c r="D106" s="47"/>
      <c r="E106" s="47"/>
      <c r="F106" s="52"/>
      <c r="G106" s="53"/>
      <c r="H106" s="53"/>
      <c r="I106" s="53"/>
      <c r="J106" s="53"/>
    </row>
    <row r="107" spans="2:10" x14ac:dyDescent="0.25">
      <c r="B107" s="45" t="s">
        <v>1133</v>
      </c>
      <c r="C107" s="46">
        <f>303844655.25*2*1.03</f>
        <v>625919989.81500006</v>
      </c>
      <c r="D107" s="47"/>
      <c r="E107" s="47"/>
      <c r="F107" s="47"/>
    </row>
    <row r="108" spans="2:10" x14ac:dyDescent="0.25">
      <c r="B108" s="45" t="s">
        <v>1136</v>
      </c>
      <c r="C108" s="46"/>
      <c r="D108" s="47"/>
      <c r="E108" s="47"/>
      <c r="F108" s="47"/>
    </row>
    <row r="109" spans="2:10" x14ac:dyDescent="0.25">
      <c r="B109" s="65" t="s">
        <v>1137</v>
      </c>
      <c r="C109" s="46"/>
      <c r="D109" s="47"/>
      <c r="E109" s="47"/>
      <c r="F109" s="47"/>
    </row>
    <row r="110" spans="2:10" s="54" customFormat="1" x14ac:dyDescent="0.25">
      <c r="B110" s="45" t="s">
        <v>1138</v>
      </c>
      <c r="C110" s="46">
        <v>1092098809</v>
      </c>
      <c r="D110" s="47"/>
      <c r="E110" s="47"/>
      <c r="F110" s="52"/>
      <c r="G110" s="53"/>
      <c r="H110" s="53"/>
      <c r="I110" s="53"/>
      <c r="J110" s="53"/>
    </row>
    <row r="111" spans="2:10" x14ac:dyDescent="0.25">
      <c r="B111" s="45" t="s">
        <v>1139</v>
      </c>
      <c r="C111" s="46">
        <v>1000000000</v>
      </c>
      <c r="D111" s="47"/>
      <c r="E111" s="47"/>
      <c r="F111" s="47"/>
    </row>
    <row r="112" spans="2:10" s="54" customFormat="1" x14ac:dyDescent="0.25">
      <c r="B112" s="45" t="s">
        <v>1141</v>
      </c>
      <c r="C112" s="46"/>
      <c r="D112" s="47"/>
      <c r="E112" s="47"/>
      <c r="F112" s="52"/>
      <c r="G112" s="53"/>
      <c r="H112" s="53"/>
      <c r="I112" s="53"/>
      <c r="J112" s="53"/>
    </row>
    <row r="113" spans="2:10" s="54" customFormat="1" x14ac:dyDescent="0.25">
      <c r="B113" s="45" t="s">
        <v>1142</v>
      </c>
      <c r="C113" s="46">
        <v>12289673134</v>
      </c>
      <c r="D113" s="47"/>
      <c r="E113" s="47"/>
      <c r="F113" s="52"/>
      <c r="G113" s="53"/>
      <c r="H113" s="53"/>
      <c r="I113" s="53"/>
      <c r="J113" s="53"/>
    </row>
    <row r="114" spans="2:10" s="54" customFormat="1" x14ac:dyDescent="0.25">
      <c r="B114" s="45" t="s">
        <v>1143</v>
      </c>
      <c r="C114" s="46">
        <v>393715436</v>
      </c>
      <c r="D114" s="47"/>
      <c r="E114" s="47"/>
      <c r="F114" s="52"/>
      <c r="G114" s="53"/>
      <c r="H114" s="53"/>
      <c r="I114" s="53"/>
      <c r="J114" s="53"/>
    </row>
    <row r="115" spans="2:10" s="54" customFormat="1" ht="25.5" x14ac:dyDescent="0.25">
      <c r="B115" s="45" t="str">
        <f>+'[3]Plan Financiero 2021'!A127</f>
        <v>IVA Cedido Sobre Licores, Vinos, Aperitivos y Similares</v>
      </c>
      <c r="C115" s="46">
        <f>830166797*2*1.03</f>
        <v>1710143601.8199999</v>
      </c>
      <c r="D115" s="47"/>
      <c r="E115" s="47"/>
      <c r="F115" s="52"/>
      <c r="G115" s="53"/>
      <c r="H115" s="53"/>
      <c r="I115" s="53"/>
      <c r="J115" s="53"/>
    </row>
    <row r="116" spans="2:10" s="54" customFormat="1" x14ac:dyDescent="0.25">
      <c r="B116" s="45" t="s">
        <v>1146</v>
      </c>
      <c r="C116" s="46"/>
      <c r="D116" s="47"/>
      <c r="E116" s="47"/>
      <c r="F116" s="52"/>
      <c r="G116" s="53"/>
      <c r="H116" s="53"/>
      <c r="I116" s="53"/>
      <c r="J116" s="53"/>
    </row>
    <row r="117" spans="2:10" s="54" customFormat="1" ht="25.5" x14ac:dyDescent="0.25">
      <c r="B117" s="63" t="s">
        <v>1065</v>
      </c>
      <c r="C117" s="52"/>
      <c r="D117" s="47"/>
      <c r="E117" s="47"/>
      <c r="F117" s="52"/>
      <c r="G117" s="53"/>
      <c r="H117" s="53"/>
      <c r="I117" s="53"/>
      <c r="J117" s="53"/>
    </row>
    <row r="118" spans="2:10" s="54" customFormat="1" ht="25.5" x14ac:dyDescent="0.25">
      <c r="B118" s="45" t="s">
        <v>1066</v>
      </c>
      <c r="C118" s="52">
        <v>2991799289</v>
      </c>
      <c r="D118" s="47"/>
      <c r="E118" s="47"/>
      <c r="F118" s="52"/>
      <c r="G118" s="53"/>
      <c r="H118" s="53"/>
      <c r="I118" s="53"/>
      <c r="J118" s="53"/>
    </row>
    <row r="119" spans="2:10" s="54" customFormat="1" x14ac:dyDescent="0.25">
      <c r="B119" s="63" t="s">
        <v>961</v>
      </c>
      <c r="C119" s="52"/>
      <c r="D119" s="47"/>
      <c r="E119" s="47"/>
      <c r="F119" s="52"/>
      <c r="G119" s="53"/>
      <c r="H119" s="53"/>
      <c r="I119" s="53"/>
      <c r="J119" s="53"/>
    </row>
    <row r="120" spans="2:10" s="54" customFormat="1" ht="25.5" x14ac:dyDescent="0.25">
      <c r="B120" s="45" t="s">
        <v>1149</v>
      </c>
      <c r="C120" s="46">
        <f>663402976*2*1.03</f>
        <v>1366610130.5599999</v>
      </c>
      <c r="D120" s="47"/>
      <c r="E120" s="47"/>
      <c r="F120" s="52"/>
      <c r="G120" s="53"/>
      <c r="H120" s="53"/>
      <c r="I120" s="53"/>
      <c r="J120" s="53"/>
    </row>
    <row r="121" spans="2:10" s="54" customFormat="1" x14ac:dyDescent="0.25">
      <c r="B121" s="52"/>
      <c r="C121" s="52"/>
      <c r="D121" s="52"/>
      <c r="E121" s="52"/>
      <c r="F121" s="52"/>
      <c r="G121" s="53"/>
      <c r="H121" s="53"/>
      <c r="I121" s="53"/>
      <c r="J121" s="53"/>
    </row>
    <row r="122" spans="2:10" s="54" customFormat="1" ht="25.5" x14ac:dyDescent="0.25">
      <c r="B122" s="56" t="s">
        <v>1825</v>
      </c>
      <c r="C122" s="66">
        <f>SUM(C83:C120)</f>
        <v>427466088084.505</v>
      </c>
      <c r="D122" s="67"/>
      <c r="E122" s="67"/>
      <c r="F122" s="68"/>
      <c r="G122" s="69"/>
      <c r="H122" s="70"/>
      <c r="I122" s="53"/>
      <c r="J122" s="53"/>
    </row>
    <row r="123" spans="2:10" s="54" customFormat="1" x14ac:dyDescent="0.25">
      <c r="B123" s="56" t="s">
        <v>1826</v>
      </c>
      <c r="C123" s="66">
        <f>+C122+C77+C51</f>
        <v>427466088084.505</v>
      </c>
      <c r="D123" s="71"/>
      <c r="E123" s="71"/>
      <c r="F123" s="68"/>
      <c r="G123" s="72"/>
      <c r="H123" s="70"/>
      <c r="I123" s="53"/>
      <c r="J123" s="53"/>
    </row>
    <row r="124" spans="2:10" s="54" customFormat="1" x14ac:dyDescent="0.25">
      <c r="B124" s="1672"/>
      <c r="C124" s="1672"/>
      <c r="D124" s="73"/>
      <c r="E124" s="73"/>
      <c r="F124" s="74"/>
      <c r="G124" s="72"/>
      <c r="H124" s="70"/>
      <c r="I124" s="53"/>
      <c r="J124" s="53"/>
    </row>
    <row r="125" spans="2:10" s="54" customFormat="1" x14ac:dyDescent="0.25">
      <c r="B125" s="45" t="s">
        <v>1827</v>
      </c>
      <c r="C125" s="75">
        <f>+F55*0.01</f>
        <v>955420351.03295016</v>
      </c>
      <c r="F125" s="74"/>
      <c r="G125" s="72"/>
      <c r="H125" s="70"/>
      <c r="I125" s="53"/>
      <c r="J125" s="53"/>
    </row>
    <row r="126" spans="2:10" s="54" customFormat="1" ht="25.5" x14ac:dyDescent="0.25">
      <c r="B126" s="45" t="s">
        <v>1828</v>
      </c>
      <c r="C126" s="75">
        <f>+F55*0.01</f>
        <v>955420351.03295016</v>
      </c>
      <c r="F126" s="74"/>
      <c r="G126" s="72"/>
      <c r="H126" s="70"/>
      <c r="I126" s="53"/>
      <c r="J126" s="53"/>
    </row>
    <row r="127" spans="2:10" s="54" customFormat="1" ht="25.5" x14ac:dyDescent="0.25">
      <c r="B127" s="45" t="s">
        <v>1829</v>
      </c>
      <c r="C127" s="75">
        <f>+F55*0.007</f>
        <v>668794245.72306514</v>
      </c>
      <c r="F127" s="74"/>
      <c r="G127" s="72"/>
      <c r="H127" s="70"/>
      <c r="I127" s="53"/>
      <c r="J127" s="53"/>
    </row>
    <row r="128" spans="2:10" s="54" customFormat="1" ht="25.5" x14ac:dyDescent="0.25">
      <c r="B128" s="45" t="s">
        <v>2441</v>
      </c>
      <c r="C128" s="76">
        <f>+F55*0.067</f>
        <v>6401316351.9207659</v>
      </c>
      <c r="F128" s="74"/>
      <c r="G128" s="72"/>
      <c r="H128" s="70"/>
      <c r="I128" s="53"/>
      <c r="J128" s="53"/>
    </row>
    <row r="129" spans="2:8" x14ac:dyDescent="0.25">
      <c r="B129" s="1753"/>
      <c r="C129" s="1746"/>
      <c r="D129" s="77"/>
      <c r="E129" s="77"/>
      <c r="F129" s="77"/>
      <c r="G129" s="78"/>
      <c r="H129" s="78"/>
    </row>
    <row r="130" spans="2:8" x14ac:dyDescent="0.25">
      <c r="B130" s="1834" t="s">
        <v>970</v>
      </c>
      <c r="C130" s="1834"/>
      <c r="D130" s="79"/>
      <c r="E130" s="79"/>
      <c r="F130" s="79"/>
      <c r="G130" s="79"/>
      <c r="H130" s="79"/>
    </row>
    <row r="131" spans="2:8" x14ac:dyDescent="0.25">
      <c r="B131" s="80" t="s">
        <v>972</v>
      </c>
      <c r="C131" s="81">
        <f>+F81+F55-C125-C126-C127-C128</f>
        <v>90982198253.585297</v>
      </c>
      <c r="D131" s="73"/>
      <c r="E131" s="73"/>
      <c r="G131" s="72"/>
      <c r="H131" s="82"/>
    </row>
    <row r="132" spans="2:8" s="41" customFormat="1" ht="25.5" x14ac:dyDescent="0.25">
      <c r="B132" s="80" t="s">
        <v>973</v>
      </c>
      <c r="C132" s="81">
        <f>C131*0.7</f>
        <v>63687538777.509705</v>
      </c>
      <c r="D132" s="83"/>
      <c r="E132" s="83"/>
      <c r="F132" s="42"/>
      <c r="G132" s="72"/>
      <c r="H132" s="84"/>
    </row>
    <row r="133" spans="2:8" s="41" customFormat="1" ht="25.5" x14ac:dyDescent="0.25">
      <c r="B133" s="80" t="s">
        <v>974</v>
      </c>
      <c r="C133" s="81">
        <f>C131*0.3</f>
        <v>27294659476.075588</v>
      </c>
      <c r="D133" s="83"/>
      <c r="E133" s="83"/>
      <c r="F133" s="42"/>
      <c r="G133" s="72"/>
      <c r="H133" s="84"/>
    </row>
    <row r="134" spans="2:8" s="41" customFormat="1" x14ac:dyDescent="0.25">
      <c r="B134" s="1754"/>
      <c r="C134" s="1746"/>
      <c r="D134" s="73"/>
      <c r="E134" s="73"/>
      <c r="F134" s="74"/>
      <c r="G134" s="72"/>
      <c r="H134" s="70"/>
    </row>
    <row r="135" spans="2:8" s="41" customFormat="1" x14ac:dyDescent="0.25">
      <c r="B135" s="1836" t="s">
        <v>1832</v>
      </c>
      <c r="C135" s="1836"/>
      <c r="D135" s="73"/>
      <c r="E135" s="73"/>
      <c r="F135" s="74"/>
      <c r="G135" s="72"/>
      <c r="H135" s="70"/>
    </row>
    <row r="136" spans="2:8" s="41" customFormat="1" x14ac:dyDescent="0.25">
      <c r="B136" s="58" t="s">
        <v>1833</v>
      </c>
      <c r="C136" s="68"/>
      <c r="D136" s="73"/>
      <c r="E136" s="73"/>
      <c r="F136" s="74"/>
      <c r="G136" s="72"/>
      <c r="H136" s="70"/>
    </row>
    <row r="137" spans="2:8" s="41" customFormat="1" x14ac:dyDescent="0.25">
      <c r="B137" s="58" t="s">
        <v>1835</v>
      </c>
      <c r="C137" s="68"/>
      <c r="D137" s="73"/>
      <c r="E137" s="73"/>
      <c r="F137" s="74"/>
      <c r="G137" s="72"/>
      <c r="H137" s="70"/>
    </row>
    <row r="138" spans="2:8" s="41" customFormat="1" x14ac:dyDescent="0.25">
      <c r="B138" s="58" t="s">
        <v>1837</v>
      </c>
      <c r="C138" s="68"/>
      <c r="D138" s="73"/>
      <c r="E138" s="73"/>
      <c r="F138" s="74"/>
      <c r="G138" s="72"/>
      <c r="H138" s="70"/>
    </row>
    <row r="139" spans="2:8" s="41" customFormat="1" ht="15" x14ac:dyDescent="0.25">
      <c r="B139" s="58" t="s">
        <v>1841</v>
      </c>
      <c r="C139" s="68"/>
      <c r="D139" s="85"/>
      <c r="E139" s="85"/>
      <c r="F139" s="74"/>
      <c r="G139" s="72"/>
      <c r="H139" s="70"/>
    </row>
    <row r="140" spans="2:8" s="41" customFormat="1" x14ac:dyDescent="0.25">
      <c r="B140" s="58" t="s">
        <v>1982</v>
      </c>
      <c r="C140" s="68"/>
      <c r="D140" s="73"/>
      <c r="E140" s="73"/>
      <c r="F140" s="74"/>
      <c r="G140" s="72"/>
      <c r="H140" s="70"/>
    </row>
    <row r="141" spans="2:8" s="41" customFormat="1" x14ac:dyDescent="0.25">
      <c r="B141" s="1669"/>
      <c r="C141" s="1669"/>
      <c r="D141" s="73"/>
      <c r="E141" s="73"/>
      <c r="F141" s="74"/>
      <c r="G141" s="72"/>
      <c r="H141" s="70"/>
    </row>
    <row r="142" spans="2:8" s="41" customFormat="1" x14ac:dyDescent="0.25">
      <c r="B142" s="1748" t="s">
        <v>1983</v>
      </c>
      <c r="C142" s="1748"/>
      <c r="D142" s="79"/>
      <c r="E142" s="79"/>
      <c r="F142" s="79"/>
      <c r="G142" s="86"/>
      <c r="H142" s="70"/>
    </row>
    <row r="143" spans="2:8" s="41" customFormat="1" x14ac:dyDescent="0.25">
      <c r="B143" s="1745"/>
      <c r="C143" s="1745"/>
      <c r="D143" s="87"/>
      <c r="E143" s="87"/>
      <c r="F143" s="88"/>
      <c r="G143" s="89"/>
      <c r="H143" s="90"/>
    </row>
    <row r="144" spans="2:8" s="41" customFormat="1" x14ac:dyDescent="0.25">
      <c r="B144" s="58" t="s">
        <v>1843</v>
      </c>
      <c r="C144" s="91">
        <f>+C137</f>
        <v>0</v>
      </c>
      <c r="D144" s="73"/>
      <c r="E144" s="73"/>
      <c r="F144" s="74"/>
      <c r="G144" s="72"/>
      <c r="H144" s="70"/>
    </row>
    <row r="145" spans="2:8" s="41" customFormat="1" x14ac:dyDescent="0.25">
      <c r="B145" s="58" t="s">
        <v>1930</v>
      </c>
      <c r="C145" s="91">
        <f>+C138+D47</f>
        <v>0</v>
      </c>
      <c r="D145" s="73"/>
      <c r="E145" s="73"/>
      <c r="F145" s="74"/>
      <c r="G145" s="72"/>
      <c r="H145" s="70"/>
    </row>
    <row r="146" spans="2:8" s="41" customFormat="1" ht="15" x14ac:dyDescent="0.25">
      <c r="B146" s="58" t="s">
        <v>2442</v>
      </c>
      <c r="C146" s="91"/>
      <c r="D146" s="85"/>
      <c r="E146" s="85"/>
      <c r="F146" s="74"/>
      <c r="G146" s="72"/>
      <c r="H146" s="70"/>
    </row>
    <row r="147" spans="2:8" s="41" customFormat="1" ht="15" x14ac:dyDescent="0.25">
      <c r="B147" s="58" t="s">
        <v>1852</v>
      </c>
      <c r="C147" s="68" t="e">
        <f>+D10+D12+D26+D36+#REF!+#REF!+D65+C125+C127+C128</f>
        <v>#REF!</v>
      </c>
      <c r="D147" s="85"/>
      <c r="E147" s="85"/>
      <c r="F147" s="74"/>
      <c r="G147" s="72"/>
      <c r="H147" s="70"/>
    </row>
    <row r="148" spans="2:8" s="41" customFormat="1" ht="15" x14ac:dyDescent="0.25">
      <c r="B148" s="58" t="s">
        <v>2443</v>
      </c>
      <c r="C148" s="68">
        <f>+D13+D25+D28+D35+D64+D66+D72+D75</f>
        <v>0</v>
      </c>
      <c r="D148" s="85"/>
      <c r="E148" s="85"/>
      <c r="F148" s="74"/>
      <c r="G148" s="72"/>
      <c r="H148" s="70"/>
    </row>
    <row r="149" spans="2:8" s="41" customFormat="1" ht="25.5" x14ac:dyDescent="0.25">
      <c r="B149" s="56" t="s">
        <v>1853</v>
      </c>
      <c r="C149" s="66" t="e">
        <f>SUM(C144:C146)+C147+C148</f>
        <v>#REF!</v>
      </c>
      <c r="D149" s="87"/>
      <c r="E149" s="87"/>
      <c r="F149" s="88"/>
      <c r="G149" s="89"/>
      <c r="H149" s="90"/>
    </row>
    <row r="150" spans="2:8" s="41" customFormat="1" x14ac:dyDescent="0.25">
      <c r="B150" s="1746"/>
      <c r="C150" s="1746"/>
      <c r="D150" s="73"/>
      <c r="E150" s="73"/>
      <c r="F150" s="74"/>
      <c r="G150" s="72"/>
      <c r="H150" s="70"/>
    </row>
    <row r="151" spans="2:8" s="41" customFormat="1" x14ac:dyDescent="0.25">
      <c r="B151" s="56" t="s">
        <v>1854</v>
      </c>
      <c r="C151" s="66">
        <f>+C136</f>
        <v>0</v>
      </c>
      <c r="D151" s="87"/>
      <c r="E151" s="87"/>
      <c r="F151" s="88"/>
      <c r="G151" s="89"/>
      <c r="H151" s="90"/>
    </row>
    <row r="152" spans="2:8" s="41" customFormat="1" x14ac:dyDescent="0.25">
      <c r="B152" s="1747"/>
      <c r="C152" s="1747"/>
      <c r="D152" s="87"/>
      <c r="E152" s="87"/>
      <c r="F152" s="88"/>
      <c r="G152" s="89"/>
      <c r="H152" s="90"/>
    </row>
    <row r="153" spans="2:8" s="41" customFormat="1" x14ac:dyDescent="0.25">
      <c r="B153" s="58" t="s">
        <v>1958</v>
      </c>
      <c r="C153" s="68">
        <f>+C139+C126</f>
        <v>955420351.03295016</v>
      </c>
      <c r="D153" s="73"/>
      <c r="E153" s="73"/>
      <c r="F153" s="74"/>
      <c r="G153" s="72"/>
      <c r="H153" s="70"/>
    </row>
    <row r="154" spans="2:8" s="41" customFormat="1" x14ac:dyDescent="0.25">
      <c r="B154" s="58" t="s">
        <v>1859</v>
      </c>
      <c r="C154" s="68">
        <f>+D80+D54</f>
        <v>0</v>
      </c>
      <c r="D154" s="73"/>
      <c r="E154" s="73"/>
      <c r="F154" s="74"/>
      <c r="G154" s="72"/>
      <c r="H154" s="70"/>
    </row>
    <row r="155" spans="2:8" s="41" customFormat="1" ht="15" x14ac:dyDescent="0.25">
      <c r="B155" s="58" t="s">
        <v>1860</v>
      </c>
      <c r="C155" s="68">
        <f>+C122</f>
        <v>427466088084.505</v>
      </c>
      <c r="D155" s="85"/>
      <c r="E155" s="85"/>
      <c r="F155" s="74"/>
      <c r="G155" s="72"/>
      <c r="H155" s="70"/>
    </row>
    <row r="156" spans="2:8" s="41" customFormat="1" x14ac:dyDescent="0.25">
      <c r="B156" s="56" t="s">
        <v>1861</v>
      </c>
      <c r="C156" s="66">
        <f>SUM(C153:C155)</f>
        <v>428421508435.53796</v>
      </c>
      <c r="D156" s="87"/>
      <c r="E156" s="87"/>
      <c r="F156" s="88"/>
      <c r="G156" s="89"/>
      <c r="H156" s="92"/>
    </row>
    <row r="157" spans="2:8" s="41" customFormat="1" x14ac:dyDescent="0.25">
      <c r="B157" s="1672"/>
      <c r="C157" s="1672"/>
      <c r="D157" s="87"/>
      <c r="E157" s="87"/>
      <c r="F157" s="88"/>
      <c r="G157" s="89"/>
      <c r="H157" s="92"/>
    </row>
    <row r="158" spans="2:8" s="41" customFormat="1" x14ac:dyDescent="0.25">
      <c r="B158" s="56" t="s">
        <v>1862</v>
      </c>
      <c r="C158" s="93" t="e">
        <f>+C156+C149+C151</f>
        <v>#REF!</v>
      </c>
      <c r="D158" s="87"/>
      <c r="E158" s="87"/>
      <c r="F158" s="42"/>
      <c r="G158" s="89"/>
      <c r="H158" s="92"/>
    </row>
    <row r="159" spans="2:8" s="41" customFormat="1" x14ac:dyDescent="0.25">
      <c r="B159" s="77"/>
      <c r="C159" s="74"/>
      <c r="D159" s="73"/>
      <c r="E159" s="73"/>
      <c r="F159" s="74"/>
      <c r="G159" s="72"/>
      <c r="H159" s="94"/>
    </row>
  </sheetData>
  <autoFilter ref="A1:A159" xr:uid="{00000000-0009-0000-0000-000020000000}">
    <filterColumn colId="0">
      <filters>
        <filter val="20"/>
      </filters>
    </filterColumn>
  </autoFilter>
  <mergeCells count="21">
    <mergeCell ref="B135:C135"/>
    <mergeCell ref="B141:C141"/>
    <mergeCell ref="B1:F1"/>
    <mergeCell ref="B2:F2"/>
    <mergeCell ref="B3:F3"/>
    <mergeCell ref="B4:F4"/>
    <mergeCell ref="B5:B6"/>
    <mergeCell ref="C5:C6"/>
    <mergeCell ref="D5:D6"/>
    <mergeCell ref="F5:F6"/>
    <mergeCell ref="E5:E6"/>
    <mergeCell ref="A5:A6"/>
    <mergeCell ref="B124:C124"/>
    <mergeCell ref="B129:C129"/>
    <mergeCell ref="B130:C130"/>
    <mergeCell ref="B134:C134"/>
    <mergeCell ref="B142:C142"/>
    <mergeCell ref="B143:C143"/>
    <mergeCell ref="B150:C150"/>
    <mergeCell ref="B152:C152"/>
    <mergeCell ref="B157:C157"/>
  </mergeCells>
  <pageMargins left="0.39370078740157483" right="0.23622047244094491" top="0.26" bottom="0.27559055118110237" header="0.31496062992125984" footer="0.17"/>
  <pageSetup paperSize="5" scale="8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44"/>
  <sheetViews>
    <sheetView topLeftCell="A9" workbookViewId="0">
      <selection activeCell="B9" sqref="B9"/>
    </sheetView>
  </sheetViews>
  <sheetFormatPr baseColWidth="10" defaultColWidth="11.42578125" defaultRowHeight="14.25" x14ac:dyDescent="0.2"/>
  <cols>
    <col min="1" max="1" width="41.7109375" style="443" customWidth="1"/>
    <col min="2" max="2" width="21" style="391" customWidth="1"/>
    <col min="3" max="3" width="49" style="391" customWidth="1"/>
    <col min="4" max="4" width="18.5703125" style="391" customWidth="1"/>
    <col min="5" max="5" width="27.5703125" style="391" customWidth="1"/>
    <col min="6" max="6" width="16.7109375" style="391" customWidth="1"/>
    <col min="7" max="7" width="16.85546875" style="391" bestFit="1" customWidth="1"/>
    <col min="8" max="8" width="19.140625" style="391" customWidth="1"/>
    <col min="9" max="9" width="21.42578125" style="391" customWidth="1"/>
    <col min="10" max="10" width="20.140625" style="391" customWidth="1"/>
    <col min="11" max="11" width="17.85546875" style="391" bestFit="1" customWidth="1"/>
    <col min="12" max="12" width="13.140625" style="391" bestFit="1" customWidth="1"/>
    <col min="13" max="256" width="11.42578125" style="391"/>
    <col min="257" max="257" width="43.85546875" style="391" customWidth="1"/>
    <col min="258" max="258" width="40.28515625" style="391" customWidth="1"/>
    <col min="259" max="259" width="49" style="391" customWidth="1"/>
    <col min="260" max="260" width="18.5703125" style="391" customWidth="1"/>
    <col min="261" max="261" width="115.7109375" style="391" customWidth="1"/>
    <col min="262" max="262" width="16.7109375" style="391" customWidth="1"/>
    <col min="263" max="263" width="16.85546875" style="391" bestFit="1" customWidth="1"/>
    <col min="264" max="264" width="19.140625" style="391" customWidth="1"/>
    <col min="265" max="265" width="21.42578125" style="391" customWidth="1"/>
    <col min="266" max="266" width="20.140625" style="391" customWidth="1"/>
    <col min="267" max="267" width="17.85546875" style="391" bestFit="1" customWidth="1"/>
    <col min="268" max="268" width="13.140625" style="391" bestFit="1" customWidth="1"/>
    <col min="269" max="512" width="11.42578125" style="391"/>
    <col min="513" max="513" width="43.85546875" style="391" customWidth="1"/>
    <col min="514" max="514" width="40.28515625" style="391" customWidth="1"/>
    <col min="515" max="515" width="49" style="391" customWidth="1"/>
    <col min="516" max="516" width="18.5703125" style="391" customWidth="1"/>
    <col min="517" max="517" width="115.7109375" style="391" customWidth="1"/>
    <col min="518" max="518" width="16.7109375" style="391" customWidth="1"/>
    <col min="519" max="519" width="16.85546875" style="391" bestFit="1" customWidth="1"/>
    <col min="520" max="520" width="19.140625" style="391" customWidth="1"/>
    <col min="521" max="521" width="21.42578125" style="391" customWidth="1"/>
    <col min="522" max="522" width="20.140625" style="391" customWidth="1"/>
    <col min="523" max="523" width="17.85546875" style="391" bestFit="1" customWidth="1"/>
    <col min="524" max="524" width="13.140625" style="391" bestFit="1" customWidth="1"/>
    <col min="525" max="768" width="11.42578125" style="391"/>
    <col min="769" max="769" width="43.85546875" style="391" customWidth="1"/>
    <col min="770" max="770" width="40.28515625" style="391" customWidth="1"/>
    <col min="771" max="771" width="49" style="391" customWidth="1"/>
    <col min="772" max="772" width="18.5703125" style="391" customWidth="1"/>
    <col min="773" max="773" width="115.7109375" style="391" customWidth="1"/>
    <col min="774" max="774" width="16.7109375" style="391" customWidth="1"/>
    <col min="775" max="775" width="16.85546875" style="391" bestFit="1" customWidth="1"/>
    <col min="776" max="776" width="19.140625" style="391" customWidth="1"/>
    <col min="777" max="777" width="21.42578125" style="391" customWidth="1"/>
    <col min="778" max="778" width="20.140625" style="391" customWidth="1"/>
    <col min="779" max="779" width="17.85546875" style="391" bestFit="1" customWidth="1"/>
    <col min="780" max="780" width="13.140625" style="391" bestFit="1" customWidth="1"/>
    <col min="781" max="1024" width="11.42578125" style="391"/>
    <col min="1025" max="1025" width="43.85546875" style="391" customWidth="1"/>
    <col min="1026" max="1026" width="40.28515625" style="391" customWidth="1"/>
    <col min="1027" max="1027" width="49" style="391" customWidth="1"/>
    <col min="1028" max="1028" width="18.5703125" style="391" customWidth="1"/>
    <col min="1029" max="1029" width="115.7109375" style="391" customWidth="1"/>
    <col min="1030" max="1030" width="16.7109375" style="391" customWidth="1"/>
    <col min="1031" max="1031" width="16.85546875" style="391" bestFit="1" customWidth="1"/>
    <col min="1032" max="1032" width="19.140625" style="391" customWidth="1"/>
    <col min="1033" max="1033" width="21.42578125" style="391" customWidth="1"/>
    <col min="1034" max="1034" width="20.140625" style="391" customWidth="1"/>
    <col min="1035" max="1035" width="17.85546875" style="391" bestFit="1" customWidth="1"/>
    <col min="1036" max="1036" width="13.140625" style="391" bestFit="1" customWidth="1"/>
    <col min="1037" max="1280" width="11.42578125" style="391"/>
    <col min="1281" max="1281" width="43.85546875" style="391" customWidth="1"/>
    <col min="1282" max="1282" width="40.28515625" style="391" customWidth="1"/>
    <col min="1283" max="1283" width="49" style="391" customWidth="1"/>
    <col min="1284" max="1284" width="18.5703125" style="391" customWidth="1"/>
    <col min="1285" max="1285" width="115.7109375" style="391" customWidth="1"/>
    <col min="1286" max="1286" width="16.7109375" style="391" customWidth="1"/>
    <col min="1287" max="1287" width="16.85546875" style="391" bestFit="1" customWidth="1"/>
    <col min="1288" max="1288" width="19.140625" style="391" customWidth="1"/>
    <col min="1289" max="1289" width="21.42578125" style="391" customWidth="1"/>
    <col min="1290" max="1290" width="20.140625" style="391" customWidth="1"/>
    <col min="1291" max="1291" width="17.85546875" style="391" bestFit="1" customWidth="1"/>
    <col min="1292" max="1292" width="13.140625" style="391" bestFit="1" customWidth="1"/>
    <col min="1293" max="1536" width="11.42578125" style="391"/>
    <col min="1537" max="1537" width="43.85546875" style="391" customWidth="1"/>
    <col min="1538" max="1538" width="40.28515625" style="391" customWidth="1"/>
    <col min="1539" max="1539" width="49" style="391" customWidth="1"/>
    <col min="1540" max="1540" width="18.5703125" style="391" customWidth="1"/>
    <col min="1541" max="1541" width="115.7109375" style="391" customWidth="1"/>
    <col min="1542" max="1542" width="16.7109375" style="391" customWidth="1"/>
    <col min="1543" max="1543" width="16.85546875" style="391" bestFit="1" customWidth="1"/>
    <col min="1544" max="1544" width="19.140625" style="391" customWidth="1"/>
    <col min="1545" max="1545" width="21.42578125" style="391" customWidth="1"/>
    <col min="1546" max="1546" width="20.140625" style="391" customWidth="1"/>
    <col min="1547" max="1547" width="17.85546875" style="391" bestFit="1" customWidth="1"/>
    <col min="1548" max="1548" width="13.140625" style="391" bestFit="1" customWidth="1"/>
    <col min="1549" max="1792" width="11.42578125" style="391"/>
    <col min="1793" max="1793" width="43.85546875" style="391" customWidth="1"/>
    <col min="1794" max="1794" width="40.28515625" style="391" customWidth="1"/>
    <col min="1795" max="1795" width="49" style="391" customWidth="1"/>
    <col min="1796" max="1796" width="18.5703125" style="391" customWidth="1"/>
    <col min="1797" max="1797" width="115.7109375" style="391" customWidth="1"/>
    <col min="1798" max="1798" width="16.7109375" style="391" customWidth="1"/>
    <col min="1799" max="1799" width="16.85546875" style="391" bestFit="1" customWidth="1"/>
    <col min="1800" max="1800" width="19.140625" style="391" customWidth="1"/>
    <col min="1801" max="1801" width="21.42578125" style="391" customWidth="1"/>
    <col min="1802" max="1802" width="20.140625" style="391" customWidth="1"/>
    <col min="1803" max="1803" width="17.85546875" style="391" bestFit="1" customWidth="1"/>
    <col min="1804" max="1804" width="13.140625" style="391" bestFit="1" customWidth="1"/>
    <col min="1805" max="2048" width="11.42578125" style="391"/>
    <col min="2049" max="2049" width="43.85546875" style="391" customWidth="1"/>
    <col min="2050" max="2050" width="40.28515625" style="391" customWidth="1"/>
    <col min="2051" max="2051" width="49" style="391" customWidth="1"/>
    <col min="2052" max="2052" width="18.5703125" style="391" customWidth="1"/>
    <col min="2053" max="2053" width="115.7109375" style="391" customWidth="1"/>
    <col min="2054" max="2054" width="16.7109375" style="391" customWidth="1"/>
    <col min="2055" max="2055" width="16.85546875" style="391" bestFit="1" customWidth="1"/>
    <col min="2056" max="2056" width="19.140625" style="391" customWidth="1"/>
    <col min="2057" max="2057" width="21.42578125" style="391" customWidth="1"/>
    <col min="2058" max="2058" width="20.140625" style="391" customWidth="1"/>
    <col min="2059" max="2059" width="17.85546875" style="391" bestFit="1" customWidth="1"/>
    <col min="2060" max="2060" width="13.140625" style="391" bestFit="1" customWidth="1"/>
    <col min="2061" max="2304" width="11.42578125" style="391"/>
    <col min="2305" max="2305" width="43.85546875" style="391" customWidth="1"/>
    <col min="2306" max="2306" width="40.28515625" style="391" customWidth="1"/>
    <col min="2307" max="2307" width="49" style="391" customWidth="1"/>
    <col min="2308" max="2308" width="18.5703125" style="391" customWidth="1"/>
    <col min="2309" max="2309" width="115.7109375" style="391" customWidth="1"/>
    <col min="2310" max="2310" width="16.7109375" style="391" customWidth="1"/>
    <col min="2311" max="2311" width="16.85546875" style="391" bestFit="1" customWidth="1"/>
    <col min="2312" max="2312" width="19.140625" style="391" customWidth="1"/>
    <col min="2313" max="2313" width="21.42578125" style="391" customWidth="1"/>
    <col min="2314" max="2314" width="20.140625" style="391" customWidth="1"/>
    <col min="2315" max="2315" width="17.85546875" style="391" bestFit="1" customWidth="1"/>
    <col min="2316" max="2316" width="13.140625" style="391" bestFit="1" customWidth="1"/>
    <col min="2317" max="2560" width="11.42578125" style="391"/>
    <col min="2561" max="2561" width="43.85546875" style="391" customWidth="1"/>
    <col min="2562" max="2562" width="40.28515625" style="391" customWidth="1"/>
    <col min="2563" max="2563" width="49" style="391" customWidth="1"/>
    <col min="2564" max="2564" width="18.5703125" style="391" customWidth="1"/>
    <col min="2565" max="2565" width="115.7109375" style="391" customWidth="1"/>
    <col min="2566" max="2566" width="16.7109375" style="391" customWidth="1"/>
    <col min="2567" max="2567" width="16.85546875" style="391" bestFit="1" customWidth="1"/>
    <col min="2568" max="2568" width="19.140625" style="391" customWidth="1"/>
    <col min="2569" max="2569" width="21.42578125" style="391" customWidth="1"/>
    <col min="2570" max="2570" width="20.140625" style="391" customWidth="1"/>
    <col min="2571" max="2571" width="17.85546875" style="391" bestFit="1" customWidth="1"/>
    <col min="2572" max="2572" width="13.140625" style="391" bestFit="1" customWidth="1"/>
    <col min="2573" max="2816" width="11.42578125" style="391"/>
    <col min="2817" max="2817" width="43.85546875" style="391" customWidth="1"/>
    <col min="2818" max="2818" width="40.28515625" style="391" customWidth="1"/>
    <col min="2819" max="2819" width="49" style="391" customWidth="1"/>
    <col min="2820" max="2820" width="18.5703125" style="391" customWidth="1"/>
    <col min="2821" max="2821" width="115.7109375" style="391" customWidth="1"/>
    <col min="2822" max="2822" width="16.7109375" style="391" customWidth="1"/>
    <col min="2823" max="2823" width="16.85546875" style="391" bestFit="1" customWidth="1"/>
    <col min="2824" max="2824" width="19.140625" style="391" customWidth="1"/>
    <col min="2825" max="2825" width="21.42578125" style="391" customWidth="1"/>
    <col min="2826" max="2826" width="20.140625" style="391" customWidth="1"/>
    <col min="2827" max="2827" width="17.85546875" style="391" bestFit="1" customWidth="1"/>
    <col min="2828" max="2828" width="13.140625" style="391" bestFit="1" customWidth="1"/>
    <col min="2829" max="3072" width="11.42578125" style="391"/>
    <col min="3073" max="3073" width="43.85546875" style="391" customWidth="1"/>
    <col min="3074" max="3074" width="40.28515625" style="391" customWidth="1"/>
    <col min="3075" max="3075" width="49" style="391" customWidth="1"/>
    <col min="3076" max="3076" width="18.5703125" style="391" customWidth="1"/>
    <col min="3077" max="3077" width="115.7109375" style="391" customWidth="1"/>
    <col min="3078" max="3078" width="16.7109375" style="391" customWidth="1"/>
    <col min="3079" max="3079" width="16.85546875" style="391" bestFit="1" customWidth="1"/>
    <col min="3080" max="3080" width="19.140625" style="391" customWidth="1"/>
    <col min="3081" max="3081" width="21.42578125" style="391" customWidth="1"/>
    <col min="3082" max="3082" width="20.140625" style="391" customWidth="1"/>
    <col min="3083" max="3083" width="17.85546875" style="391" bestFit="1" customWidth="1"/>
    <col min="3084" max="3084" width="13.140625" style="391" bestFit="1" customWidth="1"/>
    <col min="3085" max="3328" width="11.42578125" style="391"/>
    <col min="3329" max="3329" width="43.85546875" style="391" customWidth="1"/>
    <col min="3330" max="3330" width="40.28515625" style="391" customWidth="1"/>
    <col min="3331" max="3331" width="49" style="391" customWidth="1"/>
    <col min="3332" max="3332" width="18.5703125" style="391" customWidth="1"/>
    <col min="3333" max="3333" width="115.7109375" style="391" customWidth="1"/>
    <col min="3334" max="3334" width="16.7109375" style="391" customWidth="1"/>
    <col min="3335" max="3335" width="16.85546875" style="391" bestFit="1" customWidth="1"/>
    <col min="3336" max="3336" width="19.140625" style="391" customWidth="1"/>
    <col min="3337" max="3337" width="21.42578125" style="391" customWidth="1"/>
    <col min="3338" max="3338" width="20.140625" style="391" customWidth="1"/>
    <col min="3339" max="3339" width="17.85546875" style="391" bestFit="1" customWidth="1"/>
    <col min="3340" max="3340" width="13.140625" style="391" bestFit="1" customWidth="1"/>
    <col min="3341" max="3584" width="11.42578125" style="391"/>
    <col min="3585" max="3585" width="43.85546875" style="391" customWidth="1"/>
    <col min="3586" max="3586" width="40.28515625" style="391" customWidth="1"/>
    <col min="3587" max="3587" width="49" style="391" customWidth="1"/>
    <col min="3588" max="3588" width="18.5703125" style="391" customWidth="1"/>
    <col min="3589" max="3589" width="115.7109375" style="391" customWidth="1"/>
    <col min="3590" max="3590" width="16.7109375" style="391" customWidth="1"/>
    <col min="3591" max="3591" width="16.85546875" style="391" bestFit="1" customWidth="1"/>
    <col min="3592" max="3592" width="19.140625" style="391" customWidth="1"/>
    <col min="3593" max="3593" width="21.42578125" style="391" customWidth="1"/>
    <col min="3594" max="3594" width="20.140625" style="391" customWidth="1"/>
    <col min="3595" max="3595" width="17.85546875" style="391" bestFit="1" customWidth="1"/>
    <col min="3596" max="3596" width="13.140625" style="391" bestFit="1" customWidth="1"/>
    <col min="3597" max="3840" width="11.42578125" style="391"/>
    <col min="3841" max="3841" width="43.85546875" style="391" customWidth="1"/>
    <col min="3842" max="3842" width="40.28515625" style="391" customWidth="1"/>
    <col min="3843" max="3843" width="49" style="391" customWidth="1"/>
    <col min="3844" max="3844" width="18.5703125" style="391" customWidth="1"/>
    <col min="3845" max="3845" width="115.7109375" style="391" customWidth="1"/>
    <col min="3846" max="3846" width="16.7109375" style="391" customWidth="1"/>
    <col min="3847" max="3847" width="16.85546875" style="391" bestFit="1" customWidth="1"/>
    <col min="3848" max="3848" width="19.140625" style="391" customWidth="1"/>
    <col min="3849" max="3849" width="21.42578125" style="391" customWidth="1"/>
    <col min="3850" max="3850" width="20.140625" style="391" customWidth="1"/>
    <col min="3851" max="3851" width="17.85546875" style="391" bestFit="1" customWidth="1"/>
    <col min="3852" max="3852" width="13.140625" style="391" bestFit="1" customWidth="1"/>
    <col min="3853" max="4096" width="11.42578125" style="391"/>
    <col min="4097" max="4097" width="43.85546875" style="391" customWidth="1"/>
    <col min="4098" max="4098" width="40.28515625" style="391" customWidth="1"/>
    <col min="4099" max="4099" width="49" style="391" customWidth="1"/>
    <col min="4100" max="4100" width="18.5703125" style="391" customWidth="1"/>
    <col min="4101" max="4101" width="115.7109375" style="391" customWidth="1"/>
    <col min="4102" max="4102" width="16.7109375" style="391" customWidth="1"/>
    <col min="4103" max="4103" width="16.85546875" style="391" bestFit="1" customWidth="1"/>
    <col min="4104" max="4104" width="19.140625" style="391" customWidth="1"/>
    <col min="4105" max="4105" width="21.42578125" style="391" customWidth="1"/>
    <col min="4106" max="4106" width="20.140625" style="391" customWidth="1"/>
    <col min="4107" max="4107" width="17.85546875" style="391" bestFit="1" customWidth="1"/>
    <col min="4108" max="4108" width="13.140625" style="391" bestFit="1" customWidth="1"/>
    <col min="4109" max="4352" width="11.42578125" style="391"/>
    <col min="4353" max="4353" width="43.85546875" style="391" customWidth="1"/>
    <col min="4354" max="4354" width="40.28515625" style="391" customWidth="1"/>
    <col min="4355" max="4355" width="49" style="391" customWidth="1"/>
    <col min="4356" max="4356" width="18.5703125" style="391" customWidth="1"/>
    <col min="4357" max="4357" width="115.7109375" style="391" customWidth="1"/>
    <col min="4358" max="4358" width="16.7109375" style="391" customWidth="1"/>
    <col min="4359" max="4359" width="16.85546875" style="391" bestFit="1" customWidth="1"/>
    <col min="4360" max="4360" width="19.140625" style="391" customWidth="1"/>
    <col min="4361" max="4361" width="21.42578125" style="391" customWidth="1"/>
    <col min="4362" max="4362" width="20.140625" style="391" customWidth="1"/>
    <col min="4363" max="4363" width="17.85546875" style="391" bestFit="1" customWidth="1"/>
    <col min="4364" max="4364" width="13.140625" style="391" bestFit="1" customWidth="1"/>
    <col min="4365" max="4608" width="11.42578125" style="391"/>
    <col min="4609" max="4609" width="43.85546875" style="391" customWidth="1"/>
    <col min="4610" max="4610" width="40.28515625" style="391" customWidth="1"/>
    <col min="4611" max="4611" width="49" style="391" customWidth="1"/>
    <col min="4612" max="4612" width="18.5703125" style="391" customWidth="1"/>
    <col min="4613" max="4613" width="115.7109375" style="391" customWidth="1"/>
    <col min="4614" max="4614" width="16.7109375" style="391" customWidth="1"/>
    <col min="4615" max="4615" width="16.85546875" style="391" bestFit="1" customWidth="1"/>
    <col min="4616" max="4616" width="19.140625" style="391" customWidth="1"/>
    <col min="4617" max="4617" width="21.42578125" style="391" customWidth="1"/>
    <col min="4618" max="4618" width="20.140625" style="391" customWidth="1"/>
    <col min="4619" max="4619" width="17.85546875" style="391" bestFit="1" customWidth="1"/>
    <col min="4620" max="4620" width="13.140625" style="391" bestFit="1" customWidth="1"/>
    <col min="4621" max="4864" width="11.42578125" style="391"/>
    <col min="4865" max="4865" width="43.85546875" style="391" customWidth="1"/>
    <col min="4866" max="4866" width="40.28515625" style="391" customWidth="1"/>
    <col min="4867" max="4867" width="49" style="391" customWidth="1"/>
    <col min="4868" max="4868" width="18.5703125" style="391" customWidth="1"/>
    <col min="4869" max="4869" width="115.7109375" style="391" customWidth="1"/>
    <col min="4870" max="4870" width="16.7109375" style="391" customWidth="1"/>
    <col min="4871" max="4871" width="16.85546875" style="391" bestFit="1" customWidth="1"/>
    <col min="4872" max="4872" width="19.140625" style="391" customWidth="1"/>
    <col min="4873" max="4873" width="21.42578125" style="391" customWidth="1"/>
    <col min="4874" max="4874" width="20.140625" style="391" customWidth="1"/>
    <col min="4875" max="4875" width="17.85546875" style="391" bestFit="1" customWidth="1"/>
    <col min="4876" max="4876" width="13.140625" style="391" bestFit="1" customWidth="1"/>
    <col min="4877" max="5120" width="11.42578125" style="391"/>
    <col min="5121" max="5121" width="43.85546875" style="391" customWidth="1"/>
    <col min="5122" max="5122" width="40.28515625" style="391" customWidth="1"/>
    <col min="5123" max="5123" width="49" style="391" customWidth="1"/>
    <col min="5124" max="5124" width="18.5703125" style="391" customWidth="1"/>
    <col min="5125" max="5125" width="115.7109375" style="391" customWidth="1"/>
    <col min="5126" max="5126" width="16.7109375" style="391" customWidth="1"/>
    <col min="5127" max="5127" width="16.85546875" style="391" bestFit="1" customWidth="1"/>
    <col min="5128" max="5128" width="19.140625" style="391" customWidth="1"/>
    <col min="5129" max="5129" width="21.42578125" style="391" customWidth="1"/>
    <col min="5130" max="5130" width="20.140625" style="391" customWidth="1"/>
    <col min="5131" max="5131" width="17.85546875" style="391" bestFit="1" customWidth="1"/>
    <col min="5132" max="5132" width="13.140625" style="391" bestFit="1" customWidth="1"/>
    <col min="5133" max="5376" width="11.42578125" style="391"/>
    <col min="5377" max="5377" width="43.85546875" style="391" customWidth="1"/>
    <col min="5378" max="5378" width="40.28515625" style="391" customWidth="1"/>
    <col min="5379" max="5379" width="49" style="391" customWidth="1"/>
    <col min="5380" max="5380" width="18.5703125" style="391" customWidth="1"/>
    <col min="5381" max="5381" width="115.7109375" style="391" customWidth="1"/>
    <col min="5382" max="5382" width="16.7109375" style="391" customWidth="1"/>
    <col min="5383" max="5383" width="16.85546875" style="391" bestFit="1" customWidth="1"/>
    <col min="5384" max="5384" width="19.140625" style="391" customWidth="1"/>
    <col min="5385" max="5385" width="21.42578125" style="391" customWidth="1"/>
    <col min="5386" max="5386" width="20.140625" style="391" customWidth="1"/>
    <col min="5387" max="5387" width="17.85546875" style="391" bestFit="1" customWidth="1"/>
    <col min="5388" max="5388" width="13.140625" style="391" bestFit="1" customWidth="1"/>
    <col min="5389" max="5632" width="11.42578125" style="391"/>
    <col min="5633" max="5633" width="43.85546875" style="391" customWidth="1"/>
    <col min="5634" max="5634" width="40.28515625" style="391" customWidth="1"/>
    <col min="5635" max="5635" width="49" style="391" customWidth="1"/>
    <col min="5636" max="5636" width="18.5703125" style="391" customWidth="1"/>
    <col min="5637" max="5637" width="115.7109375" style="391" customWidth="1"/>
    <col min="5638" max="5638" width="16.7109375" style="391" customWidth="1"/>
    <col min="5639" max="5639" width="16.85546875" style="391" bestFit="1" customWidth="1"/>
    <col min="5640" max="5640" width="19.140625" style="391" customWidth="1"/>
    <col min="5641" max="5641" width="21.42578125" style="391" customWidth="1"/>
    <col min="5642" max="5642" width="20.140625" style="391" customWidth="1"/>
    <col min="5643" max="5643" width="17.85546875" style="391" bestFit="1" customWidth="1"/>
    <col min="5644" max="5644" width="13.140625" style="391" bestFit="1" customWidth="1"/>
    <col min="5645" max="5888" width="11.42578125" style="391"/>
    <col min="5889" max="5889" width="43.85546875" style="391" customWidth="1"/>
    <col min="5890" max="5890" width="40.28515625" style="391" customWidth="1"/>
    <col min="5891" max="5891" width="49" style="391" customWidth="1"/>
    <col min="5892" max="5892" width="18.5703125" style="391" customWidth="1"/>
    <col min="5893" max="5893" width="115.7109375" style="391" customWidth="1"/>
    <col min="5894" max="5894" width="16.7109375" style="391" customWidth="1"/>
    <col min="5895" max="5895" width="16.85546875" style="391" bestFit="1" customWidth="1"/>
    <col min="5896" max="5896" width="19.140625" style="391" customWidth="1"/>
    <col min="5897" max="5897" width="21.42578125" style="391" customWidth="1"/>
    <col min="5898" max="5898" width="20.140625" style="391" customWidth="1"/>
    <col min="5899" max="5899" width="17.85546875" style="391" bestFit="1" customWidth="1"/>
    <col min="5900" max="5900" width="13.140625" style="391" bestFit="1" customWidth="1"/>
    <col min="5901" max="6144" width="11.42578125" style="391"/>
    <col min="6145" max="6145" width="43.85546875" style="391" customWidth="1"/>
    <col min="6146" max="6146" width="40.28515625" style="391" customWidth="1"/>
    <col min="6147" max="6147" width="49" style="391" customWidth="1"/>
    <col min="6148" max="6148" width="18.5703125" style="391" customWidth="1"/>
    <col min="6149" max="6149" width="115.7109375" style="391" customWidth="1"/>
    <col min="6150" max="6150" width="16.7109375" style="391" customWidth="1"/>
    <col min="6151" max="6151" width="16.85546875" style="391" bestFit="1" customWidth="1"/>
    <col min="6152" max="6152" width="19.140625" style="391" customWidth="1"/>
    <col min="6153" max="6153" width="21.42578125" style="391" customWidth="1"/>
    <col min="6154" max="6154" width="20.140625" style="391" customWidth="1"/>
    <col min="6155" max="6155" width="17.85546875" style="391" bestFit="1" customWidth="1"/>
    <col min="6156" max="6156" width="13.140625" style="391" bestFit="1" customWidth="1"/>
    <col min="6157" max="6400" width="11.42578125" style="391"/>
    <col min="6401" max="6401" width="43.85546875" style="391" customWidth="1"/>
    <col min="6402" max="6402" width="40.28515625" style="391" customWidth="1"/>
    <col min="6403" max="6403" width="49" style="391" customWidth="1"/>
    <col min="6404" max="6404" width="18.5703125" style="391" customWidth="1"/>
    <col min="6405" max="6405" width="115.7109375" style="391" customWidth="1"/>
    <col min="6406" max="6406" width="16.7109375" style="391" customWidth="1"/>
    <col min="6407" max="6407" width="16.85546875" style="391" bestFit="1" customWidth="1"/>
    <col min="6408" max="6408" width="19.140625" style="391" customWidth="1"/>
    <col min="6409" max="6409" width="21.42578125" style="391" customWidth="1"/>
    <col min="6410" max="6410" width="20.140625" style="391" customWidth="1"/>
    <col min="6411" max="6411" width="17.85546875" style="391" bestFit="1" customWidth="1"/>
    <col min="6412" max="6412" width="13.140625" style="391" bestFit="1" customWidth="1"/>
    <col min="6413" max="6656" width="11.42578125" style="391"/>
    <col min="6657" max="6657" width="43.85546875" style="391" customWidth="1"/>
    <col min="6658" max="6658" width="40.28515625" style="391" customWidth="1"/>
    <col min="6659" max="6659" width="49" style="391" customWidth="1"/>
    <col min="6660" max="6660" width="18.5703125" style="391" customWidth="1"/>
    <col min="6661" max="6661" width="115.7109375" style="391" customWidth="1"/>
    <col min="6662" max="6662" width="16.7109375" style="391" customWidth="1"/>
    <col min="6663" max="6663" width="16.85546875" style="391" bestFit="1" customWidth="1"/>
    <col min="6664" max="6664" width="19.140625" style="391" customWidth="1"/>
    <col min="6665" max="6665" width="21.42578125" style="391" customWidth="1"/>
    <col min="6666" max="6666" width="20.140625" style="391" customWidth="1"/>
    <col min="6667" max="6667" width="17.85546875" style="391" bestFit="1" customWidth="1"/>
    <col min="6668" max="6668" width="13.140625" style="391" bestFit="1" customWidth="1"/>
    <col min="6669" max="6912" width="11.42578125" style="391"/>
    <col min="6913" max="6913" width="43.85546875" style="391" customWidth="1"/>
    <col min="6914" max="6914" width="40.28515625" style="391" customWidth="1"/>
    <col min="6915" max="6915" width="49" style="391" customWidth="1"/>
    <col min="6916" max="6916" width="18.5703125" style="391" customWidth="1"/>
    <col min="6917" max="6917" width="115.7109375" style="391" customWidth="1"/>
    <col min="6918" max="6918" width="16.7109375" style="391" customWidth="1"/>
    <col min="6919" max="6919" width="16.85546875" style="391" bestFit="1" customWidth="1"/>
    <col min="6920" max="6920" width="19.140625" style="391" customWidth="1"/>
    <col min="6921" max="6921" width="21.42578125" style="391" customWidth="1"/>
    <col min="6922" max="6922" width="20.140625" style="391" customWidth="1"/>
    <col min="6923" max="6923" width="17.85546875" style="391" bestFit="1" customWidth="1"/>
    <col min="6924" max="6924" width="13.140625" style="391" bestFit="1" customWidth="1"/>
    <col min="6925" max="7168" width="11.42578125" style="391"/>
    <col min="7169" max="7169" width="43.85546875" style="391" customWidth="1"/>
    <col min="7170" max="7170" width="40.28515625" style="391" customWidth="1"/>
    <col min="7171" max="7171" width="49" style="391" customWidth="1"/>
    <col min="7172" max="7172" width="18.5703125" style="391" customWidth="1"/>
    <col min="7173" max="7173" width="115.7109375" style="391" customWidth="1"/>
    <col min="7174" max="7174" width="16.7109375" style="391" customWidth="1"/>
    <col min="7175" max="7175" width="16.85546875" style="391" bestFit="1" customWidth="1"/>
    <col min="7176" max="7176" width="19.140625" style="391" customWidth="1"/>
    <col min="7177" max="7177" width="21.42578125" style="391" customWidth="1"/>
    <col min="7178" max="7178" width="20.140625" style="391" customWidth="1"/>
    <col min="7179" max="7179" width="17.85546875" style="391" bestFit="1" customWidth="1"/>
    <col min="7180" max="7180" width="13.140625" style="391" bestFit="1" customWidth="1"/>
    <col min="7181" max="7424" width="11.42578125" style="391"/>
    <col min="7425" max="7425" width="43.85546875" style="391" customWidth="1"/>
    <col min="7426" max="7426" width="40.28515625" style="391" customWidth="1"/>
    <col min="7427" max="7427" width="49" style="391" customWidth="1"/>
    <col min="7428" max="7428" width="18.5703125" style="391" customWidth="1"/>
    <col min="7429" max="7429" width="115.7109375" style="391" customWidth="1"/>
    <col min="7430" max="7430" width="16.7109375" style="391" customWidth="1"/>
    <col min="7431" max="7431" width="16.85546875" style="391" bestFit="1" customWidth="1"/>
    <col min="7432" max="7432" width="19.140625" style="391" customWidth="1"/>
    <col min="7433" max="7433" width="21.42578125" style="391" customWidth="1"/>
    <col min="7434" max="7434" width="20.140625" style="391" customWidth="1"/>
    <col min="7435" max="7435" width="17.85546875" style="391" bestFit="1" customWidth="1"/>
    <col min="7436" max="7436" width="13.140625" style="391" bestFit="1" customWidth="1"/>
    <col min="7437" max="7680" width="11.42578125" style="391"/>
    <col min="7681" max="7681" width="43.85546875" style="391" customWidth="1"/>
    <col min="7682" max="7682" width="40.28515625" style="391" customWidth="1"/>
    <col min="7683" max="7683" width="49" style="391" customWidth="1"/>
    <col min="7684" max="7684" width="18.5703125" style="391" customWidth="1"/>
    <col min="7685" max="7685" width="115.7109375" style="391" customWidth="1"/>
    <col min="7686" max="7686" width="16.7109375" style="391" customWidth="1"/>
    <col min="7687" max="7687" width="16.85546875" style="391" bestFit="1" customWidth="1"/>
    <col min="7688" max="7688" width="19.140625" style="391" customWidth="1"/>
    <col min="7689" max="7689" width="21.42578125" style="391" customWidth="1"/>
    <col min="7690" max="7690" width="20.140625" style="391" customWidth="1"/>
    <col min="7691" max="7691" width="17.85546875" style="391" bestFit="1" customWidth="1"/>
    <col min="7692" max="7692" width="13.140625" style="391" bestFit="1" customWidth="1"/>
    <col min="7693" max="7936" width="11.42578125" style="391"/>
    <col min="7937" max="7937" width="43.85546875" style="391" customWidth="1"/>
    <col min="7938" max="7938" width="40.28515625" style="391" customWidth="1"/>
    <col min="7939" max="7939" width="49" style="391" customWidth="1"/>
    <col min="7940" max="7940" width="18.5703125" style="391" customWidth="1"/>
    <col min="7941" max="7941" width="115.7109375" style="391" customWidth="1"/>
    <col min="7942" max="7942" width="16.7109375" style="391" customWidth="1"/>
    <col min="7943" max="7943" width="16.85546875" style="391" bestFit="1" customWidth="1"/>
    <col min="7944" max="7944" width="19.140625" style="391" customWidth="1"/>
    <col min="7945" max="7945" width="21.42578125" style="391" customWidth="1"/>
    <col min="7946" max="7946" width="20.140625" style="391" customWidth="1"/>
    <col min="7947" max="7947" width="17.85546875" style="391" bestFit="1" customWidth="1"/>
    <col min="7948" max="7948" width="13.140625" style="391" bestFit="1" customWidth="1"/>
    <col min="7949" max="8192" width="11.42578125" style="391"/>
    <col min="8193" max="8193" width="43.85546875" style="391" customWidth="1"/>
    <col min="8194" max="8194" width="40.28515625" style="391" customWidth="1"/>
    <col min="8195" max="8195" width="49" style="391" customWidth="1"/>
    <col min="8196" max="8196" width="18.5703125" style="391" customWidth="1"/>
    <col min="8197" max="8197" width="115.7109375" style="391" customWidth="1"/>
    <col min="8198" max="8198" width="16.7109375" style="391" customWidth="1"/>
    <col min="8199" max="8199" width="16.85546875" style="391" bestFit="1" customWidth="1"/>
    <col min="8200" max="8200" width="19.140625" style="391" customWidth="1"/>
    <col min="8201" max="8201" width="21.42578125" style="391" customWidth="1"/>
    <col min="8202" max="8202" width="20.140625" style="391" customWidth="1"/>
    <col min="8203" max="8203" width="17.85546875" style="391" bestFit="1" customWidth="1"/>
    <col min="8204" max="8204" width="13.140625" style="391" bestFit="1" customWidth="1"/>
    <col min="8205" max="8448" width="11.42578125" style="391"/>
    <col min="8449" max="8449" width="43.85546875" style="391" customWidth="1"/>
    <col min="8450" max="8450" width="40.28515625" style="391" customWidth="1"/>
    <col min="8451" max="8451" width="49" style="391" customWidth="1"/>
    <col min="8452" max="8452" width="18.5703125" style="391" customWidth="1"/>
    <col min="8453" max="8453" width="115.7109375" style="391" customWidth="1"/>
    <col min="8454" max="8454" width="16.7109375" style="391" customWidth="1"/>
    <col min="8455" max="8455" width="16.85546875" style="391" bestFit="1" customWidth="1"/>
    <col min="8456" max="8456" width="19.140625" style="391" customWidth="1"/>
    <col min="8457" max="8457" width="21.42578125" style="391" customWidth="1"/>
    <col min="8458" max="8458" width="20.140625" style="391" customWidth="1"/>
    <col min="8459" max="8459" width="17.85546875" style="391" bestFit="1" customWidth="1"/>
    <col min="8460" max="8460" width="13.140625" style="391" bestFit="1" customWidth="1"/>
    <col min="8461" max="8704" width="11.42578125" style="391"/>
    <col min="8705" max="8705" width="43.85546875" style="391" customWidth="1"/>
    <col min="8706" max="8706" width="40.28515625" style="391" customWidth="1"/>
    <col min="8707" max="8707" width="49" style="391" customWidth="1"/>
    <col min="8708" max="8708" width="18.5703125" style="391" customWidth="1"/>
    <col min="8709" max="8709" width="115.7109375" style="391" customWidth="1"/>
    <col min="8710" max="8710" width="16.7109375" style="391" customWidth="1"/>
    <col min="8711" max="8711" width="16.85546875" style="391" bestFit="1" customWidth="1"/>
    <col min="8712" max="8712" width="19.140625" style="391" customWidth="1"/>
    <col min="8713" max="8713" width="21.42578125" style="391" customWidth="1"/>
    <col min="8714" max="8714" width="20.140625" style="391" customWidth="1"/>
    <col min="8715" max="8715" width="17.85546875" style="391" bestFit="1" customWidth="1"/>
    <col min="8716" max="8716" width="13.140625" style="391" bestFit="1" customWidth="1"/>
    <col min="8717" max="8960" width="11.42578125" style="391"/>
    <col min="8961" max="8961" width="43.85546875" style="391" customWidth="1"/>
    <col min="8962" max="8962" width="40.28515625" style="391" customWidth="1"/>
    <col min="8963" max="8963" width="49" style="391" customWidth="1"/>
    <col min="8964" max="8964" width="18.5703125" style="391" customWidth="1"/>
    <col min="8965" max="8965" width="115.7109375" style="391" customWidth="1"/>
    <col min="8966" max="8966" width="16.7109375" style="391" customWidth="1"/>
    <col min="8967" max="8967" width="16.85546875" style="391" bestFit="1" customWidth="1"/>
    <col min="8968" max="8968" width="19.140625" style="391" customWidth="1"/>
    <col min="8969" max="8969" width="21.42578125" style="391" customWidth="1"/>
    <col min="8970" max="8970" width="20.140625" style="391" customWidth="1"/>
    <col min="8971" max="8971" width="17.85546875" style="391" bestFit="1" customWidth="1"/>
    <col min="8972" max="8972" width="13.140625" style="391" bestFit="1" customWidth="1"/>
    <col min="8973" max="9216" width="11.42578125" style="391"/>
    <col min="9217" max="9217" width="43.85546875" style="391" customWidth="1"/>
    <col min="9218" max="9218" width="40.28515625" style="391" customWidth="1"/>
    <col min="9219" max="9219" width="49" style="391" customWidth="1"/>
    <col min="9220" max="9220" width="18.5703125" style="391" customWidth="1"/>
    <col min="9221" max="9221" width="115.7109375" style="391" customWidth="1"/>
    <col min="9222" max="9222" width="16.7109375" style="391" customWidth="1"/>
    <col min="9223" max="9223" width="16.85546875" style="391" bestFit="1" customWidth="1"/>
    <col min="9224" max="9224" width="19.140625" style="391" customWidth="1"/>
    <col min="9225" max="9225" width="21.42578125" style="391" customWidth="1"/>
    <col min="9226" max="9226" width="20.140625" style="391" customWidth="1"/>
    <col min="9227" max="9227" width="17.85546875" style="391" bestFit="1" customWidth="1"/>
    <col min="9228" max="9228" width="13.140625" style="391" bestFit="1" customWidth="1"/>
    <col min="9229" max="9472" width="11.42578125" style="391"/>
    <col min="9473" max="9473" width="43.85546875" style="391" customWidth="1"/>
    <col min="9474" max="9474" width="40.28515625" style="391" customWidth="1"/>
    <col min="9475" max="9475" width="49" style="391" customWidth="1"/>
    <col min="9476" max="9476" width="18.5703125" style="391" customWidth="1"/>
    <col min="9477" max="9477" width="115.7109375" style="391" customWidth="1"/>
    <col min="9478" max="9478" width="16.7109375" style="391" customWidth="1"/>
    <col min="9479" max="9479" width="16.85546875" style="391" bestFit="1" customWidth="1"/>
    <col min="9480" max="9480" width="19.140625" style="391" customWidth="1"/>
    <col min="9481" max="9481" width="21.42578125" style="391" customWidth="1"/>
    <col min="9482" max="9482" width="20.140625" style="391" customWidth="1"/>
    <col min="9483" max="9483" width="17.85546875" style="391" bestFit="1" customWidth="1"/>
    <col min="9484" max="9484" width="13.140625" style="391" bestFit="1" customWidth="1"/>
    <col min="9485" max="9728" width="11.42578125" style="391"/>
    <col min="9729" max="9729" width="43.85546875" style="391" customWidth="1"/>
    <col min="9730" max="9730" width="40.28515625" style="391" customWidth="1"/>
    <col min="9731" max="9731" width="49" style="391" customWidth="1"/>
    <col min="9732" max="9732" width="18.5703125" style="391" customWidth="1"/>
    <col min="9733" max="9733" width="115.7109375" style="391" customWidth="1"/>
    <col min="9734" max="9734" width="16.7109375" style="391" customWidth="1"/>
    <col min="9735" max="9735" width="16.85546875" style="391" bestFit="1" customWidth="1"/>
    <col min="9736" max="9736" width="19.140625" style="391" customWidth="1"/>
    <col min="9737" max="9737" width="21.42578125" style="391" customWidth="1"/>
    <col min="9738" max="9738" width="20.140625" style="391" customWidth="1"/>
    <col min="9739" max="9739" width="17.85546875" style="391" bestFit="1" customWidth="1"/>
    <col min="9740" max="9740" width="13.140625" style="391" bestFit="1" customWidth="1"/>
    <col min="9741" max="9984" width="11.42578125" style="391"/>
    <col min="9985" max="9985" width="43.85546875" style="391" customWidth="1"/>
    <col min="9986" max="9986" width="40.28515625" style="391" customWidth="1"/>
    <col min="9987" max="9987" width="49" style="391" customWidth="1"/>
    <col min="9988" max="9988" width="18.5703125" style="391" customWidth="1"/>
    <col min="9989" max="9989" width="115.7109375" style="391" customWidth="1"/>
    <col min="9990" max="9990" width="16.7109375" style="391" customWidth="1"/>
    <col min="9991" max="9991" width="16.85546875" style="391" bestFit="1" customWidth="1"/>
    <col min="9992" max="9992" width="19.140625" style="391" customWidth="1"/>
    <col min="9993" max="9993" width="21.42578125" style="391" customWidth="1"/>
    <col min="9994" max="9994" width="20.140625" style="391" customWidth="1"/>
    <col min="9995" max="9995" width="17.85546875" style="391" bestFit="1" customWidth="1"/>
    <col min="9996" max="9996" width="13.140625" style="391" bestFit="1" customWidth="1"/>
    <col min="9997" max="10240" width="11.42578125" style="391"/>
    <col min="10241" max="10241" width="43.85546875" style="391" customWidth="1"/>
    <col min="10242" max="10242" width="40.28515625" style="391" customWidth="1"/>
    <col min="10243" max="10243" width="49" style="391" customWidth="1"/>
    <col min="10244" max="10244" width="18.5703125" style="391" customWidth="1"/>
    <col min="10245" max="10245" width="115.7109375" style="391" customWidth="1"/>
    <col min="10246" max="10246" width="16.7109375" style="391" customWidth="1"/>
    <col min="10247" max="10247" width="16.85546875" style="391" bestFit="1" customWidth="1"/>
    <col min="10248" max="10248" width="19.140625" style="391" customWidth="1"/>
    <col min="10249" max="10249" width="21.42578125" style="391" customWidth="1"/>
    <col min="10250" max="10250" width="20.140625" style="391" customWidth="1"/>
    <col min="10251" max="10251" width="17.85546875" style="391" bestFit="1" customWidth="1"/>
    <col min="10252" max="10252" width="13.140625" style="391" bestFit="1" customWidth="1"/>
    <col min="10253" max="10496" width="11.42578125" style="391"/>
    <col min="10497" max="10497" width="43.85546875" style="391" customWidth="1"/>
    <col min="10498" max="10498" width="40.28515625" style="391" customWidth="1"/>
    <col min="10499" max="10499" width="49" style="391" customWidth="1"/>
    <col min="10500" max="10500" width="18.5703125" style="391" customWidth="1"/>
    <col min="10501" max="10501" width="115.7109375" style="391" customWidth="1"/>
    <col min="10502" max="10502" width="16.7109375" style="391" customWidth="1"/>
    <col min="10503" max="10503" width="16.85546875" style="391" bestFit="1" customWidth="1"/>
    <col min="10504" max="10504" width="19.140625" style="391" customWidth="1"/>
    <col min="10505" max="10505" width="21.42578125" style="391" customWidth="1"/>
    <col min="10506" max="10506" width="20.140625" style="391" customWidth="1"/>
    <col min="10507" max="10507" width="17.85546875" style="391" bestFit="1" customWidth="1"/>
    <col min="10508" max="10508" width="13.140625" style="391" bestFit="1" customWidth="1"/>
    <col min="10509" max="10752" width="11.42578125" style="391"/>
    <col min="10753" max="10753" width="43.85546875" style="391" customWidth="1"/>
    <col min="10754" max="10754" width="40.28515625" style="391" customWidth="1"/>
    <col min="10755" max="10755" width="49" style="391" customWidth="1"/>
    <col min="10756" max="10756" width="18.5703125" style="391" customWidth="1"/>
    <col min="10757" max="10757" width="115.7109375" style="391" customWidth="1"/>
    <col min="10758" max="10758" width="16.7109375" style="391" customWidth="1"/>
    <col min="10759" max="10759" width="16.85546875" style="391" bestFit="1" customWidth="1"/>
    <col min="10760" max="10760" width="19.140625" style="391" customWidth="1"/>
    <col min="10761" max="10761" width="21.42578125" style="391" customWidth="1"/>
    <col min="10762" max="10762" width="20.140625" style="391" customWidth="1"/>
    <col min="10763" max="10763" width="17.85546875" style="391" bestFit="1" customWidth="1"/>
    <col min="10764" max="10764" width="13.140625" style="391" bestFit="1" customWidth="1"/>
    <col min="10765" max="11008" width="11.42578125" style="391"/>
    <col min="11009" max="11009" width="43.85546875" style="391" customWidth="1"/>
    <col min="11010" max="11010" width="40.28515625" style="391" customWidth="1"/>
    <col min="11011" max="11011" width="49" style="391" customWidth="1"/>
    <col min="11012" max="11012" width="18.5703125" style="391" customWidth="1"/>
    <col min="11013" max="11013" width="115.7109375" style="391" customWidth="1"/>
    <col min="11014" max="11014" width="16.7109375" style="391" customWidth="1"/>
    <col min="11015" max="11015" width="16.85546875" style="391" bestFit="1" customWidth="1"/>
    <col min="11016" max="11016" width="19.140625" style="391" customWidth="1"/>
    <col min="11017" max="11017" width="21.42578125" style="391" customWidth="1"/>
    <col min="11018" max="11018" width="20.140625" style="391" customWidth="1"/>
    <col min="11019" max="11019" width="17.85546875" style="391" bestFit="1" customWidth="1"/>
    <col min="11020" max="11020" width="13.140625" style="391" bestFit="1" customWidth="1"/>
    <col min="11021" max="11264" width="11.42578125" style="391"/>
    <col min="11265" max="11265" width="43.85546875" style="391" customWidth="1"/>
    <col min="11266" max="11266" width="40.28515625" style="391" customWidth="1"/>
    <col min="11267" max="11267" width="49" style="391" customWidth="1"/>
    <col min="11268" max="11268" width="18.5703125" style="391" customWidth="1"/>
    <col min="11269" max="11269" width="115.7109375" style="391" customWidth="1"/>
    <col min="11270" max="11270" width="16.7109375" style="391" customWidth="1"/>
    <col min="11271" max="11271" width="16.85546875" style="391" bestFit="1" customWidth="1"/>
    <col min="11272" max="11272" width="19.140625" style="391" customWidth="1"/>
    <col min="11273" max="11273" width="21.42578125" style="391" customWidth="1"/>
    <col min="11274" max="11274" width="20.140625" style="391" customWidth="1"/>
    <col min="11275" max="11275" width="17.85546875" style="391" bestFit="1" customWidth="1"/>
    <col min="11276" max="11276" width="13.140625" style="391" bestFit="1" customWidth="1"/>
    <col min="11277" max="11520" width="11.42578125" style="391"/>
    <col min="11521" max="11521" width="43.85546875" style="391" customWidth="1"/>
    <col min="11522" max="11522" width="40.28515625" style="391" customWidth="1"/>
    <col min="11523" max="11523" width="49" style="391" customWidth="1"/>
    <col min="11524" max="11524" width="18.5703125" style="391" customWidth="1"/>
    <col min="11525" max="11525" width="115.7109375" style="391" customWidth="1"/>
    <col min="11526" max="11526" width="16.7109375" style="391" customWidth="1"/>
    <col min="11527" max="11527" width="16.85546875" style="391" bestFit="1" customWidth="1"/>
    <col min="11528" max="11528" width="19.140625" style="391" customWidth="1"/>
    <col min="11529" max="11529" width="21.42578125" style="391" customWidth="1"/>
    <col min="11530" max="11530" width="20.140625" style="391" customWidth="1"/>
    <col min="11531" max="11531" width="17.85546875" style="391" bestFit="1" customWidth="1"/>
    <col min="11532" max="11532" width="13.140625" style="391" bestFit="1" customWidth="1"/>
    <col min="11533" max="11776" width="11.42578125" style="391"/>
    <col min="11777" max="11777" width="43.85546875" style="391" customWidth="1"/>
    <col min="11778" max="11778" width="40.28515625" style="391" customWidth="1"/>
    <col min="11779" max="11779" width="49" style="391" customWidth="1"/>
    <col min="11780" max="11780" width="18.5703125" style="391" customWidth="1"/>
    <col min="11781" max="11781" width="115.7109375" style="391" customWidth="1"/>
    <col min="11782" max="11782" width="16.7109375" style="391" customWidth="1"/>
    <col min="11783" max="11783" width="16.85546875" style="391" bestFit="1" customWidth="1"/>
    <col min="11784" max="11784" width="19.140625" style="391" customWidth="1"/>
    <col min="11785" max="11785" width="21.42578125" style="391" customWidth="1"/>
    <col min="11786" max="11786" width="20.140625" style="391" customWidth="1"/>
    <col min="11787" max="11787" width="17.85546875" style="391" bestFit="1" customWidth="1"/>
    <col min="11788" max="11788" width="13.140625" style="391" bestFit="1" customWidth="1"/>
    <col min="11789" max="12032" width="11.42578125" style="391"/>
    <col min="12033" max="12033" width="43.85546875" style="391" customWidth="1"/>
    <col min="12034" max="12034" width="40.28515625" style="391" customWidth="1"/>
    <col min="12035" max="12035" width="49" style="391" customWidth="1"/>
    <col min="12036" max="12036" width="18.5703125" style="391" customWidth="1"/>
    <col min="12037" max="12037" width="115.7109375" style="391" customWidth="1"/>
    <col min="12038" max="12038" width="16.7109375" style="391" customWidth="1"/>
    <col min="12039" max="12039" width="16.85546875" style="391" bestFit="1" customWidth="1"/>
    <col min="12040" max="12040" width="19.140625" style="391" customWidth="1"/>
    <col min="12041" max="12041" width="21.42578125" style="391" customWidth="1"/>
    <col min="12042" max="12042" width="20.140625" style="391" customWidth="1"/>
    <col min="12043" max="12043" width="17.85546875" style="391" bestFit="1" customWidth="1"/>
    <col min="12044" max="12044" width="13.140625" style="391" bestFit="1" customWidth="1"/>
    <col min="12045" max="12288" width="11.42578125" style="391"/>
    <col min="12289" max="12289" width="43.85546875" style="391" customWidth="1"/>
    <col min="12290" max="12290" width="40.28515625" style="391" customWidth="1"/>
    <col min="12291" max="12291" width="49" style="391" customWidth="1"/>
    <col min="12292" max="12292" width="18.5703125" style="391" customWidth="1"/>
    <col min="12293" max="12293" width="115.7109375" style="391" customWidth="1"/>
    <col min="12294" max="12294" width="16.7109375" style="391" customWidth="1"/>
    <col min="12295" max="12295" width="16.85546875" style="391" bestFit="1" customWidth="1"/>
    <col min="12296" max="12296" width="19.140625" style="391" customWidth="1"/>
    <col min="12297" max="12297" width="21.42578125" style="391" customWidth="1"/>
    <col min="12298" max="12298" width="20.140625" style="391" customWidth="1"/>
    <col min="12299" max="12299" width="17.85546875" style="391" bestFit="1" customWidth="1"/>
    <col min="12300" max="12300" width="13.140625" style="391" bestFit="1" customWidth="1"/>
    <col min="12301" max="12544" width="11.42578125" style="391"/>
    <col min="12545" max="12545" width="43.85546875" style="391" customWidth="1"/>
    <col min="12546" max="12546" width="40.28515625" style="391" customWidth="1"/>
    <col min="12547" max="12547" width="49" style="391" customWidth="1"/>
    <col min="12548" max="12548" width="18.5703125" style="391" customWidth="1"/>
    <col min="12549" max="12549" width="115.7109375" style="391" customWidth="1"/>
    <col min="12550" max="12550" width="16.7109375" style="391" customWidth="1"/>
    <col min="12551" max="12551" width="16.85546875" style="391" bestFit="1" customWidth="1"/>
    <col min="12552" max="12552" width="19.140625" style="391" customWidth="1"/>
    <col min="12553" max="12553" width="21.42578125" style="391" customWidth="1"/>
    <col min="12554" max="12554" width="20.140625" style="391" customWidth="1"/>
    <col min="12555" max="12555" width="17.85546875" style="391" bestFit="1" customWidth="1"/>
    <col min="12556" max="12556" width="13.140625" style="391" bestFit="1" customWidth="1"/>
    <col min="12557" max="12800" width="11.42578125" style="391"/>
    <col min="12801" max="12801" width="43.85546875" style="391" customWidth="1"/>
    <col min="12802" max="12802" width="40.28515625" style="391" customWidth="1"/>
    <col min="12803" max="12803" width="49" style="391" customWidth="1"/>
    <col min="12804" max="12804" width="18.5703125" style="391" customWidth="1"/>
    <col min="12805" max="12805" width="115.7109375" style="391" customWidth="1"/>
    <col min="12806" max="12806" width="16.7109375" style="391" customWidth="1"/>
    <col min="12807" max="12807" width="16.85546875" style="391" bestFit="1" customWidth="1"/>
    <col min="12808" max="12808" width="19.140625" style="391" customWidth="1"/>
    <col min="12809" max="12809" width="21.42578125" style="391" customWidth="1"/>
    <col min="12810" max="12810" width="20.140625" style="391" customWidth="1"/>
    <col min="12811" max="12811" width="17.85546875" style="391" bestFit="1" customWidth="1"/>
    <col min="12812" max="12812" width="13.140625" style="391" bestFit="1" customWidth="1"/>
    <col min="12813" max="13056" width="11.42578125" style="391"/>
    <col min="13057" max="13057" width="43.85546875" style="391" customWidth="1"/>
    <col min="13058" max="13058" width="40.28515625" style="391" customWidth="1"/>
    <col min="13059" max="13059" width="49" style="391" customWidth="1"/>
    <col min="13060" max="13060" width="18.5703125" style="391" customWidth="1"/>
    <col min="13061" max="13061" width="115.7109375" style="391" customWidth="1"/>
    <col min="13062" max="13062" width="16.7109375" style="391" customWidth="1"/>
    <col min="13063" max="13063" width="16.85546875" style="391" bestFit="1" customWidth="1"/>
    <col min="13064" max="13064" width="19.140625" style="391" customWidth="1"/>
    <col min="13065" max="13065" width="21.42578125" style="391" customWidth="1"/>
    <col min="13066" max="13066" width="20.140625" style="391" customWidth="1"/>
    <col min="13067" max="13067" width="17.85546875" style="391" bestFit="1" customWidth="1"/>
    <col min="13068" max="13068" width="13.140625" style="391" bestFit="1" customWidth="1"/>
    <col min="13069" max="13312" width="11.42578125" style="391"/>
    <col min="13313" max="13313" width="43.85546875" style="391" customWidth="1"/>
    <col min="13314" max="13314" width="40.28515625" style="391" customWidth="1"/>
    <col min="13315" max="13315" width="49" style="391" customWidth="1"/>
    <col min="13316" max="13316" width="18.5703125" style="391" customWidth="1"/>
    <col min="13317" max="13317" width="115.7109375" style="391" customWidth="1"/>
    <col min="13318" max="13318" width="16.7109375" style="391" customWidth="1"/>
    <col min="13319" max="13319" width="16.85546875" style="391" bestFit="1" customWidth="1"/>
    <col min="13320" max="13320" width="19.140625" style="391" customWidth="1"/>
    <col min="13321" max="13321" width="21.42578125" style="391" customWidth="1"/>
    <col min="13322" max="13322" width="20.140625" style="391" customWidth="1"/>
    <col min="13323" max="13323" width="17.85546875" style="391" bestFit="1" customWidth="1"/>
    <col min="13324" max="13324" width="13.140625" style="391" bestFit="1" customWidth="1"/>
    <col min="13325" max="13568" width="11.42578125" style="391"/>
    <col min="13569" max="13569" width="43.85546875" style="391" customWidth="1"/>
    <col min="13570" max="13570" width="40.28515625" style="391" customWidth="1"/>
    <col min="13571" max="13571" width="49" style="391" customWidth="1"/>
    <col min="13572" max="13572" width="18.5703125" style="391" customWidth="1"/>
    <col min="13573" max="13573" width="115.7109375" style="391" customWidth="1"/>
    <col min="13574" max="13574" width="16.7109375" style="391" customWidth="1"/>
    <col min="13575" max="13575" width="16.85546875" style="391" bestFit="1" customWidth="1"/>
    <col min="13576" max="13576" width="19.140625" style="391" customWidth="1"/>
    <col min="13577" max="13577" width="21.42578125" style="391" customWidth="1"/>
    <col min="13578" max="13578" width="20.140625" style="391" customWidth="1"/>
    <col min="13579" max="13579" width="17.85546875" style="391" bestFit="1" customWidth="1"/>
    <col min="13580" max="13580" width="13.140625" style="391" bestFit="1" customWidth="1"/>
    <col min="13581" max="13824" width="11.42578125" style="391"/>
    <col min="13825" max="13825" width="43.85546875" style="391" customWidth="1"/>
    <col min="13826" max="13826" width="40.28515625" style="391" customWidth="1"/>
    <col min="13827" max="13827" width="49" style="391" customWidth="1"/>
    <col min="13828" max="13828" width="18.5703125" style="391" customWidth="1"/>
    <col min="13829" max="13829" width="115.7109375" style="391" customWidth="1"/>
    <col min="13830" max="13830" width="16.7109375" style="391" customWidth="1"/>
    <col min="13831" max="13831" width="16.85546875" style="391" bestFit="1" customWidth="1"/>
    <col min="13832" max="13832" width="19.140625" style="391" customWidth="1"/>
    <col min="13833" max="13833" width="21.42578125" style="391" customWidth="1"/>
    <col min="13834" max="13834" width="20.140625" style="391" customWidth="1"/>
    <col min="13835" max="13835" width="17.85546875" style="391" bestFit="1" customWidth="1"/>
    <col min="13836" max="13836" width="13.140625" style="391" bestFit="1" customWidth="1"/>
    <col min="13837" max="14080" width="11.42578125" style="391"/>
    <col min="14081" max="14081" width="43.85546875" style="391" customWidth="1"/>
    <col min="14082" max="14082" width="40.28515625" style="391" customWidth="1"/>
    <col min="14083" max="14083" width="49" style="391" customWidth="1"/>
    <col min="14084" max="14084" width="18.5703125" style="391" customWidth="1"/>
    <col min="14085" max="14085" width="115.7109375" style="391" customWidth="1"/>
    <col min="14086" max="14086" width="16.7109375" style="391" customWidth="1"/>
    <col min="14087" max="14087" width="16.85546875" style="391" bestFit="1" customWidth="1"/>
    <col min="14088" max="14088" width="19.140625" style="391" customWidth="1"/>
    <col min="14089" max="14089" width="21.42578125" style="391" customWidth="1"/>
    <col min="14090" max="14090" width="20.140625" style="391" customWidth="1"/>
    <col min="14091" max="14091" width="17.85546875" style="391" bestFit="1" customWidth="1"/>
    <col min="14092" max="14092" width="13.140625" style="391" bestFit="1" customWidth="1"/>
    <col min="14093" max="14336" width="11.42578125" style="391"/>
    <col min="14337" max="14337" width="43.85546875" style="391" customWidth="1"/>
    <col min="14338" max="14338" width="40.28515625" style="391" customWidth="1"/>
    <col min="14339" max="14339" width="49" style="391" customWidth="1"/>
    <col min="14340" max="14340" width="18.5703125" style="391" customWidth="1"/>
    <col min="14341" max="14341" width="115.7109375" style="391" customWidth="1"/>
    <col min="14342" max="14342" width="16.7109375" style="391" customWidth="1"/>
    <col min="14343" max="14343" width="16.85546875" style="391" bestFit="1" customWidth="1"/>
    <col min="14344" max="14344" width="19.140625" style="391" customWidth="1"/>
    <col min="14345" max="14345" width="21.42578125" style="391" customWidth="1"/>
    <col min="14346" max="14346" width="20.140625" style="391" customWidth="1"/>
    <col min="14347" max="14347" width="17.85546875" style="391" bestFit="1" customWidth="1"/>
    <col min="14348" max="14348" width="13.140625" style="391" bestFit="1" customWidth="1"/>
    <col min="14349" max="14592" width="11.42578125" style="391"/>
    <col min="14593" max="14593" width="43.85546875" style="391" customWidth="1"/>
    <col min="14594" max="14594" width="40.28515625" style="391" customWidth="1"/>
    <col min="14595" max="14595" width="49" style="391" customWidth="1"/>
    <col min="14596" max="14596" width="18.5703125" style="391" customWidth="1"/>
    <col min="14597" max="14597" width="115.7109375" style="391" customWidth="1"/>
    <col min="14598" max="14598" width="16.7109375" style="391" customWidth="1"/>
    <col min="14599" max="14599" width="16.85546875" style="391" bestFit="1" customWidth="1"/>
    <col min="14600" max="14600" width="19.140625" style="391" customWidth="1"/>
    <col min="14601" max="14601" width="21.42578125" style="391" customWidth="1"/>
    <col min="14602" max="14602" width="20.140625" style="391" customWidth="1"/>
    <col min="14603" max="14603" width="17.85546875" style="391" bestFit="1" customWidth="1"/>
    <col min="14604" max="14604" width="13.140625" style="391" bestFit="1" customWidth="1"/>
    <col min="14605" max="14848" width="11.42578125" style="391"/>
    <col min="14849" max="14849" width="43.85546875" style="391" customWidth="1"/>
    <col min="14850" max="14850" width="40.28515625" style="391" customWidth="1"/>
    <col min="14851" max="14851" width="49" style="391" customWidth="1"/>
    <col min="14852" max="14852" width="18.5703125" style="391" customWidth="1"/>
    <col min="14853" max="14853" width="115.7109375" style="391" customWidth="1"/>
    <col min="14854" max="14854" width="16.7109375" style="391" customWidth="1"/>
    <col min="14855" max="14855" width="16.85546875" style="391" bestFit="1" customWidth="1"/>
    <col min="14856" max="14856" width="19.140625" style="391" customWidth="1"/>
    <col min="14857" max="14857" width="21.42578125" style="391" customWidth="1"/>
    <col min="14858" max="14858" width="20.140625" style="391" customWidth="1"/>
    <col min="14859" max="14859" width="17.85546875" style="391" bestFit="1" customWidth="1"/>
    <col min="14860" max="14860" width="13.140625" style="391" bestFit="1" customWidth="1"/>
    <col min="14861" max="15104" width="11.42578125" style="391"/>
    <col min="15105" max="15105" width="43.85546875" style="391" customWidth="1"/>
    <col min="15106" max="15106" width="40.28515625" style="391" customWidth="1"/>
    <col min="15107" max="15107" width="49" style="391" customWidth="1"/>
    <col min="15108" max="15108" width="18.5703125" style="391" customWidth="1"/>
    <col min="15109" max="15109" width="115.7109375" style="391" customWidth="1"/>
    <col min="15110" max="15110" width="16.7109375" style="391" customWidth="1"/>
    <col min="15111" max="15111" width="16.85546875" style="391" bestFit="1" customWidth="1"/>
    <col min="15112" max="15112" width="19.140625" style="391" customWidth="1"/>
    <col min="15113" max="15113" width="21.42578125" style="391" customWidth="1"/>
    <col min="15114" max="15114" width="20.140625" style="391" customWidth="1"/>
    <col min="15115" max="15115" width="17.85546875" style="391" bestFit="1" customWidth="1"/>
    <col min="15116" max="15116" width="13.140625" style="391" bestFit="1" customWidth="1"/>
    <col min="15117" max="15360" width="11.42578125" style="391"/>
    <col min="15361" max="15361" width="43.85546875" style="391" customWidth="1"/>
    <col min="15362" max="15362" width="40.28515625" style="391" customWidth="1"/>
    <col min="15363" max="15363" width="49" style="391" customWidth="1"/>
    <col min="15364" max="15364" width="18.5703125" style="391" customWidth="1"/>
    <col min="15365" max="15365" width="115.7109375" style="391" customWidth="1"/>
    <col min="15366" max="15366" width="16.7109375" style="391" customWidth="1"/>
    <col min="15367" max="15367" width="16.85546875" style="391" bestFit="1" customWidth="1"/>
    <col min="15368" max="15368" width="19.140625" style="391" customWidth="1"/>
    <col min="15369" max="15369" width="21.42578125" style="391" customWidth="1"/>
    <col min="15370" max="15370" width="20.140625" style="391" customWidth="1"/>
    <col min="15371" max="15371" width="17.85546875" style="391" bestFit="1" customWidth="1"/>
    <col min="15372" max="15372" width="13.140625" style="391" bestFit="1" customWidth="1"/>
    <col min="15373" max="15616" width="11.42578125" style="391"/>
    <col min="15617" max="15617" width="43.85546875" style="391" customWidth="1"/>
    <col min="15618" max="15618" width="40.28515625" style="391" customWidth="1"/>
    <col min="15619" max="15619" width="49" style="391" customWidth="1"/>
    <col min="15620" max="15620" width="18.5703125" style="391" customWidth="1"/>
    <col min="15621" max="15621" width="115.7109375" style="391" customWidth="1"/>
    <col min="15622" max="15622" width="16.7109375" style="391" customWidth="1"/>
    <col min="15623" max="15623" width="16.85546875" style="391" bestFit="1" customWidth="1"/>
    <col min="15624" max="15624" width="19.140625" style="391" customWidth="1"/>
    <col min="15625" max="15625" width="21.42578125" style="391" customWidth="1"/>
    <col min="15626" max="15626" width="20.140625" style="391" customWidth="1"/>
    <col min="15627" max="15627" width="17.85546875" style="391" bestFit="1" customWidth="1"/>
    <col min="15628" max="15628" width="13.140625" style="391" bestFit="1" customWidth="1"/>
    <col min="15629" max="15872" width="11.42578125" style="391"/>
    <col min="15873" max="15873" width="43.85546875" style="391" customWidth="1"/>
    <col min="15874" max="15874" width="40.28515625" style="391" customWidth="1"/>
    <col min="15875" max="15875" width="49" style="391" customWidth="1"/>
    <col min="15876" max="15876" width="18.5703125" style="391" customWidth="1"/>
    <col min="15877" max="15877" width="115.7109375" style="391" customWidth="1"/>
    <col min="15878" max="15878" width="16.7109375" style="391" customWidth="1"/>
    <col min="15879" max="15879" width="16.85546875" style="391" bestFit="1" customWidth="1"/>
    <col min="15880" max="15880" width="19.140625" style="391" customWidth="1"/>
    <col min="15881" max="15881" width="21.42578125" style="391" customWidth="1"/>
    <col min="15882" max="15882" width="20.140625" style="391" customWidth="1"/>
    <col min="15883" max="15883" width="17.85546875" style="391" bestFit="1" customWidth="1"/>
    <col min="15884" max="15884" width="13.140625" style="391" bestFit="1" customWidth="1"/>
    <col min="15885" max="16128" width="11.42578125" style="391"/>
    <col min="16129" max="16129" width="43.85546875" style="391" customWidth="1"/>
    <col min="16130" max="16130" width="40.28515625" style="391" customWidth="1"/>
    <col min="16131" max="16131" width="49" style="391" customWidth="1"/>
    <col min="16132" max="16132" width="18.5703125" style="391" customWidth="1"/>
    <col min="16133" max="16133" width="115.7109375" style="391" customWidth="1"/>
    <col min="16134" max="16134" width="16.7109375" style="391" customWidth="1"/>
    <col min="16135" max="16135" width="16.85546875" style="391" bestFit="1" customWidth="1"/>
    <col min="16136" max="16136" width="19.140625" style="391" customWidth="1"/>
    <col min="16137" max="16137" width="21.42578125" style="391" customWidth="1"/>
    <col min="16138" max="16138" width="20.140625" style="391" customWidth="1"/>
    <col min="16139" max="16139" width="17.85546875" style="391" bestFit="1" customWidth="1"/>
    <col min="16140" max="16140" width="13.140625" style="391" bestFit="1" customWidth="1"/>
    <col min="16141" max="16384" width="11.42578125" style="391"/>
  </cols>
  <sheetData>
    <row r="1" spans="1:11" ht="15" x14ac:dyDescent="0.25">
      <c r="A1" s="1841" t="s">
        <v>2475</v>
      </c>
      <c r="B1" s="1841"/>
      <c r="C1" s="440"/>
    </row>
    <row r="2" spans="1:11" ht="15" x14ac:dyDescent="0.25">
      <c r="A2" s="1841" t="s">
        <v>2476</v>
      </c>
      <c r="B2" s="1841"/>
      <c r="C2" s="440"/>
    </row>
    <row r="3" spans="1:11" ht="15" x14ac:dyDescent="0.25">
      <c r="A3" s="1841" t="s">
        <v>2477</v>
      </c>
      <c r="B3" s="1841"/>
      <c r="C3" s="440"/>
    </row>
    <row r="4" spans="1:11" ht="15" x14ac:dyDescent="0.25">
      <c r="A4" s="590"/>
      <c r="B4" s="441" t="s">
        <v>3220</v>
      </c>
    </row>
    <row r="5" spans="1:11" ht="48" customHeight="1" x14ac:dyDescent="0.2">
      <c r="A5" s="591" t="s">
        <v>2478</v>
      </c>
      <c r="B5" s="442">
        <v>1160000</v>
      </c>
    </row>
    <row r="6" spans="1:11" ht="71.25" x14ac:dyDescent="0.2">
      <c r="A6" s="591" t="s">
        <v>2479</v>
      </c>
      <c r="B6" s="443" t="s">
        <v>2480</v>
      </c>
    </row>
    <row r="7" spans="1:11" s="440" customFormat="1" ht="15" customHeight="1" x14ac:dyDescent="0.25">
      <c r="A7" s="445" t="s">
        <v>2481</v>
      </c>
      <c r="B7" s="444" t="s">
        <v>2482</v>
      </c>
      <c r="D7" s="445"/>
      <c r="E7" s="445"/>
      <c r="F7" s="445"/>
      <c r="G7" s="445"/>
      <c r="H7" s="445"/>
    </row>
    <row r="8" spans="1:11" s="440" customFormat="1" ht="15" x14ac:dyDescent="0.25">
      <c r="A8" s="590"/>
    </row>
    <row r="9" spans="1:11" ht="30" x14ac:dyDescent="0.25">
      <c r="A9" s="590" t="s">
        <v>2483</v>
      </c>
      <c r="B9" s="446">
        <v>19800000</v>
      </c>
    </row>
    <row r="10" spans="1:11" ht="15.75" thickBot="1" x14ac:dyDescent="0.3">
      <c r="D10" s="447"/>
      <c r="E10" s="448"/>
      <c r="F10" s="441"/>
      <c r="G10" s="447"/>
      <c r="H10" s="449"/>
      <c r="I10" s="450"/>
    </row>
    <row r="11" spans="1:11" ht="15.75" thickBot="1" x14ac:dyDescent="0.3">
      <c r="A11" s="592" t="s">
        <v>1772</v>
      </c>
      <c r="B11" s="451" t="s">
        <v>971</v>
      </c>
      <c r="D11" s="447"/>
      <c r="E11" s="448"/>
      <c r="F11" s="441"/>
      <c r="G11" s="447"/>
      <c r="H11" s="449"/>
      <c r="I11" s="450"/>
    </row>
    <row r="12" spans="1:11" ht="30" x14ac:dyDescent="0.2">
      <c r="A12" s="593" t="s">
        <v>2484</v>
      </c>
      <c r="B12" s="452">
        <f>(+B9*11)*9</f>
        <v>1960200000</v>
      </c>
      <c r="C12" s="599">
        <f>ROUNDUP(B12,0)</f>
        <v>1960200000</v>
      </c>
    </row>
    <row r="13" spans="1:11" ht="15" x14ac:dyDescent="0.2">
      <c r="A13" s="594" t="s">
        <v>2485</v>
      </c>
      <c r="B13" s="453">
        <f>B12*9%</f>
        <v>176418000</v>
      </c>
      <c r="C13" s="599">
        <f t="shared" ref="C13:C26" si="0">ROUNDUP(B13,0)</f>
        <v>176418000</v>
      </c>
      <c r="D13" s="410">
        <v>216700110</v>
      </c>
      <c r="E13" s="908">
        <f t="shared" ref="E13:E20" si="1">C13-D13</f>
        <v>-40282110</v>
      </c>
    </row>
    <row r="14" spans="1:11" ht="15" x14ac:dyDescent="0.2">
      <c r="A14" s="594" t="s">
        <v>2372</v>
      </c>
      <c r="B14" s="454">
        <f>B12*8.5%</f>
        <v>166617000</v>
      </c>
      <c r="C14" s="599">
        <f t="shared" si="0"/>
        <v>166617000</v>
      </c>
      <c r="D14" s="410">
        <v>166617000</v>
      </c>
      <c r="E14" s="410">
        <f t="shared" si="1"/>
        <v>0</v>
      </c>
      <c r="F14" s="410"/>
      <c r="G14" s="455"/>
      <c r="H14" s="410"/>
      <c r="I14" s="410"/>
      <c r="K14" s="398"/>
    </row>
    <row r="15" spans="1:11" ht="15" x14ac:dyDescent="0.2">
      <c r="A15" s="594" t="s">
        <v>2486</v>
      </c>
      <c r="B15" s="454">
        <f>B12*12%</f>
        <v>235224000</v>
      </c>
      <c r="C15" s="599">
        <f t="shared" si="0"/>
        <v>235224000</v>
      </c>
      <c r="D15" s="410">
        <v>235224000</v>
      </c>
      <c r="E15" s="410">
        <f t="shared" si="1"/>
        <v>0</v>
      </c>
      <c r="F15" s="410"/>
      <c r="G15" s="455"/>
      <c r="H15" s="410"/>
      <c r="I15" s="410"/>
      <c r="K15" s="398"/>
    </row>
    <row r="16" spans="1:11" ht="15" x14ac:dyDescent="0.2">
      <c r="A16" s="594" t="s">
        <v>2487</v>
      </c>
      <c r="B16" s="454">
        <f>B12*0.522%</f>
        <v>10232244</v>
      </c>
      <c r="C16" s="599">
        <f t="shared" si="0"/>
        <v>10232244</v>
      </c>
      <c r="D16" s="410">
        <v>10232244</v>
      </c>
      <c r="E16" s="410">
        <f t="shared" si="1"/>
        <v>0</v>
      </c>
      <c r="F16" s="410"/>
      <c r="G16" s="455"/>
      <c r="H16" s="410"/>
      <c r="I16" s="410"/>
      <c r="K16" s="398"/>
    </row>
    <row r="17" spans="1:11" ht="15" x14ac:dyDescent="0.2">
      <c r="A17" s="594" t="s">
        <v>2488</v>
      </c>
      <c r="B17" s="454">
        <f>B12/8</f>
        <v>245025000</v>
      </c>
      <c r="C17" s="599">
        <f t="shared" si="0"/>
        <v>245025000</v>
      </c>
      <c r="D17" s="410">
        <v>245781250</v>
      </c>
      <c r="E17" s="410">
        <f t="shared" si="1"/>
        <v>-756250</v>
      </c>
      <c r="F17" s="410"/>
      <c r="G17" s="455"/>
      <c r="H17" s="410"/>
      <c r="I17" s="410"/>
      <c r="K17" s="398"/>
    </row>
    <row r="18" spans="1:11" ht="15" x14ac:dyDescent="0.2">
      <c r="A18" s="594" t="s">
        <v>2489</v>
      </c>
      <c r="B18" s="454">
        <f>B17*12%</f>
        <v>29403000</v>
      </c>
      <c r="C18" s="599">
        <f t="shared" si="0"/>
        <v>29403000</v>
      </c>
      <c r="D18" s="410">
        <v>29493750</v>
      </c>
      <c r="E18" s="410">
        <f t="shared" si="1"/>
        <v>-90750</v>
      </c>
      <c r="F18" s="410"/>
      <c r="G18" s="455"/>
      <c r="H18" s="410"/>
      <c r="I18" s="410"/>
      <c r="K18" s="398"/>
    </row>
    <row r="19" spans="1:11" ht="15" x14ac:dyDescent="0.2">
      <c r="A19" s="594" t="s">
        <v>2490</v>
      </c>
      <c r="B19" s="453">
        <f>B12/8</f>
        <v>245025000</v>
      </c>
      <c r="C19" s="599">
        <f t="shared" si="0"/>
        <v>245025000</v>
      </c>
      <c r="D19" s="410">
        <v>226875000</v>
      </c>
      <c r="E19" s="908">
        <f t="shared" si="1"/>
        <v>18150000</v>
      </c>
      <c r="G19" s="455"/>
      <c r="H19" s="410"/>
      <c r="I19" s="410"/>
      <c r="K19" s="398"/>
    </row>
    <row r="20" spans="1:11" ht="15" x14ac:dyDescent="0.2">
      <c r="A20" s="594" t="s">
        <v>2491</v>
      </c>
      <c r="B20" s="456">
        <f>(B9/2)*11</f>
        <v>108900000</v>
      </c>
      <c r="C20" s="599">
        <f t="shared" si="0"/>
        <v>108900000</v>
      </c>
      <c r="D20" s="391">
        <v>108900000</v>
      </c>
      <c r="E20" s="599">
        <f t="shared" si="1"/>
        <v>0</v>
      </c>
      <c r="G20" s="455"/>
      <c r="H20" s="410"/>
      <c r="I20" s="410"/>
      <c r="K20" s="398"/>
    </row>
    <row r="21" spans="1:11" ht="15.75" thickBot="1" x14ac:dyDescent="0.25">
      <c r="A21" s="595" t="s">
        <v>2492</v>
      </c>
      <c r="B21" s="457">
        <f>((B9*9)*360)/720</f>
        <v>89100000</v>
      </c>
      <c r="C21" s="599">
        <f t="shared" si="0"/>
        <v>89100000</v>
      </c>
      <c r="D21" s="410">
        <v>0</v>
      </c>
      <c r="E21" s="410"/>
      <c r="F21" s="410"/>
      <c r="G21" s="455"/>
      <c r="H21" s="410"/>
      <c r="I21" s="410"/>
      <c r="K21" s="398"/>
    </row>
    <row r="22" spans="1:11" ht="31.5" thickTop="1" thickBot="1" x14ac:dyDescent="0.3">
      <c r="A22" s="596" t="s">
        <v>2493</v>
      </c>
      <c r="B22" s="458">
        <f>SUM(B12:B21)</f>
        <v>3266144244</v>
      </c>
      <c r="C22" s="599">
        <f t="shared" si="0"/>
        <v>3266144244</v>
      </c>
      <c r="D22" s="410">
        <v>3326347354</v>
      </c>
      <c r="E22" s="410"/>
      <c r="F22" s="410"/>
      <c r="G22" s="410"/>
      <c r="H22" s="410"/>
      <c r="I22" s="410"/>
      <c r="K22" s="398"/>
    </row>
    <row r="23" spans="1:11" x14ac:dyDescent="0.2">
      <c r="B23" s="397"/>
      <c r="C23" s="599">
        <f>ROUNDUP(B23,0)</f>
        <v>0</v>
      </c>
      <c r="D23" s="410">
        <f>B22-D22</f>
        <v>-60203110</v>
      </c>
      <c r="E23" s="410"/>
      <c r="F23" s="410"/>
      <c r="G23" s="410"/>
      <c r="H23" s="410"/>
      <c r="I23" s="410"/>
      <c r="K23" s="398"/>
    </row>
    <row r="24" spans="1:11" ht="28.5" x14ac:dyDescent="0.2">
      <c r="A24" s="443" t="s">
        <v>2494</v>
      </c>
      <c r="B24" s="397">
        <f>B12+B13+B14+B15+B16+B17+B18+B19+B20+B21</f>
        <v>3266144244</v>
      </c>
      <c r="C24" s="599">
        <f t="shared" si="0"/>
        <v>3266144244</v>
      </c>
      <c r="F24" s="459"/>
      <c r="G24" s="459"/>
      <c r="H24" s="459"/>
      <c r="I24" s="459"/>
      <c r="J24" s="459"/>
    </row>
    <row r="25" spans="1:11" ht="28.5" x14ac:dyDescent="0.2">
      <c r="A25" s="443" t="s">
        <v>2495</v>
      </c>
      <c r="B25" s="397">
        <f>B12*25%</f>
        <v>490050000</v>
      </c>
      <c r="C25" s="599">
        <f t="shared" si="0"/>
        <v>490050000</v>
      </c>
      <c r="D25" s="450"/>
      <c r="F25" s="459"/>
      <c r="G25" s="459"/>
      <c r="H25" s="459"/>
      <c r="I25" s="459"/>
      <c r="J25" s="459"/>
    </row>
    <row r="26" spans="1:11" ht="30.75" thickBot="1" x14ac:dyDescent="0.3">
      <c r="A26" s="590" t="s">
        <v>2496</v>
      </c>
      <c r="B26" s="460">
        <f>B24+B25</f>
        <v>3756194244</v>
      </c>
      <c r="C26" s="599">
        <f t="shared" si="0"/>
        <v>3756194244</v>
      </c>
      <c r="D26" s="410">
        <v>3816397354</v>
      </c>
      <c r="E26" s="398">
        <f>B26-D26</f>
        <v>-60203110</v>
      </c>
      <c r="J26" s="410"/>
    </row>
    <row r="27" spans="1:11" ht="15" thickTop="1" x14ac:dyDescent="0.2">
      <c r="D27" s="410"/>
      <c r="E27" s="398"/>
      <c r="K27" s="410"/>
    </row>
    <row r="28" spans="1:11" ht="92.25" customHeight="1" x14ac:dyDescent="0.2">
      <c r="A28" s="1840" t="s">
        <v>2497</v>
      </c>
      <c r="B28" s="1840"/>
      <c r="D28" s="398"/>
      <c r="F28" s="398"/>
    </row>
    <row r="29" spans="1:11" ht="102" customHeight="1" x14ac:dyDescent="0.2">
      <c r="A29" s="1840" t="s">
        <v>2498</v>
      </c>
      <c r="B29" s="1840"/>
      <c r="D29" s="410"/>
      <c r="E29" s="410"/>
      <c r="F29" s="398"/>
    </row>
    <row r="30" spans="1:11" x14ac:dyDescent="0.2">
      <c r="E30" s="461"/>
    </row>
    <row r="31" spans="1:11" ht="15.75" thickBot="1" x14ac:dyDescent="0.3">
      <c r="B31" s="410">
        <v>3326347354</v>
      </c>
      <c r="C31" s="460">
        <f>'[11]2022 Andres'!C24+'[11]2022 Andres'!C25</f>
        <v>3819554244</v>
      </c>
      <c r="D31" s="398"/>
    </row>
    <row r="32" spans="1:11" ht="15" thickTop="1" x14ac:dyDescent="0.2">
      <c r="B32" s="906">
        <v>163519764</v>
      </c>
      <c r="C32" s="410">
        <v>3819554244</v>
      </c>
    </row>
    <row r="33" spans="1:4" x14ac:dyDescent="0.2">
      <c r="B33" s="906">
        <v>22000000</v>
      </c>
      <c r="D33" s="398"/>
    </row>
    <row r="34" spans="1:4" x14ac:dyDescent="0.2">
      <c r="B34" s="906">
        <v>15000000</v>
      </c>
    </row>
    <row r="35" spans="1:4" x14ac:dyDescent="0.2">
      <c r="B35" s="906">
        <v>16500000</v>
      </c>
    </row>
    <row r="36" spans="1:4" x14ac:dyDescent="0.2">
      <c r="B36" s="906">
        <v>29700000</v>
      </c>
    </row>
    <row r="37" spans="1:4" x14ac:dyDescent="0.2">
      <c r="B37" s="906">
        <v>5500000</v>
      </c>
    </row>
    <row r="38" spans="1:4" x14ac:dyDescent="0.2">
      <c r="B38" s="906">
        <v>70630236</v>
      </c>
    </row>
    <row r="39" spans="1:4" x14ac:dyDescent="0.2">
      <c r="B39" s="906">
        <v>44000000</v>
      </c>
    </row>
    <row r="40" spans="1:4" x14ac:dyDescent="0.2">
      <c r="B40" s="906">
        <v>77000000</v>
      </c>
    </row>
    <row r="41" spans="1:4" x14ac:dyDescent="0.2">
      <c r="B41" s="906">
        <v>22000000</v>
      </c>
    </row>
    <row r="42" spans="1:4" x14ac:dyDescent="0.2">
      <c r="B42" s="906">
        <v>11000000</v>
      </c>
    </row>
    <row r="43" spans="1:4" x14ac:dyDescent="0.2">
      <c r="A43" s="907">
        <f>SUM(B32:B43)</f>
        <v>490050000</v>
      </c>
      <c r="B43" s="906">
        <v>13200000</v>
      </c>
    </row>
    <row r="44" spans="1:4" x14ac:dyDescent="0.2">
      <c r="B44" s="410">
        <f>SUM(B31:B43)</f>
        <v>3816397354</v>
      </c>
    </row>
  </sheetData>
  <mergeCells count="5">
    <mergeCell ref="A29:B29"/>
    <mergeCell ref="A1:B1"/>
    <mergeCell ref="A2:B2"/>
    <mergeCell ref="A3:B3"/>
    <mergeCell ref="A28:B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81"/>
  <sheetViews>
    <sheetView topLeftCell="C1" workbookViewId="0">
      <selection sqref="A1:E1"/>
    </sheetView>
  </sheetViews>
  <sheetFormatPr baseColWidth="10" defaultColWidth="15.140625" defaultRowHeight="15" x14ac:dyDescent="0.25"/>
  <cols>
    <col min="1" max="1" width="10.28515625" style="462" bestFit="1" customWidth="1"/>
    <col min="2" max="2" width="16.42578125" style="462" bestFit="1" customWidth="1"/>
    <col min="3" max="3" width="23.7109375" style="462" bestFit="1" customWidth="1"/>
    <col min="4" max="4" width="16.85546875" style="465" bestFit="1" customWidth="1"/>
    <col min="5" max="5" width="17.85546875" style="462" bestFit="1" customWidth="1"/>
    <col min="6" max="7" width="9.42578125" style="462" customWidth="1"/>
    <col min="8" max="8" width="14.7109375" style="462" bestFit="1" customWidth="1"/>
    <col min="9" max="9" width="19" style="462" bestFit="1" customWidth="1"/>
    <col min="10" max="20" width="9.42578125" style="462" customWidth="1"/>
    <col min="21" max="16384" width="15.140625" style="462"/>
  </cols>
  <sheetData>
    <row r="1" spans="1:6" ht="15" customHeight="1" x14ac:dyDescent="0.25">
      <c r="A1" s="1842" t="s">
        <v>2499</v>
      </c>
      <c r="B1" s="1842"/>
      <c r="C1" s="1842"/>
      <c r="D1" s="1842"/>
      <c r="E1" s="1842"/>
    </row>
    <row r="2" spans="1:6" ht="15" customHeight="1" x14ac:dyDescent="0.25">
      <c r="A2" s="1842" t="s">
        <v>2500</v>
      </c>
      <c r="B2" s="1842"/>
      <c r="C2" s="1842"/>
      <c r="D2" s="1842"/>
      <c r="E2" s="1842"/>
    </row>
    <row r="3" spans="1:6" ht="15" customHeight="1" x14ac:dyDescent="0.25">
      <c r="A3" s="1842" t="s">
        <v>2501</v>
      </c>
      <c r="B3" s="1842"/>
      <c r="C3" s="1842"/>
      <c r="D3" s="1842"/>
      <c r="E3" s="1842"/>
    </row>
    <row r="4" spans="1:6" ht="15.75" x14ac:dyDescent="0.25">
      <c r="A4" s="1843" t="s">
        <v>2502</v>
      </c>
      <c r="B4" s="1843"/>
      <c r="C4" s="1843"/>
      <c r="D4" s="1843"/>
      <c r="E4" s="1843"/>
    </row>
    <row r="6" spans="1:6" x14ac:dyDescent="0.25">
      <c r="A6" s="463" t="s">
        <v>2503</v>
      </c>
      <c r="B6" s="463" t="s">
        <v>2504</v>
      </c>
      <c r="C6" s="463" t="s">
        <v>1163</v>
      </c>
      <c r="D6" s="464" t="s">
        <v>1773</v>
      </c>
      <c r="E6" s="462" t="s">
        <v>2505</v>
      </c>
    </row>
    <row r="7" spans="1:6" x14ac:dyDescent="0.25">
      <c r="A7" s="463"/>
      <c r="B7" s="463"/>
      <c r="C7" s="463"/>
      <c r="E7" s="464">
        <v>20000000000</v>
      </c>
    </row>
    <row r="8" spans="1:6" x14ac:dyDescent="0.25">
      <c r="A8" s="466">
        <v>1</v>
      </c>
      <c r="B8" s="467"/>
      <c r="C8" s="468">
        <f>+E7*$H$24</f>
        <v>976000000.00000012</v>
      </c>
      <c r="D8" s="469">
        <f>+B8+C8</f>
        <v>976000000.00000012</v>
      </c>
      <c r="E8" s="470">
        <f>+E7-B8</f>
        <v>20000000000</v>
      </c>
      <c r="F8" s="471"/>
    </row>
    <row r="9" spans="1:6" x14ac:dyDescent="0.25">
      <c r="A9" s="466">
        <v>2</v>
      </c>
      <c r="B9" s="467"/>
      <c r="C9" s="468">
        <f t="shared" ref="C9:C51" si="0">+E8*$H$24</f>
        <v>976000000.00000012</v>
      </c>
      <c r="D9" s="469">
        <f t="shared" ref="D9:D19" si="1">+B9+C9</f>
        <v>976000000.00000012</v>
      </c>
      <c r="E9" s="470">
        <f t="shared" ref="E9:E51" si="2">+E8-B9</f>
        <v>20000000000</v>
      </c>
    </row>
    <row r="10" spans="1:6" x14ac:dyDescent="0.25">
      <c r="A10" s="466">
        <v>3</v>
      </c>
      <c r="B10" s="467"/>
      <c r="C10" s="468">
        <f t="shared" si="0"/>
        <v>976000000.00000012</v>
      </c>
      <c r="D10" s="469">
        <f t="shared" si="1"/>
        <v>976000000.00000012</v>
      </c>
      <c r="E10" s="470">
        <f t="shared" si="2"/>
        <v>20000000000</v>
      </c>
    </row>
    <row r="11" spans="1:6" x14ac:dyDescent="0.25">
      <c r="A11" s="466">
        <v>4</v>
      </c>
      <c r="B11" s="467"/>
      <c r="C11" s="468">
        <f t="shared" si="0"/>
        <v>976000000.00000012</v>
      </c>
      <c r="D11" s="469">
        <f t="shared" si="1"/>
        <v>976000000.00000012</v>
      </c>
      <c r="E11" s="470">
        <f t="shared" si="2"/>
        <v>20000000000</v>
      </c>
    </row>
    <row r="12" spans="1:6" x14ac:dyDescent="0.25">
      <c r="A12" s="463">
        <v>5</v>
      </c>
      <c r="B12" s="472">
        <f>+H26</f>
        <v>500000000</v>
      </c>
      <c r="C12" s="473">
        <f t="shared" si="0"/>
        <v>976000000.00000012</v>
      </c>
      <c r="D12" s="465">
        <f t="shared" si="1"/>
        <v>1476000000</v>
      </c>
      <c r="E12" s="474">
        <f t="shared" si="2"/>
        <v>19500000000</v>
      </c>
    </row>
    <row r="13" spans="1:6" x14ac:dyDescent="0.25">
      <c r="A13" s="463">
        <v>6</v>
      </c>
      <c r="B13" s="472">
        <f t="shared" ref="B13:B51" si="3">+B12</f>
        <v>500000000</v>
      </c>
      <c r="C13" s="473">
        <f t="shared" si="0"/>
        <v>951600000.00000012</v>
      </c>
      <c r="D13" s="465">
        <f t="shared" si="1"/>
        <v>1451600000</v>
      </c>
      <c r="E13" s="474">
        <f t="shared" si="2"/>
        <v>19000000000</v>
      </c>
    </row>
    <row r="14" spans="1:6" x14ac:dyDescent="0.25">
      <c r="A14" s="463">
        <v>7</v>
      </c>
      <c r="B14" s="472">
        <f t="shared" si="3"/>
        <v>500000000</v>
      </c>
      <c r="C14" s="473">
        <f t="shared" si="0"/>
        <v>927200000</v>
      </c>
      <c r="D14" s="465">
        <f t="shared" si="1"/>
        <v>1427200000</v>
      </c>
      <c r="E14" s="474">
        <f t="shared" si="2"/>
        <v>18500000000</v>
      </c>
    </row>
    <row r="15" spans="1:6" x14ac:dyDescent="0.25">
      <c r="A15" s="463">
        <v>8</v>
      </c>
      <c r="B15" s="472">
        <f t="shared" si="3"/>
        <v>500000000</v>
      </c>
      <c r="C15" s="473">
        <f t="shared" si="0"/>
        <v>902800000</v>
      </c>
      <c r="D15" s="465">
        <f t="shared" si="1"/>
        <v>1402800000</v>
      </c>
      <c r="E15" s="474">
        <f t="shared" si="2"/>
        <v>18000000000</v>
      </c>
    </row>
    <row r="16" spans="1:6" x14ac:dyDescent="0.25">
      <c r="A16" s="463">
        <v>9</v>
      </c>
      <c r="B16" s="472">
        <f t="shared" si="3"/>
        <v>500000000</v>
      </c>
      <c r="C16" s="473">
        <f t="shared" si="0"/>
        <v>878400000</v>
      </c>
      <c r="D16" s="465">
        <f t="shared" si="1"/>
        <v>1378400000</v>
      </c>
      <c r="E16" s="474">
        <f t="shared" si="2"/>
        <v>17500000000</v>
      </c>
    </row>
    <row r="17" spans="1:9" x14ac:dyDescent="0.25">
      <c r="A17" s="463">
        <v>10</v>
      </c>
      <c r="B17" s="472">
        <f t="shared" si="3"/>
        <v>500000000</v>
      </c>
      <c r="C17" s="473">
        <f t="shared" si="0"/>
        <v>854000000</v>
      </c>
      <c r="D17" s="465">
        <f t="shared" si="1"/>
        <v>1354000000</v>
      </c>
      <c r="E17" s="474">
        <f t="shared" si="2"/>
        <v>17000000000</v>
      </c>
    </row>
    <row r="18" spans="1:9" ht="15" customHeight="1" x14ac:dyDescent="0.25">
      <c r="A18" s="463">
        <v>11</v>
      </c>
      <c r="B18" s="472">
        <f t="shared" si="3"/>
        <v>500000000</v>
      </c>
      <c r="C18" s="473">
        <f t="shared" si="0"/>
        <v>829600000</v>
      </c>
      <c r="D18" s="465">
        <f t="shared" si="1"/>
        <v>1329600000</v>
      </c>
      <c r="E18" s="474">
        <f t="shared" si="2"/>
        <v>16500000000</v>
      </c>
    </row>
    <row r="19" spans="1:9" ht="15" customHeight="1" x14ac:dyDescent="0.25">
      <c r="A19" s="463">
        <v>12</v>
      </c>
      <c r="B19" s="472">
        <f t="shared" si="3"/>
        <v>500000000</v>
      </c>
      <c r="C19" s="473">
        <f t="shared" si="0"/>
        <v>805200000</v>
      </c>
      <c r="D19" s="465">
        <f t="shared" si="1"/>
        <v>1305200000</v>
      </c>
      <c r="E19" s="474">
        <f t="shared" si="2"/>
        <v>16000000000</v>
      </c>
    </row>
    <row r="20" spans="1:9" ht="15" customHeight="1" x14ac:dyDescent="0.25">
      <c r="A20" s="463">
        <v>13</v>
      </c>
      <c r="B20" s="472">
        <f t="shared" si="3"/>
        <v>500000000</v>
      </c>
      <c r="C20" s="473">
        <f t="shared" si="0"/>
        <v>780800000</v>
      </c>
      <c r="D20" s="465">
        <f>+B20+C20</f>
        <v>1280800000</v>
      </c>
      <c r="E20" s="474">
        <f t="shared" si="2"/>
        <v>15500000000</v>
      </c>
      <c r="H20" s="475">
        <v>40</v>
      </c>
      <c r="I20" s="476" t="s">
        <v>2506</v>
      </c>
    </row>
    <row r="21" spans="1:9" ht="15" customHeight="1" x14ac:dyDescent="0.25">
      <c r="A21" s="463">
        <v>14</v>
      </c>
      <c r="B21" s="472">
        <f t="shared" si="3"/>
        <v>500000000</v>
      </c>
      <c r="C21" s="473">
        <f t="shared" si="0"/>
        <v>756400000</v>
      </c>
      <c r="D21" s="465">
        <f t="shared" ref="D21:D51" si="4">+B21+C21</f>
        <v>1256400000</v>
      </c>
      <c r="E21" s="474">
        <f t="shared" si="2"/>
        <v>15000000000</v>
      </c>
      <c r="H21" s="477">
        <f>+E7</f>
        <v>20000000000</v>
      </c>
      <c r="I21" s="476" t="s">
        <v>2507</v>
      </c>
    </row>
    <row r="22" spans="1:9" x14ac:dyDescent="0.25">
      <c r="A22" s="463">
        <v>15</v>
      </c>
      <c r="B22" s="472">
        <f t="shared" si="3"/>
        <v>500000000</v>
      </c>
      <c r="C22" s="473">
        <f t="shared" si="0"/>
        <v>732000000</v>
      </c>
      <c r="D22" s="465">
        <f t="shared" si="4"/>
        <v>1232000000</v>
      </c>
      <c r="E22" s="474">
        <f t="shared" si="2"/>
        <v>14500000000</v>
      </c>
      <c r="H22" s="478">
        <v>0</v>
      </c>
      <c r="I22" s="476" t="s">
        <v>2508</v>
      </c>
    </row>
    <row r="23" spans="1:9" x14ac:dyDescent="0.25">
      <c r="A23" s="463">
        <v>16</v>
      </c>
      <c r="B23" s="472">
        <f t="shared" si="3"/>
        <v>500000000</v>
      </c>
      <c r="C23" s="473">
        <f t="shared" si="0"/>
        <v>707600000</v>
      </c>
      <c r="D23" s="465">
        <f t="shared" si="4"/>
        <v>1207600000</v>
      </c>
      <c r="E23" s="474">
        <f t="shared" si="2"/>
        <v>14000000000</v>
      </c>
      <c r="H23" s="479">
        <f>(H22*1.16)</f>
        <v>0</v>
      </c>
      <c r="I23" s="476" t="s">
        <v>2509</v>
      </c>
    </row>
    <row r="24" spans="1:9" x14ac:dyDescent="0.25">
      <c r="A24" s="463">
        <v>17</v>
      </c>
      <c r="B24" s="472">
        <f t="shared" si="3"/>
        <v>500000000</v>
      </c>
      <c r="C24" s="473">
        <f t="shared" si="0"/>
        <v>683200000</v>
      </c>
      <c r="D24" s="465">
        <f t="shared" si="4"/>
        <v>1183200000</v>
      </c>
      <c r="E24" s="474">
        <f t="shared" si="2"/>
        <v>13500000000</v>
      </c>
      <c r="H24" s="479">
        <v>4.8800000000000003E-2</v>
      </c>
      <c r="I24" s="476" t="s">
        <v>2510</v>
      </c>
    </row>
    <row r="25" spans="1:9" x14ac:dyDescent="0.25">
      <c r="A25" s="463">
        <v>18</v>
      </c>
      <c r="B25" s="472">
        <f t="shared" si="3"/>
        <v>500000000</v>
      </c>
      <c r="C25" s="473">
        <f t="shared" si="0"/>
        <v>658800000</v>
      </c>
      <c r="D25" s="465">
        <f t="shared" si="4"/>
        <v>1158800000</v>
      </c>
      <c r="E25" s="474">
        <f t="shared" si="2"/>
        <v>13000000000</v>
      </c>
      <c r="H25" s="479">
        <f>(H23/12)</f>
        <v>0</v>
      </c>
      <c r="I25" s="476" t="s">
        <v>2511</v>
      </c>
    </row>
    <row r="26" spans="1:9" x14ac:dyDescent="0.25">
      <c r="A26" s="463">
        <v>19</v>
      </c>
      <c r="B26" s="472">
        <f t="shared" si="3"/>
        <v>500000000</v>
      </c>
      <c r="C26" s="473">
        <f t="shared" si="0"/>
        <v>634400000</v>
      </c>
      <c r="D26" s="465">
        <f t="shared" si="4"/>
        <v>1134400000</v>
      </c>
      <c r="E26" s="474">
        <f t="shared" si="2"/>
        <v>12500000000</v>
      </c>
      <c r="H26" s="472">
        <f>PMT(H25,H20,-H21)</f>
        <v>500000000</v>
      </c>
      <c r="I26" s="476" t="s">
        <v>2512</v>
      </c>
    </row>
    <row r="27" spans="1:9" x14ac:dyDescent="0.25">
      <c r="A27" s="463">
        <v>20</v>
      </c>
      <c r="B27" s="472">
        <f t="shared" si="3"/>
        <v>500000000</v>
      </c>
      <c r="C27" s="473">
        <f t="shared" si="0"/>
        <v>610000000</v>
      </c>
      <c r="D27" s="465">
        <f t="shared" si="4"/>
        <v>1110000000</v>
      </c>
      <c r="E27" s="474">
        <f t="shared" si="2"/>
        <v>12000000000</v>
      </c>
    </row>
    <row r="28" spans="1:9" x14ac:dyDescent="0.25">
      <c r="A28" s="463">
        <v>21</v>
      </c>
      <c r="B28" s="472">
        <f t="shared" si="3"/>
        <v>500000000</v>
      </c>
      <c r="C28" s="473">
        <f t="shared" si="0"/>
        <v>585600000</v>
      </c>
      <c r="D28" s="465">
        <f t="shared" si="4"/>
        <v>1085600000</v>
      </c>
      <c r="E28" s="474">
        <f t="shared" si="2"/>
        <v>11500000000</v>
      </c>
    </row>
    <row r="29" spans="1:9" x14ac:dyDescent="0.25">
      <c r="A29" s="463">
        <v>22</v>
      </c>
      <c r="B29" s="472">
        <f t="shared" si="3"/>
        <v>500000000</v>
      </c>
      <c r="C29" s="473">
        <f t="shared" si="0"/>
        <v>561200000</v>
      </c>
      <c r="D29" s="465">
        <f t="shared" si="4"/>
        <v>1061200000</v>
      </c>
      <c r="E29" s="474">
        <f t="shared" si="2"/>
        <v>11000000000</v>
      </c>
    </row>
    <row r="30" spans="1:9" x14ac:dyDescent="0.25">
      <c r="A30" s="463">
        <v>23</v>
      </c>
      <c r="B30" s="472">
        <f t="shared" si="3"/>
        <v>500000000</v>
      </c>
      <c r="C30" s="473">
        <f t="shared" si="0"/>
        <v>536800000.00000006</v>
      </c>
      <c r="D30" s="465">
        <f t="shared" si="4"/>
        <v>1036800000</v>
      </c>
      <c r="E30" s="474">
        <f t="shared" si="2"/>
        <v>10500000000</v>
      </c>
    </row>
    <row r="31" spans="1:9" x14ac:dyDescent="0.25">
      <c r="A31" s="463">
        <v>24</v>
      </c>
      <c r="B31" s="472">
        <f t="shared" si="3"/>
        <v>500000000</v>
      </c>
      <c r="C31" s="473">
        <f t="shared" si="0"/>
        <v>512400000.00000006</v>
      </c>
      <c r="D31" s="465">
        <f t="shared" si="4"/>
        <v>1012400000</v>
      </c>
      <c r="E31" s="474">
        <f t="shared" si="2"/>
        <v>10000000000</v>
      </c>
    </row>
    <row r="32" spans="1:9" ht="15" customHeight="1" x14ac:dyDescent="0.25">
      <c r="A32" s="463">
        <v>25</v>
      </c>
      <c r="B32" s="472">
        <f t="shared" si="3"/>
        <v>500000000</v>
      </c>
      <c r="C32" s="473">
        <f t="shared" si="0"/>
        <v>488000000.00000006</v>
      </c>
      <c r="D32" s="465">
        <f t="shared" si="4"/>
        <v>988000000</v>
      </c>
      <c r="E32" s="474">
        <f t="shared" si="2"/>
        <v>9500000000</v>
      </c>
    </row>
    <row r="33" spans="1:6" ht="15" customHeight="1" x14ac:dyDescent="0.25">
      <c r="A33" s="463">
        <v>26</v>
      </c>
      <c r="B33" s="472">
        <f t="shared" si="3"/>
        <v>500000000</v>
      </c>
      <c r="C33" s="473">
        <f t="shared" si="0"/>
        <v>463600000</v>
      </c>
      <c r="D33" s="465">
        <f t="shared" si="4"/>
        <v>963600000</v>
      </c>
      <c r="E33" s="474">
        <f t="shared" si="2"/>
        <v>9000000000</v>
      </c>
    </row>
    <row r="34" spans="1:6" ht="15" customHeight="1" x14ac:dyDescent="0.25">
      <c r="A34" s="463">
        <v>27</v>
      </c>
      <c r="B34" s="472">
        <f t="shared" si="3"/>
        <v>500000000</v>
      </c>
      <c r="C34" s="473">
        <f t="shared" si="0"/>
        <v>439200000</v>
      </c>
      <c r="D34" s="465">
        <f t="shared" si="4"/>
        <v>939200000</v>
      </c>
      <c r="E34" s="474">
        <f t="shared" si="2"/>
        <v>8500000000</v>
      </c>
    </row>
    <row r="35" spans="1:6" ht="15" customHeight="1" x14ac:dyDescent="0.25">
      <c r="A35" s="480">
        <v>28</v>
      </c>
      <c r="B35" s="472">
        <f t="shared" si="3"/>
        <v>500000000</v>
      </c>
      <c r="C35" s="481">
        <f t="shared" si="0"/>
        <v>414800000</v>
      </c>
      <c r="D35" s="482">
        <f t="shared" si="4"/>
        <v>914800000</v>
      </c>
      <c r="E35" s="483">
        <f t="shared" si="2"/>
        <v>8000000000</v>
      </c>
    </row>
    <row r="36" spans="1:6" ht="15" customHeight="1" x14ac:dyDescent="0.25">
      <c r="A36" s="480">
        <v>29</v>
      </c>
      <c r="B36" s="472">
        <f t="shared" si="3"/>
        <v>500000000</v>
      </c>
      <c r="C36" s="481">
        <f t="shared" si="0"/>
        <v>390400000</v>
      </c>
      <c r="D36" s="482">
        <f t="shared" si="4"/>
        <v>890400000</v>
      </c>
      <c r="E36" s="483">
        <f t="shared" si="2"/>
        <v>7500000000</v>
      </c>
    </row>
    <row r="37" spans="1:6" ht="15" customHeight="1" x14ac:dyDescent="0.25">
      <c r="A37" s="480">
        <v>30</v>
      </c>
      <c r="B37" s="472">
        <f t="shared" si="3"/>
        <v>500000000</v>
      </c>
      <c r="C37" s="481">
        <f t="shared" si="0"/>
        <v>366000000</v>
      </c>
      <c r="D37" s="482">
        <f t="shared" si="4"/>
        <v>866000000</v>
      </c>
      <c r="E37" s="483">
        <f t="shared" si="2"/>
        <v>7000000000</v>
      </c>
    </row>
    <row r="38" spans="1:6" ht="15" customHeight="1" x14ac:dyDescent="0.25">
      <c r="A38" s="480">
        <v>31</v>
      </c>
      <c r="B38" s="472">
        <f t="shared" si="3"/>
        <v>500000000</v>
      </c>
      <c r="C38" s="481">
        <f t="shared" si="0"/>
        <v>341600000</v>
      </c>
      <c r="D38" s="482">
        <f t="shared" si="4"/>
        <v>841600000</v>
      </c>
      <c r="E38" s="483">
        <f t="shared" si="2"/>
        <v>6500000000</v>
      </c>
      <c r="F38" s="484"/>
    </row>
    <row r="39" spans="1:6" ht="15" customHeight="1" x14ac:dyDescent="0.25">
      <c r="A39" s="480">
        <v>32</v>
      </c>
      <c r="B39" s="472">
        <f t="shared" si="3"/>
        <v>500000000</v>
      </c>
      <c r="C39" s="481">
        <f t="shared" si="0"/>
        <v>317200000</v>
      </c>
      <c r="D39" s="482">
        <f t="shared" si="4"/>
        <v>817200000</v>
      </c>
      <c r="E39" s="483">
        <f t="shared" si="2"/>
        <v>6000000000</v>
      </c>
      <c r="F39" s="484"/>
    </row>
    <row r="40" spans="1:6" ht="15" customHeight="1" x14ac:dyDescent="0.25">
      <c r="A40" s="480">
        <v>33</v>
      </c>
      <c r="B40" s="472">
        <f t="shared" si="3"/>
        <v>500000000</v>
      </c>
      <c r="C40" s="481">
        <f t="shared" si="0"/>
        <v>292800000</v>
      </c>
      <c r="D40" s="482">
        <f t="shared" si="4"/>
        <v>792800000</v>
      </c>
      <c r="E40" s="483">
        <f t="shared" si="2"/>
        <v>5500000000</v>
      </c>
      <c r="F40" s="484"/>
    </row>
    <row r="41" spans="1:6" ht="15" customHeight="1" x14ac:dyDescent="0.25">
      <c r="A41" s="480">
        <v>34</v>
      </c>
      <c r="B41" s="472">
        <f t="shared" si="3"/>
        <v>500000000</v>
      </c>
      <c r="C41" s="481">
        <f t="shared" si="0"/>
        <v>268400000.00000003</v>
      </c>
      <c r="D41" s="482">
        <f t="shared" si="4"/>
        <v>768400000</v>
      </c>
      <c r="E41" s="483">
        <f t="shared" si="2"/>
        <v>5000000000</v>
      </c>
      <c r="F41" s="484"/>
    </row>
    <row r="42" spans="1:6" ht="15" customHeight="1" x14ac:dyDescent="0.25">
      <c r="A42" s="480">
        <v>35</v>
      </c>
      <c r="B42" s="472">
        <f t="shared" si="3"/>
        <v>500000000</v>
      </c>
      <c r="C42" s="481">
        <f t="shared" si="0"/>
        <v>244000000.00000003</v>
      </c>
      <c r="D42" s="482">
        <f t="shared" si="4"/>
        <v>744000000</v>
      </c>
      <c r="E42" s="483">
        <f t="shared" si="2"/>
        <v>4500000000</v>
      </c>
      <c r="F42" s="484"/>
    </row>
    <row r="43" spans="1:6" ht="15" customHeight="1" x14ac:dyDescent="0.25">
      <c r="A43" s="480">
        <v>36</v>
      </c>
      <c r="B43" s="472">
        <f t="shared" si="3"/>
        <v>500000000</v>
      </c>
      <c r="C43" s="481">
        <f t="shared" si="0"/>
        <v>219600000</v>
      </c>
      <c r="D43" s="482">
        <f t="shared" si="4"/>
        <v>719600000</v>
      </c>
      <c r="E43" s="483">
        <f t="shared" si="2"/>
        <v>4000000000</v>
      </c>
      <c r="F43" s="484"/>
    </row>
    <row r="44" spans="1:6" ht="15" customHeight="1" x14ac:dyDescent="0.25">
      <c r="A44" s="480">
        <v>37</v>
      </c>
      <c r="B44" s="472">
        <f t="shared" si="3"/>
        <v>500000000</v>
      </c>
      <c r="C44" s="481">
        <f t="shared" si="0"/>
        <v>195200000</v>
      </c>
      <c r="D44" s="482">
        <f t="shared" si="4"/>
        <v>695200000</v>
      </c>
      <c r="E44" s="483">
        <f t="shared" si="2"/>
        <v>3500000000</v>
      </c>
      <c r="F44" s="484"/>
    </row>
    <row r="45" spans="1:6" ht="15" customHeight="1" x14ac:dyDescent="0.25">
      <c r="A45" s="480">
        <v>38</v>
      </c>
      <c r="B45" s="472">
        <f t="shared" si="3"/>
        <v>500000000</v>
      </c>
      <c r="C45" s="481">
        <f t="shared" si="0"/>
        <v>170800000</v>
      </c>
      <c r="D45" s="482">
        <f t="shared" si="4"/>
        <v>670800000</v>
      </c>
      <c r="E45" s="483">
        <f t="shared" si="2"/>
        <v>3000000000</v>
      </c>
      <c r="F45" s="484"/>
    </row>
    <row r="46" spans="1:6" ht="15" customHeight="1" x14ac:dyDescent="0.25">
      <c r="A46" s="480">
        <v>39</v>
      </c>
      <c r="B46" s="472">
        <f t="shared" si="3"/>
        <v>500000000</v>
      </c>
      <c r="C46" s="481">
        <f t="shared" si="0"/>
        <v>146400000</v>
      </c>
      <c r="D46" s="482">
        <f t="shared" si="4"/>
        <v>646400000</v>
      </c>
      <c r="E46" s="483">
        <f t="shared" si="2"/>
        <v>2500000000</v>
      </c>
      <c r="F46" s="484"/>
    </row>
    <row r="47" spans="1:6" ht="15" customHeight="1" x14ac:dyDescent="0.25">
      <c r="A47" s="480">
        <v>40</v>
      </c>
      <c r="B47" s="472">
        <f t="shared" si="3"/>
        <v>500000000</v>
      </c>
      <c r="C47" s="481">
        <f t="shared" si="0"/>
        <v>122000000.00000001</v>
      </c>
      <c r="D47" s="482">
        <f t="shared" si="4"/>
        <v>622000000</v>
      </c>
      <c r="E47" s="483">
        <f t="shared" si="2"/>
        <v>2000000000</v>
      </c>
      <c r="F47" s="484"/>
    </row>
    <row r="48" spans="1:6" ht="15" customHeight="1" x14ac:dyDescent="0.25">
      <c r="A48" s="480">
        <v>41</v>
      </c>
      <c r="B48" s="472">
        <f t="shared" si="3"/>
        <v>500000000</v>
      </c>
      <c r="C48" s="481">
        <f t="shared" si="0"/>
        <v>97600000</v>
      </c>
      <c r="D48" s="482">
        <f t="shared" si="4"/>
        <v>597600000</v>
      </c>
      <c r="E48" s="483">
        <f t="shared" si="2"/>
        <v>1500000000</v>
      </c>
      <c r="F48" s="484"/>
    </row>
    <row r="49" spans="1:6" ht="15" customHeight="1" x14ac:dyDescent="0.25">
      <c r="A49" s="480">
        <v>42</v>
      </c>
      <c r="B49" s="472">
        <f t="shared" si="3"/>
        <v>500000000</v>
      </c>
      <c r="C49" s="481">
        <f t="shared" si="0"/>
        <v>73200000</v>
      </c>
      <c r="D49" s="482">
        <f t="shared" si="4"/>
        <v>573200000</v>
      </c>
      <c r="E49" s="483">
        <f t="shared" si="2"/>
        <v>1000000000</v>
      </c>
      <c r="F49" s="484"/>
    </row>
    <row r="50" spans="1:6" ht="15" customHeight="1" x14ac:dyDescent="0.25">
      <c r="A50" s="480">
        <v>43</v>
      </c>
      <c r="B50" s="472">
        <f t="shared" si="3"/>
        <v>500000000</v>
      </c>
      <c r="C50" s="481">
        <f t="shared" si="0"/>
        <v>48800000</v>
      </c>
      <c r="D50" s="482">
        <f t="shared" si="4"/>
        <v>548800000</v>
      </c>
      <c r="E50" s="483">
        <f t="shared" si="2"/>
        <v>500000000</v>
      </c>
      <c r="F50" s="484"/>
    </row>
    <row r="51" spans="1:6" ht="15" customHeight="1" x14ac:dyDescent="0.25">
      <c r="A51" s="480">
        <v>44</v>
      </c>
      <c r="B51" s="472">
        <f t="shared" si="3"/>
        <v>500000000</v>
      </c>
      <c r="C51" s="481">
        <f t="shared" si="0"/>
        <v>24400000</v>
      </c>
      <c r="D51" s="482">
        <f t="shared" si="4"/>
        <v>524400000</v>
      </c>
      <c r="E51" s="483">
        <f t="shared" si="2"/>
        <v>0</v>
      </c>
      <c r="F51" s="484"/>
    </row>
    <row r="52" spans="1:6" x14ac:dyDescent="0.25">
      <c r="A52" s="463" t="s">
        <v>2015</v>
      </c>
      <c r="D52" s="462"/>
    </row>
    <row r="53" spans="1:6" x14ac:dyDescent="0.25">
      <c r="D53" s="462"/>
    </row>
    <row r="54" spans="1:6" x14ac:dyDescent="0.25">
      <c r="D54" s="462"/>
    </row>
    <row r="55" spans="1:6" ht="15" customHeight="1" x14ac:dyDescent="0.25">
      <c r="D55" s="462"/>
    </row>
    <row r="56" spans="1:6" ht="15" customHeight="1" x14ac:dyDescent="0.25">
      <c r="D56" s="462"/>
    </row>
    <row r="57" spans="1:6" ht="15" customHeight="1" x14ac:dyDescent="0.25">
      <c r="D57" s="462"/>
    </row>
    <row r="58" spans="1:6" ht="15" customHeight="1" x14ac:dyDescent="0.25">
      <c r="D58" s="462"/>
    </row>
    <row r="59" spans="1:6" ht="15" customHeight="1" x14ac:dyDescent="0.25">
      <c r="D59" s="462"/>
    </row>
    <row r="60" spans="1:6" ht="15" customHeight="1" x14ac:dyDescent="0.25">
      <c r="D60" s="462"/>
    </row>
    <row r="61" spans="1:6" ht="15" customHeight="1" x14ac:dyDescent="0.25">
      <c r="D61" s="462"/>
    </row>
    <row r="62" spans="1:6" ht="15" customHeight="1" x14ac:dyDescent="0.25">
      <c r="D62" s="462"/>
    </row>
    <row r="63" spans="1:6" ht="15" customHeight="1" x14ac:dyDescent="0.25">
      <c r="D63" s="462"/>
    </row>
    <row r="64" spans="1:6" ht="15" customHeight="1" x14ac:dyDescent="0.25">
      <c r="D64" s="462"/>
    </row>
    <row r="65" s="462" customFormat="1" ht="15" customHeight="1" x14ac:dyDescent="0.25"/>
    <row r="66" s="462" customFormat="1" ht="15" customHeight="1" x14ac:dyDescent="0.25"/>
    <row r="67" s="462" customFormat="1" ht="15" customHeight="1" x14ac:dyDescent="0.25"/>
    <row r="68" s="462" customFormat="1" ht="15" customHeight="1" x14ac:dyDescent="0.25"/>
    <row r="69" s="462" customFormat="1" ht="15" customHeight="1" x14ac:dyDescent="0.25"/>
    <row r="70" s="462" customFormat="1" ht="15" customHeight="1" x14ac:dyDescent="0.25"/>
    <row r="71" s="462" customFormat="1" ht="15" customHeight="1" x14ac:dyDescent="0.25"/>
    <row r="72" s="462" customFormat="1" ht="15" customHeight="1" x14ac:dyDescent="0.25"/>
    <row r="73" s="462" customFormat="1" ht="15" customHeight="1" x14ac:dyDescent="0.25"/>
    <row r="74" s="462" customFormat="1" ht="15" customHeight="1" x14ac:dyDescent="0.25"/>
    <row r="75" s="462" customFormat="1" ht="15" customHeight="1" x14ac:dyDescent="0.25"/>
    <row r="76" s="462" customFormat="1" ht="15" customHeight="1" x14ac:dyDescent="0.25"/>
    <row r="77" s="462" customFormat="1" ht="15" customHeight="1" x14ac:dyDescent="0.25"/>
    <row r="78" s="462" customFormat="1" ht="15" customHeight="1" x14ac:dyDescent="0.25"/>
    <row r="79" s="462" customFormat="1" ht="15" customHeight="1" x14ac:dyDescent="0.25"/>
    <row r="80" s="462" customFormat="1" ht="15" customHeight="1" x14ac:dyDescent="0.25"/>
    <row r="81" s="462" customFormat="1" ht="15" customHeight="1" x14ac:dyDescent="0.25"/>
  </sheetData>
  <mergeCells count="4">
    <mergeCell ref="A1:E1"/>
    <mergeCell ref="A2:E2"/>
    <mergeCell ref="A3:E3"/>
    <mergeCell ref="A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W410"/>
  <sheetViews>
    <sheetView topLeftCell="AM15" workbookViewId="0">
      <selection activeCell="AV36" sqref="AV36"/>
    </sheetView>
  </sheetViews>
  <sheetFormatPr baseColWidth="10" defaultColWidth="11.42578125" defaultRowHeight="12" x14ac:dyDescent="0.25"/>
  <cols>
    <col min="1" max="1" width="2.7109375" style="222" bestFit="1" customWidth="1"/>
    <col min="2" max="2" width="12.5703125" style="222" customWidth="1"/>
    <col min="3" max="3" width="10.42578125" style="364" customWidth="1"/>
    <col min="4" max="4" width="7.5703125" style="364" customWidth="1"/>
    <col min="5" max="5" width="8.85546875" style="364" customWidth="1"/>
    <col min="6" max="6" width="12" style="364" customWidth="1"/>
    <col min="7" max="7" width="3.7109375" style="222" customWidth="1"/>
    <col min="8" max="8" width="4.7109375" style="222" customWidth="1"/>
    <col min="9" max="9" width="6.140625" style="222" customWidth="1"/>
    <col min="10" max="10" width="3.7109375" style="365" customWidth="1"/>
    <col min="11" max="11" width="12.140625" style="222" customWidth="1"/>
    <col min="12" max="12" width="11.42578125" style="222"/>
    <col min="13" max="13" width="4.140625" style="365" customWidth="1"/>
    <col min="14" max="15" width="11.42578125" style="222"/>
    <col min="16" max="16" width="4.42578125" style="365" customWidth="1"/>
    <col min="17" max="17" width="12.85546875" style="222" customWidth="1"/>
    <col min="18" max="18" width="11.5703125" style="222" customWidth="1"/>
    <col min="19" max="19" width="4.42578125" style="365" customWidth="1"/>
    <col min="20" max="20" width="12.5703125" style="222" customWidth="1"/>
    <col min="21" max="21" width="11.7109375" style="222" customWidth="1"/>
    <col min="22" max="22" width="4.42578125" style="365" customWidth="1"/>
    <col min="23" max="23" width="12.140625" style="222" customWidth="1"/>
    <col min="24" max="24" width="11.85546875" style="222" customWidth="1"/>
    <col min="25" max="25" width="3.7109375" style="357" customWidth="1"/>
    <col min="26" max="26" width="13.7109375" style="222" customWidth="1"/>
    <col min="27" max="27" width="13.140625" style="222" customWidth="1"/>
    <col min="28" max="28" width="3.5703125" style="222" customWidth="1"/>
    <col min="29" max="29" width="11.85546875" style="222" customWidth="1"/>
    <col min="30" max="30" width="12.140625" style="222" customWidth="1"/>
    <col min="31" max="31" width="4.42578125" style="367" customWidth="1"/>
    <col min="32" max="32" width="12.7109375" style="222" customWidth="1"/>
    <col min="33" max="33" width="12.140625" style="222" customWidth="1"/>
    <col min="34" max="34" width="4.42578125" style="357" customWidth="1"/>
    <col min="35" max="35" width="14.42578125" style="222" customWidth="1"/>
    <col min="36" max="36" width="14.5703125" style="222" customWidth="1"/>
    <col min="37" max="37" width="4.42578125" style="222" customWidth="1"/>
    <col min="38" max="38" width="12.5703125" style="222" customWidth="1"/>
    <col min="39" max="39" width="12" style="222" customWidth="1"/>
    <col min="40" max="40" width="4.42578125" style="357" customWidth="1"/>
    <col min="41" max="41" width="11.85546875" style="222" customWidth="1"/>
    <col min="42" max="42" width="12.7109375" style="222" customWidth="1"/>
    <col min="43" max="43" width="3.85546875" style="357" customWidth="1"/>
    <col min="44" max="44" width="14.7109375" style="307" customWidth="1"/>
    <col min="45" max="45" width="16.140625" style="222" customWidth="1"/>
    <col min="46" max="46" width="14.5703125" style="222" customWidth="1"/>
    <col min="47" max="47" width="14.28515625" style="222" customWidth="1"/>
    <col min="48" max="48" width="15.5703125" style="222" bestFit="1" customWidth="1"/>
    <col min="49" max="208" width="11.42578125" style="222"/>
    <col min="209" max="209" width="14.140625" style="222" customWidth="1"/>
    <col min="210" max="210" width="4.42578125" style="222" customWidth="1"/>
    <col min="211" max="211" width="12" style="222" customWidth="1"/>
    <col min="212" max="212" width="11.42578125" style="222"/>
    <col min="213" max="213" width="4.42578125" style="222" customWidth="1"/>
    <col min="214" max="215" width="11.42578125" style="222"/>
    <col min="216" max="216" width="4.42578125" style="222" customWidth="1"/>
    <col min="217" max="217" width="11.42578125" style="222"/>
    <col min="218" max="218" width="13.7109375" style="222" bestFit="1" customWidth="1"/>
    <col min="219" max="219" width="4.42578125" style="222" customWidth="1"/>
    <col min="220" max="221" width="11.42578125" style="222"/>
    <col min="222" max="222" width="4.42578125" style="222" customWidth="1"/>
    <col min="223" max="223" width="14.28515625" style="222" customWidth="1"/>
    <col min="224" max="224" width="11.7109375" style="222" bestFit="1" customWidth="1"/>
    <col min="225" max="225" width="4.42578125" style="222" customWidth="1"/>
    <col min="226" max="226" width="12.42578125" style="222" bestFit="1" customWidth="1"/>
    <col min="227" max="227" width="15" style="222" customWidth="1"/>
    <col min="228" max="228" width="4.42578125" style="222" customWidth="1"/>
    <col min="229" max="230" width="11.42578125" style="222"/>
    <col min="231" max="231" width="4.42578125" style="222" customWidth="1"/>
    <col min="232" max="232" width="13.7109375" style="222" customWidth="1"/>
    <col min="233" max="233" width="11.5703125" style="222" bestFit="1" customWidth="1"/>
    <col min="234" max="234" width="4.42578125" style="222" customWidth="1"/>
    <col min="235" max="236" width="11.85546875" style="222" bestFit="1" customWidth="1"/>
    <col min="237" max="237" width="4.42578125" style="222" customWidth="1"/>
    <col min="238" max="238" width="11.5703125" style="222" bestFit="1" customWidth="1"/>
    <col min="239" max="239" width="13" style="222" bestFit="1" customWidth="1"/>
    <col min="240" max="240" width="4.42578125" style="222" customWidth="1"/>
    <col min="241" max="242" width="11.5703125" style="222" bestFit="1" customWidth="1"/>
    <col min="243" max="243" width="4.5703125" style="222" customWidth="1"/>
    <col min="244" max="244" width="11.85546875" style="222" bestFit="1" customWidth="1"/>
    <col min="245" max="245" width="12.7109375" style="222" bestFit="1" customWidth="1"/>
    <col min="246" max="246" width="15" style="222" customWidth="1"/>
    <col min="247" max="247" width="18.140625" style="222" customWidth="1"/>
    <col min="248" max="464" width="11.42578125" style="222"/>
    <col min="465" max="465" width="14.140625" style="222" customWidth="1"/>
    <col min="466" max="466" width="4.42578125" style="222" customWidth="1"/>
    <col min="467" max="467" width="12" style="222" customWidth="1"/>
    <col min="468" max="468" width="11.42578125" style="222"/>
    <col min="469" max="469" width="4.42578125" style="222" customWidth="1"/>
    <col min="470" max="471" width="11.42578125" style="222"/>
    <col min="472" max="472" width="4.42578125" style="222" customWidth="1"/>
    <col min="473" max="473" width="11.42578125" style="222"/>
    <col min="474" max="474" width="13.7109375" style="222" bestFit="1" customWidth="1"/>
    <col min="475" max="475" width="4.42578125" style="222" customWidth="1"/>
    <col min="476" max="477" width="11.42578125" style="222"/>
    <col min="478" max="478" width="4.42578125" style="222" customWidth="1"/>
    <col min="479" max="479" width="14.28515625" style="222" customWidth="1"/>
    <col min="480" max="480" width="11.7109375" style="222" bestFit="1" customWidth="1"/>
    <col min="481" max="481" width="4.42578125" style="222" customWidth="1"/>
    <col min="482" max="482" width="12.42578125" style="222" bestFit="1" customWidth="1"/>
    <col min="483" max="483" width="15" style="222" customWidth="1"/>
    <col min="484" max="484" width="4.42578125" style="222" customWidth="1"/>
    <col min="485" max="486" width="11.42578125" style="222"/>
    <col min="487" max="487" width="4.42578125" style="222" customWidth="1"/>
    <col min="488" max="488" width="13.7109375" style="222" customWidth="1"/>
    <col min="489" max="489" width="11.5703125" style="222" bestFit="1" customWidth="1"/>
    <col min="490" max="490" width="4.42578125" style="222" customWidth="1"/>
    <col min="491" max="492" width="11.85546875" style="222" bestFit="1" customWidth="1"/>
    <col min="493" max="493" width="4.42578125" style="222" customWidth="1"/>
    <col min="494" max="494" width="11.5703125" style="222" bestFit="1" customWidth="1"/>
    <col min="495" max="495" width="13" style="222" bestFit="1" customWidth="1"/>
    <col min="496" max="496" width="4.42578125" style="222" customWidth="1"/>
    <col min="497" max="498" width="11.5703125" style="222" bestFit="1" customWidth="1"/>
    <col min="499" max="499" width="4.5703125" style="222" customWidth="1"/>
    <col min="500" max="500" width="11.85546875" style="222" bestFit="1" customWidth="1"/>
    <col min="501" max="501" width="12.7109375" style="222" bestFit="1" customWidth="1"/>
    <col min="502" max="502" width="15" style="222" customWidth="1"/>
    <col min="503" max="503" width="18.140625" style="222" customWidth="1"/>
    <col min="504" max="720" width="11.42578125" style="222"/>
    <col min="721" max="721" width="14.140625" style="222" customWidth="1"/>
    <col min="722" max="722" width="4.42578125" style="222" customWidth="1"/>
    <col min="723" max="723" width="12" style="222" customWidth="1"/>
    <col min="724" max="724" width="11.42578125" style="222"/>
    <col min="725" max="725" width="4.42578125" style="222" customWidth="1"/>
    <col min="726" max="727" width="11.42578125" style="222"/>
    <col min="728" max="728" width="4.42578125" style="222" customWidth="1"/>
    <col min="729" max="729" width="11.42578125" style="222"/>
    <col min="730" max="730" width="13.7109375" style="222" bestFit="1" customWidth="1"/>
    <col min="731" max="731" width="4.42578125" style="222" customWidth="1"/>
    <col min="732" max="733" width="11.42578125" style="222"/>
    <col min="734" max="734" width="4.42578125" style="222" customWidth="1"/>
    <col min="735" max="735" width="14.28515625" style="222" customWidth="1"/>
    <col min="736" max="736" width="11.7109375" style="222" bestFit="1" customWidth="1"/>
    <col min="737" max="737" width="4.42578125" style="222" customWidth="1"/>
    <col min="738" max="738" width="12.42578125" style="222" bestFit="1" customWidth="1"/>
    <col min="739" max="739" width="15" style="222" customWidth="1"/>
    <col min="740" max="740" width="4.42578125" style="222" customWidth="1"/>
    <col min="741" max="742" width="11.42578125" style="222"/>
    <col min="743" max="743" width="4.42578125" style="222" customWidth="1"/>
    <col min="744" max="744" width="13.7109375" style="222" customWidth="1"/>
    <col min="745" max="745" width="11.5703125" style="222" bestFit="1" customWidth="1"/>
    <col min="746" max="746" width="4.42578125" style="222" customWidth="1"/>
    <col min="747" max="748" width="11.85546875" style="222" bestFit="1" customWidth="1"/>
    <col min="749" max="749" width="4.42578125" style="222" customWidth="1"/>
    <col min="750" max="750" width="11.5703125" style="222" bestFit="1" customWidth="1"/>
    <col min="751" max="751" width="13" style="222" bestFit="1" customWidth="1"/>
    <col min="752" max="752" width="4.42578125" style="222" customWidth="1"/>
    <col min="753" max="754" width="11.5703125" style="222" bestFit="1" customWidth="1"/>
    <col min="755" max="755" width="4.5703125" style="222" customWidth="1"/>
    <col min="756" max="756" width="11.85546875" style="222" bestFit="1" customWidth="1"/>
    <col min="757" max="757" width="12.7109375" style="222" bestFit="1" customWidth="1"/>
    <col min="758" max="758" width="15" style="222" customWidth="1"/>
    <col min="759" max="759" width="18.140625" style="222" customWidth="1"/>
    <col min="760" max="976" width="11.42578125" style="222"/>
    <col min="977" max="977" width="14.140625" style="222" customWidth="1"/>
    <col min="978" max="978" width="4.42578125" style="222" customWidth="1"/>
    <col min="979" max="979" width="12" style="222" customWidth="1"/>
    <col min="980" max="980" width="11.42578125" style="222"/>
    <col min="981" max="981" width="4.42578125" style="222" customWidth="1"/>
    <col min="982" max="983" width="11.42578125" style="222"/>
    <col min="984" max="984" width="4.42578125" style="222" customWidth="1"/>
    <col min="985" max="985" width="11.42578125" style="222"/>
    <col min="986" max="986" width="13.7109375" style="222" bestFit="1" customWidth="1"/>
    <col min="987" max="987" width="4.42578125" style="222" customWidth="1"/>
    <col min="988" max="989" width="11.42578125" style="222"/>
    <col min="990" max="990" width="4.42578125" style="222" customWidth="1"/>
    <col min="991" max="991" width="14.28515625" style="222" customWidth="1"/>
    <col min="992" max="992" width="11.7109375" style="222" bestFit="1" customWidth="1"/>
    <col min="993" max="993" width="4.42578125" style="222" customWidth="1"/>
    <col min="994" max="994" width="12.42578125" style="222" bestFit="1" customWidth="1"/>
    <col min="995" max="995" width="15" style="222" customWidth="1"/>
    <col min="996" max="996" width="4.42578125" style="222" customWidth="1"/>
    <col min="997" max="998" width="11.42578125" style="222"/>
    <col min="999" max="999" width="4.42578125" style="222" customWidth="1"/>
    <col min="1000" max="1000" width="13.7109375" style="222" customWidth="1"/>
    <col min="1001" max="1001" width="11.5703125" style="222" bestFit="1" customWidth="1"/>
    <col min="1002" max="1002" width="4.42578125" style="222" customWidth="1"/>
    <col min="1003" max="1004" width="11.85546875" style="222" bestFit="1" customWidth="1"/>
    <col min="1005" max="1005" width="4.42578125" style="222" customWidth="1"/>
    <col min="1006" max="1006" width="11.5703125" style="222" bestFit="1" customWidth="1"/>
    <col min="1007" max="1007" width="13" style="222" bestFit="1" customWidth="1"/>
    <col min="1008" max="1008" width="4.42578125" style="222" customWidth="1"/>
    <col min="1009" max="1010" width="11.5703125" style="222" bestFit="1" customWidth="1"/>
    <col min="1011" max="1011" width="4.5703125" style="222" customWidth="1"/>
    <col min="1012" max="1012" width="11.85546875" style="222" bestFit="1" customWidth="1"/>
    <col min="1013" max="1013" width="12.7109375" style="222" bestFit="1" customWidth="1"/>
    <col min="1014" max="1014" width="15" style="222" customWidth="1"/>
    <col min="1015" max="1015" width="18.140625" style="222" customWidth="1"/>
    <col min="1016" max="1232" width="11.42578125" style="222"/>
    <col min="1233" max="1233" width="14.140625" style="222" customWidth="1"/>
    <col min="1234" max="1234" width="4.42578125" style="222" customWidth="1"/>
    <col min="1235" max="1235" width="12" style="222" customWidth="1"/>
    <col min="1236" max="1236" width="11.42578125" style="222"/>
    <col min="1237" max="1237" width="4.42578125" style="222" customWidth="1"/>
    <col min="1238" max="1239" width="11.42578125" style="222"/>
    <col min="1240" max="1240" width="4.42578125" style="222" customWidth="1"/>
    <col min="1241" max="1241" width="11.42578125" style="222"/>
    <col min="1242" max="1242" width="13.7109375" style="222" bestFit="1" customWidth="1"/>
    <col min="1243" max="1243" width="4.42578125" style="222" customWidth="1"/>
    <col min="1244" max="1245" width="11.42578125" style="222"/>
    <col min="1246" max="1246" width="4.42578125" style="222" customWidth="1"/>
    <col min="1247" max="1247" width="14.28515625" style="222" customWidth="1"/>
    <col min="1248" max="1248" width="11.7109375" style="222" bestFit="1" customWidth="1"/>
    <col min="1249" max="1249" width="4.42578125" style="222" customWidth="1"/>
    <col min="1250" max="1250" width="12.42578125" style="222" bestFit="1" customWidth="1"/>
    <col min="1251" max="1251" width="15" style="222" customWidth="1"/>
    <col min="1252" max="1252" width="4.42578125" style="222" customWidth="1"/>
    <col min="1253" max="1254" width="11.42578125" style="222"/>
    <col min="1255" max="1255" width="4.42578125" style="222" customWidth="1"/>
    <col min="1256" max="1256" width="13.7109375" style="222" customWidth="1"/>
    <col min="1257" max="1257" width="11.5703125" style="222" bestFit="1" customWidth="1"/>
    <col min="1258" max="1258" width="4.42578125" style="222" customWidth="1"/>
    <col min="1259" max="1260" width="11.85546875" style="222" bestFit="1" customWidth="1"/>
    <col min="1261" max="1261" width="4.42578125" style="222" customWidth="1"/>
    <col min="1262" max="1262" width="11.5703125" style="222" bestFit="1" customWidth="1"/>
    <col min="1263" max="1263" width="13" style="222" bestFit="1" customWidth="1"/>
    <col min="1264" max="1264" width="4.42578125" style="222" customWidth="1"/>
    <col min="1265" max="1266" width="11.5703125" style="222" bestFit="1" customWidth="1"/>
    <col min="1267" max="1267" width="4.5703125" style="222" customWidth="1"/>
    <col min="1268" max="1268" width="11.85546875" style="222" bestFit="1" customWidth="1"/>
    <col min="1269" max="1269" width="12.7109375" style="222" bestFit="1" customWidth="1"/>
    <col min="1270" max="1270" width="15" style="222" customWidth="1"/>
    <col min="1271" max="1271" width="18.140625" style="222" customWidth="1"/>
    <col min="1272" max="1488" width="11.42578125" style="222"/>
    <col min="1489" max="1489" width="14.140625" style="222" customWidth="1"/>
    <col min="1490" max="1490" width="4.42578125" style="222" customWidth="1"/>
    <col min="1491" max="1491" width="12" style="222" customWidth="1"/>
    <col min="1492" max="1492" width="11.42578125" style="222"/>
    <col min="1493" max="1493" width="4.42578125" style="222" customWidth="1"/>
    <col min="1494" max="1495" width="11.42578125" style="222"/>
    <col min="1496" max="1496" width="4.42578125" style="222" customWidth="1"/>
    <col min="1497" max="1497" width="11.42578125" style="222"/>
    <col min="1498" max="1498" width="13.7109375" style="222" bestFit="1" customWidth="1"/>
    <col min="1499" max="1499" width="4.42578125" style="222" customWidth="1"/>
    <col min="1500" max="1501" width="11.42578125" style="222"/>
    <col min="1502" max="1502" width="4.42578125" style="222" customWidth="1"/>
    <col min="1503" max="1503" width="14.28515625" style="222" customWidth="1"/>
    <col min="1504" max="1504" width="11.7109375" style="222" bestFit="1" customWidth="1"/>
    <col min="1505" max="1505" width="4.42578125" style="222" customWidth="1"/>
    <col min="1506" max="1506" width="12.42578125" style="222" bestFit="1" customWidth="1"/>
    <col min="1507" max="1507" width="15" style="222" customWidth="1"/>
    <col min="1508" max="1508" width="4.42578125" style="222" customWidth="1"/>
    <col min="1509" max="1510" width="11.42578125" style="222"/>
    <col min="1511" max="1511" width="4.42578125" style="222" customWidth="1"/>
    <col min="1512" max="1512" width="13.7109375" style="222" customWidth="1"/>
    <col min="1513" max="1513" width="11.5703125" style="222" bestFit="1" customWidth="1"/>
    <col min="1514" max="1514" width="4.42578125" style="222" customWidth="1"/>
    <col min="1515" max="1516" width="11.85546875" style="222" bestFit="1" customWidth="1"/>
    <col min="1517" max="1517" width="4.42578125" style="222" customWidth="1"/>
    <col min="1518" max="1518" width="11.5703125" style="222" bestFit="1" customWidth="1"/>
    <col min="1519" max="1519" width="13" style="222" bestFit="1" customWidth="1"/>
    <col min="1520" max="1520" width="4.42578125" style="222" customWidth="1"/>
    <col min="1521" max="1522" width="11.5703125" style="222" bestFit="1" customWidth="1"/>
    <col min="1523" max="1523" width="4.5703125" style="222" customWidth="1"/>
    <col min="1524" max="1524" width="11.85546875" style="222" bestFit="1" customWidth="1"/>
    <col min="1525" max="1525" width="12.7109375" style="222" bestFit="1" customWidth="1"/>
    <col min="1526" max="1526" width="15" style="222" customWidth="1"/>
    <col min="1527" max="1527" width="18.140625" style="222" customWidth="1"/>
    <col min="1528" max="1744" width="11.42578125" style="222"/>
    <col min="1745" max="1745" width="14.140625" style="222" customWidth="1"/>
    <col min="1746" max="1746" width="4.42578125" style="222" customWidth="1"/>
    <col min="1747" max="1747" width="12" style="222" customWidth="1"/>
    <col min="1748" max="1748" width="11.42578125" style="222"/>
    <col min="1749" max="1749" width="4.42578125" style="222" customWidth="1"/>
    <col min="1750" max="1751" width="11.42578125" style="222"/>
    <col min="1752" max="1752" width="4.42578125" style="222" customWidth="1"/>
    <col min="1753" max="1753" width="11.42578125" style="222"/>
    <col min="1754" max="1754" width="13.7109375" style="222" bestFit="1" customWidth="1"/>
    <col min="1755" max="1755" width="4.42578125" style="222" customWidth="1"/>
    <col min="1756" max="1757" width="11.42578125" style="222"/>
    <col min="1758" max="1758" width="4.42578125" style="222" customWidth="1"/>
    <col min="1759" max="1759" width="14.28515625" style="222" customWidth="1"/>
    <col min="1760" max="1760" width="11.7109375" style="222" bestFit="1" customWidth="1"/>
    <col min="1761" max="1761" width="4.42578125" style="222" customWidth="1"/>
    <col min="1762" max="1762" width="12.42578125" style="222" bestFit="1" customWidth="1"/>
    <col min="1763" max="1763" width="15" style="222" customWidth="1"/>
    <col min="1764" max="1764" width="4.42578125" style="222" customWidth="1"/>
    <col min="1765" max="1766" width="11.42578125" style="222"/>
    <col min="1767" max="1767" width="4.42578125" style="222" customWidth="1"/>
    <col min="1768" max="1768" width="13.7109375" style="222" customWidth="1"/>
    <col min="1769" max="1769" width="11.5703125" style="222" bestFit="1" customWidth="1"/>
    <col min="1770" max="1770" width="4.42578125" style="222" customWidth="1"/>
    <col min="1771" max="1772" width="11.85546875" style="222" bestFit="1" customWidth="1"/>
    <col min="1773" max="1773" width="4.42578125" style="222" customWidth="1"/>
    <col min="1774" max="1774" width="11.5703125" style="222" bestFit="1" customWidth="1"/>
    <col min="1775" max="1775" width="13" style="222" bestFit="1" customWidth="1"/>
    <col min="1776" max="1776" width="4.42578125" style="222" customWidth="1"/>
    <col min="1777" max="1778" width="11.5703125" style="222" bestFit="1" customWidth="1"/>
    <col min="1779" max="1779" width="4.5703125" style="222" customWidth="1"/>
    <col min="1780" max="1780" width="11.85546875" style="222" bestFit="1" customWidth="1"/>
    <col min="1781" max="1781" width="12.7109375" style="222" bestFit="1" customWidth="1"/>
    <col min="1782" max="1782" width="15" style="222" customWidth="1"/>
    <col min="1783" max="1783" width="18.140625" style="222" customWidth="1"/>
    <col min="1784" max="2000" width="11.42578125" style="222"/>
    <col min="2001" max="2001" width="14.140625" style="222" customWidth="1"/>
    <col min="2002" max="2002" width="4.42578125" style="222" customWidth="1"/>
    <col min="2003" max="2003" width="12" style="222" customWidth="1"/>
    <col min="2004" max="2004" width="11.42578125" style="222"/>
    <col min="2005" max="2005" width="4.42578125" style="222" customWidth="1"/>
    <col min="2006" max="2007" width="11.42578125" style="222"/>
    <col min="2008" max="2008" width="4.42578125" style="222" customWidth="1"/>
    <col min="2009" max="2009" width="11.42578125" style="222"/>
    <col min="2010" max="2010" width="13.7109375" style="222" bestFit="1" customWidth="1"/>
    <col min="2011" max="2011" width="4.42578125" style="222" customWidth="1"/>
    <col min="2012" max="2013" width="11.42578125" style="222"/>
    <col min="2014" max="2014" width="4.42578125" style="222" customWidth="1"/>
    <col min="2015" max="2015" width="14.28515625" style="222" customWidth="1"/>
    <col min="2016" max="2016" width="11.7109375" style="222" bestFit="1" customWidth="1"/>
    <col min="2017" max="2017" width="4.42578125" style="222" customWidth="1"/>
    <col min="2018" max="2018" width="12.42578125" style="222" bestFit="1" customWidth="1"/>
    <col min="2019" max="2019" width="15" style="222" customWidth="1"/>
    <col min="2020" max="2020" width="4.42578125" style="222" customWidth="1"/>
    <col min="2021" max="2022" width="11.42578125" style="222"/>
    <col min="2023" max="2023" width="4.42578125" style="222" customWidth="1"/>
    <col min="2024" max="2024" width="13.7109375" style="222" customWidth="1"/>
    <col min="2025" max="2025" width="11.5703125" style="222" bestFit="1" customWidth="1"/>
    <col min="2026" max="2026" width="4.42578125" style="222" customWidth="1"/>
    <col min="2027" max="2028" width="11.85546875" style="222" bestFit="1" customWidth="1"/>
    <col min="2029" max="2029" width="4.42578125" style="222" customWidth="1"/>
    <col min="2030" max="2030" width="11.5703125" style="222" bestFit="1" customWidth="1"/>
    <col min="2031" max="2031" width="13" style="222" bestFit="1" customWidth="1"/>
    <col min="2032" max="2032" width="4.42578125" style="222" customWidth="1"/>
    <col min="2033" max="2034" width="11.5703125" style="222" bestFit="1" customWidth="1"/>
    <col min="2035" max="2035" width="4.5703125" style="222" customWidth="1"/>
    <col min="2036" max="2036" width="11.85546875" style="222" bestFit="1" customWidth="1"/>
    <col min="2037" max="2037" width="12.7109375" style="222" bestFit="1" customWidth="1"/>
    <col min="2038" max="2038" width="15" style="222" customWidth="1"/>
    <col min="2039" max="2039" width="18.140625" style="222" customWidth="1"/>
    <col min="2040" max="2256" width="11.42578125" style="222"/>
    <col min="2257" max="2257" width="14.140625" style="222" customWidth="1"/>
    <col min="2258" max="2258" width="4.42578125" style="222" customWidth="1"/>
    <col min="2259" max="2259" width="12" style="222" customWidth="1"/>
    <col min="2260" max="2260" width="11.42578125" style="222"/>
    <col min="2261" max="2261" width="4.42578125" style="222" customWidth="1"/>
    <col min="2262" max="2263" width="11.42578125" style="222"/>
    <col min="2264" max="2264" width="4.42578125" style="222" customWidth="1"/>
    <col min="2265" max="2265" width="11.42578125" style="222"/>
    <col min="2266" max="2266" width="13.7109375" style="222" bestFit="1" customWidth="1"/>
    <col min="2267" max="2267" width="4.42578125" style="222" customWidth="1"/>
    <col min="2268" max="2269" width="11.42578125" style="222"/>
    <col min="2270" max="2270" width="4.42578125" style="222" customWidth="1"/>
    <col min="2271" max="2271" width="14.28515625" style="222" customWidth="1"/>
    <col min="2272" max="2272" width="11.7109375" style="222" bestFit="1" customWidth="1"/>
    <col min="2273" max="2273" width="4.42578125" style="222" customWidth="1"/>
    <col min="2274" max="2274" width="12.42578125" style="222" bestFit="1" customWidth="1"/>
    <col min="2275" max="2275" width="15" style="222" customWidth="1"/>
    <col min="2276" max="2276" width="4.42578125" style="222" customWidth="1"/>
    <col min="2277" max="2278" width="11.42578125" style="222"/>
    <col min="2279" max="2279" width="4.42578125" style="222" customWidth="1"/>
    <col min="2280" max="2280" width="13.7109375" style="222" customWidth="1"/>
    <col min="2281" max="2281" width="11.5703125" style="222" bestFit="1" customWidth="1"/>
    <col min="2282" max="2282" width="4.42578125" style="222" customWidth="1"/>
    <col min="2283" max="2284" width="11.85546875" style="222" bestFit="1" customWidth="1"/>
    <col min="2285" max="2285" width="4.42578125" style="222" customWidth="1"/>
    <col min="2286" max="2286" width="11.5703125" style="222" bestFit="1" customWidth="1"/>
    <col min="2287" max="2287" width="13" style="222" bestFit="1" customWidth="1"/>
    <col min="2288" max="2288" width="4.42578125" style="222" customWidth="1"/>
    <col min="2289" max="2290" width="11.5703125" style="222" bestFit="1" customWidth="1"/>
    <col min="2291" max="2291" width="4.5703125" style="222" customWidth="1"/>
    <col min="2292" max="2292" width="11.85546875" style="222" bestFit="1" customWidth="1"/>
    <col min="2293" max="2293" width="12.7109375" style="222" bestFit="1" customWidth="1"/>
    <col min="2294" max="2294" width="15" style="222" customWidth="1"/>
    <col min="2295" max="2295" width="18.140625" style="222" customWidth="1"/>
    <col min="2296" max="2512" width="11.42578125" style="222"/>
    <col min="2513" max="2513" width="14.140625" style="222" customWidth="1"/>
    <col min="2514" max="2514" width="4.42578125" style="222" customWidth="1"/>
    <col min="2515" max="2515" width="12" style="222" customWidth="1"/>
    <col min="2516" max="2516" width="11.42578125" style="222"/>
    <col min="2517" max="2517" width="4.42578125" style="222" customWidth="1"/>
    <col min="2518" max="2519" width="11.42578125" style="222"/>
    <col min="2520" max="2520" width="4.42578125" style="222" customWidth="1"/>
    <col min="2521" max="2521" width="11.42578125" style="222"/>
    <col min="2522" max="2522" width="13.7109375" style="222" bestFit="1" customWidth="1"/>
    <col min="2523" max="2523" width="4.42578125" style="222" customWidth="1"/>
    <col min="2524" max="2525" width="11.42578125" style="222"/>
    <col min="2526" max="2526" width="4.42578125" style="222" customWidth="1"/>
    <col min="2527" max="2527" width="14.28515625" style="222" customWidth="1"/>
    <col min="2528" max="2528" width="11.7109375" style="222" bestFit="1" customWidth="1"/>
    <col min="2529" max="2529" width="4.42578125" style="222" customWidth="1"/>
    <col min="2530" max="2530" width="12.42578125" style="222" bestFit="1" customWidth="1"/>
    <col min="2531" max="2531" width="15" style="222" customWidth="1"/>
    <col min="2532" max="2532" width="4.42578125" style="222" customWidth="1"/>
    <col min="2533" max="2534" width="11.42578125" style="222"/>
    <col min="2535" max="2535" width="4.42578125" style="222" customWidth="1"/>
    <col min="2536" max="2536" width="13.7109375" style="222" customWidth="1"/>
    <col min="2537" max="2537" width="11.5703125" style="222" bestFit="1" customWidth="1"/>
    <col min="2538" max="2538" width="4.42578125" style="222" customWidth="1"/>
    <col min="2539" max="2540" width="11.85546875" style="222" bestFit="1" customWidth="1"/>
    <col min="2541" max="2541" width="4.42578125" style="222" customWidth="1"/>
    <col min="2542" max="2542" width="11.5703125" style="222" bestFit="1" customWidth="1"/>
    <col min="2543" max="2543" width="13" style="222" bestFit="1" customWidth="1"/>
    <col min="2544" max="2544" width="4.42578125" style="222" customWidth="1"/>
    <col min="2545" max="2546" width="11.5703125" style="222" bestFit="1" customWidth="1"/>
    <col min="2547" max="2547" width="4.5703125" style="222" customWidth="1"/>
    <col min="2548" max="2548" width="11.85546875" style="222" bestFit="1" customWidth="1"/>
    <col min="2549" max="2549" width="12.7109375" style="222" bestFit="1" customWidth="1"/>
    <col min="2550" max="2550" width="15" style="222" customWidth="1"/>
    <col min="2551" max="2551" width="18.140625" style="222" customWidth="1"/>
    <col min="2552" max="2768" width="11.42578125" style="222"/>
    <col min="2769" max="2769" width="14.140625" style="222" customWidth="1"/>
    <col min="2770" max="2770" width="4.42578125" style="222" customWidth="1"/>
    <col min="2771" max="2771" width="12" style="222" customWidth="1"/>
    <col min="2772" max="2772" width="11.42578125" style="222"/>
    <col min="2773" max="2773" width="4.42578125" style="222" customWidth="1"/>
    <col min="2774" max="2775" width="11.42578125" style="222"/>
    <col min="2776" max="2776" width="4.42578125" style="222" customWidth="1"/>
    <col min="2777" max="2777" width="11.42578125" style="222"/>
    <col min="2778" max="2778" width="13.7109375" style="222" bestFit="1" customWidth="1"/>
    <col min="2779" max="2779" width="4.42578125" style="222" customWidth="1"/>
    <col min="2780" max="2781" width="11.42578125" style="222"/>
    <col min="2782" max="2782" width="4.42578125" style="222" customWidth="1"/>
    <col min="2783" max="2783" width="14.28515625" style="222" customWidth="1"/>
    <col min="2784" max="2784" width="11.7109375" style="222" bestFit="1" customWidth="1"/>
    <col min="2785" max="2785" width="4.42578125" style="222" customWidth="1"/>
    <col min="2786" max="2786" width="12.42578125" style="222" bestFit="1" customWidth="1"/>
    <col min="2787" max="2787" width="15" style="222" customWidth="1"/>
    <col min="2788" max="2788" width="4.42578125" style="222" customWidth="1"/>
    <col min="2789" max="2790" width="11.42578125" style="222"/>
    <col min="2791" max="2791" width="4.42578125" style="222" customWidth="1"/>
    <col min="2792" max="2792" width="13.7109375" style="222" customWidth="1"/>
    <col min="2793" max="2793" width="11.5703125" style="222" bestFit="1" customWidth="1"/>
    <col min="2794" max="2794" width="4.42578125" style="222" customWidth="1"/>
    <col min="2795" max="2796" width="11.85546875" style="222" bestFit="1" customWidth="1"/>
    <col min="2797" max="2797" width="4.42578125" style="222" customWidth="1"/>
    <col min="2798" max="2798" width="11.5703125" style="222" bestFit="1" customWidth="1"/>
    <col min="2799" max="2799" width="13" style="222" bestFit="1" customWidth="1"/>
    <col min="2800" max="2800" width="4.42578125" style="222" customWidth="1"/>
    <col min="2801" max="2802" width="11.5703125" style="222" bestFit="1" customWidth="1"/>
    <col min="2803" max="2803" width="4.5703125" style="222" customWidth="1"/>
    <col min="2804" max="2804" width="11.85546875" style="222" bestFit="1" customWidth="1"/>
    <col min="2805" max="2805" width="12.7109375" style="222" bestFit="1" customWidth="1"/>
    <col min="2806" max="2806" width="15" style="222" customWidth="1"/>
    <col min="2807" max="2807" width="18.140625" style="222" customWidth="1"/>
    <col min="2808" max="3024" width="11.42578125" style="222"/>
    <col min="3025" max="3025" width="14.140625" style="222" customWidth="1"/>
    <col min="3026" max="3026" width="4.42578125" style="222" customWidth="1"/>
    <col min="3027" max="3027" width="12" style="222" customWidth="1"/>
    <col min="3028" max="3028" width="11.42578125" style="222"/>
    <col min="3029" max="3029" width="4.42578125" style="222" customWidth="1"/>
    <col min="3030" max="3031" width="11.42578125" style="222"/>
    <col min="3032" max="3032" width="4.42578125" style="222" customWidth="1"/>
    <col min="3033" max="3033" width="11.42578125" style="222"/>
    <col min="3034" max="3034" width="13.7109375" style="222" bestFit="1" customWidth="1"/>
    <col min="3035" max="3035" width="4.42578125" style="222" customWidth="1"/>
    <col min="3036" max="3037" width="11.42578125" style="222"/>
    <col min="3038" max="3038" width="4.42578125" style="222" customWidth="1"/>
    <col min="3039" max="3039" width="14.28515625" style="222" customWidth="1"/>
    <col min="3040" max="3040" width="11.7109375" style="222" bestFit="1" customWidth="1"/>
    <col min="3041" max="3041" width="4.42578125" style="222" customWidth="1"/>
    <col min="3042" max="3042" width="12.42578125" style="222" bestFit="1" customWidth="1"/>
    <col min="3043" max="3043" width="15" style="222" customWidth="1"/>
    <col min="3044" max="3044" width="4.42578125" style="222" customWidth="1"/>
    <col min="3045" max="3046" width="11.42578125" style="222"/>
    <col min="3047" max="3047" width="4.42578125" style="222" customWidth="1"/>
    <col min="3048" max="3048" width="13.7109375" style="222" customWidth="1"/>
    <col min="3049" max="3049" width="11.5703125" style="222" bestFit="1" customWidth="1"/>
    <col min="3050" max="3050" width="4.42578125" style="222" customWidth="1"/>
    <col min="3051" max="3052" width="11.85546875" style="222" bestFit="1" customWidth="1"/>
    <col min="3053" max="3053" width="4.42578125" style="222" customWidth="1"/>
    <col min="3054" max="3054" width="11.5703125" style="222" bestFit="1" customWidth="1"/>
    <col min="3055" max="3055" width="13" style="222" bestFit="1" customWidth="1"/>
    <col min="3056" max="3056" width="4.42578125" style="222" customWidth="1"/>
    <col min="3057" max="3058" width="11.5703125" style="222" bestFit="1" customWidth="1"/>
    <col min="3059" max="3059" width="4.5703125" style="222" customWidth="1"/>
    <col min="3060" max="3060" width="11.85546875" style="222" bestFit="1" customWidth="1"/>
    <col min="3061" max="3061" width="12.7109375" style="222" bestFit="1" customWidth="1"/>
    <col min="3062" max="3062" width="15" style="222" customWidth="1"/>
    <col min="3063" max="3063" width="18.140625" style="222" customWidth="1"/>
    <col min="3064" max="3280" width="11.42578125" style="222"/>
    <col min="3281" max="3281" width="14.140625" style="222" customWidth="1"/>
    <col min="3282" max="3282" width="4.42578125" style="222" customWidth="1"/>
    <col min="3283" max="3283" width="12" style="222" customWidth="1"/>
    <col min="3284" max="3284" width="11.42578125" style="222"/>
    <col min="3285" max="3285" width="4.42578125" style="222" customWidth="1"/>
    <col min="3286" max="3287" width="11.42578125" style="222"/>
    <col min="3288" max="3288" width="4.42578125" style="222" customWidth="1"/>
    <col min="3289" max="3289" width="11.42578125" style="222"/>
    <col min="3290" max="3290" width="13.7109375" style="222" bestFit="1" customWidth="1"/>
    <col min="3291" max="3291" width="4.42578125" style="222" customWidth="1"/>
    <col min="3292" max="3293" width="11.42578125" style="222"/>
    <col min="3294" max="3294" width="4.42578125" style="222" customWidth="1"/>
    <col min="3295" max="3295" width="14.28515625" style="222" customWidth="1"/>
    <col min="3296" max="3296" width="11.7109375" style="222" bestFit="1" customWidth="1"/>
    <col min="3297" max="3297" width="4.42578125" style="222" customWidth="1"/>
    <col min="3298" max="3298" width="12.42578125" style="222" bestFit="1" customWidth="1"/>
    <col min="3299" max="3299" width="15" style="222" customWidth="1"/>
    <col min="3300" max="3300" width="4.42578125" style="222" customWidth="1"/>
    <col min="3301" max="3302" width="11.42578125" style="222"/>
    <col min="3303" max="3303" width="4.42578125" style="222" customWidth="1"/>
    <col min="3304" max="3304" width="13.7109375" style="222" customWidth="1"/>
    <col min="3305" max="3305" width="11.5703125" style="222" bestFit="1" customWidth="1"/>
    <col min="3306" max="3306" width="4.42578125" style="222" customWidth="1"/>
    <col min="3307" max="3308" width="11.85546875" style="222" bestFit="1" customWidth="1"/>
    <col min="3309" max="3309" width="4.42578125" style="222" customWidth="1"/>
    <col min="3310" max="3310" width="11.5703125" style="222" bestFit="1" customWidth="1"/>
    <col min="3311" max="3311" width="13" style="222" bestFit="1" customWidth="1"/>
    <col min="3312" max="3312" width="4.42578125" style="222" customWidth="1"/>
    <col min="3313" max="3314" width="11.5703125" style="222" bestFit="1" customWidth="1"/>
    <col min="3315" max="3315" width="4.5703125" style="222" customWidth="1"/>
    <col min="3316" max="3316" width="11.85546875" style="222" bestFit="1" customWidth="1"/>
    <col min="3317" max="3317" width="12.7109375" style="222" bestFit="1" customWidth="1"/>
    <col min="3318" max="3318" width="15" style="222" customWidth="1"/>
    <col min="3319" max="3319" width="18.140625" style="222" customWidth="1"/>
    <col min="3320" max="3536" width="11.42578125" style="222"/>
    <col min="3537" max="3537" width="14.140625" style="222" customWidth="1"/>
    <col min="3538" max="3538" width="4.42578125" style="222" customWidth="1"/>
    <col min="3539" max="3539" width="12" style="222" customWidth="1"/>
    <col min="3540" max="3540" width="11.42578125" style="222"/>
    <col min="3541" max="3541" width="4.42578125" style="222" customWidth="1"/>
    <col min="3542" max="3543" width="11.42578125" style="222"/>
    <col min="3544" max="3544" width="4.42578125" style="222" customWidth="1"/>
    <col min="3545" max="3545" width="11.42578125" style="222"/>
    <col min="3546" max="3546" width="13.7109375" style="222" bestFit="1" customWidth="1"/>
    <col min="3547" max="3547" width="4.42578125" style="222" customWidth="1"/>
    <col min="3548" max="3549" width="11.42578125" style="222"/>
    <col min="3550" max="3550" width="4.42578125" style="222" customWidth="1"/>
    <col min="3551" max="3551" width="14.28515625" style="222" customWidth="1"/>
    <col min="3552" max="3552" width="11.7109375" style="222" bestFit="1" customWidth="1"/>
    <col min="3553" max="3553" width="4.42578125" style="222" customWidth="1"/>
    <col min="3554" max="3554" width="12.42578125" style="222" bestFit="1" customWidth="1"/>
    <col min="3555" max="3555" width="15" style="222" customWidth="1"/>
    <col min="3556" max="3556" width="4.42578125" style="222" customWidth="1"/>
    <col min="3557" max="3558" width="11.42578125" style="222"/>
    <col min="3559" max="3559" width="4.42578125" style="222" customWidth="1"/>
    <col min="3560" max="3560" width="13.7109375" style="222" customWidth="1"/>
    <col min="3561" max="3561" width="11.5703125" style="222" bestFit="1" customWidth="1"/>
    <col min="3562" max="3562" width="4.42578125" style="222" customWidth="1"/>
    <col min="3563" max="3564" width="11.85546875" style="222" bestFit="1" customWidth="1"/>
    <col min="3565" max="3565" width="4.42578125" style="222" customWidth="1"/>
    <col min="3566" max="3566" width="11.5703125" style="222" bestFit="1" customWidth="1"/>
    <col min="3567" max="3567" width="13" style="222" bestFit="1" customWidth="1"/>
    <col min="3568" max="3568" width="4.42578125" style="222" customWidth="1"/>
    <col min="3569" max="3570" width="11.5703125" style="222" bestFit="1" customWidth="1"/>
    <col min="3571" max="3571" width="4.5703125" style="222" customWidth="1"/>
    <col min="3572" max="3572" width="11.85546875" style="222" bestFit="1" customWidth="1"/>
    <col min="3573" max="3573" width="12.7109375" style="222" bestFit="1" customWidth="1"/>
    <col min="3574" max="3574" width="15" style="222" customWidth="1"/>
    <col min="3575" max="3575" width="18.140625" style="222" customWidth="1"/>
    <col min="3576" max="3792" width="11.42578125" style="222"/>
    <col min="3793" max="3793" width="14.140625" style="222" customWidth="1"/>
    <col min="3794" max="3794" width="4.42578125" style="222" customWidth="1"/>
    <col min="3795" max="3795" width="12" style="222" customWidth="1"/>
    <col min="3796" max="3796" width="11.42578125" style="222"/>
    <col min="3797" max="3797" width="4.42578125" style="222" customWidth="1"/>
    <col min="3798" max="3799" width="11.42578125" style="222"/>
    <col min="3800" max="3800" width="4.42578125" style="222" customWidth="1"/>
    <col min="3801" max="3801" width="11.42578125" style="222"/>
    <col min="3802" max="3802" width="13.7109375" style="222" bestFit="1" customWidth="1"/>
    <col min="3803" max="3803" width="4.42578125" style="222" customWidth="1"/>
    <col min="3804" max="3805" width="11.42578125" style="222"/>
    <col min="3806" max="3806" width="4.42578125" style="222" customWidth="1"/>
    <col min="3807" max="3807" width="14.28515625" style="222" customWidth="1"/>
    <col min="3808" max="3808" width="11.7109375" style="222" bestFit="1" customWidth="1"/>
    <col min="3809" max="3809" width="4.42578125" style="222" customWidth="1"/>
    <col min="3810" max="3810" width="12.42578125" style="222" bestFit="1" customWidth="1"/>
    <col min="3811" max="3811" width="15" style="222" customWidth="1"/>
    <col min="3812" max="3812" width="4.42578125" style="222" customWidth="1"/>
    <col min="3813" max="3814" width="11.42578125" style="222"/>
    <col min="3815" max="3815" width="4.42578125" style="222" customWidth="1"/>
    <col min="3816" max="3816" width="13.7109375" style="222" customWidth="1"/>
    <col min="3817" max="3817" width="11.5703125" style="222" bestFit="1" customWidth="1"/>
    <col min="3818" max="3818" width="4.42578125" style="222" customWidth="1"/>
    <col min="3819" max="3820" width="11.85546875" style="222" bestFit="1" customWidth="1"/>
    <col min="3821" max="3821" width="4.42578125" style="222" customWidth="1"/>
    <col min="3822" max="3822" width="11.5703125" style="222" bestFit="1" customWidth="1"/>
    <col min="3823" max="3823" width="13" style="222" bestFit="1" customWidth="1"/>
    <col min="3824" max="3824" width="4.42578125" style="222" customWidth="1"/>
    <col min="3825" max="3826" width="11.5703125" style="222" bestFit="1" customWidth="1"/>
    <col min="3827" max="3827" width="4.5703125" style="222" customWidth="1"/>
    <col min="3828" max="3828" width="11.85546875" style="222" bestFit="1" customWidth="1"/>
    <col min="3829" max="3829" width="12.7109375" style="222" bestFit="1" customWidth="1"/>
    <col min="3830" max="3830" width="15" style="222" customWidth="1"/>
    <col min="3831" max="3831" width="18.140625" style="222" customWidth="1"/>
    <col min="3832" max="4048" width="11.42578125" style="222"/>
    <col min="4049" max="4049" width="14.140625" style="222" customWidth="1"/>
    <col min="4050" max="4050" width="4.42578125" style="222" customWidth="1"/>
    <col min="4051" max="4051" width="12" style="222" customWidth="1"/>
    <col min="4052" max="4052" width="11.42578125" style="222"/>
    <col min="4053" max="4053" width="4.42578125" style="222" customWidth="1"/>
    <col min="4054" max="4055" width="11.42578125" style="222"/>
    <col min="4056" max="4056" width="4.42578125" style="222" customWidth="1"/>
    <col min="4057" max="4057" width="11.42578125" style="222"/>
    <col min="4058" max="4058" width="13.7109375" style="222" bestFit="1" customWidth="1"/>
    <col min="4059" max="4059" width="4.42578125" style="222" customWidth="1"/>
    <col min="4060" max="4061" width="11.42578125" style="222"/>
    <col min="4062" max="4062" width="4.42578125" style="222" customWidth="1"/>
    <col min="4063" max="4063" width="14.28515625" style="222" customWidth="1"/>
    <col min="4064" max="4064" width="11.7109375" style="222" bestFit="1" customWidth="1"/>
    <col min="4065" max="4065" width="4.42578125" style="222" customWidth="1"/>
    <col min="4066" max="4066" width="12.42578125" style="222" bestFit="1" customWidth="1"/>
    <col min="4067" max="4067" width="15" style="222" customWidth="1"/>
    <col min="4068" max="4068" width="4.42578125" style="222" customWidth="1"/>
    <col min="4069" max="4070" width="11.42578125" style="222"/>
    <col min="4071" max="4071" width="4.42578125" style="222" customWidth="1"/>
    <col min="4072" max="4072" width="13.7109375" style="222" customWidth="1"/>
    <col min="4073" max="4073" width="11.5703125" style="222" bestFit="1" customWidth="1"/>
    <col min="4074" max="4074" width="4.42578125" style="222" customWidth="1"/>
    <col min="4075" max="4076" width="11.85546875" style="222" bestFit="1" customWidth="1"/>
    <col min="4077" max="4077" width="4.42578125" style="222" customWidth="1"/>
    <col min="4078" max="4078" width="11.5703125" style="222" bestFit="1" customWidth="1"/>
    <col min="4079" max="4079" width="13" style="222" bestFit="1" customWidth="1"/>
    <col min="4080" max="4080" width="4.42578125" style="222" customWidth="1"/>
    <col min="4081" max="4082" width="11.5703125" style="222" bestFit="1" customWidth="1"/>
    <col min="4083" max="4083" width="4.5703125" style="222" customWidth="1"/>
    <col min="4084" max="4084" width="11.85546875" style="222" bestFit="1" customWidth="1"/>
    <col min="4085" max="4085" width="12.7109375" style="222" bestFit="1" customWidth="1"/>
    <col min="4086" max="4086" width="15" style="222" customWidth="1"/>
    <col min="4087" max="4087" width="18.140625" style="222" customWidth="1"/>
    <col min="4088" max="4304" width="11.42578125" style="222"/>
    <col min="4305" max="4305" width="14.140625" style="222" customWidth="1"/>
    <col min="4306" max="4306" width="4.42578125" style="222" customWidth="1"/>
    <col min="4307" max="4307" width="12" style="222" customWidth="1"/>
    <col min="4308" max="4308" width="11.42578125" style="222"/>
    <col min="4309" max="4309" width="4.42578125" style="222" customWidth="1"/>
    <col min="4310" max="4311" width="11.42578125" style="222"/>
    <col min="4312" max="4312" width="4.42578125" style="222" customWidth="1"/>
    <col min="4313" max="4313" width="11.42578125" style="222"/>
    <col min="4314" max="4314" width="13.7109375" style="222" bestFit="1" customWidth="1"/>
    <col min="4315" max="4315" width="4.42578125" style="222" customWidth="1"/>
    <col min="4316" max="4317" width="11.42578125" style="222"/>
    <col min="4318" max="4318" width="4.42578125" style="222" customWidth="1"/>
    <col min="4319" max="4319" width="14.28515625" style="222" customWidth="1"/>
    <col min="4320" max="4320" width="11.7109375" style="222" bestFit="1" customWidth="1"/>
    <col min="4321" max="4321" width="4.42578125" style="222" customWidth="1"/>
    <col min="4322" max="4322" width="12.42578125" style="222" bestFit="1" customWidth="1"/>
    <col min="4323" max="4323" width="15" style="222" customWidth="1"/>
    <col min="4324" max="4324" width="4.42578125" style="222" customWidth="1"/>
    <col min="4325" max="4326" width="11.42578125" style="222"/>
    <col min="4327" max="4327" width="4.42578125" style="222" customWidth="1"/>
    <col min="4328" max="4328" width="13.7109375" style="222" customWidth="1"/>
    <col min="4329" max="4329" width="11.5703125" style="222" bestFit="1" customWidth="1"/>
    <col min="4330" max="4330" width="4.42578125" style="222" customWidth="1"/>
    <col min="4331" max="4332" width="11.85546875" style="222" bestFit="1" customWidth="1"/>
    <col min="4333" max="4333" width="4.42578125" style="222" customWidth="1"/>
    <col min="4334" max="4334" width="11.5703125" style="222" bestFit="1" customWidth="1"/>
    <col min="4335" max="4335" width="13" style="222" bestFit="1" customWidth="1"/>
    <col min="4336" max="4336" width="4.42578125" style="222" customWidth="1"/>
    <col min="4337" max="4338" width="11.5703125" style="222" bestFit="1" customWidth="1"/>
    <col min="4339" max="4339" width="4.5703125" style="222" customWidth="1"/>
    <col min="4340" max="4340" width="11.85546875" style="222" bestFit="1" customWidth="1"/>
    <col min="4341" max="4341" width="12.7109375" style="222" bestFit="1" customWidth="1"/>
    <col min="4342" max="4342" width="15" style="222" customWidth="1"/>
    <col min="4343" max="4343" width="18.140625" style="222" customWidth="1"/>
    <col min="4344" max="4560" width="11.42578125" style="222"/>
    <col min="4561" max="4561" width="14.140625" style="222" customWidth="1"/>
    <col min="4562" max="4562" width="4.42578125" style="222" customWidth="1"/>
    <col min="4563" max="4563" width="12" style="222" customWidth="1"/>
    <col min="4564" max="4564" width="11.42578125" style="222"/>
    <col min="4565" max="4565" width="4.42578125" style="222" customWidth="1"/>
    <col min="4566" max="4567" width="11.42578125" style="222"/>
    <col min="4568" max="4568" width="4.42578125" style="222" customWidth="1"/>
    <col min="4569" max="4569" width="11.42578125" style="222"/>
    <col min="4570" max="4570" width="13.7109375" style="222" bestFit="1" customWidth="1"/>
    <col min="4571" max="4571" width="4.42578125" style="222" customWidth="1"/>
    <col min="4572" max="4573" width="11.42578125" style="222"/>
    <col min="4574" max="4574" width="4.42578125" style="222" customWidth="1"/>
    <col min="4575" max="4575" width="14.28515625" style="222" customWidth="1"/>
    <col min="4576" max="4576" width="11.7109375" style="222" bestFit="1" customWidth="1"/>
    <col min="4577" max="4577" width="4.42578125" style="222" customWidth="1"/>
    <col min="4578" max="4578" width="12.42578125" style="222" bestFit="1" customWidth="1"/>
    <col min="4579" max="4579" width="15" style="222" customWidth="1"/>
    <col min="4580" max="4580" width="4.42578125" style="222" customWidth="1"/>
    <col min="4581" max="4582" width="11.42578125" style="222"/>
    <col min="4583" max="4583" width="4.42578125" style="222" customWidth="1"/>
    <col min="4584" max="4584" width="13.7109375" style="222" customWidth="1"/>
    <col min="4585" max="4585" width="11.5703125" style="222" bestFit="1" customWidth="1"/>
    <col min="4586" max="4586" width="4.42578125" style="222" customWidth="1"/>
    <col min="4587" max="4588" width="11.85546875" style="222" bestFit="1" customWidth="1"/>
    <col min="4589" max="4589" width="4.42578125" style="222" customWidth="1"/>
    <col min="4590" max="4590" width="11.5703125" style="222" bestFit="1" customWidth="1"/>
    <col min="4591" max="4591" width="13" style="222" bestFit="1" customWidth="1"/>
    <col min="4592" max="4592" width="4.42578125" style="222" customWidth="1"/>
    <col min="4593" max="4594" width="11.5703125" style="222" bestFit="1" customWidth="1"/>
    <col min="4595" max="4595" width="4.5703125" style="222" customWidth="1"/>
    <col min="4596" max="4596" width="11.85546875" style="222" bestFit="1" customWidth="1"/>
    <col min="4597" max="4597" width="12.7109375" style="222" bestFit="1" customWidth="1"/>
    <col min="4598" max="4598" width="15" style="222" customWidth="1"/>
    <col min="4599" max="4599" width="18.140625" style="222" customWidth="1"/>
    <col min="4600" max="4816" width="11.42578125" style="222"/>
    <col min="4817" max="4817" width="14.140625" style="222" customWidth="1"/>
    <col min="4818" max="4818" width="4.42578125" style="222" customWidth="1"/>
    <col min="4819" max="4819" width="12" style="222" customWidth="1"/>
    <col min="4820" max="4820" width="11.42578125" style="222"/>
    <col min="4821" max="4821" width="4.42578125" style="222" customWidth="1"/>
    <col min="4822" max="4823" width="11.42578125" style="222"/>
    <col min="4824" max="4824" width="4.42578125" style="222" customWidth="1"/>
    <col min="4825" max="4825" width="11.42578125" style="222"/>
    <col min="4826" max="4826" width="13.7109375" style="222" bestFit="1" customWidth="1"/>
    <col min="4827" max="4827" width="4.42578125" style="222" customWidth="1"/>
    <col min="4828" max="4829" width="11.42578125" style="222"/>
    <col min="4830" max="4830" width="4.42578125" style="222" customWidth="1"/>
    <col min="4831" max="4831" width="14.28515625" style="222" customWidth="1"/>
    <col min="4832" max="4832" width="11.7109375" style="222" bestFit="1" customWidth="1"/>
    <col min="4833" max="4833" width="4.42578125" style="222" customWidth="1"/>
    <col min="4834" max="4834" width="12.42578125" style="222" bestFit="1" customWidth="1"/>
    <col min="4835" max="4835" width="15" style="222" customWidth="1"/>
    <col min="4836" max="4836" width="4.42578125" style="222" customWidth="1"/>
    <col min="4837" max="4838" width="11.42578125" style="222"/>
    <col min="4839" max="4839" width="4.42578125" style="222" customWidth="1"/>
    <col min="4840" max="4840" width="13.7109375" style="222" customWidth="1"/>
    <col min="4841" max="4841" width="11.5703125" style="222" bestFit="1" customWidth="1"/>
    <col min="4842" max="4842" width="4.42578125" style="222" customWidth="1"/>
    <col min="4843" max="4844" width="11.85546875" style="222" bestFit="1" customWidth="1"/>
    <col min="4845" max="4845" width="4.42578125" style="222" customWidth="1"/>
    <col min="4846" max="4846" width="11.5703125" style="222" bestFit="1" customWidth="1"/>
    <col min="4847" max="4847" width="13" style="222" bestFit="1" customWidth="1"/>
    <col min="4848" max="4848" width="4.42578125" style="222" customWidth="1"/>
    <col min="4849" max="4850" width="11.5703125" style="222" bestFit="1" customWidth="1"/>
    <col min="4851" max="4851" width="4.5703125" style="222" customWidth="1"/>
    <col min="4852" max="4852" width="11.85546875" style="222" bestFit="1" customWidth="1"/>
    <col min="4853" max="4853" width="12.7109375" style="222" bestFit="1" customWidth="1"/>
    <col min="4854" max="4854" width="15" style="222" customWidth="1"/>
    <col min="4855" max="4855" width="18.140625" style="222" customWidth="1"/>
    <col min="4856" max="5072" width="11.42578125" style="222"/>
    <col min="5073" max="5073" width="14.140625" style="222" customWidth="1"/>
    <col min="5074" max="5074" width="4.42578125" style="222" customWidth="1"/>
    <col min="5075" max="5075" width="12" style="222" customWidth="1"/>
    <col min="5076" max="5076" width="11.42578125" style="222"/>
    <col min="5077" max="5077" width="4.42578125" style="222" customWidth="1"/>
    <col min="5078" max="5079" width="11.42578125" style="222"/>
    <col min="5080" max="5080" width="4.42578125" style="222" customWidth="1"/>
    <col min="5081" max="5081" width="11.42578125" style="222"/>
    <col min="5082" max="5082" width="13.7109375" style="222" bestFit="1" customWidth="1"/>
    <col min="5083" max="5083" width="4.42578125" style="222" customWidth="1"/>
    <col min="5084" max="5085" width="11.42578125" style="222"/>
    <col min="5086" max="5086" width="4.42578125" style="222" customWidth="1"/>
    <col min="5087" max="5087" width="14.28515625" style="222" customWidth="1"/>
    <col min="5088" max="5088" width="11.7109375" style="222" bestFit="1" customWidth="1"/>
    <col min="5089" max="5089" width="4.42578125" style="222" customWidth="1"/>
    <col min="5090" max="5090" width="12.42578125" style="222" bestFit="1" customWidth="1"/>
    <col min="5091" max="5091" width="15" style="222" customWidth="1"/>
    <col min="5092" max="5092" width="4.42578125" style="222" customWidth="1"/>
    <col min="5093" max="5094" width="11.42578125" style="222"/>
    <col min="5095" max="5095" width="4.42578125" style="222" customWidth="1"/>
    <col min="5096" max="5096" width="13.7109375" style="222" customWidth="1"/>
    <col min="5097" max="5097" width="11.5703125" style="222" bestFit="1" customWidth="1"/>
    <col min="5098" max="5098" width="4.42578125" style="222" customWidth="1"/>
    <col min="5099" max="5100" width="11.85546875" style="222" bestFit="1" customWidth="1"/>
    <col min="5101" max="5101" width="4.42578125" style="222" customWidth="1"/>
    <col min="5102" max="5102" width="11.5703125" style="222" bestFit="1" customWidth="1"/>
    <col min="5103" max="5103" width="13" style="222" bestFit="1" customWidth="1"/>
    <col min="5104" max="5104" width="4.42578125" style="222" customWidth="1"/>
    <col min="5105" max="5106" width="11.5703125" style="222" bestFit="1" customWidth="1"/>
    <col min="5107" max="5107" width="4.5703125" style="222" customWidth="1"/>
    <col min="5108" max="5108" width="11.85546875" style="222" bestFit="1" customWidth="1"/>
    <col min="5109" max="5109" width="12.7109375" style="222" bestFit="1" customWidth="1"/>
    <col min="5110" max="5110" width="15" style="222" customWidth="1"/>
    <col min="5111" max="5111" width="18.140625" style="222" customWidth="1"/>
    <col min="5112" max="5328" width="11.42578125" style="222"/>
    <col min="5329" max="5329" width="14.140625" style="222" customWidth="1"/>
    <col min="5330" max="5330" width="4.42578125" style="222" customWidth="1"/>
    <col min="5331" max="5331" width="12" style="222" customWidth="1"/>
    <col min="5332" max="5332" width="11.42578125" style="222"/>
    <col min="5333" max="5333" width="4.42578125" style="222" customWidth="1"/>
    <col min="5334" max="5335" width="11.42578125" style="222"/>
    <col min="5336" max="5336" width="4.42578125" style="222" customWidth="1"/>
    <col min="5337" max="5337" width="11.42578125" style="222"/>
    <col min="5338" max="5338" width="13.7109375" style="222" bestFit="1" customWidth="1"/>
    <col min="5339" max="5339" width="4.42578125" style="222" customWidth="1"/>
    <col min="5340" max="5341" width="11.42578125" style="222"/>
    <col min="5342" max="5342" width="4.42578125" style="222" customWidth="1"/>
    <col min="5343" max="5343" width="14.28515625" style="222" customWidth="1"/>
    <col min="5344" max="5344" width="11.7109375" style="222" bestFit="1" customWidth="1"/>
    <col min="5345" max="5345" width="4.42578125" style="222" customWidth="1"/>
    <col min="5346" max="5346" width="12.42578125" style="222" bestFit="1" customWidth="1"/>
    <col min="5347" max="5347" width="15" style="222" customWidth="1"/>
    <col min="5348" max="5348" width="4.42578125" style="222" customWidth="1"/>
    <col min="5349" max="5350" width="11.42578125" style="222"/>
    <col min="5351" max="5351" width="4.42578125" style="222" customWidth="1"/>
    <col min="5352" max="5352" width="13.7109375" style="222" customWidth="1"/>
    <col min="5353" max="5353" width="11.5703125" style="222" bestFit="1" customWidth="1"/>
    <col min="5354" max="5354" width="4.42578125" style="222" customWidth="1"/>
    <col min="5355" max="5356" width="11.85546875" style="222" bestFit="1" customWidth="1"/>
    <col min="5357" max="5357" width="4.42578125" style="222" customWidth="1"/>
    <col min="5358" max="5358" width="11.5703125" style="222" bestFit="1" customWidth="1"/>
    <col min="5359" max="5359" width="13" style="222" bestFit="1" customWidth="1"/>
    <col min="5360" max="5360" width="4.42578125" style="222" customWidth="1"/>
    <col min="5361" max="5362" width="11.5703125" style="222" bestFit="1" customWidth="1"/>
    <col min="5363" max="5363" width="4.5703125" style="222" customWidth="1"/>
    <col min="5364" max="5364" width="11.85546875" style="222" bestFit="1" customWidth="1"/>
    <col min="5365" max="5365" width="12.7109375" style="222" bestFit="1" customWidth="1"/>
    <col min="5366" max="5366" width="15" style="222" customWidth="1"/>
    <col min="5367" max="5367" width="18.140625" style="222" customWidth="1"/>
    <col min="5368" max="5584" width="11.42578125" style="222"/>
    <col min="5585" max="5585" width="14.140625" style="222" customWidth="1"/>
    <col min="5586" max="5586" width="4.42578125" style="222" customWidth="1"/>
    <col min="5587" max="5587" width="12" style="222" customWidth="1"/>
    <col min="5588" max="5588" width="11.42578125" style="222"/>
    <col min="5589" max="5589" width="4.42578125" style="222" customWidth="1"/>
    <col min="5590" max="5591" width="11.42578125" style="222"/>
    <col min="5592" max="5592" width="4.42578125" style="222" customWidth="1"/>
    <col min="5593" max="5593" width="11.42578125" style="222"/>
    <col min="5594" max="5594" width="13.7109375" style="222" bestFit="1" customWidth="1"/>
    <col min="5595" max="5595" width="4.42578125" style="222" customWidth="1"/>
    <col min="5596" max="5597" width="11.42578125" style="222"/>
    <col min="5598" max="5598" width="4.42578125" style="222" customWidth="1"/>
    <col min="5599" max="5599" width="14.28515625" style="222" customWidth="1"/>
    <col min="5600" max="5600" width="11.7109375" style="222" bestFit="1" customWidth="1"/>
    <col min="5601" max="5601" width="4.42578125" style="222" customWidth="1"/>
    <col min="5602" max="5602" width="12.42578125" style="222" bestFit="1" customWidth="1"/>
    <col min="5603" max="5603" width="15" style="222" customWidth="1"/>
    <col min="5604" max="5604" width="4.42578125" style="222" customWidth="1"/>
    <col min="5605" max="5606" width="11.42578125" style="222"/>
    <col min="5607" max="5607" width="4.42578125" style="222" customWidth="1"/>
    <col min="5608" max="5608" width="13.7109375" style="222" customWidth="1"/>
    <col min="5609" max="5609" width="11.5703125" style="222" bestFit="1" customWidth="1"/>
    <col min="5610" max="5610" width="4.42578125" style="222" customWidth="1"/>
    <col min="5611" max="5612" width="11.85546875" style="222" bestFit="1" customWidth="1"/>
    <col min="5613" max="5613" width="4.42578125" style="222" customWidth="1"/>
    <col min="5614" max="5614" width="11.5703125" style="222" bestFit="1" customWidth="1"/>
    <col min="5615" max="5615" width="13" style="222" bestFit="1" customWidth="1"/>
    <col min="5616" max="5616" width="4.42578125" style="222" customWidth="1"/>
    <col min="5617" max="5618" width="11.5703125" style="222" bestFit="1" customWidth="1"/>
    <col min="5619" max="5619" width="4.5703125" style="222" customWidth="1"/>
    <col min="5620" max="5620" width="11.85546875" style="222" bestFit="1" customWidth="1"/>
    <col min="5621" max="5621" width="12.7109375" style="222" bestFit="1" customWidth="1"/>
    <col min="5622" max="5622" width="15" style="222" customWidth="1"/>
    <col min="5623" max="5623" width="18.140625" style="222" customWidth="1"/>
    <col min="5624" max="5840" width="11.42578125" style="222"/>
    <col min="5841" max="5841" width="14.140625" style="222" customWidth="1"/>
    <col min="5842" max="5842" width="4.42578125" style="222" customWidth="1"/>
    <col min="5843" max="5843" width="12" style="222" customWidth="1"/>
    <col min="5844" max="5844" width="11.42578125" style="222"/>
    <col min="5845" max="5845" width="4.42578125" style="222" customWidth="1"/>
    <col min="5846" max="5847" width="11.42578125" style="222"/>
    <col min="5848" max="5848" width="4.42578125" style="222" customWidth="1"/>
    <col min="5849" max="5849" width="11.42578125" style="222"/>
    <col min="5850" max="5850" width="13.7109375" style="222" bestFit="1" customWidth="1"/>
    <col min="5851" max="5851" width="4.42578125" style="222" customWidth="1"/>
    <col min="5852" max="5853" width="11.42578125" style="222"/>
    <col min="5854" max="5854" width="4.42578125" style="222" customWidth="1"/>
    <col min="5855" max="5855" width="14.28515625" style="222" customWidth="1"/>
    <col min="5856" max="5856" width="11.7109375" style="222" bestFit="1" customWidth="1"/>
    <col min="5857" max="5857" width="4.42578125" style="222" customWidth="1"/>
    <col min="5858" max="5858" width="12.42578125" style="222" bestFit="1" customWidth="1"/>
    <col min="5859" max="5859" width="15" style="222" customWidth="1"/>
    <col min="5860" max="5860" width="4.42578125" style="222" customWidth="1"/>
    <col min="5861" max="5862" width="11.42578125" style="222"/>
    <col min="5863" max="5863" width="4.42578125" style="222" customWidth="1"/>
    <col min="5864" max="5864" width="13.7109375" style="222" customWidth="1"/>
    <col min="5865" max="5865" width="11.5703125" style="222" bestFit="1" customWidth="1"/>
    <col min="5866" max="5866" width="4.42578125" style="222" customWidth="1"/>
    <col min="5867" max="5868" width="11.85546875" style="222" bestFit="1" customWidth="1"/>
    <col min="5869" max="5869" width="4.42578125" style="222" customWidth="1"/>
    <col min="5870" max="5870" width="11.5703125" style="222" bestFit="1" customWidth="1"/>
    <col min="5871" max="5871" width="13" style="222" bestFit="1" customWidth="1"/>
    <col min="5872" max="5872" width="4.42578125" style="222" customWidth="1"/>
    <col min="5873" max="5874" width="11.5703125" style="222" bestFit="1" customWidth="1"/>
    <col min="5875" max="5875" width="4.5703125" style="222" customWidth="1"/>
    <col min="5876" max="5876" width="11.85546875" style="222" bestFit="1" customWidth="1"/>
    <col min="5877" max="5877" width="12.7109375" style="222" bestFit="1" customWidth="1"/>
    <col min="5878" max="5878" width="15" style="222" customWidth="1"/>
    <col min="5879" max="5879" width="18.140625" style="222" customWidth="1"/>
    <col min="5880" max="6096" width="11.42578125" style="222"/>
    <col min="6097" max="6097" width="14.140625" style="222" customWidth="1"/>
    <col min="6098" max="6098" width="4.42578125" style="222" customWidth="1"/>
    <col min="6099" max="6099" width="12" style="222" customWidth="1"/>
    <col min="6100" max="6100" width="11.42578125" style="222"/>
    <col min="6101" max="6101" width="4.42578125" style="222" customWidth="1"/>
    <col min="6102" max="6103" width="11.42578125" style="222"/>
    <col min="6104" max="6104" width="4.42578125" style="222" customWidth="1"/>
    <col min="6105" max="6105" width="11.42578125" style="222"/>
    <col min="6106" max="6106" width="13.7109375" style="222" bestFit="1" customWidth="1"/>
    <col min="6107" max="6107" width="4.42578125" style="222" customWidth="1"/>
    <col min="6108" max="6109" width="11.42578125" style="222"/>
    <col min="6110" max="6110" width="4.42578125" style="222" customWidth="1"/>
    <col min="6111" max="6111" width="14.28515625" style="222" customWidth="1"/>
    <col min="6112" max="6112" width="11.7109375" style="222" bestFit="1" customWidth="1"/>
    <col min="6113" max="6113" width="4.42578125" style="222" customWidth="1"/>
    <col min="6114" max="6114" width="12.42578125" style="222" bestFit="1" customWidth="1"/>
    <col min="6115" max="6115" width="15" style="222" customWidth="1"/>
    <col min="6116" max="6116" width="4.42578125" style="222" customWidth="1"/>
    <col min="6117" max="6118" width="11.42578125" style="222"/>
    <col min="6119" max="6119" width="4.42578125" style="222" customWidth="1"/>
    <col min="6120" max="6120" width="13.7109375" style="222" customWidth="1"/>
    <col min="6121" max="6121" width="11.5703125" style="222" bestFit="1" customWidth="1"/>
    <col min="6122" max="6122" width="4.42578125" style="222" customWidth="1"/>
    <col min="6123" max="6124" width="11.85546875" style="222" bestFit="1" customWidth="1"/>
    <col min="6125" max="6125" width="4.42578125" style="222" customWidth="1"/>
    <col min="6126" max="6126" width="11.5703125" style="222" bestFit="1" customWidth="1"/>
    <col min="6127" max="6127" width="13" style="222" bestFit="1" customWidth="1"/>
    <col min="6128" max="6128" width="4.42578125" style="222" customWidth="1"/>
    <col min="6129" max="6130" width="11.5703125" style="222" bestFit="1" customWidth="1"/>
    <col min="6131" max="6131" width="4.5703125" style="222" customWidth="1"/>
    <col min="6132" max="6132" width="11.85546875" style="222" bestFit="1" customWidth="1"/>
    <col min="6133" max="6133" width="12.7109375" style="222" bestFit="1" customWidth="1"/>
    <col min="6134" max="6134" width="15" style="222" customWidth="1"/>
    <col min="6135" max="6135" width="18.140625" style="222" customWidth="1"/>
    <col min="6136" max="6352" width="11.42578125" style="222"/>
    <col min="6353" max="6353" width="14.140625" style="222" customWidth="1"/>
    <col min="6354" max="6354" width="4.42578125" style="222" customWidth="1"/>
    <col min="6355" max="6355" width="12" style="222" customWidth="1"/>
    <col min="6356" max="6356" width="11.42578125" style="222"/>
    <col min="6357" max="6357" width="4.42578125" style="222" customWidth="1"/>
    <col min="6358" max="6359" width="11.42578125" style="222"/>
    <col min="6360" max="6360" width="4.42578125" style="222" customWidth="1"/>
    <col min="6361" max="6361" width="11.42578125" style="222"/>
    <col min="6362" max="6362" width="13.7109375" style="222" bestFit="1" customWidth="1"/>
    <col min="6363" max="6363" width="4.42578125" style="222" customWidth="1"/>
    <col min="6364" max="6365" width="11.42578125" style="222"/>
    <col min="6366" max="6366" width="4.42578125" style="222" customWidth="1"/>
    <col min="6367" max="6367" width="14.28515625" style="222" customWidth="1"/>
    <col min="6368" max="6368" width="11.7109375" style="222" bestFit="1" customWidth="1"/>
    <col min="6369" max="6369" width="4.42578125" style="222" customWidth="1"/>
    <col min="6370" max="6370" width="12.42578125" style="222" bestFit="1" customWidth="1"/>
    <col min="6371" max="6371" width="15" style="222" customWidth="1"/>
    <col min="6372" max="6372" width="4.42578125" style="222" customWidth="1"/>
    <col min="6373" max="6374" width="11.42578125" style="222"/>
    <col min="6375" max="6375" width="4.42578125" style="222" customWidth="1"/>
    <col min="6376" max="6376" width="13.7109375" style="222" customWidth="1"/>
    <col min="6377" max="6377" width="11.5703125" style="222" bestFit="1" customWidth="1"/>
    <col min="6378" max="6378" width="4.42578125" style="222" customWidth="1"/>
    <col min="6379" max="6380" width="11.85546875" style="222" bestFit="1" customWidth="1"/>
    <col min="6381" max="6381" width="4.42578125" style="222" customWidth="1"/>
    <col min="6382" max="6382" width="11.5703125" style="222" bestFit="1" customWidth="1"/>
    <col min="6383" max="6383" width="13" style="222" bestFit="1" customWidth="1"/>
    <col min="6384" max="6384" width="4.42578125" style="222" customWidth="1"/>
    <col min="6385" max="6386" width="11.5703125" style="222" bestFit="1" customWidth="1"/>
    <col min="6387" max="6387" width="4.5703125" style="222" customWidth="1"/>
    <col min="6388" max="6388" width="11.85546875" style="222" bestFit="1" customWidth="1"/>
    <col min="6389" max="6389" width="12.7109375" style="222" bestFit="1" customWidth="1"/>
    <col min="6390" max="6390" width="15" style="222" customWidth="1"/>
    <col min="6391" max="6391" width="18.140625" style="222" customWidth="1"/>
    <col min="6392" max="6608" width="11.42578125" style="222"/>
    <col min="6609" max="6609" width="14.140625" style="222" customWidth="1"/>
    <col min="6610" max="6610" width="4.42578125" style="222" customWidth="1"/>
    <col min="6611" max="6611" width="12" style="222" customWidth="1"/>
    <col min="6612" max="6612" width="11.42578125" style="222"/>
    <col min="6613" max="6613" width="4.42578125" style="222" customWidth="1"/>
    <col min="6614" max="6615" width="11.42578125" style="222"/>
    <col min="6616" max="6616" width="4.42578125" style="222" customWidth="1"/>
    <col min="6617" max="6617" width="11.42578125" style="222"/>
    <col min="6618" max="6618" width="13.7109375" style="222" bestFit="1" customWidth="1"/>
    <col min="6619" max="6619" width="4.42578125" style="222" customWidth="1"/>
    <col min="6620" max="6621" width="11.42578125" style="222"/>
    <col min="6622" max="6622" width="4.42578125" style="222" customWidth="1"/>
    <col min="6623" max="6623" width="14.28515625" style="222" customWidth="1"/>
    <col min="6624" max="6624" width="11.7109375" style="222" bestFit="1" customWidth="1"/>
    <col min="6625" max="6625" width="4.42578125" style="222" customWidth="1"/>
    <col min="6626" max="6626" width="12.42578125" style="222" bestFit="1" customWidth="1"/>
    <col min="6627" max="6627" width="15" style="222" customWidth="1"/>
    <col min="6628" max="6628" width="4.42578125" style="222" customWidth="1"/>
    <col min="6629" max="6630" width="11.42578125" style="222"/>
    <col min="6631" max="6631" width="4.42578125" style="222" customWidth="1"/>
    <col min="6632" max="6632" width="13.7109375" style="222" customWidth="1"/>
    <col min="6633" max="6633" width="11.5703125" style="222" bestFit="1" customWidth="1"/>
    <col min="6634" max="6634" width="4.42578125" style="222" customWidth="1"/>
    <col min="6635" max="6636" width="11.85546875" style="222" bestFit="1" customWidth="1"/>
    <col min="6637" max="6637" width="4.42578125" style="222" customWidth="1"/>
    <col min="6638" max="6638" width="11.5703125" style="222" bestFit="1" customWidth="1"/>
    <col min="6639" max="6639" width="13" style="222" bestFit="1" customWidth="1"/>
    <col min="6640" max="6640" width="4.42578125" style="222" customWidth="1"/>
    <col min="6641" max="6642" width="11.5703125" style="222" bestFit="1" customWidth="1"/>
    <col min="6643" max="6643" width="4.5703125" style="222" customWidth="1"/>
    <col min="6644" max="6644" width="11.85546875" style="222" bestFit="1" customWidth="1"/>
    <col min="6645" max="6645" width="12.7109375" style="222" bestFit="1" customWidth="1"/>
    <col min="6646" max="6646" width="15" style="222" customWidth="1"/>
    <col min="6647" max="6647" width="18.140625" style="222" customWidth="1"/>
    <col min="6648" max="6864" width="11.42578125" style="222"/>
    <col min="6865" max="6865" width="14.140625" style="222" customWidth="1"/>
    <col min="6866" max="6866" width="4.42578125" style="222" customWidth="1"/>
    <col min="6867" max="6867" width="12" style="222" customWidth="1"/>
    <col min="6868" max="6868" width="11.42578125" style="222"/>
    <col min="6869" max="6869" width="4.42578125" style="222" customWidth="1"/>
    <col min="6870" max="6871" width="11.42578125" style="222"/>
    <col min="6872" max="6872" width="4.42578125" style="222" customWidth="1"/>
    <col min="6873" max="6873" width="11.42578125" style="222"/>
    <col min="6874" max="6874" width="13.7109375" style="222" bestFit="1" customWidth="1"/>
    <col min="6875" max="6875" width="4.42578125" style="222" customWidth="1"/>
    <col min="6876" max="6877" width="11.42578125" style="222"/>
    <col min="6878" max="6878" width="4.42578125" style="222" customWidth="1"/>
    <col min="6879" max="6879" width="14.28515625" style="222" customWidth="1"/>
    <col min="6880" max="6880" width="11.7109375" style="222" bestFit="1" customWidth="1"/>
    <col min="6881" max="6881" width="4.42578125" style="222" customWidth="1"/>
    <col min="6882" max="6882" width="12.42578125" style="222" bestFit="1" customWidth="1"/>
    <col min="6883" max="6883" width="15" style="222" customWidth="1"/>
    <col min="6884" max="6884" width="4.42578125" style="222" customWidth="1"/>
    <col min="6885" max="6886" width="11.42578125" style="222"/>
    <col min="6887" max="6887" width="4.42578125" style="222" customWidth="1"/>
    <col min="6888" max="6888" width="13.7109375" style="222" customWidth="1"/>
    <col min="6889" max="6889" width="11.5703125" style="222" bestFit="1" customWidth="1"/>
    <col min="6890" max="6890" width="4.42578125" style="222" customWidth="1"/>
    <col min="6891" max="6892" width="11.85546875" style="222" bestFit="1" customWidth="1"/>
    <col min="6893" max="6893" width="4.42578125" style="222" customWidth="1"/>
    <col min="6894" max="6894" width="11.5703125" style="222" bestFit="1" customWidth="1"/>
    <col min="6895" max="6895" width="13" style="222" bestFit="1" customWidth="1"/>
    <col min="6896" max="6896" width="4.42578125" style="222" customWidth="1"/>
    <col min="6897" max="6898" width="11.5703125" style="222" bestFit="1" customWidth="1"/>
    <col min="6899" max="6899" width="4.5703125" style="222" customWidth="1"/>
    <col min="6900" max="6900" width="11.85546875" style="222" bestFit="1" customWidth="1"/>
    <col min="6901" max="6901" width="12.7109375" style="222" bestFit="1" customWidth="1"/>
    <col min="6902" max="6902" width="15" style="222" customWidth="1"/>
    <col min="6903" max="6903" width="18.140625" style="222" customWidth="1"/>
    <col min="6904" max="7120" width="11.42578125" style="222"/>
    <col min="7121" max="7121" width="14.140625" style="222" customWidth="1"/>
    <col min="7122" max="7122" width="4.42578125" style="222" customWidth="1"/>
    <col min="7123" max="7123" width="12" style="222" customWidth="1"/>
    <col min="7124" max="7124" width="11.42578125" style="222"/>
    <col min="7125" max="7125" width="4.42578125" style="222" customWidth="1"/>
    <col min="7126" max="7127" width="11.42578125" style="222"/>
    <col min="7128" max="7128" width="4.42578125" style="222" customWidth="1"/>
    <col min="7129" max="7129" width="11.42578125" style="222"/>
    <col min="7130" max="7130" width="13.7109375" style="222" bestFit="1" customWidth="1"/>
    <col min="7131" max="7131" width="4.42578125" style="222" customWidth="1"/>
    <col min="7132" max="7133" width="11.42578125" style="222"/>
    <col min="7134" max="7134" width="4.42578125" style="222" customWidth="1"/>
    <col min="7135" max="7135" width="14.28515625" style="222" customWidth="1"/>
    <col min="7136" max="7136" width="11.7109375" style="222" bestFit="1" customWidth="1"/>
    <col min="7137" max="7137" width="4.42578125" style="222" customWidth="1"/>
    <col min="7138" max="7138" width="12.42578125" style="222" bestFit="1" customWidth="1"/>
    <col min="7139" max="7139" width="15" style="222" customWidth="1"/>
    <col min="7140" max="7140" width="4.42578125" style="222" customWidth="1"/>
    <col min="7141" max="7142" width="11.42578125" style="222"/>
    <col min="7143" max="7143" width="4.42578125" style="222" customWidth="1"/>
    <col min="7144" max="7144" width="13.7109375" style="222" customWidth="1"/>
    <col min="7145" max="7145" width="11.5703125" style="222" bestFit="1" customWidth="1"/>
    <col min="7146" max="7146" width="4.42578125" style="222" customWidth="1"/>
    <col min="7147" max="7148" width="11.85546875" style="222" bestFit="1" customWidth="1"/>
    <col min="7149" max="7149" width="4.42578125" style="222" customWidth="1"/>
    <col min="7150" max="7150" width="11.5703125" style="222" bestFit="1" customWidth="1"/>
    <col min="7151" max="7151" width="13" style="222" bestFit="1" customWidth="1"/>
    <col min="7152" max="7152" width="4.42578125" style="222" customWidth="1"/>
    <col min="7153" max="7154" width="11.5703125" style="222" bestFit="1" customWidth="1"/>
    <col min="7155" max="7155" width="4.5703125" style="222" customWidth="1"/>
    <col min="7156" max="7156" width="11.85546875" style="222" bestFit="1" customWidth="1"/>
    <col min="7157" max="7157" width="12.7109375" style="222" bestFit="1" customWidth="1"/>
    <col min="7158" max="7158" width="15" style="222" customWidth="1"/>
    <col min="7159" max="7159" width="18.140625" style="222" customWidth="1"/>
    <col min="7160" max="7376" width="11.42578125" style="222"/>
    <col min="7377" max="7377" width="14.140625" style="222" customWidth="1"/>
    <col min="7378" max="7378" width="4.42578125" style="222" customWidth="1"/>
    <col min="7379" max="7379" width="12" style="222" customWidth="1"/>
    <col min="7380" max="7380" width="11.42578125" style="222"/>
    <col min="7381" max="7381" width="4.42578125" style="222" customWidth="1"/>
    <col min="7382" max="7383" width="11.42578125" style="222"/>
    <col min="7384" max="7384" width="4.42578125" style="222" customWidth="1"/>
    <col min="7385" max="7385" width="11.42578125" style="222"/>
    <col min="7386" max="7386" width="13.7109375" style="222" bestFit="1" customWidth="1"/>
    <col min="7387" max="7387" width="4.42578125" style="222" customWidth="1"/>
    <col min="7388" max="7389" width="11.42578125" style="222"/>
    <col min="7390" max="7390" width="4.42578125" style="222" customWidth="1"/>
    <col min="7391" max="7391" width="14.28515625" style="222" customWidth="1"/>
    <col min="7392" max="7392" width="11.7109375" style="222" bestFit="1" customWidth="1"/>
    <col min="7393" max="7393" width="4.42578125" style="222" customWidth="1"/>
    <col min="7394" max="7394" width="12.42578125" style="222" bestFit="1" customWidth="1"/>
    <col min="7395" max="7395" width="15" style="222" customWidth="1"/>
    <col min="7396" max="7396" width="4.42578125" style="222" customWidth="1"/>
    <col min="7397" max="7398" width="11.42578125" style="222"/>
    <col min="7399" max="7399" width="4.42578125" style="222" customWidth="1"/>
    <col min="7400" max="7400" width="13.7109375" style="222" customWidth="1"/>
    <col min="7401" max="7401" width="11.5703125" style="222" bestFit="1" customWidth="1"/>
    <col min="7402" max="7402" width="4.42578125" style="222" customWidth="1"/>
    <col min="7403" max="7404" width="11.85546875" style="222" bestFit="1" customWidth="1"/>
    <col min="7405" max="7405" width="4.42578125" style="222" customWidth="1"/>
    <col min="7406" max="7406" width="11.5703125" style="222" bestFit="1" customWidth="1"/>
    <col min="7407" max="7407" width="13" style="222" bestFit="1" customWidth="1"/>
    <col min="7408" max="7408" width="4.42578125" style="222" customWidth="1"/>
    <col min="7409" max="7410" width="11.5703125" style="222" bestFit="1" customWidth="1"/>
    <col min="7411" max="7411" width="4.5703125" style="222" customWidth="1"/>
    <col min="7412" max="7412" width="11.85546875" style="222" bestFit="1" customWidth="1"/>
    <col min="7413" max="7413" width="12.7109375" style="222" bestFit="1" customWidth="1"/>
    <col min="7414" max="7414" width="15" style="222" customWidth="1"/>
    <col min="7415" max="7415" width="18.140625" style="222" customWidth="1"/>
    <col min="7416" max="7632" width="11.42578125" style="222"/>
    <col min="7633" max="7633" width="14.140625" style="222" customWidth="1"/>
    <col min="7634" max="7634" width="4.42578125" style="222" customWidth="1"/>
    <col min="7635" max="7635" width="12" style="222" customWidth="1"/>
    <col min="7636" max="7636" width="11.42578125" style="222"/>
    <col min="7637" max="7637" width="4.42578125" style="222" customWidth="1"/>
    <col min="7638" max="7639" width="11.42578125" style="222"/>
    <col min="7640" max="7640" width="4.42578125" style="222" customWidth="1"/>
    <col min="7641" max="7641" width="11.42578125" style="222"/>
    <col min="7642" max="7642" width="13.7109375" style="222" bestFit="1" customWidth="1"/>
    <col min="7643" max="7643" width="4.42578125" style="222" customWidth="1"/>
    <col min="7644" max="7645" width="11.42578125" style="222"/>
    <col min="7646" max="7646" width="4.42578125" style="222" customWidth="1"/>
    <col min="7647" max="7647" width="14.28515625" style="222" customWidth="1"/>
    <col min="7648" max="7648" width="11.7109375" style="222" bestFit="1" customWidth="1"/>
    <col min="7649" max="7649" width="4.42578125" style="222" customWidth="1"/>
    <col min="7650" max="7650" width="12.42578125" style="222" bestFit="1" customWidth="1"/>
    <col min="7651" max="7651" width="15" style="222" customWidth="1"/>
    <col min="7652" max="7652" width="4.42578125" style="222" customWidth="1"/>
    <col min="7653" max="7654" width="11.42578125" style="222"/>
    <col min="7655" max="7655" width="4.42578125" style="222" customWidth="1"/>
    <col min="7656" max="7656" width="13.7109375" style="222" customWidth="1"/>
    <col min="7657" max="7657" width="11.5703125" style="222" bestFit="1" customWidth="1"/>
    <col min="7658" max="7658" width="4.42578125" style="222" customWidth="1"/>
    <col min="7659" max="7660" width="11.85546875" style="222" bestFit="1" customWidth="1"/>
    <col min="7661" max="7661" width="4.42578125" style="222" customWidth="1"/>
    <col min="7662" max="7662" width="11.5703125" style="222" bestFit="1" customWidth="1"/>
    <col min="7663" max="7663" width="13" style="222" bestFit="1" customWidth="1"/>
    <col min="7664" max="7664" width="4.42578125" style="222" customWidth="1"/>
    <col min="7665" max="7666" width="11.5703125" style="222" bestFit="1" customWidth="1"/>
    <col min="7667" max="7667" width="4.5703125" style="222" customWidth="1"/>
    <col min="7668" max="7668" width="11.85546875" style="222" bestFit="1" customWidth="1"/>
    <col min="7669" max="7669" width="12.7109375" style="222" bestFit="1" customWidth="1"/>
    <col min="7670" max="7670" width="15" style="222" customWidth="1"/>
    <col min="7671" max="7671" width="18.140625" style="222" customWidth="1"/>
    <col min="7672" max="7888" width="11.42578125" style="222"/>
    <col min="7889" max="7889" width="14.140625" style="222" customWidth="1"/>
    <col min="7890" max="7890" width="4.42578125" style="222" customWidth="1"/>
    <col min="7891" max="7891" width="12" style="222" customWidth="1"/>
    <col min="7892" max="7892" width="11.42578125" style="222"/>
    <col min="7893" max="7893" width="4.42578125" style="222" customWidth="1"/>
    <col min="7894" max="7895" width="11.42578125" style="222"/>
    <col min="7896" max="7896" width="4.42578125" style="222" customWidth="1"/>
    <col min="7897" max="7897" width="11.42578125" style="222"/>
    <col min="7898" max="7898" width="13.7109375" style="222" bestFit="1" customWidth="1"/>
    <col min="7899" max="7899" width="4.42578125" style="222" customWidth="1"/>
    <col min="7900" max="7901" width="11.42578125" style="222"/>
    <col min="7902" max="7902" width="4.42578125" style="222" customWidth="1"/>
    <col min="7903" max="7903" width="14.28515625" style="222" customWidth="1"/>
    <col min="7904" max="7904" width="11.7109375" style="222" bestFit="1" customWidth="1"/>
    <col min="7905" max="7905" width="4.42578125" style="222" customWidth="1"/>
    <col min="7906" max="7906" width="12.42578125" style="222" bestFit="1" customWidth="1"/>
    <col min="7907" max="7907" width="15" style="222" customWidth="1"/>
    <col min="7908" max="7908" width="4.42578125" style="222" customWidth="1"/>
    <col min="7909" max="7910" width="11.42578125" style="222"/>
    <col min="7911" max="7911" width="4.42578125" style="222" customWidth="1"/>
    <col min="7912" max="7912" width="13.7109375" style="222" customWidth="1"/>
    <col min="7913" max="7913" width="11.5703125" style="222" bestFit="1" customWidth="1"/>
    <col min="7914" max="7914" width="4.42578125" style="222" customWidth="1"/>
    <col min="7915" max="7916" width="11.85546875" style="222" bestFit="1" customWidth="1"/>
    <col min="7917" max="7917" width="4.42578125" style="222" customWidth="1"/>
    <col min="7918" max="7918" width="11.5703125" style="222" bestFit="1" customWidth="1"/>
    <col min="7919" max="7919" width="13" style="222" bestFit="1" customWidth="1"/>
    <col min="7920" max="7920" width="4.42578125" style="222" customWidth="1"/>
    <col min="7921" max="7922" width="11.5703125" style="222" bestFit="1" customWidth="1"/>
    <col min="7923" max="7923" width="4.5703125" style="222" customWidth="1"/>
    <col min="7924" max="7924" width="11.85546875" style="222" bestFit="1" customWidth="1"/>
    <col min="7925" max="7925" width="12.7109375" style="222" bestFit="1" customWidth="1"/>
    <col min="7926" max="7926" width="15" style="222" customWidth="1"/>
    <col min="7927" max="7927" width="18.140625" style="222" customWidth="1"/>
    <col min="7928" max="8144" width="11.42578125" style="222"/>
    <col min="8145" max="8145" width="14.140625" style="222" customWidth="1"/>
    <col min="8146" max="8146" width="4.42578125" style="222" customWidth="1"/>
    <col min="8147" max="8147" width="12" style="222" customWidth="1"/>
    <col min="8148" max="8148" width="11.42578125" style="222"/>
    <col min="8149" max="8149" width="4.42578125" style="222" customWidth="1"/>
    <col min="8150" max="8151" width="11.42578125" style="222"/>
    <col min="8152" max="8152" width="4.42578125" style="222" customWidth="1"/>
    <col min="8153" max="8153" width="11.42578125" style="222"/>
    <col min="8154" max="8154" width="13.7109375" style="222" bestFit="1" customWidth="1"/>
    <col min="8155" max="8155" width="4.42578125" style="222" customWidth="1"/>
    <col min="8156" max="8157" width="11.42578125" style="222"/>
    <col min="8158" max="8158" width="4.42578125" style="222" customWidth="1"/>
    <col min="8159" max="8159" width="14.28515625" style="222" customWidth="1"/>
    <col min="8160" max="8160" width="11.7109375" style="222" bestFit="1" customWidth="1"/>
    <col min="8161" max="8161" width="4.42578125" style="222" customWidth="1"/>
    <col min="8162" max="8162" width="12.42578125" style="222" bestFit="1" customWidth="1"/>
    <col min="8163" max="8163" width="15" style="222" customWidth="1"/>
    <col min="8164" max="8164" width="4.42578125" style="222" customWidth="1"/>
    <col min="8165" max="8166" width="11.42578125" style="222"/>
    <col min="8167" max="8167" width="4.42578125" style="222" customWidth="1"/>
    <col min="8168" max="8168" width="13.7109375" style="222" customWidth="1"/>
    <col min="8169" max="8169" width="11.5703125" style="222" bestFit="1" customWidth="1"/>
    <col min="8170" max="8170" width="4.42578125" style="222" customWidth="1"/>
    <col min="8171" max="8172" width="11.85546875" style="222" bestFit="1" customWidth="1"/>
    <col min="8173" max="8173" width="4.42578125" style="222" customWidth="1"/>
    <col min="8174" max="8174" width="11.5703125" style="222" bestFit="1" customWidth="1"/>
    <col min="8175" max="8175" width="13" style="222" bestFit="1" customWidth="1"/>
    <col min="8176" max="8176" width="4.42578125" style="222" customWidth="1"/>
    <col min="8177" max="8178" width="11.5703125" style="222" bestFit="1" customWidth="1"/>
    <col min="8179" max="8179" width="4.5703125" style="222" customWidth="1"/>
    <col min="8180" max="8180" width="11.85546875" style="222" bestFit="1" customWidth="1"/>
    <col min="8181" max="8181" width="12.7109375" style="222" bestFit="1" customWidth="1"/>
    <col min="8182" max="8182" width="15" style="222" customWidth="1"/>
    <col min="8183" max="8183" width="18.140625" style="222" customWidth="1"/>
    <col min="8184" max="8400" width="11.42578125" style="222"/>
    <col min="8401" max="8401" width="14.140625" style="222" customWidth="1"/>
    <col min="8402" max="8402" width="4.42578125" style="222" customWidth="1"/>
    <col min="8403" max="8403" width="12" style="222" customWidth="1"/>
    <col min="8404" max="8404" width="11.42578125" style="222"/>
    <col min="8405" max="8405" width="4.42578125" style="222" customWidth="1"/>
    <col min="8406" max="8407" width="11.42578125" style="222"/>
    <col min="8408" max="8408" width="4.42578125" style="222" customWidth="1"/>
    <col min="8409" max="8409" width="11.42578125" style="222"/>
    <col min="8410" max="8410" width="13.7109375" style="222" bestFit="1" customWidth="1"/>
    <col min="8411" max="8411" width="4.42578125" style="222" customWidth="1"/>
    <col min="8412" max="8413" width="11.42578125" style="222"/>
    <col min="8414" max="8414" width="4.42578125" style="222" customWidth="1"/>
    <col min="8415" max="8415" width="14.28515625" style="222" customWidth="1"/>
    <col min="8416" max="8416" width="11.7109375" style="222" bestFit="1" customWidth="1"/>
    <col min="8417" max="8417" width="4.42578125" style="222" customWidth="1"/>
    <col min="8418" max="8418" width="12.42578125" style="222" bestFit="1" customWidth="1"/>
    <col min="8419" max="8419" width="15" style="222" customWidth="1"/>
    <col min="8420" max="8420" width="4.42578125" style="222" customWidth="1"/>
    <col min="8421" max="8422" width="11.42578125" style="222"/>
    <col min="8423" max="8423" width="4.42578125" style="222" customWidth="1"/>
    <col min="8424" max="8424" width="13.7109375" style="222" customWidth="1"/>
    <col min="8425" max="8425" width="11.5703125" style="222" bestFit="1" customWidth="1"/>
    <col min="8426" max="8426" width="4.42578125" style="222" customWidth="1"/>
    <col min="8427" max="8428" width="11.85546875" style="222" bestFit="1" customWidth="1"/>
    <col min="8429" max="8429" width="4.42578125" style="222" customWidth="1"/>
    <col min="8430" max="8430" width="11.5703125" style="222" bestFit="1" customWidth="1"/>
    <col min="8431" max="8431" width="13" style="222" bestFit="1" customWidth="1"/>
    <col min="8432" max="8432" width="4.42578125" style="222" customWidth="1"/>
    <col min="8433" max="8434" width="11.5703125" style="222" bestFit="1" customWidth="1"/>
    <col min="8435" max="8435" width="4.5703125" style="222" customWidth="1"/>
    <col min="8436" max="8436" width="11.85546875" style="222" bestFit="1" customWidth="1"/>
    <col min="8437" max="8437" width="12.7109375" style="222" bestFit="1" customWidth="1"/>
    <col min="8438" max="8438" width="15" style="222" customWidth="1"/>
    <col min="8439" max="8439" width="18.140625" style="222" customWidth="1"/>
    <col min="8440" max="8656" width="11.42578125" style="222"/>
    <col min="8657" max="8657" width="14.140625" style="222" customWidth="1"/>
    <col min="8658" max="8658" width="4.42578125" style="222" customWidth="1"/>
    <col min="8659" max="8659" width="12" style="222" customWidth="1"/>
    <col min="8660" max="8660" width="11.42578125" style="222"/>
    <col min="8661" max="8661" width="4.42578125" style="222" customWidth="1"/>
    <col min="8662" max="8663" width="11.42578125" style="222"/>
    <col min="8664" max="8664" width="4.42578125" style="222" customWidth="1"/>
    <col min="8665" max="8665" width="11.42578125" style="222"/>
    <col min="8666" max="8666" width="13.7109375" style="222" bestFit="1" customWidth="1"/>
    <col min="8667" max="8667" width="4.42578125" style="222" customWidth="1"/>
    <col min="8668" max="8669" width="11.42578125" style="222"/>
    <col min="8670" max="8670" width="4.42578125" style="222" customWidth="1"/>
    <col min="8671" max="8671" width="14.28515625" style="222" customWidth="1"/>
    <col min="8672" max="8672" width="11.7109375" style="222" bestFit="1" customWidth="1"/>
    <col min="8673" max="8673" width="4.42578125" style="222" customWidth="1"/>
    <col min="8674" max="8674" width="12.42578125" style="222" bestFit="1" customWidth="1"/>
    <col min="8675" max="8675" width="15" style="222" customWidth="1"/>
    <col min="8676" max="8676" width="4.42578125" style="222" customWidth="1"/>
    <col min="8677" max="8678" width="11.42578125" style="222"/>
    <col min="8679" max="8679" width="4.42578125" style="222" customWidth="1"/>
    <col min="8680" max="8680" width="13.7109375" style="222" customWidth="1"/>
    <col min="8681" max="8681" width="11.5703125" style="222" bestFit="1" customWidth="1"/>
    <col min="8682" max="8682" width="4.42578125" style="222" customWidth="1"/>
    <col min="8683" max="8684" width="11.85546875" style="222" bestFit="1" customWidth="1"/>
    <col min="8685" max="8685" width="4.42578125" style="222" customWidth="1"/>
    <col min="8686" max="8686" width="11.5703125" style="222" bestFit="1" customWidth="1"/>
    <col min="8687" max="8687" width="13" style="222" bestFit="1" customWidth="1"/>
    <col min="8688" max="8688" width="4.42578125" style="222" customWidth="1"/>
    <col min="8689" max="8690" width="11.5703125" style="222" bestFit="1" customWidth="1"/>
    <col min="8691" max="8691" width="4.5703125" style="222" customWidth="1"/>
    <col min="8692" max="8692" width="11.85546875" style="222" bestFit="1" customWidth="1"/>
    <col min="8693" max="8693" width="12.7109375" style="222" bestFit="1" customWidth="1"/>
    <col min="8694" max="8694" width="15" style="222" customWidth="1"/>
    <col min="8695" max="8695" width="18.140625" style="222" customWidth="1"/>
    <col min="8696" max="8912" width="11.42578125" style="222"/>
    <col min="8913" max="8913" width="14.140625" style="222" customWidth="1"/>
    <col min="8914" max="8914" width="4.42578125" style="222" customWidth="1"/>
    <col min="8915" max="8915" width="12" style="222" customWidth="1"/>
    <col min="8916" max="8916" width="11.42578125" style="222"/>
    <col min="8917" max="8917" width="4.42578125" style="222" customWidth="1"/>
    <col min="8918" max="8919" width="11.42578125" style="222"/>
    <col min="8920" max="8920" width="4.42578125" style="222" customWidth="1"/>
    <col min="8921" max="8921" width="11.42578125" style="222"/>
    <col min="8922" max="8922" width="13.7109375" style="222" bestFit="1" customWidth="1"/>
    <col min="8923" max="8923" width="4.42578125" style="222" customWidth="1"/>
    <col min="8924" max="8925" width="11.42578125" style="222"/>
    <col min="8926" max="8926" width="4.42578125" style="222" customWidth="1"/>
    <col min="8927" max="8927" width="14.28515625" style="222" customWidth="1"/>
    <col min="8928" max="8928" width="11.7109375" style="222" bestFit="1" customWidth="1"/>
    <col min="8929" max="8929" width="4.42578125" style="222" customWidth="1"/>
    <col min="8930" max="8930" width="12.42578125" style="222" bestFit="1" customWidth="1"/>
    <col min="8931" max="8931" width="15" style="222" customWidth="1"/>
    <col min="8932" max="8932" width="4.42578125" style="222" customWidth="1"/>
    <col min="8933" max="8934" width="11.42578125" style="222"/>
    <col min="8935" max="8935" width="4.42578125" style="222" customWidth="1"/>
    <col min="8936" max="8936" width="13.7109375" style="222" customWidth="1"/>
    <col min="8937" max="8937" width="11.5703125" style="222" bestFit="1" customWidth="1"/>
    <col min="8938" max="8938" width="4.42578125" style="222" customWidth="1"/>
    <col min="8939" max="8940" width="11.85546875" style="222" bestFit="1" customWidth="1"/>
    <col min="8941" max="8941" width="4.42578125" style="222" customWidth="1"/>
    <col min="8942" max="8942" width="11.5703125" style="222" bestFit="1" customWidth="1"/>
    <col min="8943" max="8943" width="13" style="222" bestFit="1" customWidth="1"/>
    <col min="8944" max="8944" width="4.42578125" style="222" customWidth="1"/>
    <col min="8945" max="8946" width="11.5703125" style="222" bestFit="1" customWidth="1"/>
    <col min="8947" max="8947" width="4.5703125" style="222" customWidth="1"/>
    <col min="8948" max="8948" width="11.85546875" style="222" bestFit="1" customWidth="1"/>
    <col min="8949" max="8949" width="12.7109375" style="222" bestFit="1" customWidth="1"/>
    <col min="8950" max="8950" width="15" style="222" customWidth="1"/>
    <col min="8951" max="8951" width="18.140625" style="222" customWidth="1"/>
    <col min="8952" max="9168" width="11.42578125" style="222"/>
    <col min="9169" max="9169" width="14.140625" style="222" customWidth="1"/>
    <col min="9170" max="9170" width="4.42578125" style="222" customWidth="1"/>
    <col min="9171" max="9171" width="12" style="222" customWidth="1"/>
    <col min="9172" max="9172" width="11.42578125" style="222"/>
    <col min="9173" max="9173" width="4.42578125" style="222" customWidth="1"/>
    <col min="9174" max="9175" width="11.42578125" style="222"/>
    <col min="9176" max="9176" width="4.42578125" style="222" customWidth="1"/>
    <col min="9177" max="9177" width="11.42578125" style="222"/>
    <col min="9178" max="9178" width="13.7109375" style="222" bestFit="1" customWidth="1"/>
    <col min="9179" max="9179" width="4.42578125" style="222" customWidth="1"/>
    <col min="9180" max="9181" width="11.42578125" style="222"/>
    <col min="9182" max="9182" width="4.42578125" style="222" customWidth="1"/>
    <col min="9183" max="9183" width="14.28515625" style="222" customWidth="1"/>
    <col min="9184" max="9184" width="11.7109375" style="222" bestFit="1" customWidth="1"/>
    <col min="9185" max="9185" width="4.42578125" style="222" customWidth="1"/>
    <col min="9186" max="9186" width="12.42578125" style="222" bestFit="1" customWidth="1"/>
    <col min="9187" max="9187" width="15" style="222" customWidth="1"/>
    <col min="9188" max="9188" width="4.42578125" style="222" customWidth="1"/>
    <col min="9189" max="9190" width="11.42578125" style="222"/>
    <col min="9191" max="9191" width="4.42578125" style="222" customWidth="1"/>
    <col min="9192" max="9192" width="13.7109375" style="222" customWidth="1"/>
    <col min="9193" max="9193" width="11.5703125" style="222" bestFit="1" customWidth="1"/>
    <col min="9194" max="9194" width="4.42578125" style="222" customWidth="1"/>
    <col min="9195" max="9196" width="11.85546875" style="222" bestFit="1" customWidth="1"/>
    <col min="9197" max="9197" width="4.42578125" style="222" customWidth="1"/>
    <col min="9198" max="9198" width="11.5703125" style="222" bestFit="1" customWidth="1"/>
    <col min="9199" max="9199" width="13" style="222" bestFit="1" customWidth="1"/>
    <col min="9200" max="9200" width="4.42578125" style="222" customWidth="1"/>
    <col min="9201" max="9202" width="11.5703125" style="222" bestFit="1" customWidth="1"/>
    <col min="9203" max="9203" width="4.5703125" style="222" customWidth="1"/>
    <col min="9204" max="9204" width="11.85546875" style="222" bestFit="1" customWidth="1"/>
    <col min="9205" max="9205" width="12.7109375" style="222" bestFit="1" customWidth="1"/>
    <col min="9206" max="9206" width="15" style="222" customWidth="1"/>
    <col min="9207" max="9207" width="18.140625" style="222" customWidth="1"/>
    <col min="9208" max="9424" width="11.42578125" style="222"/>
    <col min="9425" max="9425" width="14.140625" style="222" customWidth="1"/>
    <col min="9426" max="9426" width="4.42578125" style="222" customWidth="1"/>
    <col min="9427" max="9427" width="12" style="222" customWidth="1"/>
    <col min="9428" max="9428" width="11.42578125" style="222"/>
    <col min="9429" max="9429" width="4.42578125" style="222" customWidth="1"/>
    <col min="9430" max="9431" width="11.42578125" style="222"/>
    <col min="9432" max="9432" width="4.42578125" style="222" customWidth="1"/>
    <col min="9433" max="9433" width="11.42578125" style="222"/>
    <col min="9434" max="9434" width="13.7109375" style="222" bestFit="1" customWidth="1"/>
    <col min="9435" max="9435" width="4.42578125" style="222" customWidth="1"/>
    <col min="9436" max="9437" width="11.42578125" style="222"/>
    <col min="9438" max="9438" width="4.42578125" style="222" customWidth="1"/>
    <col min="9439" max="9439" width="14.28515625" style="222" customWidth="1"/>
    <col min="9440" max="9440" width="11.7109375" style="222" bestFit="1" customWidth="1"/>
    <col min="9441" max="9441" width="4.42578125" style="222" customWidth="1"/>
    <col min="9442" max="9442" width="12.42578125" style="222" bestFit="1" customWidth="1"/>
    <col min="9443" max="9443" width="15" style="222" customWidth="1"/>
    <col min="9444" max="9444" width="4.42578125" style="222" customWidth="1"/>
    <col min="9445" max="9446" width="11.42578125" style="222"/>
    <col min="9447" max="9447" width="4.42578125" style="222" customWidth="1"/>
    <col min="9448" max="9448" width="13.7109375" style="222" customWidth="1"/>
    <col min="9449" max="9449" width="11.5703125" style="222" bestFit="1" customWidth="1"/>
    <col min="9450" max="9450" width="4.42578125" style="222" customWidth="1"/>
    <col min="9451" max="9452" width="11.85546875" style="222" bestFit="1" customWidth="1"/>
    <col min="9453" max="9453" width="4.42578125" style="222" customWidth="1"/>
    <col min="9454" max="9454" width="11.5703125" style="222" bestFit="1" customWidth="1"/>
    <col min="9455" max="9455" width="13" style="222" bestFit="1" customWidth="1"/>
    <col min="9456" max="9456" width="4.42578125" style="222" customWidth="1"/>
    <col min="9457" max="9458" width="11.5703125" style="222" bestFit="1" customWidth="1"/>
    <col min="9459" max="9459" width="4.5703125" style="222" customWidth="1"/>
    <col min="9460" max="9460" width="11.85546875" style="222" bestFit="1" customWidth="1"/>
    <col min="9461" max="9461" width="12.7109375" style="222" bestFit="1" customWidth="1"/>
    <col min="9462" max="9462" width="15" style="222" customWidth="1"/>
    <col min="9463" max="9463" width="18.140625" style="222" customWidth="1"/>
    <col min="9464" max="9680" width="11.42578125" style="222"/>
    <col min="9681" max="9681" width="14.140625" style="222" customWidth="1"/>
    <col min="9682" max="9682" width="4.42578125" style="222" customWidth="1"/>
    <col min="9683" max="9683" width="12" style="222" customWidth="1"/>
    <col min="9684" max="9684" width="11.42578125" style="222"/>
    <col min="9685" max="9685" width="4.42578125" style="222" customWidth="1"/>
    <col min="9686" max="9687" width="11.42578125" style="222"/>
    <col min="9688" max="9688" width="4.42578125" style="222" customWidth="1"/>
    <col min="9689" max="9689" width="11.42578125" style="222"/>
    <col min="9690" max="9690" width="13.7109375" style="222" bestFit="1" customWidth="1"/>
    <col min="9691" max="9691" width="4.42578125" style="222" customWidth="1"/>
    <col min="9692" max="9693" width="11.42578125" style="222"/>
    <col min="9694" max="9694" width="4.42578125" style="222" customWidth="1"/>
    <col min="9695" max="9695" width="14.28515625" style="222" customWidth="1"/>
    <col min="9696" max="9696" width="11.7109375" style="222" bestFit="1" customWidth="1"/>
    <col min="9697" max="9697" width="4.42578125" style="222" customWidth="1"/>
    <col min="9698" max="9698" width="12.42578125" style="222" bestFit="1" customWidth="1"/>
    <col min="9699" max="9699" width="15" style="222" customWidth="1"/>
    <col min="9700" max="9700" width="4.42578125" style="222" customWidth="1"/>
    <col min="9701" max="9702" width="11.42578125" style="222"/>
    <col min="9703" max="9703" width="4.42578125" style="222" customWidth="1"/>
    <col min="9704" max="9704" width="13.7109375" style="222" customWidth="1"/>
    <col min="9705" max="9705" width="11.5703125" style="222" bestFit="1" customWidth="1"/>
    <col min="9706" max="9706" width="4.42578125" style="222" customWidth="1"/>
    <col min="9707" max="9708" width="11.85546875" style="222" bestFit="1" customWidth="1"/>
    <col min="9709" max="9709" width="4.42578125" style="222" customWidth="1"/>
    <col min="9710" max="9710" width="11.5703125" style="222" bestFit="1" customWidth="1"/>
    <col min="9711" max="9711" width="13" style="222" bestFit="1" customWidth="1"/>
    <col min="9712" max="9712" width="4.42578125" style="222" customWidth="1"/>
    <col min="9713" max="9714" width="11.5703125" style="222" bestFit="1" customWidth="1"/>
    <col min="9715" max="9715" width="4.5703125" style="222" customWidth="1"/>
    <col min="9716" max="9716" width="11.85546875" style="222" bestFit="1" customWidth="1"/>
    <col min="9717" max="9717" width="12.7109375" style="222" bestFit="1" customWidth="1"/>
    <col min="9718" max="9718" width="15" style="222" customWidth="1"/>
    <col min="9719" max="9719" width="18.140625" style="222" customWidth="1"/>
    <col min="9720" max="9936" width="11.42578125" style="222"/>
    <col min="9937" max="9937" width="14.140625" style="222" customWidth="1"/>
    <col min="9938" max="9938" width="4.42578125" style="222" customWidth="1"/>
    <col min="9939" max="9939" width="12" style="222" customWidth="1"/>
    <col min="9940" max="9940" width="11.42578125" style="222"/>
    <col min="9941" max="9941" width="4.42578125" style="222" customWidth="1"/>
    <col min="9942" max="9943" width="11.42578125" style="222"/>
    <col min="9944" max="9944" width="4.42578125" style="222" customWidth="1"/>
    <col min="9945" max="9945" width="11.42578125" style="222"/>
    <col min="9946" max="9946" width="13.7109375" style="222" bestFit="1" customWidth="1"/>
    <col min="9947" max="9947" width="4.42578125" style="222" customWidth="1"/>
    <col min="9948" max="9949" width="11.42578125" style="222"/>
    <col min="9950" max="9950" width="4.42578125" style="222" customWidth="1"/>
    <col min="9951" max="9951" width="14.28515625" style="222" customWidth="1"/>
    <col min="9952" max="9952" width="11.7109375" style="222" bestFit="1" customWidth="1"/>
    <col min="9953" max="9953" width="4.42578125" style="222" customWidth="1"/>
    <col min="9954" max="9954" width="12.42578125" style="222" bestFit="1" customWidth="1"/>
    <col min="9955" max="9955" width="15" style="222" customWidth="1"/>
    <col min="9956" max="9956" width="4.42578125" style="222" customWidth="1"/>
    <col min="9957" max="9958" width="11.42578125" style="222"/>
    <col min="9959" max="9959" width="4.42578125" style="222" customWidth="1"/>
    <col min="9960" max="9960" width="13.7109375" style="222" customWidth="1"/>
    <col min="9961" max="9961" width="11.5703125" style="222" bestFit="1" customWidth="1"/>
    <col min="9962" max="9962" width="4.42578125" style="222" customWidth="1"/>
    <col min="9963" max="9964" width="11.85546875" style="222" bestFit="1" customWidth="1"/>
    <col min="9965" max="9965" width="4.42578125" style="222" customWidth="1"/>
    <col min="9966" max="9966" width="11.5703125" style="222" bestFit="1" customWidth="1"/>
    <col min="9967" max="9967" width="13" style="222" bestFit="1" customWidth="1"/>
    <col min="9968" max="9968" width="4.42578125" style="222" customWidth="1"/>
    <col min="9969" max="9970" width="11.5703125" style="222" bestFit="1" customWidth="1"/>
    <col min="9971" max="9971" width="4.5703125" style="222" customWidth="1"/>
    <col min="9972" max="9972" width="11.85546875" style="222" bestFit="1" customWidth="1"/>
    <col min="9973" max="9973" width="12.7109375" style="222" bestFit="1" customWidth="1"/>
    <col min="9974" max="9974" width="15" style="222" customWidth="1"/>
    <col min="9975" max="9975" width="18.140625" style="222" customWidth="1"/>
    <col min="9976" max="10192" width="11.42578125" style="222"/>
    <col min="10193" max="10193" width="14.140625" style="222" customWidth="1"/>
    <col min="10194" max="10194" width="4.42578125" style="222" customWidth="1"/>
    <col min="10195" max="10195" width="12" style="222" customWidth="1"/>
    <col min="10196" max="10196" width="11.42578125" style="222"/>
    <col min="10197" max="10197" width="4.42578125" style="222" customWidth="1"/>
    <col min="10198" max="10199" width="11.42578125" style="222"/>
    <col min="10200" max="10200" width="4.42578125" style="222" customWidth="1"/>
    <col min="10201" max="10201" width="11.42578125" style="222"/>
    <col min="10202" max="10202" width="13.7109375" style="222" bestFit="1" customWidth="1"/>
    <col min="10203" max="10203" width="4.42578125" style="222" customWidth="1"/>
    <col min="10204" max="10205" width="11.42578125" style="222"/>
    <col min="10206" max="10206" width="4.42578125" style="222" customWidth="1"/>
    <col min="10207" max="10207" width="14.28515625" style="222" customWidth="1"/>
    <col min="10208" max="10208" width="11.7109375" style="222" bestFit="1" customWidth="1"/>
    <col min="10209" max="10209" width="4.42578125" style="222" customWidth="1"/>
    <col min="10210" max="10210" width="12.42578125" style="222" bestFit="1" customWidth="1"/>
    <col min="10211" max="10211" width="15" style="222" customWidth="1"/>
    <col min="10212" max="10212" width="4.42578125" style="222" customWidth="1"/>
    <col min="10213" max="10214" width="11.42578125" style="222"/>
    <col min="10215" max="10215" width="4.42578125" style="222" customWidth="1"/>
    <col min="10216" max="10216" width="13.7109375" style="222" customWidth="1"/>
    <col min="10217" max="10217" width="11.5703125" style="222" bestFit="1" customWidth="1"/>
    <col min="10218" max="10218" width="4.42578125" style="222" customWidth="1"/>
    <col min="10219" max="10220" width="11.85546875" style="222" bestFit="1" customWidth="1"/>
    <col min="10221" max="10221" width="4.42578125" style="222" customWidth="1"/>
    <col min="10222" max="10222" width="11.5703125" style="222" bestFit="1" customWidth="1"/>
    <col min="10223" max="10223" width="13" style="222" bestFit="1" customWidth="1"/>
    <col min="10224" max="10224" width="4.42578125" style="222" customWidth="1"/>
    <col min="10225" max="10226" width="11.5703125" style="222" bestFit="1" customWidth="1"/>
    <col min="10227" max="10227" width="4.5703125" style="222" customWidth="1"/>
    <col min="10228" max="10228" width="11.85546875" style="222" bestFit="1" customWidth="1"/>
    <col min="10229" max="10229" width="12.7109375" style="222" bestFit="1" customWidth="1"/>
    <col min="10230" max="10230" width="15" style="222" customWidth="1"/>
    <col min="10231" max="10231" width="18.140625" style="222" customWidth="1"/>
    <col min="10232" max="10448" width="11.42578125" style="222"/>
    <col min="10449" max="10449" width="14.140625" style="222" customWidth="1"/>
    <col min="10450" max="10450" width="4.42578125" style="222" customWidth="1"/>
    <col min="10451" max="10451" width="12" style="222" customWidth="1"/>
    <col min="10452" max="10452" width="11.42578125" style="222"/>
    <col min="10453" max="10453" width="4.42578125" style="222" customWidth="1"/>
    <col min="10454" max="10455" width="11.42578125" style="222"/>
    <col min="10456" max="10456" width="4.42578125" style="222" customWidth="1"/>
    <col min="10457" max="10457" width="11.42578125" style="222"/>
    <col min="10458" max="10458" width="13.7109375" style="222" bestFit="1" customWidth="1"/>
    <col min="10459" max="10459" width="4.42578125" style="222" customWidth="1"/>
    <col min="10460" max="10461" width="11.42578125" style="222"/>
    <col min="10462" max="10462" width="4.42578125" style="222" customWidth="1"/>
    <col min="10463" max="10463" width="14.28515625" style="222" customWidth="1"/>
    <col min="10464" max="10464" width="11.7109375" style="222" bestFit="1" customWidth="1"/>
    <col min="10465" max="10465" width="4.42578125" style="222" customWidth="1"/>
    <col min="10466" max="10466" width="12.42578125" style="222" bestFit="1" customWidth="1"/>
    <col min="10467" max="10467" width="15" style="222" customWidth="1"/>
    <col min="10468" max="10468" width="4.42578125" style="222" customWidth="1"/>
    <col min="10469" max="10470" width="11.42578125" style="222"/>
    <col min="10471" max="10471" width="4.42578125" style="222" customWidth="1"/>
    <col min="10472" max="10472" width="13.7109375" style="222" customWidth="1"/>
    <col min="10473" max="10473" width="11.5703125" style="222" bestFit="1" customWidth="1"/>
    <col min="10474" max="10474" width="4.42578125" style="222" customWidth="1"/>
    <col min="10475" max="10476" width="11.85546875" style="222" bestFit="1" customWidth="1"/>
    <col min="10477" max="10477" width="4.42578125" style="222" customWidth="1"/>
    <col min="10478" max="10478" width="11.5703125" style="222" bestFit="1" customWidth="1"/>
    <col min="10479" max="10479" width="13" style="222" bestFit="1" customWidth="1"/>
    <col min="10480" max="10480" width="4.42578125" style="222" customWidth="1"/>
    <col min="10481" max="10482" width="11.5703125" style="222" bestFit="1" customWidth="1"/>
    <col min="10483" max="10483" width="4.5703125" style="222" customWidth="1"/>
    <col min="10484" max="10484" width="11.85546875" style="222" bestFit="1" customWidth="1"/>
    <col min="10485" max="10485" width="12.7109375" style="222" bestFit="1" customWidth="1"/>
    <col min="10486" max="10486" width="15" style="222" customWidth="1"/>
    <col min="10487" max="10487" width="18.140625" style="222" customWidth="1"/>
    <col min="10488" max="10704" width="11.42578125" style="222"/>
    <col min="10705" max="10705" width="14.140625" style="222" customWidth="1"/>
    <col min="10706" max="10706" width="4.42578125" style="222" customWidth="1"/>
    <col min="10707" max="10707" width="12" style="222" customWidth="1"/>
    <col min="10708" max="10708" width="11.42578125" style="222"/>
    <col min="10709" max="10709" width="4.42578125" style="222" customWidth="1"/>
    <col min="10710" max="10711" width="11.42578125" style="222"/>
    <col min="10712" max="10712" width="4.42578125" style="222" customWidth="1"/>
    <col min="10713" max="10713" width="11.42578125" style="222"/>
    <col min="10714" max="10714" width="13.7109375" style="222" bestFit="1" customWidth="1"/>
    <col min="10715" max="10715" width="4.42578125" style="222" customWidth="1"/>
    <col min="10716" max="10717" width="11.42578125" style="222"/>
    <col min="10718" max="10718" width="4.42578125" style="222" customWidth="1"/>
    <col min="10719" max="10719" width="14.28515625" style="222" customWidth="1"/>
    <col min="10720" max="10720" width="11.7109375" style="222" bestFit="1" customWidth="1"/>
    <col min="10721" max="10721" width="4.42578125" style="222" customWidth="1"/>
    <col min="10722" max="10722" width="12.42578125" style="222" bestFit="1" customWidth="1"/>
    <col min="10723" max="10723" width="15" style="222" customWidth="1"/>
    <col min="10724" max="10724" width="4.42578125" style="222" customWidth="1"/>
    <col min="10725" max="10726" width="11.42578125" style="222"/>
    <col min="10727" max="10727" width="4.42578125" style="222" customWidth="1"/>
    <col min="10728" max="10728" width="13.7109375" style="222" customWidth="1"/>
    <col min="10729" max="10729" width="11.5703125" style="222" bestFit="1" customWidth="1"/>
    <col min="10730" max="10730" width="4.42578125" style="222" customWidth="1"/>
    <col min="10731" max="10732" width="11.85546875" style="222" bestFit="1" customWidth="1"/>
    <col min="10733" max="10733" width="4.42578125" style="222" customWidth="1"/>
    <col min="10734" max="10734" width="11.5703125" style="222" bestFit="1" customWidth="1"/>
    <col min="10735" max="10735" width="13" style="222" bestFit="1" customWidth="1"/>
    <col min="10736" max="10736" width="4.42578125" style="222" customWidth="1"/>
    <col min="10737" max="10738" width="11.5703125" style="222" bestFit="1" customWidth="1"/>
    <col min="10739" max="10739" width="4.5703125" style="222" customWidth="1"/>
    <col min="10740" max="10740" width="11.85546875" style="222" bestFit="1" customWidth="1"/>
    <col min="10741" max="10741" width="12.7109375" style="222" bestFit="1" customWidth="1"/>
    <col min="10742" max="10742" width="15" style="222" customWidth="1"/>
    <col min="10743" max="10743" width="18.140625" style="222" customWidth="1"/>
    <col min="10744" max="10960" width="11.42578125" style="222"/>
    <col min="10961" max="10961" width="14.140625" style="222" customWidth="1"/>
    <col min="10962" max="10962" width="4.42578125" style="222" customWidth="1"/>
    <col min="10963" max="10963" width="12" style="222" customWidth="1"/>
    <col min="10964" max="10964" width="11.42578125" style="222"/>
    <col min="10965" max="10965" width="4.42578125" style="222" customWidth="1"/>
    <col min="10966" max="10967" width="11.42578125" style="222"/>
    <col min="10968" max="10968" width="4.42578125" style="222" customWidth="1"/>
    <col min="10969" max="10969" width="11.42578125" style="222"/>
    <col min="10970" max="10970" width="13.7109375" style="222" bestFit="1" customWidth="1"/>
    <col min="10971" max="10971" width="4.42578125" style="222" customWidth="1"/>
    <col min="10972" max="10973" width="11.42578125" style="222"/>
    <col min="10974" max="10974" width="4.42578125" style="222" customWidth="1"/>
    <col min="10975" max="10975" width="14.28515625" style="222" customWidth="1"/>
    <col min="10976" max="10976" width="11.7109375" style="222" bestFit="1" customWidth="1"/>
    <col min="10977" max="10977" width="4.42578125" style="222" customWidth="1"/>
    <col min="10978" max="10978" width="12.42578125" style="222" bestFit="1" customWidth="1"/>
    <col min="10979" max="10979" width="15" style="222" customWidth="1"/>
    <col min="10980" max="10980" width="4.42578125" style="222" customWidth="1"/>
    <col min="10981" max="10982" width="11.42578125" style="222"/>
    <col min="10983" max="10983" width="4.42578125" style="222" customWidth="1"/>
    <col min="10984" max="10984" width="13.7109375" style="222" customWidth="1"/>
    <col min="10985" max="10985" width="11.5703125" style="222" bestFit="1" customWidth="1"/>
    <col min="10986" max="10986" width="4.42578125" style="222" customWidth="1"/>
    <col min="10987" max="10988" width="11.85546875" style="222" bestFit="1" customWidth="1"/>
    <col min="10989" max="10989" width="4.42578125" style="222" customWidth="1"/>
    <col min="10990" max="10990" width="11.5703125" style="222" bestFit="1" customWidth="1"/>
    <col min="10991" max="10991" width="13" style="222" bestFit="1" customWidth="1"/>
    <col min="10992" max="10992" width="4.42578125" style="222" customWidth="1"/>
    <col min="10993" max="10994" width="11.5703125" style="222" bestFit="1" customWidth="1"/>
    <col min="10995" max="10995" width="4.5703125" style="222" customWidth="1"/>
    <col min="10996" max="10996" width="11.85546875" style="222" bestFit="1" customWidth="1"/>
    <col min="10997" max="10997" width="12.7109375" style="222" bestFit="1" customWidth="1"/>
    <col min="10998" max="10998" width="15" style="222" customWidth="1"/>
    <col min="10999" max="10999" width="18.140625" style="222" customWidth="1"/>
    <col min="11000" max="11216" width="11.42578125" style="222"/>
    <col min="11217" max="11217" width="14.140625" style="222" customWidth="1"/>
    <col min="11218" max="11218" width="4.42578125" style="222" customWidth="1"/>
    <col min="11219" max="11219" width="12" style="222" customWidth="1"/>
    <col min="11220" max="11220" width="11.42578125" style="222"/>
    <col min="11221" max="11221" width="4.42578125" style="222" customWidth="1"/>
    <col min="11222" max="11223" width="11.42578125" style="222"/>
    <col min="11224" max="11224" width="4.42578125" style="222" customWidth="1"/>
    <col min="11225" max="11225" width="11.42578125" style="222"/>
    <col min="11226" max="11226" width="13.7109375" style="222" bestFit="1" customWidth="1"/>
    <col min="11227" max="11227" width="4.42578125" style="222" customWidth="1"/>
    <col min="11228" max="11229" width="11.42578125" style="222"/>
    <col min="11230" max="11230" width="4.42578125" style="222" customWidth="1"/>
    <col min="11231" max="11231" width="14.28515625" style="222" customWidth="1"/>
    <col min="11232" max="11232" width="11.7109375" style="222" bestFit="1" customWidth="1"/>
    <col min="11233" max="11233" width="4.42578125" style="222" customWidth="1"/>
    <col min="11234" max="11234" width="12.42578125" style="222" bestFit="1" customWidth="1"/>
    <col min="11235" max="11235" width="15" style="222" customWidth="1"/>
    <col min="11236" max="11236" width="4.42578125" style="222" customWidth="1"/>
    <col min="11237" max="11238" width="11.42578125" style="222"/>
    <col min="11239" max="11239" width="4.42578125" style="222" customWidth="1"/>
    <col min="11240" max="11240" width="13.7109375" style="222" customWidth="1"/>
    <col min="11241" max="11241" width="11.5703125" style="222" bestFit="1" customWidth="1"/>
    <col min="11242" max="11242" width="4.42578125" style="222" customWidth="1"/>
    <col min="11243" max="11244" width="11.85546875" style="222" bestFit="1" customWidth="1"/>
    <col min="11245" max="11245" width="4.42578125" style="222" customWidth="1"/>
    <col min="11246" max="11246" width="11.5703125" style="222" bestFit="1" customWidth="1"/>
    <col min="11247" max="11247" width="13" style="222" bestFit="1" customWidth="1"/>
    <col min="11248" max="11248" width="4.42578125" style="222" customWidth="1"/>
    <col min="11249" max="11250" width="11.5703125" style="222" bestFit="1" customWidth="1"/>
    <col min="11251" max="11251" width="4.5703125" style="222" customWidth="1"/>
    <col min="11252" max="11252" width="11.85546875" style="222" bestFit="1" customWidth="1"/>
    <col min="11253" max="11253" width="12.7109375" style="222" bestFit="1" customWidth="1"/>
    <col min="11254" max="11254" width="15" style="222" customWidth="1"/>
    <col min="11255" max="11255" width="18.140625" style="222" customWidth="1"/>
    <col min="11256" max="11472" width="11.42578125" style="222"/>
    <col min="11473" max="11473" width="14.140625" style="222" customWidth="1"/>
    <col min="11474" max="11474" width="4.42578125" style="222" customWidth="1"/>
    <col min="11475" max="11475" width="12" style="222" customWidth="1"/>
    <col min="11476" max="11476" width="11.42578125" style="222"/>
    <col min="11477" max="11477" width="4.42578125" style="222" customWidth="1"/>
    <col min="11478" max="11479" width="11.42578125" style="222"/>
    <col min="11480" max="11480" width="4.42578125" style="222" customWidth="1"/>
    <col min="11481" max="11481" width="11.42578125" style="222"/>
    <col min="11482" max="11482" width="13.7109375" style="222" bestFit="1" customWidth="1"/>
    <col min="11483" max="11483" width="4.42578125" style="222" customWidth="1"/>
    <col min="11484" max="11485" width="11.42578125" style="222"/>
    <col min="11486" max="11486" width="4.42578125" style="222" customWidth="1"/>
    <col min="11487" max="11487" width="14.28515625" style="222" customWidth="1"/>
    <col min="11488" max="11488" width="11.7109375" style="222" bestFit="1" customWidth="1"/>
    <col min="11489" max="11489" width="4.42578125" style="222" customWidth="1"/>
    <col min="11490" max="11490" width="12.42578125" style="222" bestFit="1" customWidth="1"/>
    <col min="11491" max="11491" width="15" style="222" customWidth="1"/>
    <col min="11492" max="11492" width="4.42578125" style="222" customWidth="1"/>
    <col min="11493" max="11494" width="11.42578125" style="222"/>
    <col min="11495" max="11495" width="4.42578125" style="222" customWidth="1"/>
    <col min="11496" max="11496" width="13.7109375" style="222" customWidth="1"/>
    <col min="11497" max="11497" width="11.5703125" style="222" bestFit="1" customWidth="1"/>
    <col min="11498" max="11498" width="4.42578125" style="222" customWidth="1"/>
    <col min="11499" max="11500" width="11.85546875" style="222" bestFit="1" customWidth="1"/>
    <col min="11501" max="11501" width="4.42578125" style="222" customWidth="1"/>
    <col min="11502" max="11502" width="11.5703125" style="222" bestFit="1" customWidth="1"/>
    <col min="11503" max="11503" width="13" style="222" bestFit="1" customWidth="1"/>
    <col min="11504" max="11504" width="4.42578125" style="222" customWidth="1"/>
    <col min="11505" max="11506" width="11.5703125" style="222" bestFit="1" customWidth="1"/>
    <col min="11507" max="11507" width="4.5703125" style="222" customWidth="1"/>
    <col min="11508" max="11508" width="11.85546875" style="222" bestFit="1" customWidth="1"/>
    <col min="11509" max="11509" width="12.7109375" style="222" bestFit="1" customWidth="1"/>
    <col min="11510" max="11510" width="15" style="222" customWidth="1"/>
    <col min="11511" max="11511" width="18.140625" style="222" customWidth="1"/>
    <col min="11512" max="11728" width="11.42578125" style="222"/>
    <col min="11729" max="11729" width="14.140625" style="222" customWidth="1"/>
    <col min="11730" max="11730" width="4.42578125" style="222" customWidth="1"/>
    <col min="11731" max="11731" width="12" style="222" customWidth="1"/>
    <col min="11732" max="11732" width="11.42578125" style="222"/>
    <col min="11733" max="11733" width="4.42578125" style="222" customWidth="1"/>
    <col min="11734" max="11735" width="11.42578125" style="222"/>
    <col min="11736" max="11736" width="4.42578125" style="222" customWidth="1"/>
    <col min="11737" max="11737" width="11.42578125" style="222"/>
    <col min="11738" max="11738" width="13.7109375" style="222" bestFit="1" customWidth="1"/>
    <col min="11739" max="11739" width="4.42578125" style="222" customWidth="1"/>
    <col min="11740" max="11741" width="11.42578125" style="222"/>
    <col min="11742" max="11742" width="4.42578125" style="222" customWidth="1"/>
    <col min="11743" max="11743" width="14.28515625" style="222" customWidth="1"/>
    <col min="11744" max="11744" width="11.7109375" style="222" bestFit="1" customWidth="1"/>
    <col min="11745" max="11745" width="4.42578125" style="222" customWidth="1"/>
    <col min="11746" max="11746" width="12.42578125" style="222" bestFit="1" customWidth="1"/>
    <col min="11747" max="11747" width="15" style="222" customWidth="1"/>
    <col min="11748" max="11748" width="4.42578125" style="222" customWidth="1"/>
    <col min="11749" max="11750" width="11.42578125" style="222"/>
    <col min="11751" max="11751" width="4.42578125" style="222" customWidth="1"/>
    <col min="11752" max="11752" width="13.7109375" style="222" customWidth="1"/>
    <col min="11753" max="11753" width="11.5703125" style="222" bestFit="1" customWidth="1"/>
    <col min="11754" max="11754" width="4.42578125" style="222" customWidth="1"/>
    <col min="11755" max="11756" width="11.85546875" style="222" bestFit="1" customWidth="1"/>
    <col min="11757" max="11757" width="4.42578125" style="222" customWidth="1"/>
    <col min="11758" max="11758" width="11.5703125" style="222" bestFit="1" customWidth="1"/>
    <col min="11759" max="11759" width="13" style="222" bestFit="1" customWidth="1"/>
    <col min="11760" max="11760" width="4.42578125" style="222" customWidth="1"/>
    <col min="11761" max="11762" width="11.5703125" style="222" bestFit="1" customWidth="1"/>
    <col min="11763" max="11763" width="4.5703125" style="222" customWidth="1"/>
    <col min="11764" max="11764" width="11.85546875" style="222" bestFit="1" customWidth="1"/>
    <col min="11765" max="11765" width="12.7109375" style="222" bestFit="1" customWidth="1"/>
    <col min="11766" max="11766" width="15" style="222" customWidth="1"/>
    <col min="11767" max="11767" width="18.140625" style="222" customWidth="1"/>
    <col min="11768" max="11984" width="11.42578125" style="222"/>
    <col min="11985" max="11985" width="14.140625" style="222" customWidth="1"/>
    <col min="11986" max="11986" width="4.42578125" style="222" customWidth="1"/>
    <col min="11987" max="11987" width="12" style="222" customWidth="1"/>
    <col min="11988" max="11988" width="11.42578125" style="222"/>
    <col min="11989" max="11989" width="4.42578125" style="222" customWidth="1"/>
    <col min="11990" max="11991" width="11.42578125" style="222"/>
    <col min="11992" max="11992" width="4.42578125" style="222" customWidth="1"/>
    <col min="11993" max="11993" width="11.42578125" style="222"/>
    <col min="11994" max="11994" width="13.7109375" style="222" bestFit="1" customWidth="1"/>
    <col min="11995" max="11995" width="4.42578125" style="222" customWidth="1"/>
    <col min="11996" max="11997" width="11.42578125" style="222"/>
    <col min="11998" max="11998" width="4.42578125" style="222" customWidth="1"/>
    <col min="11999" max="11999" width="14.28515625" style="222" customWidth="1"/>
    <col min="12000" max="12000" width="11.7109375" style="222" bestFit="1" customWidth="1"/>
    <col min="12001" max="12001" width="4.42578125" style="222" customWidth="1"/>
    <col min="12002" max="12002" width="12.42578125" style="222" bestFit="1" customWidth="1"/>
    <col min="12003" max="12003" width="15" style="222" customWidth="1"/>
    <col min="12004" max="12004" width="4.42578125" style="222" customWidth="1"/>
    <col min="12005" max="12006" width="11.42578125" style="222"/>
    <col min="12007" max="12007" width="4.42578125" style="222" customWidth="1"/>
    <col min="12008" max="12008" width="13.7109375" style="222" customWidth="1"/>
    <col min="12009" max="12009" width="11.5703125" style="222" bestFit="1" customWidth="1"/>
    <col min="12010" max="12010" width="4.42578125" style="222" customWidth="1"/>
    <col min="12011" max="12012" width="11.85546875" style="222" bestFit="1" customWidth="1"/>
    <col min="12013" max="12013" width="4.42578125" style="222" customWidth="1"/>
    <col min="12014" max="12014" width="11.5703125" style="222" bestFit="1" customWidth="1"/>
    <col min="12015" max="12015" width="13" style="222" bestFit="1" customWidth="1"/>
    <col min="12016" max="12016" width="4.42578125" style="222" customWidth="1"/>
    <col min="12017" max="12018" width="11.5703125" style="222" bestFit="1" customWidth="1"/>
    <col min="12019" max="12019" width="4.5703125" style="222" customWidth="1"/>
    <col min="12020" max="12020" width="11.85546875" style="222" bestFit="1" customWidth="1"/>
    <col min="12021" max="12021" width="12.7109375" style="222" bestFit="1" customWidth="1"/>
    <col min="12022" max="12022" width="15" style="222" customWidth="1"/>
    <col min="12023" max="12023" width="18.140625" style="222" customWidth="1"/>
    <col min="12024" max="12240" width="11.42578125" style="222"/>
    <col min="12241" max="12241" width="14.140625" style="222" customWidth="1"/>
    <col min="12242" max="12242" width="4.42578125" style="222" customWidth="1"/>
    <col min="12243" max="12243" width="12" style="222" customWidth="1"/>
    <col min="12244" max="12244" width="11.42578125" style="222"/>
    <col min="12245" max="12245" width="4.42578125" style="222" customWidth="1"/>
    <col min="12246" max="12247" width="11.42578125" style="222"/>
    <col min="12248" max="12248" width="4.42578125" style="222" customWidth="1"/>
    <col min="12249" max="12249" width="11.42578125" style="222"/>
    <col min="12250" max="12250" width="13.7109375" style="222" bestFit="1" customWidth="1"/>
    <col min="12251" max="12251" width="4.42578125" style="222" customWidth="1"/>
    <col min="12252" max="12253" width="11.42578125" style="222"/>
    <col min="12254" max="12254" width="4.42578125" style="222" customWidth="1"/>
    <col min="12255" max="12255" width="14.28515625" style="222" customWidth="1"/>
    <col min="12256" max="12256" width="11.7109375" style="222" bestFit="1" customWidth="1"/>
    <col min="12257" max="12257" width="4.42578125" style="222" customWidth="1"/>
    <col min="12258" max="12258" width="12.42578125" style="222" bestFit="1" customWidth="1"/>
    <col min="12259" max="12259" width="15" style="222" customWidth="1"/>
    <col min="12260" max="12260" width="4.42578125" style="222" customWidth="1"/>
    <col min="12261" max="12262" width="11.42578125" style="222"/>
    <col min="12263" max="12263" width="4.42578125" style="222" customWidth="1"/>
    <col min="12264" max="12264" width="13.7109375" style="222" customWidth="1"/>
    <col min="12265" max="12265" width="11.5703125" style="222" bestFit="1" customWidth="1"/>
    <col min="12266" max="12266" width="4.42578125" style="222" customWidth="1"/>
    <col min="12267" max="12268" width="11.85546875" style="222" bestFit="1" customWidth="1"/>
    <col min="12269" max="12269" width="4.42578125" style="222" customWidth="1"/>
    <col min="12270" max="12270" width="11.5703125" style="222" bestFit="1" customWidth="1"/>
    <col min="12271" max="12271" width="13" style="222" bestFit="1" customWidth="1"/>
    <col min="12272" max="12272" width="4.42578125" style="222" customWidth="1"/>
    <col min="12273" max="12274" width="11.5703125" style="222" bestFit="1" customWidth="1"/>
    <col min="12275" max="12275" width="4.5703125" style="222" customWidth="1"/>
    <col min="12276" max="12276" width="11.85546875" style="222" bestFit="1" customWidth="1"/>
    <col min="12277" max="12277" width="12.7109375" style="222" bestFit="1" customWidth="1"/>
    <col min="12278" max="12278" width="15" style="222" customWidth="1"/>
    <col min="12279" max="12279" width="18.140625" style="222" customWidth="1"/>
    <col min="12280" max="12496" width="11.42578125" style="222"/>
    <col min="12497" max="12497" width="14.140625" style="222" customWidth="1"/>
    <col min="12498" max="12498" width="4.42578125" style="222" customWidth="1"/>
    <col min="12499" max="12499" width="12" style="222" customWidth="1"/>
    <col min="12500" max="12500" width="11.42578125" style="222"/>
    <col min="12501" max="12501" width="4.42578125" style="222" customWidth="1"/>
    <col min="12502" max="12503" width="11.42578125" style="222"/>
    <col min="12504" max="12504" width="4.42578125" style="222" customWidth="1"/>
    <col min="12505" max="12505" width="11.42578125" style="222"/>
    <col min="12506" max="12506" width="13.7109375" style="222" bestFit="1" customWidth="1"/>
    <col min="12507" max="12507" width="4.42578125" style="222" customWidth="1"/>
    <col min="12508" max="12509" width="11.42578125" style="222"/>
    <col min="12510" max="12510" width="4.42578125" style="222" customWidth="1"/>
    <col min="12511" max="12511" width="14.28515625" style="222" customWidth="1"/>
    <col min="12512" max="12512" width="11.7109375" style="222" bestFit="1" customWidth="1"/>
    <col min="12513" max="12513" width="4.42578125" style="222" customWidth="1"/>
    <col min="12514" max="12514" width="12.42578125" style="222" bestFit="1" customWidth="1"/>
    <col min="12515" max="12515" width="15" style="222" customWidth="1"/>
    <col min="12516" max="12516" width="4.42578125" style="222" customWidth="1"/>
    <col min="12517" max="12518" width="11.42578125" style="222"/>
    <col min="12519" max="12519" width="4.42578125" style="222" customWidth="1"/>
    <col min="12520" max="12520" width="13.7109375" style="222" customWidth="1"/>
    <col min="12521" max="12521" width="11.5703125" style="222" bestFit="1" customWidth="1"/>
    <col min="12522" max="12522" width="4.42578125" style="222" customWidth="1"/>
    <col min="12523" max="12524" width="11.85546875" style="222" bestFit="1" customWidth="1"/>
    <col min="12525" max="12525" width="4.42578125" style="222" customWidth="1"/>
    <col min="12526" max="12526" width="11.5703125" style="222" bestFit="1" customWidth="1"/>
    <col min="12527" max="12527" width="13" style="222" bestFit="1" customWidth="1"/>
    <col min="12528" max="12528" width="4.42578125" style="222" customWidth="1"/>
    <col min="12529" max="12530" width="11.5703125" style="222" bestFit="1" customWidth="1"/>
    <col min="12531" max="12531" width="4.5703125" style="222" customWidth="1"/>
    <col min="12532" max="12532" width="11.85546875" style="222" bestFit="1" customWidth="1"/>
    <col min="12533" max="12533" width="12.7109375" style="222" bestFit="1" customWidth="1"/>
    <col min="12534" max="12534" width="15" style="222" customWidth="1"/>
    <col min="12535" max="12535" width="18.140625" style="222" customWidth="1"/>
    <col min="12536" max="12752" width="11.42578125" style="222"/>
    <col min="12753" max="12753" width="14.140625" style="222" customWidth="1"/>
    <col min="12754" max="12754" width="4.42578125" style="222" customWidth="1"/>
    <col min="12755" max="12755" width="12" style="222" customWidth="1"/>
    <col min="12756" max="12756" width="11.42578125" style="222"/>
    <col min="12757" max="12757" width="4.42578125" style="222" customWidth="1"/>
    <col min="12758" max="12759" width="11.42578125" style="222"/>
    <col min="12760" max="12760" width="4.42578125" style="222" customWidth="1"/>
    <col min="12761" max="12761" width="11.42578125" style="222"/>
    <col min="12762" max="12762" width="13.7109375" style="222" bestFit="1" customWidth="1"/>
    <col min="12763" max="12763" width="4.42578125" style="222" customWidth="1"/>
    <col min="12764" max="12765" width="11.42578125" style="222"/>
    <col min="12766" max="12766" width="4.42578125" style="222" customWidth="1"/>
    <col min="12767" max="12767" width="14.28515625" style="222" customWidth="1"/>
    <col min="12768" max="12768" width="11.7109375" style="222" bestFit="1" customWidth="1"/>
    <col min="12769" max="12769" width="4.42578125" style="222" customWidth="1"/>
    <col min="12770" max="12770" width="12.42578125" style="222" bestFit="1" customWidth="1"/>
    <col min="12771" max="12771" width="15" style="222" customWidth="1"/>
    <col min="12772" max="12772" width="4.42578125" style="222" customWidth="1"/>
    <col min="12773" max="12774" width="11.42578125" style="222"/>
    <col min="12775" max="12775" width="4.42578125" style="222" customWidth="1"/>
    <col min="12776" max="12776" width="13.7109375" style="222" customWidth="1"/>
    <col min="12777" max="12777" width="11.5703125" style="222" bestFit="1" customWidth="1"/>
    <col min="12778" max="12778" width="4.42578125" style="222" customWidth="1"/>
    <col min="12779" max="12780" width="11.85546875" style="222" bestFit="1" customWidth="1"/>
    <col min="12781" max="12781" width="4.42578125" style="222" customWidth="1"/>
    <col min="12782" max="12782" width="11.5703125" style="222" bestFit="1" customWidth="1"/>
    <col min="12783" max="12783" width="13" style="222" bestFit="1" customWidth="1"/>
    <col min="12784" max="12784" width="4.42578125" style="222" customWidth="1"/>
    <col min="12785" max="12786" width="11.5703125" style="222" bestFit="1" customWidth="1"/>
    <col min="12787" max="12787" width="4.5703125" style="222" customWidth="1"/>
    <col min="12788" max="12788" width="11.85546875" style="222" bestFit="1" customWidth="1"/>
    <col min="12789" max="12789" width="12.7109375" style="222" bestFit="1" customWidth="1"/>
    <col min="12790" max="12790" width="15" style="222" customWidth="1"/>
    <col min="12791" max="12791" width="18.140625" style="222" customWidth="1"/>
    <col min="12792" max="13008" width="11.42578125" style="222"/>
    <col min="13009" max="13009" width="14.140625" style="222" customWidth="1"/>
    <col min="13010" max="13010" width="4.42578125" style="222" customWidth="1"/>
    <col min="13011" max="13011" width="12" style="222" customWidth="1"/>
    <col min="13012" max="13012" width="11.42578125" style="222"/>
    <col min="13013" max="13013" width="4.42578125" style="222" customWidth="1"/>
    <col min="13014" max="13015" width="11.42578125" style="222"/>
    <col min="13016" max="13016" width="4.42578125" style="222" customWidth="1"/>
    <col min="13017" max="13017" width="11.42578125" style="222"/>
    <col min="13018" max="13018" width="13.7109375" style="222" bestFit="1" customWidth="1"/>
    <col min="13019" max="13019" width="4.42578125" style="222" customWidth="1"/>
    <col min="13020" max="13021" width="11.42578125" style="222"/>
    <col min="13022" max="13022" width="4.42578125" style="222" customWidth="1"/>
    <col min="13023" max="13023" width="14.28515625" style="222" customWidth="1"/>
    <col min="13024" max="13024" width="11.7109375" style="222" bestFit="1" customWidth="1"/>
    <col min="13025" max="13025" width="4.42578125" style="222" customWidth="1"/>
    <col min="13026" max="13026" width="12.42578125" style="222" bestFit="1" customWidth="1"/>
    <col min="13027" max="13027" width="15" style="222" customWidth="1"/>
    <col min="13028" max="13028" width="4.42578125" style="222" customWidth="1"/>
    <col min="13029" max="13030" width="11.42578125" style="222"/>
    <col min="13031" max="13031" width="4.42578125" style="222" customWidth="1"/>
    <col min="13032" max="13032" width="13.7109375" style="222" customWidth="1"/>
    <col min="13033" max="13033" width="11.5703125" style="222" bestFit="1" customWidth="1"/>
    <col min="13034" max="13034" width="4.42578125" style="222" customWidth="1"/>
    <col min="13035" max="13036" width="11.85546875" style="222" bestFit="1" customWidth="1"/>
    <col min="13037" max="13037" width="4.42578125" style="222" customWidth="1"/>
    <col min="13038" max="13038" width="11.5703125" style="222" bestFit="1" customWidth="1"/>
    <col min="13039" max="13039" width="13" style="222" bestFit="1" customWidth="1"/>
    <col min="13040" max="13040" width="4.42578125" style="222" customWidth="1"/>
    <col min="13041" max="13042" width="11.5703125" style="222" bestFit="1" customWidth="1"/>
    <col min="13043" max="13043" width="4.5703125" style="222" customWidth="1"/>
    <col min="13044" max="13044" width="11.85546875" style="222" bestFit="1" customWidth="1"/>
    <col min="13045" max="13045" width="12.7109375" style="222" bestFit="1" customWidth="1"/>
    <col min="13046" max="13046" width="15" style="222" customWidth="1"/>
    <col min="13047" max="13047" width="18.140625" style="222" customWidth="1"/>
    <col min="13048" max="13264" width="11.42578125" style="222"/>
    <col min="13265" max="13265" width="14.140625" style="222" customWidth="1"/>
    <col min="13266" max="13266" width="4.42578125" style="222" customWidth="1"/>
    <col min="13267" max="13267" width="12" style="222" customWidth="1"/>
    <col min="13268" max="13268" width="11.42578125" style="222"/>
    <col min="13269" max="13269" width="4.42578125" style="222" customWidth="1"/>
    <col min="13270" max="13271" width="11.42578125" style="222"/>
    <col min="13272" max="13272" width="4.42578125" style="222" customWidth="1"/>
    <col min="13273" max="13273" width="11.42578125" style="222"/>
    <col min="13274" max="13274" width="13.7109375" style="222" bestFit="1" customWidth="1"/>
    <col min="13275" max="13275" width="4.42578125" style="222" customWidth="1"/>
    <col min="13276" max="13277" width="11.42578125" style="222"/>
    <col min="13278" max="13278" width="4.42578125" style="222" customWidth="1"/>
    <col min="13279" max="13279" width="14.28515625" style="222" customWidth="1"/>
    <col min="13280" max="13280" width="11.7109375" style="222" bestFit="1" customWidth="1"/>
    <col min="13281" max="13281" width="4.42578125" style="222" customWidth="1"/>
    <col min="13282" max="13282" width="12.42578125" style="222" bestFit="1" customWidth="1"/>
    <col min="13283" max="13283" width="15" style="222" customWidth="1"/>
    <col min="13284" max="13284" width="4.42578125" style="222" customWidth="1"/>
    <col min="13285" max="13286" width="11.42578125" style="222"/>
    <col min="13287" max="13287" width="4.42578125" style="222" customWidth="1"/>
    <col min="13288" max="13288" width="13.7109375" style="222" customWidth="1"/>
    <col min="13289" max="13289" width="11.5703125" style="222" bestFit="1" customWidth="1"/>
    <col min="13290" max="13290" width="4.42578125" style="222" customWidth="1"/>
    <col min="13291" max="13292" width="11.85546875" style="222" bestFit="1" customWidth="1"/>
    <col min="13293" max="13293" width="4.42578125" style="222" customWidth="1"/>
    <col min="13294" max="13294" width="11.5703125" style="222" bestFit="1" customWidth="1"/>
    <col min="13295" max="13295" width="13" style="222" bestFit="1" customWidth="1"/>
    <col min="13296" max="13296" width="4.42578125" style="222" customWidth="1"/>
    <col min="13297" max="13298" width="11.5703125" style="222" bestFit="1" customWidth="1"/>
    <col min="13299" max="13299" width="4.5703125" style="222" customWidth="1"/>
    <col min="13300" max="13300" width="11.85546875" style="222" bestFit="1" customWidth="1"/>
    <col min="13301" max="13301" width="12.7109375" style="222" bestFit="1" customWidth="1"/>
    <col min="13302" max="13302" width="15" style="222" customWidth="1"/>
    <col min="13303" max="13303" width="18.140625" style="222" customWidth="1"/>
    <col min="13304" max="13520" width="11.42578125" style="222"/>
    <col min="13521" max="13521" width="14.140625" style="222" customWidth="1"/>
    <col min="13522" max="13522" width="4.42578125" style="222" customWidth="1"/>
    <col min="13523" max="13523" width="12" style="222" customWidth="1"/>
    <col min="13524" max="13524" width="11.42578125" style="222"/>
    <col min="13525" max="13525" width="4.42578125" style="222" customWidth="1"/>
    <col min="13526" max="13527" width="11.42578125" style="222"/>
    <col min="13528" max="13528" width="4.42578125" style="222" customWidth="1"/>
    <col min="13529" max="13529" width="11.42578125" style="222"/>
    <col min="13530" max="13530" width="13.7109375" style="222" bestFit="1" customWidth="1"/>
    <col min="13531" max="13531" width="4.42578125" style="222" customWidth="1"/>
    <col min="13532" max="13533" width="11.42578125" style="222"/>
    <col min="13534" max="13534" width="4.42578125" style="222" customWidth="1"/>
    <col min="13535" max="13535" width="14.28515625" style="222" customWidth="1"/>
    <col min="13536" max="13536" width="11.7109375" style="222" bestFit="1" customWidth="1"/>
    <col min="13537" max="13537" width="4.42578125" style="222" customWidth="1"/>
    <col min="13538" max="13538" width="12.42578125" style="222" bestFit="1" customWidth="1"/>
    <col min="13539" max="13539" width="15" style="222" customWidth="1"/>
    <col min="13540" max="13540" width="4.42578125" style="222" customWidth="1"/>
    <col min="13541" max="13542" width="11.42578125" style="222"/>
    <col min="13543" max="13543" width="4.42578125" style="222" customWidth="1"/>
    <col min="13544" max="13544" width="13.7109375" style="222" customWidth="1"/>
    <col min="13545" max="13545" width="11.5703125" style="222" bestFit="1" customWidth="1"/>
    <col min="13546" max="13546" width="4.42578125" style="222" customWidth="1"/>
    <col min="13547" max="13548" width="11.85546875" style="222" bestFit="1" customWidth="1"/>
    <col min="13549" max="13549" width="4.42578125" style="222" customWidth="1"/>
    <col min="13550" max="13550" width="11.5703125" style="222" bestFit="1" customWidth="1"/>
    <col min="13551" max="13551" width="13" style="222" bestFit="1" customWidth="1"/>
    <col min="13552" max="13552" width="4.42578125" style="222" customWidth="1"/>
    <col min="13553" max="13554" width="11.5703125" style="222" bestFit="1" customWidth="1"/>
    <col min="13555" max="13555" width="4.5703125" style="222" customWidth="1"/>
    <col min="13556" max="13556" width="11.85546875" style="222" bestFit="1" customWidth="1"/>
    <col min="13557" max="13557" width="12.7109375" style="222" bestFit="1" customWidth="1"/>
    <col min="13558" max="13558" width="15" style="222" customWidth="1"/>
    <col min="13559" max="13559" width="18.140625" style="222" customWidth="1"/>
    <col min="13560" max="13776" width="11.42578125" style="222"/>
    <col min="13777" max="13777" width="14.140625" style="222" customWidth="1"/>
    <col min="13778" max="13778" width="4.42578125" style="222" customWidth="1"/>
    <col min="13779" max="13779" width="12" style="222" customWidth="1"/>
    <col min="13780" max="13780" width="11.42578125" style="222"/>
    <col min="13781" max="13781" width="4.42578125" style="222" customWidth="1"/>
    <col min="13782" max="13783" width="11.42578125" style="222"/>
    <col min="13784" max="13784" width="4.42578125" style="222" customWidth="1"/>
    <col min="13785" max="13785" width="11.42578125" style="222"/>
    <col min="13786" max="13786" width="13.7109375" style="222" bestFit="1" customWidth="1"/>
    <col min="13787" max="13787" width="4.42578125" style="222" customWidth="1"/>
    <col min="13788" max="13789" width="11.42578125" style="222"/>
    <col min="13790" max="13790" width="4.42578125" style="222" customWidth="1"/>
    <col min="13791" max="13791" width="14.28515625" style="222" customWidth="1"/>
    <col min="13792" max="13792" width="11.7109375" style="222" bestFit="1" customWidth="1"/>
    <col min="13793" max="13793" width="4.42578125" style="222" customWidth="1"/>
    <col min="13794" max="13794" width="12.42578125" style="222" bestFit="1" customWidth="1"/>
    <col min="13795" max="13795" width="15" style="222" customWidth="1"/>
    <col min="13796" max="13796" width="4.42578125" style="222" customWidth="1"/>
    <col min="13797" max="13798" width="11.42578125" style="222"/>
    <col min="13799" max="13799" width="4.42578125" style="222" customWidth="1"/>
    <col min="13800" max="13800" width="13.7109375" style="222" customWidth="1"/>
    <col min="13801" max="13801" width="11.5703125" style="222" bestFit="1" customWidth="1"/>
    <col min="13802" max="13802" width="4.42578125" style="222" customWidth="1"/>
    <col min="13803" max="13804" width="11.85546875" style="222" bestFit="1" customWidth="1"/>
    <col min="13805" max="13805" width="4.42578125" style="222" customWidth="1"/>
    <col min="13806" max="13806" width="11.5703125" style="222" bestFit="1" customWidth="1"/>
    <col min="13807" max="13807" width="13" style="222" bestFit="1" customWidth="1"/>
    <col min="13808" max="13808" width="4.42578125" style="222" customWidth="1"/>
    <col min="13809" max="13810" width="11.5703125" style="222" bestFit="1" customWidth="1"/>
    <col min="13811" max="13811" width="4.5703125" style="222" customWidth="1"/>
    <col min="13812" max="13812" width="11.85546875" style="222" bestFit="1" customWidth="1"/>
    <col min="13813" max="13813" width="12.7109375" style="222" bestFit="1" customWidth="1"/>
    <col min="13814" max="13814" width="15" style="222" customWidth="1"/>
    <col min="13815" max="13815" width="18.140625" style="222" customWidth="1"/>
    <col min="13816" max="14032" width="11.42578125" style="222"/>
    <col min="14033" max="14033" width="14.140625" style="222" customWidth="1"/>
    <col min="14034" max="14034" width="4.42578125" style="222" customWidth="1"/>
    <col min="14035" max="14035" width="12" style="222" customWidth="1"/>
    <col min="14036" max="14036" width="11.42578125" style="222"/>
    <col min="14037" max="14037" width="4.42578125" style="222" customWidth="1"/>
    <col min="14038" max="14039" width="11.42578125" style="222"/>
    <col min="14040" max="14040" width="4.42578125" style="222" customWidth="1"/>
    <col min="14041" max="14041" width="11.42578125" style="222"/>
    <col min="14042" max="14042" width="13.7109375" style="222" bestFit="1" customWidth="1"/>
    <col min="14043" max="14043" width="4.42578125" style="222" customWidth="1"/>
    <col min="14044" max="14045" width="11.42578125" style="222"/>
    <col min="14046" max="14046" width="4.42578125" style="222" customWidth="1"/>
    <col min="14047" max="14047" width="14.28515625" style="222" customWidth="1"/>
    <col min="14048" max="14048" width="11.7109375" style="222" bestFit="1" customWidth="1"/>
    <col min="14049" max="14049" width="4.42578125" style="222" customWidth="1"/>
    <col min="14050" max="14050" width="12.42578125" style="222" bestFit="1" customWidth="1"/>
    <col min="14051" max="14051" width="15" style="222" customWidth="1"/>
    <col min="14052" max="14052" width="4.42578125" style="222" customWidth="1"/>
    <col min="14053" max="14054" width="11.42578125" style="222"/>
    <col min="14055" max="14055" width="4.42578125" style="222" customWidth="1"/>
    <col min="14056" max="14056" width="13.7109375" style="222" customWidth="1"/>
    <col min="14057" max="14057" width="11.5703125" style="222" bestFit="1" customWidth="1"/>
    <col min="14058" max="14058" width="4.42578125" style="222" customWidth="1"/>
    <col min="14059" max="14060" width="11.85546875" style="222" bestFit="1" customWidth="1"/>
    <col min="14061" max="14061" width="4.42578125" style="222" customWidth="1"/>
    <col min="14062" max="14062" width="11.5703125" style="222" bestFit="1" customWidth="1"/>
    <col min="14063" max="14063" width="13" style="222" bestFit="1" customWidth="1"/>
    <col min="14064" max="14064" width="4.42578125" style="222" customWidth="1"/>
    <col min="14065" max="14066" width="11.5703125" style="222" bestFit="1" customWidth="1"/>
    <col min="14067" max="14067" width="4.5703125" style="222" customWidth="1"/>
    <col min="14068" max="14068" width="11.85546875" style="222" bestFit="1" customWidth="1"/>
    <col min="14069" max="14069" width="12.7109375" style="222" bestFit="1" customWidth="1"/>
    <col min="14070" max="14070" width="15" style="222" customWidth="1"/>
    <col min="14071" max="14071" width="18.140625" style="222" customWidth="1"/>
    <col min="14072" max="14288" width="11.42578125" style="222"/>
    <col min="14289" max="14289" width="14.140625" style="222" customWidth="1"/>
    <col min="14290" max="14290" width="4.42578125" style="222" customWidth="1"/>
    <col min="14291" max="14291" width="12" style="222" customWidth="1"/>
    <col min="14292" max="14292" width="11.42578125" style="222"/>
    <col min="14293" max="14293" width="4.42578125" style="222" customWidth="1"/>
    <col min="14294" max="14295" width="11.42578125" style="222"/>
    <col min="14296" max="14296" width="4.42578125" style="222" customWidth="1"/>
    <col min="14297" max="14297" width="11.42578125" style="222"/>
    <col min="14298" max="14298" width="13.7109375" style="222" bestFit="1" customWidth="1"/>
    <col min="14299" max="14299" width="4.42578125" style="222" customWidth="1"/>
    <col min="14300" max="14301" width="11.42578125" style="222"/>
    <col min="14302" max="14302" width="4.42578125" style="222" customWidth="1"/>
    <col min="14303" max="14303" width="14.28515625" style="222" customWidth="1"/>
    <col min="14304" max="14304" width="11.7109375" style="222" bestFit="1" customWidth="1"/>
    <col min="14305" max="14305" width="4.42578125" style="222" customWidth="1"/>
    <col min="14306" max="14306" width="12.42578125" style="222" bestFit="1" customWidth="1"/>
    <col min="14307" max="14307" width="15" style="222" customWidth="1"/>
    <col min="14308" max="14308" width="4.42578125" style="222" customWidth="1"/>
    <col min="14309" max="14310" width="11.42578125" style="222"/>
    <col min="14311" max="14311" width="4.42578125" style="222" customWidth="1"/>
    <col min="14312" max="14312" width="13.7109375" style="222" customWidth="1"/>
    <col min="14313" max="14313" width="11.5703125" style="222" bestFit="1" customWidth="1"/>
    <col min="14314" max="14314" width="4.42578125" style="222" customWidth="1"/>
    <col min="14315" max="14316" width="11.85546875" style="222" bestFit="1" customWidth="1"/>
    <col min="14317" max="14317" width="4.42578125" style="222" customWidth="1"/>
    <col min="14318" max="14318" width="11.5703125" style="222" bestFit="1" customWidth="1"/>
    <col min="14319" max="14319" width="13" style="222" bestFit="1" customWidth="1"/>
    <col min="14320" max="14320" width="4.42578125" style="222" customWidth="1"/>
    <col min="14321" max="14322" width="11.5703125" style="222" bestFit="1" customWidth="1"/>
    <col min="14323" max="14323" width="4.5703125" style="222" customWidth="1"/>
    <col min="14324" max="14324" width="11.85546875" style="222" bestFit="1" customWidth="1"/>
    <col min="14325" max="14325" width="12.7109375" style="222" bestFit="1" customWidth="1"/>
    <col min="14326" max="14326" width="15" style="222" customWidth="1"/>
    <col min="14327" max="14327" width="18.140625" style="222" customWidth="1"/>
    <col min="14328" max="14544" width="11.42578125" style="222"/>
    <col min="14545" max="14545" width="14.140625" style="222" customWidth="1"/>
    <col min="14546" max="14546" width="4.42578125" style="222" customWidth="1"/>
    <col min="14547" max="14547" width="12" style="222" customWidth="1"/>
    <col min="14548" max="14548" width="11.42578125" style="222"/>
    <col min="14549" max="14549" width="4.42578125" style="222" customWidth="1"/>
    <col min="14550" max="14551" width="11.42578125" style="222"/>
    <col min="14552" max="14552" width="4.42578125" style="222" customWidth="1"/>
    <col min="14553" max="14553" width="11.42578125" style="222"/>
    <col min="14554" max="14554" width="13.7109375" style="222" bestFit="1" customWidth="1"/>
    <col min="14555" max="14555" width="4.42578125" style="222" customWidth="1"/>
    <col min="14556" max="14557" width="11.42578125" style="222"/>
    <col min="14558" max="14558" width="4.42578125" style="222" customWidth="1"/>
    <col min="14559" max="14559" width="14.28515625" style="222" customWidth="1"/>
    <col min="14560" max="14560" width="11.7109375" style="222" bestFit="1" customWidth="1"/>
    <col min="14561" max="14561" width="4.42578125" style="222" customWidth="1"/>
    <col min="14562" max="14562" width="12.42578125" style="222" bestFit="1" customWidth="1"/>
    <col min="14563" max="14563" width="15" style="222" customWidth="1"/>
    <col min="14564" max="14564" width="4.42578125" style="222" customWidth="1"/>
    <col min="14565" max="14566" width="11.42578125" style="222"/>
    <col min="14567" max="14567" width="4.42578125" style="222" customWidth="1"/>
    <col min="14568" max="14568" width="13.7109375" style="222" customWidth="1"/>
    <col min="14569" max="14569" width="11.5703125" style="222" bestFit="1" customWidth="1"/>
    <col min="14570" max="14570" width="4.42578125" style="222" customWidth="1"/>
    <col min="14571" max="14572" width="11.85546875" style="222" bestFit="1" customWidth="1"/>
    <col min="14573" max="14573" width="4.42578125" style="222" customWidth="1"/>
    <col min="14574" max="14574" width="11.5703125" style="222" bestFit="1" customWidth="1"/>
    <col min="14575" max="14575" width="13" style="222" bestFit="1" customWidth="1"/>
    <col min="14576" max="14576" width="4.42578125" style="222" customWidth="1"/>
    <col min="14577" max="14578" width="11.5703125" style="222" bestFit="1" customWidth="1"/>
    <col min="14579" max="14579" width="4.5703125" style="222" customWidth="1"/>
    <col min="14580" max="14580" width="11.85546875" style="222" bestFit="1" customWidth="1"/>
    <col min="14581" max="14581" width="12.7109375" style="222" bestFit="1" customWidth="1"/>
    <col min="14582" max="14582" width="15" style="222" customWidth="1"/>
    <col min="14583" max="14583" width="18.140625" style="222" customWidth="1"/>
    <col min="14584" max="14800" width="11.42578125" style="222"/>
    <col min="14801" max="14801" width="14.140625" style="222" customWidth="1"/>
    <col min="14802" max="14802" width="4.42578125" style="222" customWidth="1"/>
    <col min="14803" max="14803" width="12" style="222" customWidth="1"/>
    <col min="14804" max="14804" width="11.42578125" style="222"/>
    <col min="14805" max="14805" width="4.42578125" style="222" customWidth="1"/>
    <col min="14806" max="14807" width="11.42578125" style="222"/>
    <col min="14808" max="14808" width="4.42578125" style="222" customWidth="1"/>
    <col min="14809" max="14809" width="11.42578125" style="222"/>
    <col min="14810" max="14810" width="13.7109375" style="222" bestFit="1" customWidth="1"/>
    <col min="14811" max="14811" width="4.42578125" style="222" customWidth="1"/>
    <col min="14812" max="14813" width="11.42578125" style="222"/>
    <col min="14814" max="14814" width="4.42578125" style="222" customWidth="1"/>
    <col min="14815" max="14815" width="14.28515625" style="222" customWidth="1"/>
    <col min="14816" max="14816" width="11.7109375" style="222" bestFit="1" customWidth="1"/>
    <col min="14817" max="14817" width="4.42578125" style="222" customWidth="1"/>
    <col min="14818" max="14818" width="12.42578125" style="222" bestFit="1" customWidth="1"/>
    <col min="14819" max="14819" width="15" style="222" customWidth="1"/>
    <col min="14820" max="14820" width="4.42578125" style="222" customWidth="1"/>
    <col min="14821" max="14822" width="11.42578125" style="222"/>
    <col min="14823" max="14823" width="4.42578125" style="222" customWidth="1"/>
    <col min="14824" max="14824" width="13.7109375" style="222" customWidth="1"/>
    <col min="14825" max="14825" width="11.5703125" style="222" bestFit="1" customWidth="1"/>
    <col min="14826" max="14826" width="4.42578125" style="222" customWidth="1"/>
    <col min="14827" max="14828" width="11.85546875" style="222" bestFit="1" customWidth="1"/>
    <col min="14829" max="14829" width="4.42578125" style="222" customWidth="1"/>
    <col min="14830" max="14830" width="11.5703125" style="222" bestFit="1" customWidth="1"/>
    <col min="14831" max="14831" width="13" style="222" bestFit="1" customWidth="1"/>
    <col min="14832" max="14832" width="4.42578125" style="222" customWidth="1"/>
    <col min="14833" max="14834" width="11.5703125" style="222" bestFit="1" customWidth="1"/>
    <col min="14835" max="14835" width="4.5703125" style="222" customWidth="1"/>
    <col min="14836" max="14836" width="11.85546875" style="222" bestFit="1" customWidth="1"/>
    <col min="14837" max="14837" width="12.7109375" style="222" bestFit="1" customWidth="1"/>
    <col min="14838" max="14838" width="15" style="222" customWidth="1"/>
    <col min="14839" max="14839" width="18.140625" style="222" customWidth="1"/>
    <col min="14840" max="15056" width="11.42578125" style="222"/>
    <col min="15057" max="15057" width="14.140625" style="222" customWidth="1"/>
    <col min="15058" max="15058" width="4.42578125" style="222" customWidth="1"/>
    <col min="15059" max="15059" width="12" style="222" customWidth="1"/>
    <col min="15060" max="15060" width="11.42578125" style="222"/>
    <col min="15061" max="15061" width="4.42578125" style="222" customWidth="1"/>
    <col min="15062" max="15063" width="11.42578125" style="222"/>
    <col min="15064" max="15064" width="4.42578125" style="222" customWidth="1"/>
    <col min="15065" max="15065" width="11.42578125" style="222"/>
    <col min="15066" max="15066" width="13.7109375" style="222" bestFit="1" customWidth="1"/>
    <col min="15067" max="15067" width="4.42578125" style="222" customWidth="1"/>
    <col min="15068" max="15069" width="11.42578125" style="222"/>
    <col min="15070" max="15070" width="4.42578125" style="222" customWidth="1"/>
    <col min="15071" max="15071" width="14.28515625" style="222" customWidth="1"/>
    <col min="15072" max="15072" width="11.7109375" style="222" bestFit="1" customWidth="1"/>
    <col min="15073" max="15073" width="4.42578125" style="222" customWidth="1"/>
    <col min="15074" max="15074" width="12.42578125" style="222" bestFit="1" customWidth="1"/>
    <col min="15075" max="15075" width="15" style="222" customWidth="1"/>
    <col min="15076" max="15076" width="4.42578125" style="222" customWidth="1"/>
    <col min="15077" max="15078" width="11.42578125" style="222"/>
    <col min="15079" max="15079" width="4.42578125" style="222" customWidth="1"/>
    <col min="15080" max="15080" width="13.7109375" style="222" customWidth="1"/>
    <col min="15081" max="15081" width="11.5703125" style="222" bestFit="1" customWidth="1"/>
    <col min="15082" max="15082" width="4.42578125" style="222" customWidth="1"/>
    <col min="15083" max="15084" width="11.85546875" style="222" bestFit="1" customWidth="1"/>
    <col min="15085" max="15085" width="4.42578125" style="222" customWidth="1"/>
    <col min="15086" max="15086" width="11.5703125" style="222" bestFit="1" customWidth="1"/>
    <col min="15087" max="15087" width="13" style="222" bestFit="1" customWidth="1"/>
    <col min="15088" max="15088" width="4.42578125" style="222" customWidth="1"/>
    <col min="15089" max="15090" width="11.5703125" style="222" bestFit="1" customWidth="1"/>
    <col min="15091" max="15091" width="4.5703125" style="222" customWidth="1"/>
    <col min="15092" max="15092" width="11.85546875" style="222" bestFit="1" customWidth="1"/>
    <col min="15093" max="15093" width="12.7109375" style="222" bestFit="1" customWidth="1"/>
    <col min="15094" max="15094" width="15" style="222" customWidth="1"/>
    <col min="15095" max="15095" width="18.140625" style="222" customWidth="1"/>
    <col min="15096" max="15312" width="11.42578125" style="222"/>
    <col min="15313" max="15313" width="14.140625" style="222" customWidth="1"/>
    <col min="15314" max="15314" width="4.42578125" style="222" customWidth="1"/>
    <col min="15315" max="15315" width="12" style="222" customWidth="1"/>
    <col min="15316" max="15316" width="11.42578125" style="222"/>
    <col min="15317" max="15317" width="4.42578125" style="222" customWidth="1"/>
    <col min="15318" max="15319" width="11.42578125" style="222"/>
    <col min="15320" max="15320" width="4.42578125" style="222" customWidth="1"/>
    <col min="15321" max="15321" width="11.42578125" style="222"/>
    <col min="15322" max="15322" width="13.7109375" style="222" bestFit="1" customWidth="1"/>
    <col min="15323" max="15323" width="4.42578125" style="222" customWidth="1"/>
    <col min="15324" max="15325" width="11.42578125" style="222"/>
    <col min="15326" max="15326" width="4.42578125" style="222" customWidth="1"/>
    <col min="15327" max="15327" width="14.28515625" style="222" customWidth="1"/>
    <col min="15328" max="15328" width="11.7109375" style="222" bestFit="1" customWidth="1"/>
    <col min="15329" max="15329" width="4.42578125" style="222" customWidth="1"/>
    <col min="15330" max="15330" width="12.42578125" style="222" bestFit="1" customWidth="1"/>
    <col min="15331" max="15331" width="15" style="222" customWidth="1"/>
    <col min="15332" max="15332" width="4.42578125" style="222" customWidth="1"/>
    <col min="15333" max="15334" width="11.42578125" style="222"/>
    <col min="15335" max="15335" width="4.42578125" style="222" customWidth="1"/>
    <col min="15336" max="15336" width="13.7109375" style="222" customWidth="1"/>
    <col min="15337" max="15337" width="11.5703125" style="222" bestFit="1" customWidth="1"/>
    <col min="15338" max="15338" width="4.42578125" style="222" customWidth="1"/>
    <col min="15339" max="15340" width="11.85546875" style="222" bestFit="1" customWidth="1"/>
    <col min="15341" max="15341" width="4.42578125" style="222" customWidth="1"/>
    <col min="15342" max="15342" width="11.5703125" style="222" bestFit="1" customWidth="1"/>
    <col min="15343" max="15343" width="13" style="222" bestFit="1" customWidth="1"/>
    <col min="15344" max="15344" width="4.42578125" style="222" customWidth="1"/>
    <col min="15345" max="15346" width="11.5703125" style="222" bestFit="1" customWidth="1"/>
    <col min="15347" max="15347" width="4.5703125" style="222" customWidth="1"/>
    <col min="15348" max="15348" width="11.85546875" style="222" bestFit="1" customWidth="1"/>
    <col min="15349" max="15349" width="12.7109375" style="222" bestFit="1" customWidth="1"/>
    <col min="15350" max="15350" width="15" style="222" customWidth="1"/>
    <col min="15351" max="15351" width="18.140625" style="222" customWidth="1"/>
    <col min="15352" max="15568" width="11.42578125" style="222"/>
    <col min="15569" max="15569" width="14.140625" style="222" customWidth="1"/>
    <col min="15570" max="15570" width="4.42578125" style="222" customWidth="1"/>
    <col min="15571" max="15571" width="12" style="222" customWidth="1"/>
    <col min="15572" max="15572" width="11.42578125" style="222"/>
    <col min="15573" max="15573" width="4.42578125" style="222" customWidth="1"/>
    <col min="15574" max="15575" width="11.42578125" style="222"/>
    <col min="15576" max="15576" width="4.42578125" style="222" customWidth="1"/>
    <col min="15577" max="15577" width="11.42578125" style="222"/>
    <col min="15578" max="15578" width="13.7109375" style="222" bestFit="1" customWidth="1"/>
    <col min="15579" max="15579" width="4.42578125" style="222" customWidth="1"/>
    <col min="15580" max="15581" width="11.42578125" style="222"/>
    <col min="15582" max="15582" width="4.42578125" style="222" customWidth="1"/>
    <col min="15583" max="15583" width="14.28515625" style="222" customWidth="1"/>
    <col min="15584" max="15584" width="11.7109375" style="222" bestFit="1" customWidth="1"/>
    <col min="15585" max="15585" width="4.42578125" style="222" customWidth="1"/>
    <col min="15586" max="15586" width="12.42578125" style="222" bestFit="1" customWidth="1"/>
    <col min="15587" max="15587" width="15" style="222" customWidth="1"/>
    <col min="15588" max="15588" width="4.42578125" style="222" customWidth="1"/>
    <col min="15589" max="15590" width="11.42578125" style="222"/>
    <col min="15591" max="15591" width="4.42578125" style="222" customWidth="1"/>
    <col min="15592" max="15592" width="13.7109375" style="222" customWidth="1"/>
    <col min="15593" max="15593" width="11.5703125" style="222" bestFit="1" customWidth="1"/>
    <col min="15594" max="15594" width="4.42578125" style="222" customWidth="1"/>
    <col min="15595" max="15596" width="11.85546875" style="222" bestFit="1" customWidth="1"/>
    <col min="15597" max="15597" width="4.42578125" style="222" customWidth="1"/>
    <col min="15598" max="15598" width="11.5703125" style="222" bestFit="1" customWidth="1"/>
    <col min="15599" max="15599" width="13" style="222" bestFit="1" customWidth="1"/>
    <col min="15600" max="15600" width="4.42578125" style="222" customWidth="1"/>
    <col min="15601" max="15602" width="11.5703125" style="222" bestFit="1" customWidth="1"/>
    <col min="15603" max="15603" width="4.5703125" style="222" customWidth="1"/>
    <col min="15604" max="15604" width="11.85546875" style="222" bestFit="1" customWidth="1"/>
    <col min="15605" max="15605" width="12.7109375" style="222" bestFit="1" customWidth="1"/>
    <col min="15606" max="15606" width="15" style="222" customWidth="1"/>
    <col min="15607" max="15607" width="18.140625" style="222" customWidth="1"/>
    <col min="15608" max="15824" width="11.42578125" style="222"/>
    <col min="15825" max="15825" width="14.140625" style="222" customWidth="1"/>
    <col min="15826" max="15826" width="4.42578125" style="222" customWidth="1"/>
    <col min="15827" max="15827" width="12" style="222" customWidth="1"/>
    <col min="15828" max="15828" width="11.42578125" style="222"/>
    <col min="15829" max="15829" width="4.42578125" style="222" customWidth="1"/>
    <col min="15830" max="15831" width="11.42578125" style="222"/>
    <col min="15832" max="15832" width="4.42578125" style="222" customWidth="1"/>
    <col min="15833" max="15833" width="11.42578125" style="222"/>
    <col min="15834" max="15834" width="13.7109375" style="222" bestFit="1" customWidth="1"/>
    <col min="15835" max="15835" width="4.42578125" style="222" customWidth="1"/>
    <col min="15836" max="15837" width="11.42578125" style="222"/>
    <col min="15838" max="15838" width="4.42578125" style="222" customWidth="1"/>
    <col min="15839" max="15839" width="14.28515625" style="222" customWidth="1"/>
    <col min="15840" max="15840" width="11.7109375" style="222" bestFit="1" customWidth="1"/>
    <col min="15841" max="15841" width="4.42578125" style="222" customWidth="1"/>
    <col min="15842" max="15842" width="12.42578125" style="222" bestFit="1" customWidth="1"/>
    <col min="15843" max="15843" width="15" style="222" customWidth="1"/>
    <col min="15844" max="15844" width="4.42578125" style="222" customWidth="1"/>
    <col min="15845" max="15846" width="11.42578125" style="222"/>
    <col min="15847" max="15847" width="4.42578125" style="222" customWidth="1"/>
    <col min="15848" max="15848" width="13.7109375" style="222" customWidth="1"/>
    <col min="15849" max="15849" width="11.5703125" style="222" bestFit="1" customWidth="1"/>
    <col min="15850" max="15850" width="4.42578125" style="222" customWidth="1"/>
    <col min="15851" max="15852" width="11.85546875" style="222" bestFit="1" customWidth="1"/>
    <col min="15853" max="15853" width="4.42578125" style="222" customWidth="1"/>
    <col min="15854" max="15854" width="11.5703125" style="222" bestFit="1" customWidth="1"/>
    <col min="15855" max="15855" width="13" style="222" bestFit="1" customWidth="1"/>
    <col min="15856" max="15856" width="4.42578125" style="222" customWidth="1"/>
    <col min="15857" max="15858" width="11.5703125" style="222" bestFit="1" customWidth="1"/>
    <col min="15859" max="15859" width="4.5703125" style="222" customWidth="1"/>
    <col min="15860" max="15860" width="11.85546875" style="222" bestFit="1" customWidth="1"/>
    <col min="15861" max="15861" width="12.7109375" style="222" bestFit="1" customWidth="1"/>
    <col min="15862" max="15862" width="15" style="222" customWidth="1"/>
    <col min="15863" max="15863" width="18.140625" style="222" customWidth="1"/>
    <col min="15864" max="16080" width="11.42578125" style="222"/>
    <col min="16081" max="16081" width="14.140625" style="222" customWidth="1"/>
    <col min="16082" max="16082" width="4.42578125" style="222" customWidth="1"/>
    <col min="16083" max="16083" width="12" style="222" customWidth="1"/>
    <col min="16084" max="16084" width="11.42578125" style="222"/>
    <col min="16085" max="16085" width="4.42578125" style="222" customWidth="1"/>
    <col min="16086" max="16087" width="11.42578125" style="222"/>
    <col min="16088" max="16088" width="4.42578125" style="222" customWidth="1"/>
    <col min="16089" max="16089" width="11.42578125" style="222"/>
    <col min="16090" max="16090" width="13.7109375" style="222" bestFit="1" customWidth="1"/>
    <col min="16091" max="16091" width="4.42578125" style="222" customWidth="1"/>
    <col min="16092" max="16093" width="11.42578125" style="222"/>
    <col min="16094" max="16094" width="4.42578125" style="222" customWidth="1"/>
    <col min="16095" max="16095" width="14.28515625" style="222" customWidth="1"/>
    <col min="16096" max="16096" width="11.7109375" style="222" bestFit="1" customWidth="1"/>
    <col min="16097" max="16097" width="4.42578125" style="222" customWidth="1"/>
    <col min="16098" max="16098" width="12.42578125" style="222" bestFit="1" customWidth="1"/>
    <col min="16099" max="16099" width="15" style="222" customWidth="1"/>
    <col min="16100" max="16100" width="4.42578125" style="222" customWidth="1"/>
    <col min="16101" max="16102" width="11.42578125" style="222"/>
    <col min="16103" max="16103" width="4.42578125" style="222" customWidth="1"/>
    <col min="16104" max="16104" width="13.7109375" style="222" customWidth="1"/>
    <col min="16105" max="16105" width="11.5703125" style="222" bestFit="1" customWidth="1"/>
    <col min="16106" max="16106" width="4.42578125" style="222" customWidth="1"/>
    <col min="16107" max="16108" width="11.85546875" style="222" bestFit="1" customWidth="1"/>
    <col min="16109" max="16109" width="4.42578125" style="222" customWidth="1"/>
    <col min="16110" max="16110" width="11.5703125" style="222" bestFit="1" customWidth="1"/>
    <col min="16111" max="16111" width="13" style="222" bestFit="1" customWidth="1"/>
    <col min="16112" max="16112" width="4.42578125" style="222" customWidth="1"/>
    <col min="16113" max="16114" width="11.5703125" style="222" bestFit="1" customWidth="1"/>
    <col min="16115" max="16115" width="4.5703125" style="222" customWidth="1"/>
    <col min="16116" max="16116" width="11.85546875" style="222" bestFit="1" customWidth="1"/>
    <col min="16117" max="16117" width="12.7109375" style="222" bestFit="1" customWidth="1"/>
    <col min="16118" max="16118" width="15" style="222" customWidth="1"/>
    <col min="16119" max="16119" width="18.140625" style="222" customWidth="1"/>
    <col min="16120" max="16384" width="11.42578125" style="222"/>
  </cols>
  <sheetData>
    <row r="1" spans="1:49" s="205" customFormat="1" ht="18" x14ac:dyDescent="0.25">
      <c r="B1" s="1889" t="s">
        <v>2031</v>
      </c>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c r="AR1" s="1889"/>
      <c r="AS1" s="1889"/>
      <c r="AT1" s="1889"/>
      <c r="AU1" s="1889"/>
    </row>
    <row r="2" spans="1:49" s="205" customFormat="1" ht="18" x14ac:dyDescent="0.25">
      <c r="B2" s="1889" t="s">
        <v>2513</v>
      </c>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c r="AR2" s="1889"/>
      <c r="AS2" s="1889"/>
      <c r="AT2" s="1889"/>
      <c r="AU2" s="1889"/>
    </row>
    <row r="3" spans="1:49" s="205" customFormat="1" ht="18" x14ac:dyDescent="0.25">
      <c r="B3" s="1889" t="s">
        <v>2514</v>
      </c>
      <c r="C3" s="1889"/>
      <c r="D3" s="1889"/>
      <c r="E3" s="1889"/>
      <c r="F3" s="1889"/>
      <c r="G3" s="1889"/>
      <c r="H3" s="1889"/>
      <c r="I3" s="1889"/>
      <c r="J3" s="1889"/>
      <c r="K3" s="1889"/>
      <c r="L3" s="1889"/>
      <c r="M3" s="1889"/>
      <c r="N3" s="1889"/>
      <c r="O3" s="1889"/>
      <c r="P3" s="1889"/>
      <c r="Q3" s="1889"/>
      <c r="R3" s="1889"/>
      <c r="S3" s="1889"/>
      <c r="T3" s="1889"/>
      <c r="U3" s="1889"/>
      <c r="V3" s="1889"/>
      <c r="W3" s="1889"/>
      <c r="X3" s="1889"/>
      <c r="Y3" s="1889"/>
      <c r="Z3" s="1889"/>
      <c r="AA3" s="1889"/>
      <c r="AB3" s="1889"/>
      <c r="AC3" s="1889"/>
      <c r="AD3" s="1889"/>
      <c r="AE3" s="1889"/>
      <c r="AF3" s="1889"/>
      <c r="AG3" s="1889"/>
      <c r="AH3" s="1889"/>
      <c r="AI3" s="1889"/>
      <c r="AJ3" s="1889"/>
      <c r="AK3" s="1889"/>
      <c r="AL3" s="1889"/>
      <c r="AM3" s="1889"/>
      <c r="AN3" s="1889"/>
      <c r="AO3" s="1889"/>
      <c r="AP3" s="1889"/>
      <c r="AQ3" s="1889"/>
      <c r="AR3" s="1889"/>
      <c r="AS3" s="1889"/>
      <c r="AT3" s="1889"/>
      <c r="AU3" s="1889"/>
    </row>
    <row r="4" spans="1:49" s="205" customFormat="1" ht="18" x14ac:dyDescent="0.25">
      <c r="B4" s="1890" t="s">
        <v>2515</v>
      </c>
      <c r="C4" s="1889"/>
      <c r="D4" s="1889"/>
      <c r="E4" s="1889"/>
      <c r="F4" s="1889"/>
      <c r="G4" s="1889"/>
      <c r="H4" s="1889"/>
      <c r="I4" s="1889"/>
      <c r="J4" s="1889"/>
      <c r="K4" s="1889"/>
      <c r="L4" s="1889"/>
      <c r="M4" s="1889"/>
      <c r="N4" s="1889"/>
      <c r="O4" s="1889"/>
      <c r="P4" s="1889"/>
      <c r="Q4" s="1889"/>
      <c r="R4" s="1889"/>
      <c r="S4" s="1889"/>
      <c r="T4" s="1889"/>
      <c r="U4" s="1889"/>
      <c r="V4" s="1889"/>
      <c r="W4" s="1889"/>
      <c r="X4" s="1889"/>
      <c r="Y4" s="1889"/>
      <c r="Z4" s="1889"/>
      <c r="AA4" s="1889"/>
      <c r="AB4" s="1889"/>
      <c r="AC4" s="1889"/>
      <c r="AD4" s="1889"/>
      <c r="AE4" s="1889"/>
      <c r="AF4" s="1889"/>
      <c r="AG4" s="1889"/>
      <c r="AH4" s="1889"/>
      <c r="AI4" s="1889"/>
      <c r="AJ4" s="1889"/>
      <c r="AK4" s="1889"/>
      <c r="AL4" s="1889"/>
      <c r="AM4" s="1889"/>
      <c r="AN4" s="1889"/>
      <c r="AO4" s="1889"/>
      <c r="AP4" s="1889"/>
      <c r="AQ4" s="1889"/>
      <c r="AR4" s="1889"/>
      <c r="AS4" s="1889"/>
      <c r="AT4" s="1889"/>
      <c r="AU4" s="1889"/>
    </row>
    <row r="5" spans="1:49" s="205" customFormat="1" ht="16.5" thickBot="1" x14ac:dyDescent="0.3">
      <c r="B5" s="206"/>
      <c r="C5" s="206"/>
      <c r="D5" s="206"/>
      <c r="E5" s="206"/>
      <c r="F5" s="206"/>
      <c r="G5" s="206"/>
      <c r="H5" s="206"/>
      <c r="I5" s="206"/>
      <c r="J5" s="206"/>
      <c r="K5" s="206"/>
      <c r="L5" s="206"/>
      <c r="M5" s="206"/>
      <c r="N5" s="206"/>
      <c r="O5" s="206"/>
      <c r="P5" s="206"/>
      <c r="Q5" s="206"/>
      <c r="R5" s="206"/>
      <c r="S5" s="206"/>
      <c r="T5" s="206"/>
      <c r="U5" s="207"/>
      <c r="V5" s="206"/>
      <c r="W5" s="208"/>
      <c r="X5" s="206"/>
      <c r="Y5" s="209"/>
      <c r="Z5" s="210"/>
      <c r="AA5" s="211"/>
      <c r="AB5" s="206"/>
      <c r="AC5" s="207"/>
      <c r="AD5" s="207"/>
      <c r="AE5" s="206"/>
      <c r="AF5" s="206"/>
      <c r="AG5" s="212"/>
      <c r="AH5" s="206"/>
      <c r="AI5" s="208"/>
      <c r="AJ5" s="207"/>
      <c r="AK5" s="206"/>
      <c r="AL5" s="206"/>
      <c r="AM5" s="207"/>
      <c r="AN5" s="206"/>
      <c r="AO5" s="206"/>
      <c r="AP5" s="213"/>
      <c r="AQ5" s="206"/>
      <c r="AR5" s="214"/>
      <c r="AS5" s="213"/>
      <c r="AT5" s="215"/>
      <c r="AU5" s="215"/>
    </row>
    <row r="6" spans="1:49" s="205" customFormat="1" ht="16.5" thickBot="1" x14ac:dyDescent="0.3">
      <c r="B6" s="1891"/>
      <c r="C6" s="1891"/>
      <c r="D6" s="1891"/>
      <c r="E6" s="1891"/>
      <c r="F6" s="1891"/>
      <c r="G6" s="1891"/>
      <c r="H6" s="1891"/>
      <c r="I6" s="1892"/>
      <c r="J6" s="1893" t="s">
        <v>2446</v>
      </c>
      <c r="K6" s="1872"/>
      <c r="L6" s="1873"/>
      <c r="M6" s="1871" t="s">
        <v>2447</v>
      </c>
      <c r="N6" s="1872"/>
      <c r="O6" s="1873"/>
      <c r="P6" s="1874" t="s">
        <v>2448</v>
      </c>
      <c r="Q6" s="1875"/>
      <c r="R6" s="1876"/>
      <c r="S6" s="1871" t="s">
        <v>2449</v>
      </c>
      <c r="T6" s="1872"/>
      <c r="U6" s="1873"/>
      <c r="V6" s="1874" t="s">
        <v>2450</v>
      </c>
      <c r="W6" s="1875"/>
      <c r="X6" s="1876"/>
      <c r="Y6" s="1871" t="s">
        <v>2451</v>
      </c>
      <c r="Z6" s="1872"/>
      <c r="AA6" s="1873"/>
      <c r="AB6" s="1874" t="s">
        <v>2452</v>
      </c>
      <c r="AC6" s="1875"/>
      <c r="AD6" s="1876"/>
      <c r="AE6" s="1871" t="s">
        <v>2453</v>
      </c>
      <c r="AF6" s="1872"/>
      <c r="AG6" s="1873"/>
      <c r="AH6" s="1874" t="s">
        <v>2454</v>
      </c>
      <c r="AI6" s="1875"/>
      <c r="AJ6" s="1876"/>
      <c r="AK6" s="1871" t="s">
        <v>2455</v>
      </c>
      <c r="AL6" s="1872"/>
      <c r="AM6" s="1873"/>
      <c r="AN6" s="1874" t="s">
        <v>2456</v>
      </c>
      <c r="AO6" s="1875"/>
      <c r="AP6" s="1876"/>
      <c r="AQ6" s="1871" t="s">
        <v>2457</v>
      </c>
      <c r="AR6" s="1872"/>
      <c r="AS6" s="1873"/>
      <c r="AT6" s="1874" t="s">
        <v>2516</v>
      </c>
      <c r="AU6" s="1894"/>
    </row>
    <row r="7" spans="1:49" s="216" customFormat="1" ht="18" customHeight="1" x14ac:dyDescent="0.25">
      <c r="B7" s="1877" t="s">
        <v>2517</v>
      </c>
      <c r="C7" s="1879" t="s">
        <v>2518</v>
      </c>
      <c r="D7" s="430" t="s">
        <v>2519</v>
      </c>
      <c r="E7" s="430" t="s">
        <v>2520</v>
      </c>
      <c r="F7" s="430" t="s">
        <v>2521</v>
      </c>
      <c r="G7" s="1881" t="s">
        <v>2522</v>
      </c>
      <c r="H7" s="1883" t="s">
        <v>2523</v>
      </c>
      <c r="I7" s="1884"/>
      <c r="J7" s="1887" t="s">
        <v>2516</v>
      </c>
      <c r="K7" s="1887"/>
      <c r="L7" s="1888"/>
      <c r="M7" s="1865" t="s">
        <v>2516</v>
      </c>
      <c r="N7" s="1866"/>
      <c r="O7" s="1867"/>
      <c r="P7" s="1868" t="s">
        <v>2516</v>
      </c>
      <c r="Q7" s="1869"/>
      <c r="R7" s="1870"/>
      <c r="S7" s="1864" t="s">
        <v>2516</v>
      </c>
      <c r="T7" s="1856"/>
      <c r="U7" s="1857"/>
      <c r="V7" s="1863" t="s">
        <v>2516</v>
      </c>
      <c r="W7" s="1853"/>
      <c r="X7" s="1854"/>
      <c r="Y7" s="1864" t="s">
        <v>2516</v>
      </c>
      <c r="Z7" s="1856"/>
      <c r="AA7" s="1857"/>
      <c r="AB7" s="1863" t="s">
        <v>2516</v>
      </c>
      <c r="AC7" s="1853"/>
      <c r="AD7" s="1854"/>
      <c r="AE7" s="1855" t="s">
        <v>2516</v>
      </c>
      <c r="AF7" s="1856"/>
      <c r="AG7" s="1857"/>
      <c r="AH7" s="1853" t="s">
        <v>2516</v>
      </c>
      <c r="AI7" s="1853"/>
      <c r="AJ7" s="1854"/>
      <c r="AK7" s="1855" t="s">
        <v>2516</v>
      </c>
      <c r="AL7" s="1856"/>
      <c r="AM7" s="1857"/>
      <c r="AN7" s="1853" t="s">
        <v>2516</v>
      </c>
      <c r="AO7" s="1853"/>
      <c r="AP7" s="1854"/>
      <c r="AQ7" s="1855" t="s">
        <v>2516</v>
      </c>
      <c r="AR7" s="1856"/>
      <c r="AS7" s="1857"/>
      <c r="AT7" s="1858" t="s">
        <v>2504</v>
      </c>
      <c r="AU7" s="1860" t="s">
        <v>1163</v>
      </c>
    </row>
    <row r="8" spans="1:49" s="216" customFormat="1" ht="28.5" customHeight="1" thickBot="1" x14ac:dyDescent="0.3">
      <c r="B8" s="1878"/>
      <c r="C8" s="1880"/>
      <c r="D8" s="431" t="s">
        <v>2524</v>
      </c>
      <c r="E8" s="431" t="s">
        <v>2525</v>
      </c>
      <c r="F8" s="431" t="s">
        <v>2526</v>
      </c>
      <c r="G8" s="1882"/>
      <c r="H8" s="1885"/>
      <c r="I8" s="1886"/>
      <c r="J8" s="435" t="s">
        <v>2527</v>
      </c>
      <c r="K8" s="217" t="s">
        <v>2504</v>
      </c>
      <c r="L8" s="217" t="s">
        <v>1163</v>
      </c>
      <c r="M8" s="217" t="s">
        <v>2527</v>
      </c>
      <c r="N8" s="217" t="s">
        <v>2504</v>
      </c>
      <c r="O8" s="217" t="s">
        <v>1163</v>
      </c>
      <c r="P8" s="217" t="s">
        <v>2527</v>
      </c>
      <c r="Q8" s="218" t="s">
        <v>2504</v>
      </c>
      <c r="R8" s="218" t="s">
        <v>1163</v>
      </c>
      <c r="S8" s="217" t="s">
        <v>2527</v>
      </c>
      <c r="T8" s="217" t="s">
        <v>2504</v>
      </c>
      <c r="U8" s="217" t="s">
        <v>1163</v>
      </c>
      <c r="V8" s="218" t="s">
        <v>2527</v>
      </c>
      <c r="W8" s="218" t="s">
        <v>2504</v>
      </c>
      <c r="X8" s="218" t="s">
        <v>1163</v>
      </c>
      <c r="Y8" s="217" t="s">
        <v>2527</v>
      </c>
      <c r="Z8" s="217" t="s">
        <v>2504</v>
      </c>
      <c r="AA8" s="217" t="s">
        <v>1163</v>
      </c>
      <c r="AB8" s="218" t="s">
        <v>2527</v>
      </c>
      <c r="AC8" s="218" t="s">
        <v>2504</v>
      </c>
      <c r="AD8" s="218" t="s">
        <v>1163</v>
      </c>
      <c r="AE8" s="219" t="s">
        <v>2527</v>
      </c>
      <c r="AF8" s="217" t="s">
        <v>2504</v>
      </c>
      <c r="AG8" s="217" t="s">
        <v>1163</v>
      </c>
      <c r="AH8" s="220" t="s">
        <v>2527</v>
      </c>
      <c r="AI8" s="218" t="s">
        <v>2504</v>
      </c>
      <c r="AJ8" s="218" t="s">
        <v>1163</v>
      </c>
      <c r="AK8" s="219" t="s">
        <v>2527</v>
      </c>
      <c r="AL8" s="217" t="s">
        <v>2504</v>
      </c>
      <c r="AM8" s="217" t="s">
        <v>1163</v>
      </c>
      <c r="AN8" s="220" t="s">
        <v>2527</v>
      </c>
      <c r="AO8" s="218" t="s">
        <v>2504</v>
      </c>
      <c r="AP8" s="218" t="s">
        <v>1163</v>
      </c>
      <c r="AQ8" s="219" t="s">
        <v>2527</v>
      </c>
      <c r="AR8" s="221" t="s">
        <v>2504</v>
      </c>
      <c r="AS8" s="217" t="s">
        <v>1163</v>
      </c>
      <c r="AT8" s="1859"/>
      <c r="AU8" s="1861"/>
    </row>
    <row r="9" spans="1:49" ht="17.100000000000001" customHeight="1" thickBot="1" x14ac:dyDescent="0.3">
      <c r="A9" s="222">
        <v>1</v>
      </c>
      <c r="B9" s="223">
        <v>1830</v>
      </c>
      <c r="C9" s="224" t="s">
        <v>2528</v>
      </c>
      <c r="D9" s="225">
        <v>40948</v>
      </c>
      <c r="E9" s="225">
        <v>44601</v>
      </c>
      <c r="F9" s="225" t="s">
        <v>2529</v>
      </c>
      <c r="G9" s="226">
        <v>9</v>
      </c>
      <c r="H9" s="227">
        <v>23</v>
      </c>
      <c r="I9" s="228"/>
      <c r="J9" s="233"/>
      <c r="K9" s="436"/>
      <c r="L9" s="230"/>
      <c r="M9" s="229">
        <v>9</v>
      </c>
      <c r="N9" s="230">
        <v>6896942</v>
      </c>
      <c r="O9" s="230">
        <v>820702</v>
      </c>
      <c r="P9" s="233"/>
      <c r="Q9" s="231"/>
      <c r="R9" s="232"/>
      <c r="S9" s="233"/>
      <c r="T9" s="234"/>
      <c r="U9" s="234"/>
      <c r="V9" s="235"/>
      <c r="W9" s="236"/>
      <c r="X9" s="236"/>
      <c r="Y9" s="237"/>
      <c r="Z9" s="238"/>
      <c r="AA9" s="234"/>
      <c r="AB9" s="232"/>
      <c r="AC9" s="232"/>
      <c r="AD9" s="236"/>
      <c r="AE9" s="239"/>
      <c r="AF9" s="238"/>
      <c r="AG9" s="238"/>
      <c r="AH9" s="240"/>
      <c r="AI9" s="232"/>
      <c r="AJ9" s="232"/>
      <c r="AK9" s="234"/>
      <c r="AL9" s="234"/>
      <c r="AM9" s="238"/>
      <c r="AN9" s="241"/>
      <c r="AO9" s="236"/>
      <c r="AP9" s="236"/>
      <c r="AQ9" s="237"/>
      <c r="AR9" s="242"/>
      <c r="AS9" s="242"/>
      <c r="AT9" s="236">
        <v>6896942</v>
      </c>
      <c r="AU9" s="243">
        <v>820702</v>
      </c>
    </row>
    <row r="10" spans="1:49" ht="24.95" customHeight="1" thickBot="1" x14ac:dyDescent="0.3">
      <c r="B10" s="244"/>
      <c r="C10" s="245"/>
      <c r="D10" s="245"/>
      <c r="E10" s="245"/>
      <c r="F10" s="245"/>
      <c r="G10" s="246"/>
      <c r="H10" s="246"/>
      <c r="I10" s="246"/>
      <c r="J10" s="247"/>
      <c r="K10" s="248"/>
      <c r="L10" s="249"/>
      <c r="M10" s="250"/>
      <c r="N10" s="246"/>
      <c r="O10" s="249"/>
      <c r="P10" s="251"/>
      <c r="Q10" s="251"/>
      <c r="R10" s="251"/>
      <c r="S10" s="247"/>
      <c r="T10" s="252"/>
      <c r="U10" s="252"/>
      <c r="V10" s="253"/>
      <c r="W10" s="246"/>
      <c r="X10" s="246"/>
      <c r="Y10" s="251"/>
      <c r="Z10" s="248"/>
      <c r="AA10" s="248"/>
      <c r="AB10" s="248"/>
      <c r="AC10" s="248"/>
      <c r="AD10" s="246"/>
      <c r="AE10" s="254"/>
      <c r="AF10" s="246"/>
      <c r="AG10" s="255"/>
      <c r="AH10" s="251"/>
      <c r="AI10" s="248"/>
      <c r="AJ10" s="246"/>
      <c r="AK10" s="248"/>
      <c r="AL10" s="246"/>
      <c r="AM10" s="256"/>
      <c r="AN10" s="251"/>
      <c r="AO10" s="246"/>
      <c r="AP10" s="246"/>
      <c r="AQ10" s="251"/>
      <c r="AR10" s="257"/>
      <c r="AS10" s="251"/>
      <c r="AT10" s="258"/>
      <c r="AU10" s="258"/>
    </row>
    <row r="11" spans="1:49" ht="17.100000000000001" customHeight="1" x14ac:dyDescent="0.25">
      <c r="A11" s="222">
        <v>2</v>
      </c>
      <c r="B11" s="259">
        <v>136200069373</v>
      </c>
      <c r="C11" s="260" t="s">
        <v>2530</v>
      </c>
      <c r="D11" s="261">
        <v>40904</v>
      </c>
      <c r="E11" s="261">
        <v>45287</v>
      </c>
      <c r="F11" s="260" t="s">
        <v>2531</v>
      </c>
      <c r="G11" s="262">
        <v>2</v>
      </c>
      <c r="H11" s="263" t="s">
        <v>2532</v>
      </c>
      <c r="I11" s="264" t="s">
        <v>2533</v>
      </c>
      <c r="J11" s="315"/>
      <c r="K11" s="269"/>
      <c r="L11" s="266"/>
      <c r="M11" s="265"/>
      <c r="N11" s="266"/>
      <c r="O11" s="266"/>
      <c r="P11" s="315">
        <v>27</v>
      </c>
      <c r="Q11" s="267">
        <v>59480103.75</v>
      </c>
      <c r="R11" s="267">
        <v>10393267</v>
      </c>
      <c r="S11" s="268"/>
      <c r="T11" s="269"/>
      <c r="U11" s="270"/>
      <c r="V11" s="271"/>
      <c r="W11" s="272"/>
      <c r="X11" s="273"/>
      <c r="Y11" s="274">
        <v>27</v>
      </c>
      <c r="Z11" s="266">
        <v>59480103.75</v>
      </c>
      <c r="AA11" s="266">
        <v>10185401.66</v>
      </c>
      <c r="AB11" s="275"/>
      <c r="AC11" s="272"/>
      <c r="AD11" s="276"/>
      <c r="AE11" s="274"/>
      <c r="AF11" s="266"/>
      <c r="AG11" s="266"/>
      <c r="AH11" s="277">
        <v>27</v>
      </c>
      <c r="AI11" s="267">
        <v>59480103.75</v>
      </c>
      <c r="AJ11" s="266">
        <v>9981693.6268000007</v>
      </c>
      <c r="AK11" s="278"/>
      <c r="AL11" s="266"/>
      <c r="AM11" s="266"/>
      <c r="AN11" s="277"/>
      <c r="AO11" s="279"/>
      <c r="AP11" s="279"/>
      <c r="AQ11" s="274">
        <v>27</v>
      </c>
      <c r="AR11" s="266">
        <v>59480103.75</v>
      </c>
      <c r="AS11" s="266">
        <v>9782059.7542640008</v>
      </c>
      <c r="AT11" s="276">
        <v>237920415</v>
      </c>
      <c r="AU11" s="280">
        <v>40342422.041064002</v>
      </c>
    </row>
    <row r="12" spans="1:49" ht="17.100000000000001" customHeight="1" thickBot="1" x14ac:dyDescent="0.3">
      <c r="A12" s="222">
        <v>3</v>
      </c>
      <c r="B12" s="281">
        <v>136001334608</v>
      </c>
      <c r="C12" s="282" t="s">
        <v>2530</v>
      </c>
      <c r="D12" s="283">
        <v>43722</v>
      </c>
      <c r="E12" s="283">
        <v>46918</v>
      </c>
      <c r="F12" s="282" t="s">
        <v>2534</v>
      </c>
      <c r="G12" s="284">
        <v>14</v>
      </c>
      <c r="H12" s="285">
        <v>20</v>
      </c>
      <c r="I12" s="286"/>
      <c r="J12" s="437"/>
      <c r="K12" s="291"/>
      <c r="L12" s="288"/>
      <c r="M12" s="287"/>
      <c r="N12" s="288"/>
      <c r="O12" s="288"/>
      <c r="P12" s="287">
        <v>14</v>
      </c>
      <c r="Q12" s="289">
        <v>107142857.14</v>
      </c>
      <c r="R12" s="289">
        <v>50242378.789999999</v>
      </c>
      <c r="S12" s="290"/>
      <c r="T12" s="291"/>
      <c r="U12" s="292"/>
      <c r="V12" s="293"/>
      <c r="W12" s="294"/>
      <c r="X12" s="295"/>
      <c r="Y12" s="296">
        <v>14</v>
      </c>
      <c r="Z12" s="288">
        <v>107142857.14</v>
      </c>
      <c r="AA12" s="288">
        <v>48232683.638399996</v>
      </c>
      <c r="AB12" s="297"/>
      <c r="AC12" s="298"/>
      <c r="AD12" s="298"/>
      <c r="AE12" s="296"/>
      <c r="AF12" s="288"/>
      <c r="AG12" s="288"/>
      <c r="AH12" s="299">
        <v>14</v>
      </c>
      <c r="AI12" s="289">
        <v>107142857.14</v>
      </c>
      <c r="AJ12" s="289">
        <v>46303376.292863995</v>
      </c>
      <c r="AK12" s="300"/>
      <c r="AL12" s="301"/>
      <c r="AM12" s="300"/>
      <c r="AN12" s="302"/>
      <c r="AO12" s="303"/>
      <c r="AP12" s="303"/>
      <c r="AQ12" s="304">
        <v>14</v>
      </c>
      <c r="AR12" s="288">
        <v>107142857.14</v>
      </c>
      <c r="AS12" s="292">
        <v>44914275.004078075</v>
      </c>
      <c r="AT12" s="305">
        <v>428571428.56</v>
      </c>
      <c r="AU12" s="306">
        <v>189692713.72534209</v>
      </c>
    </row>
    <row r="13" spans="1:49" s="307" customFormat="1" ht="24.95" customHeight="1" thickBot="1" x14ac:dyDescent="0.3">
      <c r="B13" s="308"/>
      <c r="C13" s="308"/>
      <c r="D13" s="308"/>
      <c r="E13" s="308"/>
      <c r="F13" s="308"/>
      <c r="G13" s="308"/>
      <c r="H13" s="308"/>
      <c r="I13" s="308"/>
      <c r="J13" s="308"/>
      <c r="K13" s="308"/>
      <c r="L13" s="308"/>
      <c r="M13" s="309"/>
      <c r="N13" s="308"/>
      <c r="O13" s="308"/>
      <c r="P13" s="257"/>
      <c r="Q13" s="308"/>
      <c r="R13" s="308"/>
      <c r="S13" s="257"/>
      <c r="T13" s="252"/>
      <c r="U13" s="252"/>
      <c r="V13" s="308"/>
      <c r="W13" s="308"/>
      <c r="X13" s="308"/>
      <c r="Y13" s="257"/>
      <c r="Z13" s="308"/>
      <c r="AA13" s="308"/>
      <c r="AB13" s="308"/>
      <c r="AC13" s="308"/>
      <c r="AD13" s="308"/>
      <c r="AE13" s="257"/>
      <c r="AF13" s="308"/>
      <c r="AG13" s="308"/>
      <c r="AH13" s="257"/>
      <c r="AI13" s="308"/>
      <c r="AJ13" s="308"/>
      <c r="AK13" s="308"/>
      <c r="AL13" s="308"/>
      <c r="AM13" s="308"/>
      <c r="AN13" s="257"/>
      <c r="AO13" s="308"/>
      <c r="AP13" s="308"/>
      <c r="AQ13" s="257"/>
      <c r="AR13" s="308"/>
      <c r="AS13" s="308"/>
      <c r="AT13" s="308"/>
      <c r="AU13" s="308"/>
    </row>
    <row r="14" spans="1:49" ht="17.100000000000001" customHeight="1" x14ac:dyDescent="0.25">
      <c r="A14" s="222">
        <v>4</v>
      </c>
      <c r="B14" s="259" t="s">
        <v>2535</v>
      </c>
      <c r="C14" s="260" t="s">
        <v>2536</v>
      </c>
      <c r="D14" s="261">
        <v>42131</v>
      </c>
      <c r="E14" s="261">
        <v>44688</v>
      </c>
      <c r="F14" s="260" t="s">
        <v>2537</v>
      </c>
      <c r="G14" s="262">
        <v>1</v>
      </c>
      <c r="H14" s="263">
        <v>20</v>
      </c>
      <c r="I14" s="1862" t="s">
        <v>2538</v>
      </c>
      <c r="J14" s="265"/>
      <c r="K14" s="266"/>
      <c r="L14" s="266"/>
      <c r="M14" s="265">
        <v>7</v>
      </c>
      <c r="N14" s="266">
        <v>38275707</v>
      </c>
      <c r="O14" s="266">
        <v>7660701.2000000002</v>
      </c>
      <c r="P14" s="265"/>
      <c r="Q14" s="267"/>
      <c r="R14" s="267"/>
      <c r="S14" s="268"/>
      <c r="T14" s="270"/>
      <c r="U14" s="270"/>
      <c r="V14" s="310" t="s">
        <v>2539</v>
      </c>
      <c r="W14" s="311">
        <v>38275707</v>
      </c>
      <c r="X14" s="312">
        <v>5746915.8500000006</v>
      </c>
      <c r="Y14" s="313"/>
      <c r="Z14" s="266"/>
      <c r="AA14" s="270"/>
      <c r="AB14" s="314"/>
      <c r="AC14" s="276"/>
      <c r="AD14" s="276"/>
      <c r="AE14" s="315" t="s">
        <v>2539</v>
      </c>
      <c r="AF14" s="311">
        <v>38275707</v>
      </c>
      <c r="AG14" s="312">
        <v>3833130.5</v>
      </c>
      <c r="AH14" s="277"/>
      <c r="AI14" s="267"/>
      <c r="AJ14" s="267"/>
      <c r="AK14" s="278"/>
      <c r="AL14" s="266"/>
      <c r="AM14" s="266"/>
      <c r="AN14" s="310" t="s">
        <v>2539</v>
      </c>
      <c r="AO14" s="311">
        <v>38275707</v>
      </c>
      <c r="AP14" s="312">
        <v>1919345.1500000001</v>
      </c>
      <c r="AQ14" s="274"/>
      <c r="AR14" s="316"/>
      <c r="AS14" s="316"/>
      <c r="AT14" s="276">
        <v>153102828</v>
      </c>
      <c r="AU14" s="280">
        <v>19160092.699999999</v>
      </c>
      <c r="AV14" s="317">
        <v>19160092.699999999</v>
      </c>
      <c r="AW14" s="318" t="b">
        <v>1</v>
      </c>
    </row>
    <row r="15" spans="1:49" ht="17.100000000000001" customHeight="1" x14ac:dyDescent="0.25">
      <c r="A15" s="222">
        <v>5</v>
      </c>
      <c r="B15" s="319" t="s">
        <v>2540</v>
      </c>
      <c r="C15" s="320" t="s">
        <v>2536</v>
      </c>
      <c r="D15" s="321">
        <v>42153</v>
      </c>
      <c r="E15" s="321">
        <v>44710</v>
      </c>
      <c r="F15" s="320" t="s">
        <v>2537</v>
      </c>
      <c r="G15" s="322">
        <v>2</v>
      </c>
      <c r="H15" s="432">
        <v>20</v>
      </c>
      <c r="I15" s="1844"/>
      <c r="J15" s="323"/>
      <c r="K15" s="334"/>
      <c r="L15" s="334"/>
      <c r="M15" s="323">
        <v>29</v>
      </c>
      <c r="N15" s="334">
        <v>117613302</v>
      </c>
      <c r="O15" s="334">
        <v>23522660.400000002</v>
      </c>
      <c r="P15" s="323"/>
      <c r="Q15" s="327"/>
      <c r="R15" s="327"/>
      <c r="S15" s="328"/>
      <c r="T15" s="329"/>
      <c r="U15" s="329"/>
      <c r="V15" s="330" t="s">
        <v>2541</v>
      </c>
      <c r="W15" s="331">
        <v>117613302</v>
      </c>
      <c r="X15" s="332">
        <v>17641995.300000001</v>
      </c>
      <c r="Y15" s="333"/>
      <c r="Z15" s="334"/>
      <c r="AA15" s="329"/>
      <c r="AB15" s="335"/>
      <c r="AC15" s="336"/>
      <c r="AD15" s="336"/>
      <c r="AE15" s="337" t="s">
        <v>2541</v>
      </c>
      <c r="AF15" s="331">
        <v>117613302</v>
      </c>
      <c r="AG15" s="332">
        <v>11761330.200000001</v>
      </c>
      <c r="AH15" s="338"/>
      <c r="AI15" s="327"/>
      <c r="AJ15" s="327"/>
      <c r="AK15" s="339"/>
      <c r="AL15" s="334"/>
      <c r="AM15" s="334"/>
      <c r="AN15" s="330" t="s">
        <v>2541</v>
      </c>
      <c r="AO15" s="331">
        <v>117613302</v>
      </c>
      <c r="AP15" s="332">
        <v>5880665.1000000006</v>
      </c>
      <c r="AQ15" s="340"/>
      <c r="AR15" s="341"/>
      <c r="AS15" s="341"/>
      <c r="AT15" s="336">
        <v>470453208</v>
      </c>
      <c r="AU15" s="342">
        <v>58806651.000000007</v>
      </c>
      <c r="AV15" s="317">
        <v>58806651.000000007</v>
      </c>
      <c r="AW15" s="318" t="b">
        <v>1</v>
      </c>
    </row>
    <row r="16" spans="1:49" ht="17.100000000000001" customHeight="1" x14ac:dyDescent="0.25">
      <c r="A16" s="222">
        <v>6</v>
      </c>
      <c r="B16" s="319" t="s">
        <v>2542</v>
      </c>
      <c r="C16" s="320" t="s">
        <v>2536</v>
      </c>
      <c r="D16" s="321">
        <v>42160</v>
      </c>
      <c r="E16" s="321">
        <v>44717</v>
      </c>
      <c r="F16" s="320" t="s">
        <v>2537</v>
      </c>
      <c r="G16" s="322">
        <v>3</v>
      </c>
      <c r="H16" s="432">
        <v>20</v>
      </c>
      <c r="I16" s="1844"/>
      <c r="J16" s="323"/>
      <c r="K16" s="334"/>
      <c r="L16" s="334"/>
      <c r="M16" s="323"/>
      <c r="N16" s="334"/>
      <c r="O16" s="334"/>
      <c r="P16" s="323">
        <v>5</v>
      </c>
      <c r="Q16" s="324">
        <v>97089751</v>
      </c>
      <c r="R16" s="325">
        <v>24272437.75</v>
      </c>
      <c r="S16" s="328"/>
      <c r="T16" s="329"/>
      <c r="U16" s="329"/>
      <c r="V16" s="330"/>
      <c r="W16" s="336"/>
      <c r="X16" s="336"/>
      <c r="Y16" s="333">
        <v>5</v>
      </c>
      <c r="Z16" s="324">
        <v>97089751</v>
      </c>
      <c r="AA16" s="332">
        <v>19417950.199999999</v>
      </c>
      <c r="AB16" s="335"/>
      <c r="AC16" s="336"/>
      <c r="AD16" s="336"/>
      <c r="AE16" s="340"/>
      <c r="AF16" s="334"/>
      <c r="AG16" s="334"/>
      <c r="AH16" s="343">
        <v>5</v>
      </c>
      <c r="AI16" s="324">
        <v>97089751</v>
      </c>
      <c r="AJ16" s="332">
        <v>14563462.65</v>
      </c>
      <c r="AK16" s="339"/>
      <c r="AL16" s="334"/>
      <c r="AM16" s="334"/>
      <c r="AN16" s="338"/>
      <c r="AO16" s="327"/>
      <c r="AP16" s="327"/>
      <c r="AQ16" s="333">
        <v>5</v>
      </c>
      <c r="AR16" s="324">
        <v>96741769</v>
      </c>
      <c r="AS16" s="332">
        <v>9708975.0999999996</v>
      </c>
      <c r="AT16" s="336">
        <v>388011022</v>
      </c>
      <c r="AU16" s="342">
        <v>67962825.700000003</v>
      </c>
      <c r="AV16" s="317">
        <v>67962825.700000003</v>
      </c>
      <c r="AW16" s="318" t="b">
        <v>1</v>
      </c>
    </row>
    <row r="17" spans="1:49" ht="17.100000000000001" customHeight="1" x14ac:dyDescent="0.25">
      <c r="A17" s="222">
        <v>7</v>
      </c>
      <c r="B17" s="319" t="s">
        <v>2543</v>
      </c>
      <c r="C17" s="320" t="s">
        <v>2536</v>
      </c>
      <c r="D17" s="321">
        <v>42200</v>
      </c>
      <c r="E17" s="321">
        <v>44757</v>
      </c>
      <c r="F17" s="320" t="s">
        <v>2537</v>
      </c>
      <c r="G17" s="322">
        <v>4</v>
      </c>
      <c r="H17" s="432">
        <v>20</v>
      </c>
      <c r="I17" s="1844"/>
      <c r="J17" s="328">
        <v>15</v>
      </c>
      <c r="K17" s="334">
        <v>103788268</v>
      </c>
      <c r="L17" s="334">
        <v>25947066.600000001</v>
      </c>
      <c r="M17" s="323"/>
      <c r="N17" s="334"/>
      <c r="O17" s="334"/>
      <c r="P17" s="323"/>
      <c r="Q17" s="327"/>
      <c r="R17" s="327"/>
      <c r="S17" s="328">
        <v>15</v>
      </c>
      <c r="T17" s="324">
        <v>103788268</v>
      </c>
      <c r="U17" s="332">
        <v>20757653.200000003</v>
      </c>
      <c r="V17" s="330"/>
      <c r="W17" s="336"/>
      <c r="X17" s="336"/>
      <c r="Y17" s="333"/>
      <c r="Z17" s="334"/>
      <c r="AA17" s="329"/>
      <c r="AB17" s="335">
        <v>15</v>
      </c>
      <c r="AC17" s="331">
        <v>103788268</v>
      </c>
      <c r="AD17" s="332">
        <v>15568239.800000001</v>
      </c>
      <c r="AE17" s="340"/>
      <c r="AF17" s="334"/>
      <c r="AG17" s="334"/>
      <c r="AH17" s="338"/>
      <c r="AI17" s="327"/>
      <c r="AJ17" s="327"/>
      <c r="AK17" s="339">
        <v>15</v>
      </c>
      <c r="AL17" s="324">
        <v>103788268</v>
      </c>
      <c r="AM17" s="332">
        <v>10378826.4</v>
      </c>
      <c r="AN17" s="338"/>
      <c r="AO17" s="327"/>
      <c r="AP17" s="327"/>
      <c r="AQ17" s="340"/>
      <c r="AR17" s="341"/>
      <c r="AS17" s="341"/>
      <c r="AT17" s="336">
        <v>415153072</v>
      </c>
      <c r="AU17" s="342">
        <v>72651786.000000015</v>
      </c>
      <c r="AV17" s="317">
        <v>72651786.000000015</v>
      </c>
      <c r="AW17" s="318" t="b">
        <v>1</v>
      </c>
    </row>
    <row r="18" spans="1:49" ht="17.100000000000001" customHeight="1" x14ac:dyDescent="0.25">
      <c r="A18" s="222">
        <v>8</v>
      </c>
      <c r="B18" s="319" t="s">
        <v>2544</v>
      </c>
      <c r="C18" s="320" t="s">
        <v>2536</v>
      </c>
      <c r="D18" s="321">
        <v>42201</v>
      </c>
      <c r="E18" s="321">
        <v>44758</v>
      </c>
      <c r="F18" s="320" t="s">
        <v>2537</v>
      </c>
      <c r="G18" s="322">
        <v>5</v>
      </c>
      <c r="H18" s="432">
        <v>20</v>
      </c>
      <c r="I18" s="1844"/>
      <c r="J18" s="323">
        <v>16</v>
      </c>
      <c r="K18" s="334">
        <v>155350469</v>
      </c>
      <c r="L18" s="334">
        <v>38471401.386</v>
      </c>
      <c r="M18" s="323"/>
      <c r="N18" s="334"/>
      <c r="O18" s="334"/>
      <c r="P18" s="323"/>
      <c r="Q18" s="327"/>
      <c r="R18" s="327"/>
      <c r="S18" s="328">
        <v>16</v>
      </c>
      <c r="T18" s="324">
        <v>155350469</v>
      </c>
      <c r="U18" s="332">
        <v>30781553.170500003</v>
      </c>
      <c r="V18" s="330"/>
      <c r="W18" s="336"/>
      <c r="X18" s="336"/>
      <c r="Y18" s="333"/>
      <c r="Z18" s="334"/>
      <c r="AA18" s="329"/>
      <c r="AB18" s="335">
        <v>16</v>
      </c>
      <c r="AC18" s="331">
        <v>155350469</v>
      </c>
      <c r="AD18" s="332">
        <v>23091704.955000002</v>
      </c>
      <c r="AE18" s="340"/>
      <c r="AF18" s="334"/>
      <c r="AG18" s="334"/>
      <c r="AH18" s="338"/>
      <c r="AI18" s="327"/>
      <c r="AJ18" s="327"/>
      <c r="AK18" s="344">
        <v>16</v>
      </c>
      <c r="AL18" s="331">
        <v>155350469</v>
      </c>
      <c r="AM18" s="332">
        <v>15401856.739500001</v>
      </c>
      <c r="AN18" s="338"/>
      <c r="AO18" s="327"/>
      <c r="AP18" s="327"/>
      <c r="AQ18" s="340"/>
      <c r="AR18" s="341"/>
      <c r="AS18" s="341"/>
      <c r="AT18" s="336">
        <v>621401876</v>
      </c>
      <c r="AU18" s="342">
        <v>107746516.251</v>
      </c>
      <c r="AV18" s="317">
        <v>107746516.251</v>
      </c>
      <c r="AW18" s="318" t="b">
        <v>1</v>
      </c>
    </row>
    <row r="19" spans="1:49" ht="17.100000000000001" customHeight="1" x14ac:dyDescent="0.25">
      <c r="A19" s="222">
        <v>9</v>
      </c>
      <c r="B19" s="319" t="s">
        <v>2545</v>
      </c>
      <c r="C19" s="320" t="s">
        <v>2536</v>
      </c>
      <c r="D19" s="321">
        <v>42228</v>
      </c>
      <c r="E19" s="321">
        <v>44785</v>
      </c>
      <c r="F19" s="320" t="s">
        <v>2537</v>
      </c>
      <c r="G19" s="322">
        <v>6</v>
      </c>
      <c r="H19" s="432">
        <v>20</v>
      </c>
      <c r="I19" s="1844" t="s">
        <v>2546</v>
      </c>
      <c r="J19" s="323"/>
      <c r="K19" s="334"/>
      <c r="L19" s="334"/>
      <c r="M19" s="323">
        <v>12</v>
      </c>
      <c r="N19" s="334">
        <v>155350469</v>
      </c>
      <c r="O19" s="334">
        <v>36629752.138000004</v>
      </c>
      <c r="P19" s="323"/>
      <c r="Q19" s="327"/>
      <c r="R19" s="327"/>
      <c r="S19" s="328"/>
      <c r="T19" s="329"/>
      <c r="U19" s="329"/>
      <c r="V19" s="330" t="s">
        <v>2547</v>
      </c>
      <c r="W19" s="331">
        <v>155350469</v>
      </c>
      <c r="X19" s="332">
        <v>29017579.157000002</v>
      </c>
      <c r="Y19" s="333"/>
      <c r="Z19" s="334"/>
      <c r="AA19" s="329"/>
      <c r="AB19" s="335"/>
      <c r="AC19" s="336"/>
      <c r="AD19" s="336"/>
      <c r="AE19" s="340">
        <v>12</v>
      </c>
      <c r="AF19" s="324">
        <v>155350469</v>
      </c>
      <c r="AG19" s="332">
        <v>21405406.175999999</v>
      </c>
      <c r="AH19" s="338"/>
      <c r="AI19" s="327"/>
      <c r="AJ19" s="327"/>
      <c r="AK19" s="339"/>
      <c r="AL19" s="334"/>
      <c r="AM19" s="334"/>
      <c r="AN19" s="338">
        <v>12</v>
      </c>
      <c r="AO19" s="324">
        <v>155350469</v>
      </c>
      <c r="AP19" s="332">
        <v>13793233.195</v>
      </c>
      <c r="AQ19" s="340"/>
      <c r="AR19" s="341"/>
      <c r="AS19" s="341"/>
      <c r="AT19" s="336">
        <v>621401876</v>
      </c>
      <c r="AU19" s="342">
        <v>100845970.66600001</v>
      </c>
      <c r="AV19" s="317">
        <v>100845970.66600001</v>
      </c>
      <c r="AW19" s="318" t="b">
        <v>1</v>
      </c>
    </row>
    <row r="20" spans="1:49" ht="17.100000000000001" customHeight="1" x14ac:dyDescent="0.25">
      <c r="A20" s="222">
        <v>10</v>
      </c>
      <c r="B20" s="319" t="s">
        <v>2548</v>
      </c>
      <c r="C20" s="320" t="s">
        <v>2536</v>
      </c>
      <c r="D20" s="321">
        <v>42235</v>
      </c>
      <c r="E20" s="321">
        <v>44792</v>
      </c>
      <c r="F20" s="320" t="s">
        <v>2537</v>
      </c>
      <c r="G20" s="322">
        <v>7</v>
      </c>
      <c r="H20" s="432">
        <v>20</v>
      </c>
      <c r="I20" s="1844"/>
      <c r="J20" s="323"/>
      <c r="K20" s="334"/>
      <c r="L20" s="334"/>
      <c r="M20" s="323">
        <v>19</v>
      </c>
      <c r="N20" s="334">
        <v>60670008</v>
      </c>
      <c r="O20" s="334">
        <v>14985492.6182</v>
      </c>
      <c r="P20" s="323"/>
      <c r="Q20" s="327"/>
      <c r="R20" s="327"/>
      <c r="S20" s="328"/>
      <c r="T20" s="329"/>
      <c r="U20" s="329"/>
      <c r="V20" s="330" t="s">
        <v>2549</v>
      </c>
      <c r="W20" s="331">
        <v>60670008</v>
      </c>
      <c r="X20" s="332">
        <v>11988394.222999999</v>
      </c>
      <c r="Y20" s="333"/>
      <c r="Z20" s="334"/>
      <c r="AA20" s="329"/>
      <c r="AB20" s="335"/>
      <c r="AC20" s="336"/>
      <c r="AD20" s="336"/>
      <c r="AE20" s="340">
        <v>19</v>
      </c>
      <c r="AF20" s="324">
        <v>60670008</v>
      </c>
      <c r="AG20" s="332">
        <v>8991295.8278000001</v>
      </c>
      <c r="AH20" s="338"/>
      <c r="AI20" s="327"/>
      <c r="AJ20" s="327"/>
      <c r="AK20" s="339"/>
      <c r="AL20" s="334"/>
      <c r="AM20" s="334"/>
      <c r="AN20" s="338">
        <v>19</v>
      </c>
      <c r="AO20" s="324">
        <v>60670008</v>
      </c>
      <c r="AP20" s="332">
        <v>5994197.4325999999</v>
      </c>
      <c r="AQ20" s="340"/>
      <c r="AR20" s="341"/>
      <c r="AS20" s="341"/>
      <c r="AT20" s="336">
        <v>242680032</v>
      </c>
      <c r="AU20" s="342">
        <v>41959380.101599999</v>
      </c>
      <c r="AV20" s="317">
        <v>41959380.101599999</v>
      </c>
      <c r="AW20" s="318" t="b">
        <v>1</v>
      </c>
    </row>
    <row r="21" spans="1:49" ht="17.100000000000001" customHeight="1" x14ac:dyDescent="0.25">
      <c r="A21" s="222">
        <v>11</v>
      </c>
      <c r="B21" s="319" t="s">
        <v>2550</v>
      </c>
      <c r="C21" s="320" t="s">
        <v>2536</v>
      </c>
      <c r="D21" s="321">
        <v>42258</v>
      </c>
      <c r="E21" s="321">
        <v>44815</v>
      </c>
      <c r="F21" s="320" t="s">
        <v>2537</v>
      </c>
      <c r="G21" s="322">
        <v>8</v>
      </c>
      <c r="H21" s="432">
        <v>20</v>
      </c>
      <c r="I21" s="1844"/>
      <c r="J21" s="323"/>
      <c r="K21" s="334"/>
      <c r="L21" s="334"/>
      <c r="M21" s="323"/>
      <c r="N21" s="334"/>
      <c r="O21" s="334"/>
      <c r="P21" s="323">
        <v>11</v>
      </c>
      <c r="Q21" s="324">
        <v>83577873</v>
      </c>
      <c r="R21" s="325">
        <v>20341547.919499997</v>
      </c>
      <c r="S21" s="328"/>
      <c r="T21" s="329"/>
      <c r="U21" s="329"/>
      <c r="V21" s="330"/>
      <c r="W21" s="336"/>
      <c r="X21" s="336"/>
      <c r="Y21" s="333">
        <v>11</v>
      </c>
      <c r="Z21" s="324">
        <v>83577873</v>
      </c>
      <c r="AA21" s="332">
        <v>16037287.459999999</v>
      </c>
      <c r="AB21" s="335"/>
      <c r="AC21" s="336"/>
      <c r="AD21" s="336"/>
      <c r="AE21" s="340"/>
      <c r="AF21" s="334"/>
      <c r="AG21" s="334"/>
      <c r="AH21" s="338">
        <v>11</v>
      </c>
      <c r="AI21" s="324">
        <v>83577873</v>
      </c>
      <c r="AJ21" s="332">
        <v>11733027.000499999</v>
      </c>
      <c r="AK21" s="339"/>
      <c r="AL21" s="334"/>
      <c r="AM21" s="334"/>
      <c r="AN21" s="338"/>
      <c r="AO21" s="327"/>
      <c r="AP21" s="327"/>
      <c r="AQ21" s="340">
        <v>11</v>
      </c>
      <c r="AR21" s="345">
        <v>83577873</v>
      </c>
      <c r="AS21" s="332">
        <v>7428766.5409999993</v>
      </c>
      <c r="AT21" s="336">
        <v>334311492</v>
      </c>
      <c r="AU21" s="342">
        <v>55540628.920999996</v>
      </c>
      <c r="AV21" s="317">
        <v>55540628.920999996</v>
      </c>
      <c r="AW21" s="318" t="b">
        <v>1</v>
      </c>
    </row>
    <row r="22" spans="1:49" ht="17.100000000000001" customHeight="1" x14ac:dyDescent="0.25">
      <c r="A22" s="222">
        <v>12</v>
      </c>
      <c r="B22" s="319" t="s">
        <v>2551</v>
      </c>
      <c r="C22" s="320" t="s">
        <v>2536</v>
      </c>
      <c r="D22" s="321">
        <v>42272</v>
      </c>
      <c r="E22" s="321">
        <v>44829</v>
      </c>
      <c r="F22" s="320" t="s">
        <v>2537</v>
      </c>
      <c r="G22" s="322">
        <v>9</v>
      </c>
      <c r="H22" s="432">
        <v>20</v>
      </c>
      <c r="I22" s="1844"/>
      <c r="J22" s="323"/>
      <c r="K22" s="334"/>
      <c r="L22" s="334"/>
      <c r="M22" s="323"/>
      <c r="N22" s="334"/>
      <c r="O22" s="334"/>
      <c r="P22" s="323">
        <v>25</v>
      </c>
      <c r="Q22" s="324">
        <v>131226327</v>
      </c>
      <c r="R22" s="325">
        <v>32269691.173500001</v>
      </c>
      <c r="S22" s="328"/>
      <c r="T22" s="329"/>
      <c r="U22" s="329"/>
      <c r="V22" s="330"/>
      <c r="W22" s="336"/>
      <c r="X22" s="336"/>
      <c r="Y22" s="333">
        <v>25</v>
      </c>
      <c r="Z22" s="324">
        <v>131226327</v>
      </c>
      <c r="AA22" s="325">
        <v>25773987.987</v>
      </c>
      <c r="AB22" s="335"/>
      <c r="AC22" s="336"/>
      <c r="AD22" s="336"/>
      <c r="AE22" s="340"/>
      <c r="AF22" s="334"/>
      <c r="AG22" s="334"/>
      <c r="AH22" s="338">
        <v>25</v>
      </c>
      <c r="AI22" s="324">
        <v>131226327</v>
      </c>
      <c r="AJ22" s="325">
        <v>19278284.800500002</v>
      </c>
      <c r="AK22" s="339"/>
      <c r="AL22" s="334"/>
      <c r="AM22" s="334"/>
      <c r="AN22" s="338"/>
      <c r="AO22" s="327"/>
      <c r="AP22" s="327"/>
      <c r="AQ22" s="340">
        <v>25</v>
      </c>
      <c r="AR22" s="345">
        <v>131226327</v>
      </c>
      <c r="AS22" s="325">
        <v>12782581.614</v>
      </c>
      <c r="AT22" s="336">
        <v>524905308</v>
      </c>
      <c r="AU22" s="342">
        <v>90104545.575000018</v>
      </c>
      <c r="AV22" s="317">
        <v>90104545.575000018</v>
      </c>
      <c r="AW22" s="318" t="b">
        <v>1</v>
      </c>
    </row>
    <row r="23" spans="1:49" ht="17.100000000000001" customHeight="1" x14ac:dyDescent="0.25">
      <c r="A23" s="222">
        <v>13</v>
      </c>
      <c r="B23" s="319" t="s">
        <v>2552</v>
      </c>
      <c r="C23" s="320" t="s">
        <v>2536</v>
      </c>
      <c r="D23" s="321">
        <v>42283</v>
      </c>
      <c r="E23" s="321">
        <v>44840</v>
      </c>
      <c r="F23" s="320" t="s">
        <v>2537</v>
      </c>
      <c r="G23" s="322">
        <v>10</v>
      </c>
      <c r="H23" s="432">
        <v>20</v>
      </c>
      <c r="I23" s="1844"/>
      <c r="J23" s="323">
        <v>6</v>
      </c>
      <c r="K23" s="334">
        <v>19851377</v>
      </c>
      <c r="L23" s="334">
        <v>4913216.7975000003</v>
      </c>
      <c r="M23" s="323"/>
      <c r="N23" s="334"/>
      <c r="O23" s="334"/>
      <c r="P23" s="323"/>
      <c r="Q23" s="327"/>
      <c r="R23" s="327"/>
      <c r="S23" s="328">
        <v>6</v>
      </c>
      <c r="T23" s="324">
        <v>19851377</v>
      </c>
      <c r="U23" s="325">
        <v>3930573.4380000001</v>
      </c>
      <c r="V23" s="330"/>
      <c r="W23" s="336"/>
      <c r="X23" s="336"/>
      <c r="Y23" s="333"/>
      <c r="Z23" s="334"/>
      <c r="AA23" s="334"/>
      <c r="AB23" s="335">
        <v>6</v>
      </c>
      <c r="AC23" s="331">
        <v>19851377</v>
      </c>
      <c r="AD23" s="325">
        <v>2947930.0785000003</v>
      </c>
      <c r="AE23" s="340"/>
      <c r="AF23" s="334"/>
      <c r="AG23" s="334"/>
      <c r="AH23" s="338"/>
      <c r="AI23" s="327"/>
      <c r="AJ23" s="327"/>
      <c r="AK23" s="339">
        <v>6</v>
      </c>
      <c r="AL23" s="324">
        <v>19851377</v>
      </c>
      <c r="AM23" s="325">
        <v>1965286.719</v>
      </c>
      <c r="AN23" s="338"/>
      <c r="AO23" s="327"/>
      <c r="AP23" s="327"/>
      <c r="AQ23" s="340"/>
      <c r="AR23" s="341"/>
      <c r="AS23" s="341"/>
      <c r="AT23" s="336">
        <v>79405508</v>
      </c>
      <c r="AU23" s="342">
        <v>13757007.033000002</v>
      </c>
      <c r="AV23" s="317">
        <v>13757007.033000002</v>
      </c>
      <c r="AW23" s="318" t="b">
        <v>1</v>
      </c>
    </row>
    <row r="24" spans="1:49" ht="17.100000000000001" customHeight="1" x14ac:dyDescent="0.25">
      <c r="A24" s="222">
        <v>14</v>
      </c>
      <c r="B24" s="319" t="s">
        <v>2553</v>
      </c>
      <c r="C24" s="320" t="s">
        <v>2536</v>
      </c>
      <c r="D24" s="321">
        <v>42293</v>
      </c>
      <c r="E24" s="321">
        <v>44850</v>
      </c>
      <c r="F24" s="320" t="s">
        <v>2537</v>
      </c>
      <c r="G24" s="322">
        <v>11</v>
      </c>
      <c r="H24" s="432">
        <v>20</v>
      </c>
      <c r="I24" s="1844" t="s">
        <v>2554</v>
      </c>
      <c r="J24" s="323">
        <v>16</v>
      </c>
      <c r="K24" s="334">
        <v>82590101</v>
      </c>
      <c r="L24" s="334">
        <v>24529259.997000001</v>
      </c>
      <c r="M24" s="323"/>
      <c r="N24" s="334"/>
      <c r="O24" s="334"/>
      <c r="P24" s="323"/>
      <c r="Q24" s="327"/>
      <c r="R24" s="327"/>
      <c r="S24" s="328">
        <v>16</v>
      </c>
      <c r="T24" s="324">
        <v>82590101</v>
      </c>
      <c r="U24" s="325">
        <v>20441049.997500002</v>
      </c>
      <c r="V24" s="330"/>
      <c r="W24" s="336"/>
      <c r="X24" s="336"/>
      <c r="Y24" s="333"/>
      <c r="Z24" s="334"/>
      <c r="AA24" s="329"/>
      <c r="AB24" s="335">
        <v>16</v>
      </c>
      <c r="AC24" s="331">
        <v>82590101</v>
      </c>
      <c r="AD24" s="325">
        <v>16352839.998000002</v>
      </c>
      <c r="AE24" s="340"/>
      <c r="AF24" s="334"/>
      <c r="AG24" s="334"/>
      <c r="AH24" s="338"/>
      <c r="AI24" s="327"/>
      <c r="AJ24" s="327"/>
      <c r="AK24" s="339">
        <v>16</v>
      </c>
      <c r="AL24" s="324">
        <v>82590101</v>
      </c>
      <c r="AM24" s="325">
        <v>12264629.998500001</v>
      </c>
      <c r="AN24" s="338"/>
      <c r="AO24" s="327"/>
      <c r="AP24" s="327"/>
      <c r="AQ24" s="340"/>
      <c r="AR24" s="341"/>
      <c r="AS24" s="341"/>
      <c r="AT24" s="336">
        <v>330360404</v>
      </c>
      <c r="AU24" s="342">
        <v>73587779.991000012</v>
      </c>
      <c r="AV24" s="317">
        <v>73587779.991000012</v>
      </c>
      <c r="AW24" s="318" t="b">
        <v>1</v>
      </c>
    </row>
    <row r="25" spans="1:49" ht="17.100000000000001" customHeight="1" x14ac:dyDescent="0.25">
      <c r="A25" s="222">
        <v>15</v>
      </c>
      <c r="B25" s="319" t="s">
        <v>2555</v>
      </c>
      <c r="C25" s="320" t="s">
        <v>2536</v>
      </c>
      <c r="D25" s="321">
        <v>42298</v>
      </c>
      <c r="E25" s="321">
        <v>44855</v>
      </c>
      <c r="F25" s="320" t="s">
        <v>2537</v>
      </c>
      <c r="G25" s="322">
        <v>12</v>
      </c>
      <c r="H25" s="432">
        <v>20</v>
      </c>
      <c r="I25" s="1844"/>
      <c r="J25" s="323">
        <v>21</v>
      </c>
      <c r="K25" s="334">
        <v>22350614</v>
      </c>
      <c r="L25" s="334">
        <v>6638132.358</v>
      </c>
      <c r="M25" s="323"/>
      <c r="N25" s="334"/>
      <c r="O25" s="334"/>
      <c r="P25" s="323"/>
      <c r="Q25" s="327"/>
      <c r="R25" s="327"/>
      <c r="S25" s="328">
        <v>21</v>
      </c>
      <c r="T25" s="324">
        <v>22350614</v>
      </c>
      <c r="U25" s="334">
        <v>5531776.9649999999</v>
      </c>
      <c r="V25" s="330"/>
      <c r="W25" s="336"/>
      <c r="X25" s="336"/>
      <c r="Y25" s="333"/>
      <c r="Z25" s="334"/>
      <c r="AA25" s="329"/>
      <c r="AB25" s="335">
        <v>21</v>
      </c>
      <c r="AC25" s="331">
        <v>22350614</v>
      </c>
      <c r="AD25" s="325">
        <v>4425421.5720000006</v>
      </c>
      <c r="AE25" s="340"/>
      <c r="AF25" s="334"/>
      <c r="AG25" s="334"/>
      <c r="AH25" s="338"/>
      <c r="AI25" s="327"/>
      <c r="AJ25" s="327"/>
      <c r="AK25" s="339">
        <v>21</v>
      </c>
      <c r="AL25" s="324">
        <v>22350614</v>
      </c>
      <c r="AM25" s="325">
        <v>3319066.179</v>
      </c>
      <c r="AN25" s="338"/>
      <c r="AO25" s="327"/>
      <c r="AP25" s="327"/>
      <c r="AQ25" s="340"/>
      <c r="AR25" s="341"/>
      <c r="AS25" s="341"/>
      <c r="AT25" s="336">
        <v>89402456</v>
      </c>
      <c r="AU25" s="342">
        <v>19914397.074000001</v>
      </c>
      <c r="AV25" s="317">
        <v>19914397.074000001</v>
      </c>
      <c r="AW25" s="318" t="b">
        <v>1</v>
      </c>
    </row>
    <row r="26" spans="1:49" ht="17.100000000000001" customHeight="1" x14ac:dyDescent="0.25">
      <c r="A26" s="222">
        <v>16</v>
      </c>
      <c r="B26" s="319" t="s">
        <v>2556</v>
      </c>
      <c r="C26" s="320" t="s">
        <v>2536</v>
      </c>
      <c r="D26" s="321">
        <v>42697</v>
      </c>
      <c r="E26" s="321">
        <v>44888</v>
      </c>
      <c r="F26" s="320" t="s">
        <v>2537</v>
      </c>
      <c r="G26" s="322">
        <v>13</v>
      </c>
      <c r="H26" s="432">
        <v>20</v>
      </c>
      <c r="I26" s="1844"/>
      <c r="J26" s="323"/>
      <c r="K26" s="334"/>
      <c r="L26" s="334"/>
      <c r="M26" s="323">
        <v>23</v>
      </c>
      <c r="N26" s="334">
        <v>56250000</v>
      </c>
      <c r="O26" s="334">
        <v>16706250</v>
      </c>
      <c r="P26" s="323"/>
      <c r="Q26" s="327"/>
      <c r="R26" s="327"/>
      <c r="S26" s="328"/>
      <c r="T26" s="329"/>
      <c r="U26" s="329"/>
      <c r="V26" s="330" t="s">
        <v>2557</v>
      </c>
      <c r="W26" s="324">
        <v>56250000</v>
      </c>
      <c r="X26" s="325">
        <v>13921875</v>
      </c>
      <c r="Y26" s="333"/>
      <c r="Z26" s="334"/>
      <c r="AA26" s="329"/>
      <c r="AB26" s="335"/>
      <c r="AC26" s="336"/>
      <c r="AD26" s="336"/>
      <c r="AE26" s="340">
        <v>23</v>
      </c>
      <c r="AF26" s="331">
        <v>56250000</v>
      </c>
      <c r="AG26" s="325">
        <v>11137500</v>
      </c>
      <c r="AH26" s="338"/>
      <c r="AI26" s="327"/>
      <c r="AJ26" s="327"/>
      <c r="AK26" s="339"/>
      <c r="AL26" s="334"/>
      <c r="AM26" s="334"/>
      <c r="AN26" s="338">
        <v>23</v>
      </c>
      <c r="AO26" s="324">
        <v>56250000</v>
      </c>
      <c r="AP26" s="325">
        <v>8353125</v>
      </c>
      <c r="AQ26" s="340"/>
      <c r="AR26" s="341"/>
      <c r="AS26" s="341"/>
      <c r="AT26" s="336">
        <v>225000000</v>
      </c>
      <c r="AU26" s="342">
        <v>50118750</v>
      </c>
      <c r="AV26" s="317">
        <v>50118750</v>
      </c>
      <c r="AW26" s="318" t="b">
        <v>1</v>
      </c>
    </row>
    <row r="27" spans="1:49" ht="17.100000000000001" customHeight="1" x14ac:dyDescent="0.25">
      <c r="A27" s="222">
        <v>17</v>
      </c>
      <c r="B27" s="319" t="s">
        <v>2558</v>
      </c>
      <c r="C27" s="320" t="s">
        <v>2536</v>
      </c>
      <c r="D27" s="321">
        <v>42341</v>
      </c>
      <c r="E27" s="321">
        <v>44898</v>
      </c>
      <c r="F27" s="320" t="s">
        <v>2537</v>
      </c>
      <c r="G27" s="322">
        <v>14</v>
      </c>
      <c r="H27" s="432">
        <v>20</v>
      </c>
      <c r="I27" s="1844"/>
      <c r="J27" s="438"/>
      <c r="K27" s="334"/>
      <c r="L27" s="334"/>
      <c r="M27" s="323"/>
      <c r="N27" s="334"/>
      <c r="O27" s="334"/>
      <c r="P27" s="438">
        <v>3</v>
      </c>
      <c r="Q27" s="324">
        <v>125000000</v>
      </c>
      <c r="R27" s="325">
        <v>37125000</v>
      </c>
      <c r="S27" s="328"/>
      <c r="T27" s="329"/>
      <c r="U27" s="329"/>
      <c r="V27" s="330"/>
      <c r="W27" s="336"/>
      <c r="X27" s="336"/>
      <c r="Y27" s="333">
        <v>3</v>
      </c>
      <c r="Z27" s="324">
        <v>125000000</v>
      </c>
      <c r="AA27" s="325">
        <v>30937500</v>
      </c>
      <c r="AB27" s="335"/>
      <c r="AC27" s="336"/>
      <c r="AD27" s="336"/>
      <c r="AE27" s="340"/>
      <c r="AF27" s="334"/>
      <c r="AG27" s="334"/>
      <c r="AH27" s="338">
        <v>3</v>
      </c>
      <c r="AI27" s="331">
        <v>125000000</v>
      </c>
      <c r="AJ27" s="325">
        <v>24750000</v>
      </c>
      <c r="AK27" s="339"/>
      <c r="AL27" s="334"/>
      <c r="AM27" s="334"/>
      <c r="AN27" s="338"/>
      <c r="AO27" s="327"/>
      <c r="AP27" s="327"/>
      <c r="AQ27" s="340">
        <v>3</v>
      </c>
      <c r="AR27" s="324">
        <v>125000000</v>
      </c>
      <c r="AS27" s="325">
        <v>18562500</v>
      </c>
      <c r="AT27" s="336">
        <v>500000000</v>
      </c>
      <c r="AU27" s="342">
        <v>111375000</v>
      </c>
      <c r="AV27" s="317">
        <v>111375000</v>
      </c>
      <c r="AW27" s="318" t="b">
        <v>1</v>
      </c>
    </row>
    <row r="28" spans="1:49" ht="17.100000000000001" customHeight="1" x14ac:dyDescent="0.25">
      <c r="A28" s="222">
        <v>18</v>
      </c>
      <c r="B28" s="319" t="s">
        <v>2559</v>
      </c>
      <c r="C28" s="320" t="s">
        <v>2536</v>
      </c>
      <c r="D28" s="321">
        <v>42348</v>
      </c>
      <c r="E28" s="321">
        <v>44905</v>
      </c>
      <c r="F28" s="320" t="s">
        <v>2537</v>
      </c>
      <c r="G28" s="322">
        <v>15</v>
      </c>
      <c r="H28" s="432">
        <v>20</v>
      </c>
      <c r="I28" s="1844"/>
      <c r="J28" s="323"/>
      <c r="K28" s="334"/>
      <c r="L28" s="334"/>
      <c r="M28" s="323"/>
      <c r="N28" s="334"/>
      <c r="O28" s="334"/>
      <c r="P28" s="323">
        <v>10</v>
      </c>
      <c r="Q28" s="324">
        <v>252732076</v>
      </c>
      <c r="R28" s="325">
        <v>75061377.1215</v>
      </c>
      <c r="S28" s="328"/>
      <c r="T28" s="329"/>
      <c r="U28" s="329"/>
      <c r="V28" s="330"/>
      <c r="W28" s="336"/>
      <c r="X28" s="336"/>
      <c r="Y28" s="333">
        <v>10</v>
      </c>
      <c r="Z28" s="324">
        <v>252732076</v>
      </c>
      <c r="AA28" s="325">
        <v>62551139.359500006</v>
      </c>
      <c r="AB28" s="335"/>
      <c r="AC28" s="336"/>
      <c r="AD28" s="336"/>
      <c r="AE28" s="340"/>
      <c r="AF28" s="334"/>
      <c r="AG28" s="334"/>
      <c r="AH28" s="338">
        <v>10</v>
      </c>
      <c r="AI28" s="324">
        <v>252732076</v>
      </c>
      <c r="AJ28" s="325">
        <v>50040901.597500004</v>
      </c>
      <c r="AK28" s="339"/>
      <c r="AL28" s="334"/>
      <c r="AM28" s="334"/>
      <c r="AN28" s="338"/>
      <c r="AO28" s="327"/>
      <c r="AP28" s="327"/>
      <c r="AQ28" s="340">
        <v>10</v>
      </c>
      <c r="AR28" s="345">
        <v>252732076</v>
      </c>
      <c r="AS28" s="325">
        <v>37530663.835500002</v>
      </c>
      <c r="AT28" s="336">
        <v>1010928304</v>
      </c>
      <c r="AU28" s="342">
        <v>225184081.914</v>
      </c>
      <c r="AV28" s="317">
        <v>225184081.914</v>
      </c>
      <c r="AW28" s="318" t="b">
        <v>1</v>
      </c>
    </row>
    <row r="29" spans="1:49" ht="17.100000000000001" customHeight="1" x14ac:dyDescent="0.25">
      <c r="A29" s="222">
        <v>19</v>
      </c>
      <c r="B29" s="319" t="s">
        <v>2560</v>
      </c>
      <c r="C29" s="320" t="s">
        <v>2536</v>
      </c>
      <c r="D29" s="321">
        <v>43438</v>
      </c>
      <c r="E29" s="321">
        <v>47091</v>
      </c>
      <c r="F29" s="320" t="s">
        <v>2561</v>
      </c>
      <c r="G29" s="322">
        <v>1</v>
      </c>
      <c r="H29" s="432">
        <v>20</v>
      </c>
      <c r="I29" s="1845" t="s">
        <v>2538</v>
      </c>
      <c r="J29" s="323"/>
      <c r="K29" s="334"/>
      <c r="L29" s="334"/>
      <c r="M29" s="323"/>
      <c r="N29" s="334"/>
      <c r="O29" s="334"/>
      <c r="P29" s="323">
        <v>4</v>
      </c>
      <c r="Q29" s="324">
        <v>92857142</v>
      </c>
      <c r="R29" s="325">
        <v>116396428.80499999</v>
      </c>
      <c r="S29" s="328"/>
      <c r="T29" s="329"/>
      <c r="U29" s="329"/>
      <c r="V29" s="330"/>
      <c r="W29" s="336"/>
      <c r="X29" s="336"/>
      <c r="Y29" s="323">
        <v>4</v>
      </c>
      <c r="Z29" s="324">
        <v>92857142</v>
      </c>
      <c r="AA29" s="325">
        <v>111335714.566</v>
      </c>
      <c r="AB29" s="335"/>
      <c r="AC29" s="336"/>
      <c r="AD29" s="336"/>
      <c r="AE29" s="340"/>
      <c r="AF29" s="334"/>
      <c r="AG29" s="334"/>
      <c r="AH29" s="326">
        <v>4</v>
      </c>
      <c r="AI29" s="324">
        <v>92857142</v>
      </c>
      <c r="AJ29" s="325">
        <v>106275000.32700001</v>
      </c>
      <c r="AK29" s="339"/>
      <c r="AL29" s="334"/>
      <c r="AM29" s="334"/>
      <c r="AN29" s="338"/>
      <c r="AO29" s="327"/>
      <c r="AP29" s="327"/>
      <c r="AQ29" s="323">
        <v>4</v>
      </c>
      <c r="AR29" s="345">
        <v>92857142</v>
      </c>
      <c r="AS29" s="325">
        <v>101214286.088</v>
      </c>
      <c r="AT29" s="336">
        <v>371428568</v>
      </c>
      <c r="AU29" s="342">
        <v>435221429.78600001</v>
      </c>
      <c r="AV29" s="317">
        <v>435221429.78600001</v>
      </c>
      <c r="AW29" s="318" t="b">
        <v>1</v>
      </c>
    </row>
    <row r="30" spans="1:49" ht="17.100000000000001" customHeight="1" x14ac:dyDescent="0.25">
      <c r="A30" s="222">
        <v>20</v>
      </c>
      <c r="B30" s="319" t="s">
        <v>2562</v>
      </c>
      <c r="C30" s="320" t="s">
        <v>2536</v>
      </c>
      <c r="D30" s="321">
        <v>43461</v>
      </c>
      <c r="E30" s="321">
        <v>47114</v>
      </c>
      <c r="F30" s="320" t="s">
        <v>2563</v>
      </c>
      <c r="G30" s="322">
        <v>2</v>
      </c>
      <c r="H30" s="432">
        <v>20</v>
      </c>
      <c r="I30" s="1845"/>
      <c r="J30" s="323"/>
      <c r="K30" s="334"/>
      <c r="L30" s="334"/>
      <c r="M30" s="323"/>
      <c r="N30" s="334"/>
      <c r="O30" s="334"/>
      <c r="P30" s="323">
        <v>27</v>
      </c>
      <c r="Q30" s="324">
        <v>35714285</v>
      </c>
      <c r="R30" s="325">
        <v>48800000</v>
      </c>
      <c r="S30" s="328"/>
      <c r="T30" s="329"/>
      <c r="U30" s="329"/>
      <c r="V30" s="330"/>
      <c r="W30" s="336"/>
      <c r="X30" s="336"/>
      <c r="Y30" s="323">
        <v>27</v>
      </c>
      <c r="Z30" s="324">
        <v>35714285</v>
      </c>
      <c r="AA30" s="325">
        <v>48800000</v>
      </c>
      <c r="AB30" s="335"/>
      <c r="AC30" s="336"/>
      <c r="AD30" s="336"/>
      <c r="AE30" s="340"/>
      <c r="AF30" s="334"/>
      <c r="AG30" s="334"/>
      <c r="AH30" s="326">
        <v>27</v>
      </c>
      <c r="AI30" s="324">
        <v>35714285</v>
      </c>
      <c r="AJ30" s="325">
        <v>48800000</v>
      </c>
      <c r="AK30" s="339"/>
      <c r="AL30" s="334"/>
      <c r="AM30" s="334"/>
      <c r="AN30" s="338"/>
      <c r="AO30" s="327"/>
      <c r="AP30" s="327"/>
      <c r="AQ30" s="323">
        <v>27</v>
      </c>
      <c r="AR30" s="345">
        <v>35714285</v>
      </c>
      <c r="AS30" s="325">
        <v>47057142.892000005</v>
      </c>
      <c r="AT30" s="336">
        <v>142857140</v>
      </c>
      <c r="AU30" s="342">
        <v>193457142.89200002</v>
      </c>
      <c r="AV30" s="317">
        <v>193457142.89200002</v>
      </c>
      <c r="AW30" s="318" t="b">
        <v>1</v>
      </c>
    </row>
    <row r="31" spans="1:49" s="346" customFormat="1" ht="17.100000000000001" customHeight="1" thickBot="1" x14ac:dyDescent="0.3">
      <c r="A31" s="222">
        <v>21</v>
      </c>
      <c r="B31" s="319" t="s">
        <v>2564</v>
      </c>
      <c r="C31" s="320" t="s">
        <v>2536</v>
      </c>
      <c r="D31" s="321">
        <v>43796</v>
      </c>
      <c r="E31" s="321">
        <v>47449</v>
      </c>
      <c r="F31" s="320" t="s">
        <v>2561</v>
      </c>
      <c r="G31" s="322">
        <v>3</v>
      </c>
      <c r="H31" s="432">
        <v>20</v>
      </c>
      <c r="I31" s="1845"/>
      <c r="J31" s="323"/>
      <c r="K31" s="334"/>
      <c r="L31" s="334"/>
      <c r="M31" s="323">
        <v>27</v>
      </c>
      <c r="N31" s="334"/>
      <c r="O31" s="334">
        <v>0</v>
      </c>
      <c r="P31" s="323"/>
      <c r="Q31" s="324">
        <v>0</v>
      </c>
      <c r="R31" s="325">
        <v>145205900</v>
      </c>
      <c r="S31" s="290"/>
      <c r="T31" s="292"/>
      <c r="U31" s="292"/>
      <c r="V31" s="348"/>
      <c r="W31" s="292"/>
      <c r="X31" s="292"/>
      <c r="Y31" s="287">
        <v>30</v>
      </c>
      <c r="Z31" s="324">
        <v>0</v>
      </c>
      <c r="AA31" s="325">
        <v>145205900</v>
      </c>
      <c r="AB31" s="347"/>
      <c r="AC31" s="292"/>
      <c r="AD31" s="292"/>
      <c r="AE31" s="296"/>
      <c r="AF31" s="288"/>
      <c r="AG31" s="288"/>
      <c r="AH31" s="287">
        <v>30</v>
      </c>
      <c r="AI31" s="324">
        <v>0</v>
      </c>
      <c r="AJ31" s="325">
        <v>145205900</v>
      </c>
      <c r="AK31" s="349"/>
      <c r="AL31" s="288"/>
      <c r="AM31" s="288"/>
      <c r="AN31" s="296"/>
      <c r="AO31" s="288"/>
      <c r="AP31" s="288"/>
      <c r="AQ31" s="287">
        <v>30</v>
      </c>
      <c r="AR31" s="345">
        <v>0</v>
      </c>
      <c r="AS31" s="325">
        <v>145205900</v>
      </c>
      <c r="AT31" s="329">
        <v>0</v>
      </c>
      <c r="AU31" s="439">
        <v>580823600</v>
      </c>
    </row>
    <row r="32" spans="1:49" s="248" customFormat="1" ht="17.100000000000001" customHeight="1" thickBot="1" x14ac:dyDescent="0.3">
      <c r="A32" s="248">
        <v>22</v>
      </c>
      <c r="B32" s="281" t="s">
        <v>2565</v>
      </c>
      <c r="C32" s="282" t="s">
        <v>2536</v>
      </c>
      <c r="D32" s="283">
        <v>43829</v>
      </c>
      <c r="E32" s="283">
        <v>47482</v>
      </c>
      <c r="F32" s="282" t="s">
        <v>2561</v>
      </c>
      <c r="G32" s="284">
        <v>4</v>
      </c>
      <c r="H32" s="347">
        <v>20</v>
      </c>
      <c r="I32" s="1846"/>
      <c r="J32" s="287"/>
      <c r="K32" s="288"/>
      <c r="L32" s="288"/>
      <c r="M32" s="287"/>
      <c r="N32" s="288"/>
      <c r="O32" s="288"/>
      <c r="P32" s="287">
        <v>30</v>
      </c>
      <c r="Q32" s="324">
        <v>0</v>
      </c>
      <c r="R32" s="325">
        <v>146204800</v>
      </c>
      <c r="S32" s="290"/>
      <c r="T32" s="292"/>
      <c r="U32" s="292"/>
      <c r="V32" s="348"/>
      <c r="W32" s="292"/>
      <c r="X32" s="292"/>
      <c r="Y32" s="287">
        <v>30</v>
      </c>
      <c r="Z32" s="324">
        <v>0</v>
      </c>
      <c r="AA32" s="325">
        <v>146204800</v>
      </c>
      <c r="AB32" s="347"/>
      <c r="AC32" s="292"/>
      <c r="AD32" s="292"/>
      <c r="AE32" s="296"/>
      <c r="AF32" s="288"/>
      <c r="AG32" s="288"/>
      <c r="AH32" s="287">
        <v>30</v>
      </c>
      <c r="AI32" s="324">
        <v>0</v>
      </c>
      <c r="AJ32" s="325">
        <v>146204800</v>
      </c>
      <c r="AK32" s="349"/>
      <c r="AL32" s="288"/>
      <c r="AM32" s="288"/>
      <c r="AN32" s="296"/>
      <c r="AO32" s="288"/>
      <c r="AP32" s="288"/>
      <c r="AQ32" s="287">
        <v>30</v>
      </c>
      <c r="AR32" s="345">
        <v>0</v>
      </c>
      <c r="AS32" s="325">
        <v>146204800</v>
      </c>
      <c r="AT32" s="292">
        <v>0</v>
      </c>
      <c r="AU32" s="350">
        <v>584819200</v>
      </c>
      <c r="AV32" s="317">
        <v>584819200</v>
      </c>
      <c r="AW32" s="318" t="b">
        <v>1</v>
      </c>
    </row>
    <row r="33" spans="2:48" s="307" customFormat="1" ht="21.75" customHeight="1" thickBot="1" x14ac:dyDescent="0.3">
      <c r="B33" s="351"/>
      <c r="C33" s="352"/>
      <c r="D33" s="352"/>
      <c r="E33" s="352"/>
      <c r="F33" s="352"/>
      <c r="G33" s="352"/>
      <c r="H33" s="352"/>
      <c r="I33" s="352"/>
      <c r="J33" s="352"/>
      <c r="K33" s="352"/>
      <c r="L33" s="352"/>
      <c r="M33" s="353"/>
      <c r="N33" s="352"/>
      <c r="O33" s="352"/>
      <c r="P33" s="1847"/>
      <c r="Q33" s="1847"/>
      <c r="R33" s="1847"/>
      <c r="S33" s="353"/>
      <c r="T33" s="352"/>
      <c r="U33" s="352"/>
      <c r="V33" s="352"/>
      <c r="W33" s="352"/>
      <c r="X33" s="352"/>
      <c r="Y33" s="353"/>
      <c r="Z33" s="352"/>
      <c r="AA33" s="352"/>
      <c r="AB33" s="352"/>
      <c r="AC33" s="352"/>
      <c r="AD33" s="352"/>
      <c r="AE33" s="353"/>
      <c r="AF33" s="352"/>
      <c r="AG33" s="352"/>
      <c r="AH33" s="353"/>
      <c r="AI33" s="352"/>
      <c r="AJ33" s="352"/>
      <c r="AK33" s="352"/>
      <c r="AL33" s="352"/>
      <c r="AM33" s="352"/>
      <c r="AN33" s="353"/>
      <c r="AO33" s="352"/>
      <c r="AP33" s="352"/>
      <c r="AQ33" s="353"/>
      <c r="AR33" s="352"/>
      <c r="AS33" s="352"/>
      <c r="AT33" s="352"/>
      <c r="AU33" s="352"/>
    </row>
    <row r="34" spans="2:48" s="357" customFormat="1" ht="21" customHeight="1" thickBot="1" x14ac:dyDescent="0.3">
      <c r="B34" s="1848" t="s">
        <v>1773</v>
      </c>
      <c r="C34" s="1849"/>
      <c r="D34" s="1849"/>
      <c r="E34" s="1849"/>
      <c r="F34" s="1849"/>
      <c r="G34" s="1849"/>
      <c r="H34" s="1849"/>
      <c r="I34" s="1849"/>
      <c r="J34" s="1850"/>
      <c r="K34" s="354">
        <v>383930829</v>
      </c>
      <c r="L34" s="354">
        <v>100499077.13849999</v>
      </c>
      <c r="M34" s="355"/>
      <c r="N34" s="355">
        <v>435056428</v>
      </c>
      <c r="O34" s="355">
        <v>100325558.35620001</v>
      </c>
      <c r="P34" s="355"/>
      <c r="Q34" s="356">
        <v>984820414.88999999</v>
      </c>
      <c r="R34" s="356">
        <v>706312828.55949998</v>
      </c>
      <c r="S34" s="355"/>
      <c r="T34" s="355">
        <v>383930829</v>
      </c>
      <c r="U34" s="355">
        <v>81442606.771000013</v>
      </c>
      <c r="V34" s="356"/>
      <c r="W34" s="356">
        <v>428159486</v>
      </c>
      <c r="X34" s="356">
        <v>78316759.530000001</v>
      </c>
      <c r="Y34" s="355"/>
      <c r="Z34" s="355">
        <v>984820414.88999999</v>
      </c>
      <c r="AA34" s="355">
        <v>664682364.87089992</v>
      </c>
      <c r="AB34" s="356"/>
      <c r="AC34" s="356">
        <v>383930829</v>
      </c>
      <c r="AD34" s="356">
        <v>62386136.403500006</v>
      </c>
      <c r="AE34" s="355"/>
      <c r="AF34" s="355">
        <v>428159486</v>
      </c>
      <c r="AG34" s="355">
        <v>57128662.7038</v>
      </c>
      <c r="AH34" s="356"/>
      <c r="AI34" s="356">
        <v>984820414.88999999</v>
      </c>
      <c r="AJ34" s="356">
        <v>623136446.29516399</v>
      </c>
      <c r="AK34" s="355"/>
      <c r="AL34" s="355">
        <v>383930829</v>
      </c>
      <c r="AM34" s="355">
        <v>43329666.035999998</v>
      </c>
      <c r="AN34" s="356"/>
      <c r="AO34" s="356">
        <v>428159486</v>
      </c>
      <c r="AP34" s="356">
        <v>35940565.877599999</v>
      </c>
      <c r="AQ34" s="355"/>
      <c r="AR34" s="355">
        <v>984472432.88999999</v>
      </c>
      <c r="AS34" s="355">
        <v>580391950.82884216</v>
      </c>
      <c r="AT34" s="356">
        <v>7194191879.5599995</v>
      </c>
      <c r="AU34" s="356">
        <v>3133892623.371006</v>
      </c>
      <c r="AV34" s="657">
        <f>+'Deuda Nueva'!D8+'Deuda Nueva'!D9</f>
        <v>1952000000.0000002</v>
      </c>
    </row>
    <row r="35" spans="2:48" x14ac:dyDescent="0.25">
      <c r="B35" s="244"/>
      <c r="C35" s="245"/>
      <c r="D35" s="245"/>
      <c r="E35" s="245"/>
      <c r="F35" s="245"/>
      <c r="G35" s="246"/>
      <c r="H35" s="246"/>
      <c r="I35" s="246"/>
      <c r="J35" s="250"/>
      <c r="K35" s="249"/>
      <c r="L35" s="249"/>
      <c r="M35" s="250"/>
      <c r="N35" s="249"/>
      <c r="O35" s="249"/>
      <c r="P35" s="250"/>
      <c r="Q35" s="249"/>
      <c r="R35" s="249"/>
      <c r="S35" s="358"/>
      <c r="T35" s="246"/>
      <c r="U35" s="246"/>
      <c r="V35" s="359"/>
      <c r="W35" s="246"/>
      <c r="X35" s="246"/>
      <c r="Y35" s="254"/>
      <c r="Z35" s="249"/>
      <c r="AA35" s="246"/>
      <c r="AB35" s="360"/>
      <c r="AC35" s="246"/>
      <c r="AD35" s="246"/>
      <c r="AE35" s="361"/>
      <c r="AF35" s="249"/>
      <c r="AG35" s="249"/>
      <c r="AH35" s="361"/>
      <c r="AI35" s="249"/>
      <c r="AJ35" s="249"/>
      <c r="AK35" s="244"/>
      <c r="AL35" s="249"/>
      <c r="AM35" s="249"/>
      <c r="AN35" s="361"/>
      <c r="AO35" s="249"/>
      <c r="AP35" s="249"/>
      <c r="AQ35" s="361"/>
      <c r="AR35" s="308"/>
      <c r="AS35" s="248"/>
      <c r="AT35" s="246"/>
      <c r="AU35" s="246"/>
    </row>
    <row r="36" spans="2:48" x14ac:dyDescent="0.25">
      <c r="C36" s="360"/>
      <c r="D36" s="360"/>
      <c r="E36" s="360"/>
      <c r="F36" s="360"/>
      <c r="G36" s="248"/>
      <c r="H36" s="248"/>
      <c r="I36" s="248"/>
      <c r="J36" s="247"/>
      <c r="K36" s="248"/>
      <c r="L36" s="248"/>
      <c r="M36" s="247"/>
      <c r="N36" s="248"/>
      <c r="O36" s="248"/>
      <c r="P36" s="247"/>
      <c r="Q36" s="248"/>
      <c r="R36" s="362"/>
      <c r="S36" s="358"/>
      <c r="T36" s="248"/>
      <c r="U36" s="248"/>
      <c r="V36" s="247"/>
      <c r="W36" s="248"/>
      <c r="X36" s="248"/>
      <c r="Y36" s="251"/>
      <c r="Z36" s="248"/>
      <c r="AA36" s="248"/>
      <c r="AB36" s="248"/>
      <c r="AC36" s="248"/>
      <c r="AD36" s="248"/>
      <c r="AE36" s="254"/>
      <c r="AF36" s="248"/>
      <c r="AG36" s="308"/>
      <c r="AH36" s="251"/>
      <c r="AI36" s="246"/>
      <c r="AJ36" s="248"/>
      <c r="AK36" s="248"/>
      <c r="AL36" s="248"/>
      <c r="AM36" s="248"/>
      <c r="AN36" s="251"/>
      <c r="AO36" s="248"/>
      <c r="AP36" s="248"/>
      <c r="AS36" s="363" t="s">
        <v>1773</v>
      </c>
      <c r="AT36" s="1851">
        <v>10328084502.931005</v>
      </c>
      <c r="AU36" s="1852"/>
      <c r="AV36" s="658">
        <f>+AV34+AU34</f>
        <v>5085892623.371006</v>
      </c>
    </row>
    <row r="37" spans="2:48" x14ac:dyDescent="0.25">
      <c r="C37" s="360"/>
      <c r="D37" s="360"/>
      <c r="E37" s="360"/>
      <c r="F37" s="360"/>
      <c r="G37" s="248"/>
      <c r="H37" s="248"/>
      <c r="I37" s="248"/>
      <c r="J37" s="247"/>
      <c r="K37" s="248"/>
      <c r="L37" s="248"/>
      <c r="M37" s="247"/>
      <c r="N37" s="248"/>
      <c r="O37" s="248"/>
      <c r="P37" s="247"/>
      <c r="Q37" s="248"/>
      <c r="R37" s="362"/>
      <c r="S37" s="358"/>
      <c r="T37" s="248"/>
      <c r="U37" s="248"/>
      <c r="V37" s="247"/>
      <c r="W37" s="248"/>
      <c r="X37" s="248"/>
      <c r="Y37" s="251"/>
      <c r="Z37" s="248"/>
      <c r="AA37" s="248"/>
      <c r="AB37" s="248"/>
      <c r="AC37" s="248"/>
      <c r="AD37" s="248"/>
      <c r="AE37" s="254"/>
      <c r="AF37" s="248"/>
      <c r="AG37" s="308"/>
      <c r="AH37" s="251"/>
      <c r="AI37" s="246"/>
      <c r="AJ37" s="248"/>
      <c r="AK37" s="248"/>
      <c r="AL37" s="248"/>
      <c r="AM37" s="248"/>
      <c r="AN37" s="251"/>
      <c r="AO37" s="248"/>
      <c r="AP37" s="248"/>
    </row>
    <row r="38" spans="2:48" x14ac:dyDescent="0.25">
      <c r="C38" s="360"/>
      <c r="D38" s="360"/>
      <c r="E38" s="360"/>
      <c r="F38" s="360"/>
      <c r="G38" s="248"/>
      <c r="H38" s="248"/>
      <c r="I38" s="248"/>
      <c r="J38" s="247"/>
      <c r="K38" s="248"/>
      <c r="L38" s="248"/>
      <c r="M38" s="247"/>
      <c r="N38" s="248"/>
      <c r="O38" s="248"/>
      <c r="P38" s="247"/>
      <c r="Q38" s="248"/>
      <c r="R38" s="362"/>
      <c r="S38" s="358"/>
      <c r="T38" s="248"/>
      <c r="U38" s="248"/>
      <c r="V38" s="247"/>
      <c r="W38" s="248"/>
      <c r="X38" s="248"/>
      <c r="Y38" s="251"/>
      <c r="Z38" s="248"/>
      <c r="AA38" s="248"/>
      <c r="AB38" s="248"/>
      <c r="AC38" s="248"/>
      <c r="AD38" s="248"/>
      <c r="AE38" s="254"/>
      <c r="AF38" s="248"/>
      <c r="AG38" s="308"/>
      <c r="AH38" s="251"/>
      <c r="AI38" s="246"/>
      <c r="AJ38" s="248"/>
      <c r="AK38" s="248"/>
      <c r="AL38" s="248"/>
      <c r="AM38" s="248"/>
      <c r="AN38" s="251"/>
      <c r="AO38" s="248"/>
      <c r="AP38" s="248"/>
      <c r="AV38" s="485"/>
    </row>
    <row r="39" spans="2:48" x14ac:dyDescent="0.25">
      <c r="C39" s="360"/>
      <c r="D39" s="360"/>
      <c r="E39" s="360"/>
      <c r="F39" s="360"/>
      <c r="G39" s="248"/>
      <c r="H39" s="248"/>
      <c r="I39" s="248"/>
      <c r="J39" s="247"/>
      <c r="K39" s="248"/>
      <c r="L39" s="248"/>
      <c r="M39" s="247"/>
      <c r="N39" s="248"/>
      <c r="O39" s="248"/>
      <c r="P39" s="247"/>
      <c r="Q39" s="248"/>
      <c r="R39" s="362"/>
      <c r="S39" s="358"/>
      <c r="T39" s="248"/>
      <c r="U39" s="248"/>
      <c r="V39" s="247"/>
      <c r="W39" s="248"/>
      <c r="X39" s="248"/>
      <c r="Y39" s="251"/>
      <c r="Z39" s="248"/>
      <c r="AA39" s="248"/>
      <c r="AB39" s="248"/>
      <c r="AC39" s="248"/>
      <c r="AD39" s="248"/>
      <c r="AE39" s="254"/>
      <c r="AF39" s="248"/>
      <c r="AG39" s="308"/>
      <c r="AH39" s="251"/>
      <c r="AI39" s="248"/>
      <c r="AJ39" s="248"/>
      <c r="AK39" s="248"/>
      <c r="AL39" s="248"/>
      <c r="AM39" s="248"/>
      <c r="AN39" s="251"/>
      <c r="AO39" s="248"/>
      <c r="AP39" s="248"/>
      <c r="AT39" s="485"/>
      <c r="AV39" s="659"/>
    </row>
    <row r="40" spans="2:48" x14ac:dyDescent="0.25">
      <c r="C40" s="360"/>
      <c r="D40" s="360"/>
      <c r="E40" s="360"/>
      <c r="F40" s="360"/>
      <c r="G40" s="248"/>
      <c r="H40" s="248"/>
      <c r="I40" s="248"/>
      <c r="J40" s="247"/>
      <c r="K40" s="248"/>
      <c r="L40" s="248"/>
      <c r="M40" s="247"/>
      <c r="N40" s="248"/>
      <c r="O40" s="248"/>
      <c r="P40" s="247"/>
      <c r="Q40" s="248"/>
      <c r="R40" s="362"/>
      <c r="S40" s="358"/>
      <c r="T40" s="248"/>
      <c r="U40" s="248"/>
      <c r="V40" s="247"/>
      <c r="W40" s="248"/>
      <c r="X40" s="248"/>
      <c r="Y40" s="251"/>
      <c r="Z40" s="248"/>
      <c r="AA40" s="248"/>
      <c r="AB40" s="248"/>
      <c r="AC40" s="248"/>
      <c r="AD40" s="248"/>
      <c r="AE40" s="254"/>
      <c r="AF40" s="248"/>
      <c r="AG40" s="308"/>
      <c r="AH40" s="251"/>
      <c r="AI40" s="248"/>
      <c r="AJ40" s="248"/>
      <c r="AK40" s="248"/>
      <c r="AL40" s="248"/>
      <c r="AM40" s="248"/>
      <c r="AN40" s="251"/>
      <c r="AO40" s="248"/>
      <c r="AP40" s="248"/>
      <c r="AV40" s="660"/>
    </row>
    <row r="41" spans="2:48" x14ac:dyDescent="0.25">
      <c r="C41" s="360"/>
      <c r="D41" s="360"/>
      <c r="E41" s="360"/>
      <c r="F41" s="360"/>
      <c r="G41" s="248"/>
      <c r="H41" s="248"/>
      <c r="I41" s="248"/>
      <c r="J41" s="247"/>
      <c r="K41" s="248"/>
      <c r="L41" s="248"/>
      <c r="M41" s="247"/>
      <c r="N41" s="248"/>
      <c r="O41" s="248"/>
      <c r="P41" s="247"/>
      <c r="Q41" s="248"/>
      <c r="R41" s="362"/>
      <c r="S41" s="358"/>
      <c r="T41" s="248"/>
      <c r="U41" s="248"/>
      <c r="V41" s="247"/>
      <c r="W41" s="248"/>
      <c r="X41" s="248"/>
      <c r="Y41" s="251"/>
      <c r="Z41" s="248"/>
      <c r="AA41" s="248"/>
      <c r="AB41" s="248"/>
      <c r="AC41" s="248"/>
      <c r="AD41" s="248"/>
      <c r="AE41" s="254"/>
      <c r="AF41" s="248"/>
      <c r="AG41" s="308"/>
      <c r="AH41" s="251"/>
      <c r="AI41" s="248"/>
      <c r="AJ41" s="248"/>
      <c r="AK41" s="248"/>
      <c r="AL41" s="248"/>
      <c r="AM41" s="248"/>
      <c r="AN41" s="251"/>
      <c r="AO41" s="248"/>
      <c r="AP41" s="248"/>
    </row>
    <row r="42" spans="2:48" x14ac:dyDescent="0.25">
      <c r="C42" s="360"/>
      <c r="D42" s="360"/>
      <c r="E42" s="360"/>
      <c r="F42" s="360"/>
      <c r="G42" s="248"/>
      <c r="H42" s="248"/>
      <c r="I42" s="248"/>
      <c r="J42" s="247"/>
      <c r="K42" s="248"/>
      <c r="L42" s="248"/>
      <c r="M42" s="247"/>
      <c r="N42" s="248"/>
      <c r="O42" s="248"/>
      <c r="P42" s="247"/>
      <c r="Q42" s="248"/>
      <c r="R42" s="362"/>
      <c r="S42" s="358"/>
      <c r="T42" s="248"/>
      <c r="U42" s="248"/>
      <c r="V42" s="247"/>
      <c r="W42" s="248"/>
      <c r="X42" s="248"/>
      <c r="Y42" s="251"/>
      <c r="Z42" s="248"/>
      <c r="AA42" s="248"/>
      <c r="AB42" s="248"/>
      <c r="AC42" s="248"/>
      <c r="AD42" s="248"/>
      <c r="AE42" s="254"/>
      <c r="AF42" s="248"/>
      <c r="AG42" s="308"/>
      <c r="AH42" s="251"/>
      <c r="AI42" s="248"/>
      <c r="AJ42" s="248"/>
      <c r="AK42" s="248"/>
      <c r="AL42" s="248"/>
      <c r="AM42" s="248"/>
      <c r="AN42" s="251"/>
      <c r="AO42" s="248"/>
      <c r="AP42" s="248"/>
      <c r="AV42" s="659"/>
    </row>
    <row r="43" spans="2:48" x14ac:dyDescent="0.25">
      <c r="C43" s="360"/>
      <c r="D43" s="360"/>
      <c r="E43" s="360"/>
      <c r="F43" s="360"/>
      <c r="G43" s="248"/>
      <c r="H43" s="248"/>
      <c r="I43" s="248"/>
      <c r="J43" s="247"/>
      <c r="K43" s="248"/>
      <c r="L43" s="248"/>
      <c r="M43" s="247"/>
      <c r="N43" s="248"/>
      <c r="O43" s="248"/>
      <c r="P43" s="247"/>
      <c r="Q43" s="248"/>
      <c r="R43" s="362"/>
      <c r="S43" s="358"/>
      <c r="T43" s="248"/>
      <c r="U43" s="248"/>
      <c r="V43" s="247"/>
      <c r="W43" s="248"/>
      <c r="X43" s="248"/>
      <c r="Y43" s="251"/>
      <c r="Z43" s="248"/>
      <c r="AA43" s="248"/>
      <c r="AB43" s="248"/>
      <c r="AC43" s="248"/>
      <c r="AD43" s="248"/>
      <c r="AE43" s="254"/>
      <c r="AF43" s="248"/>
      <c r="AG43" s="308"/>
      <c r="AH43" s="251"/>
      <c r="AI43" s="248"/>
      <c r="AJ43" s="248"/>
      <c r="AK43" s="248"/>
      <c r="AL43" s="248"/>
      <c r="AM43" s="248"/>
      <c r="AN43" s="251"/>
      <c r="AO43" s="248"/>
      <c r="AP43" s="248"/>
    </row>
    <row r="44" spans="2:48" x14ac:dyDescent="0.25">
      <c r="C44" s="360"/>
      <c r="D44" s="360"/>
      <c r="E44" s="360"/>
      <c r="F44" s="360"/>
      <c r="G44" s="248"/>
      <c r="H44" s="248"/>
      <c r="I44" s="248"/>
      <c r="J44" s="247"/>
      <c r="K44" s="248"/>
      <c r="L44" s="248"/>
      <c r="M44" s="247"/>
      <c r="N44" s="248"/>
      <c r="O44" s="248"/>
      <c r="P44" s="247"/>
      <c r="Q44" s="248"/>
      <c r="R44" s="362"/>
      <c r="S44" s="358"/>
      <c r="T44" s="248"/>
      <c r="U44" s="248"/>
      <c r="V44" s="247"/>
      <c r="W44" s="248"/>
      <c r="X44" s="248"/>
      <c r="Y44" s="251"/>
      <c r="Z44" s="248"/>
      <c r="AA44" s="248"/>
      <c r="AB44" s="248"/>
      <c r="AC44" s="248"/>
      <c r="AD44" s="248"/>
      <c r="AE44" s="254"/>
      <c r="AF44" s="248"/>
      <c r="AG44" s="308"/>
      <c r="AH44" s="251"/>
      <c r="AI44" s="248"/>
      <c r="AJ44" s="248"/>
      <c r="AK44" s="248"/>
      <c r="AL44" s="248"/>
      <c r="AM44" s="248"/>
      <c r="AN44" s="251"/>
      <c r="AO44" s="248"/>
      <c r="AP44" s="248"/>
      <c r="AT44" s="485"/>
    </row>
    <row r="45" spans="2:48" x14ac:dyDescent="0.25">
      <c r="C45" s="360"/>
      <c r="D45" s="360"/>
      <c r="E45" s="360"/>
      <c r="F45" s="360"/>
      <c r="G45" s="248"/>
      <c r="H45" s="248"/>
      <c r="I45" s="248"/>
      <c r="J45" s="247"/>
      <c r="K45" s="248"/>
      <c r="L45" s="248"/>
      <c r="M45" s="247"/>
      <c r="N45" s="248"/>
      <c r="O45" s="248"/>
      <c r="P45" s="247"/>
      <c r="Q45" s="248"/>
      <c r="R45" s="362"/>
      <c r="S45" s="358"/>
      <c r="T45" s="248"/>
      <c r="U45" s="248"/>
      <c r="V45" s="247"/>
      <c r="W45" s="248"/>
      <c r="X45" s="248"/>
      <c r="Y45" s="251"/>
      <c r="Z45" s="248"/>
      <c r="AA45" s="248"/>
      <c r="AB45" s="248"/>
      <c r="AC45" s="248"/>
      <c r="AD45" s="248"/>
      <c r="AE45" s="254"/>
      <c r="AF45" s="248"/>
      <c r="AG45" s="308"/>
      <c r="AH45" s="251"/>
      <c r="AI45" s="248"/>
      <c r="AJ45" s="248"/>
      <c r="AK45" s="248"/>
      <c r="AL45" s="248"/>
      <c r="AM45" s="248"/>
      <c r="AN45" s="251"/>
      <c r="AO45" s="248"/>
      <c r="AP45" s="248"/>
      <c r="AV45" s="658"/>
    </row>
    <row r="46" spans="2:48" x14ac:dyDescent="0.25">
      <c r="C46" s="360"/>
      <c r="D46" s="360"/>
      <c r="E46" s="360"/>
      <c r="F46" s="360"/>
      <c r="G46" s="248"/>
      <c r="H46" s="248"/>
      <c r="I46" s="248"/>
      <c r="J46" s="247"/>
      <c r="K46" s="248"/>
      <c r="L46" s="248"/>
      <c r="M46" s="247"/>
      <c r="N46" s="248"/>
      <c r="O46" s="248"/>
      <c r="P46" s="247"/>
      <c r="Q46" s="248"/>
      <c r="R46" s="362"/>
      <c r="S46" s="358"/>
      <c r="T46" s="248"/>
      <c r="U46" s="248"/>
      <c r="V46" s="247"/>
      <c r="W46" s="248"/>
      <c r="X46" s="248"/>
      <c r="Y46" s="251"/>
      <c r="Z46" s="248"/>
      <c r="AA46" s="248"/>
      <c r="AB46" s="248"/>
      <c r="AC46" s="248"/>
      <c r="AD46" s="248"/>
      <c r="AE46" s="254"/>
      <c r="AF46" s="248"/>
      <c r="AG46" s="248"/>
      <c r="AH46" s="251"/>
      <c r="AI46" s="248"/>
      <c r="AJ46" s="248"/>
      <c r="AK46" s="248"/>
      <c r="AL46" s="248"/>
      <c r="AM46" s="248"/>
      <c r="AN46" s="251"/>
      <c r="AO46" s="248"/>
      <c r="AP46" s="248"/>
    </row>
    <row r="47" spans="2:48" x14ac:dyDescent="0.25">
      <c r="C47" s="360"/>
      <c r="D47" s="360"/>
      <c r="E47" s="360"/>
      <c r="F47" s="360"/>
      <c r="G47" s="248"/>
      <c r="H47" s="248"/>
      <c r="I47" s="248"/>
      <c r="J47" s="247"/>
      <c r="K47" s="248"/>
      <c r="L47" s="248"/>
      <c r="M47" s="247"/>
      <c r="N47" s="248"/>
      <c r="O47" s="248"/>
      <c r="P47" s="247"/>
      <c r="Q47" s="248"/>
      <c r="R47" s="362"/>
      <c r="S47" s="358"/>
      <c r="T47" s="248"/>
      <c r="U47" s="248"/>
      <c r="V47" s="247"/>
      <c r="W47" s="248"/>
      <c r="X47" s="248"/>
      <c r="Y47" s="251"/>
      <c r="Z47" s="248"/>
      <c r="AA47" s="248"/>
      <c r="AB47" s="248"/>
      <c r="AC47" s="248"/>
      <c r="AD47" s="248"/>
      <c r="AE47" s="254"/>
      <c r="AF47" s="248"/>
      <c r="AG47" s="248"/>
      <c r="AH47" s="251"/>
      <c r="AI47" s="248"/>
      <c r="AJ47" s="248"/>
      <c r="AK47" s="248"/>
      <c r="AL47" s="248"/>
      <c r="AM47" s="248"/>
      <c r="AN47" s="251"/>
      <c r="AO47" s="248"/>
      <c r="AP47" s="248"/>
    </row>
    <row r="48" spans="2:48" x14ac:dyDescent="0.25">
      <c r="C48" s="360"/>
      <c r="D48" s="360"/>
      <c r="E48" s="360"/>
      <c r="F48" s="360"/>
      <c r="G48" s="248"/>
      <c r="H48" s="248"/>
      <c r="I48" s="248"/>
      <c r="J48" s="247"/>
      <c r="K48" s="248"/>
      <c r="L48" s="248"/>
      <c r="M48" s="247"/>
      <c r="N48" s="248"/>
      <c r="O48" s="248"/>
      <c r="P48" s="247"/>
      <c r="Q48" s="248"/>
      <c r="R48" s="362"/>
      <c r="S48" s="358"/>
      <c r="T48" s="248"/>
      <c r="U48" s="248"/>
      <c r="V48" s="247"/>
      <c r="W48" s="248"/>
      <c r="X48" s="248"/>
      <c r="Y48" s="251"/>
      <c r="Z48" s="248"/>
      <c r="AA48" s="248"/>
      <c r="AB48" s="248"/>
      <c r="AC48" s="248"/>
      <c r="AD48" s="248"/>
      <c r="AE48" s="254"/>
      <c r="AF48" s="248"/>
      <c r="AG48" s="248"/>
      <c r="AH48" s="251"/>
      <c r="AI48" s="248"/>
      <c r="AJ48" s="248"/>
      <c r="AK48" s="248"/>
      <c r="AL48" s="248"/>
      <c r="AM48" s="248"/>
      <c r="AN48" s="251"/>
      <c r="AO48" s="248"/>
      <c r="AP48" s="248"/>
    </row>
    <row r="49" spans="3:42" x14ac:dyDescent="0.25">
      <c r="C49" s="360"/>
      <c r="D49" s="360"/>
      <c r="E49" s="360"/>
      <c r="F49" s="360"/>
      <c r="G49" s="248"/>
      <c r="H49" s="248"/>
      <c r="I49" s="248"/>
      <c r="J49" s="247"/>
      <c r="K49" s="248"/>
      <c r="L49" s="248"/>
      <c r="M49" s="247"/>
      <c r="N49" s="248"/>
      <c r="O49" s="248"/>
      <c r="P49" s="247"/>
      <c r="Q49" s="248"/>
      <c r="R49" s="362"/>
      <c r="S49" s="358"/>
      <c r="T49" s="248"/>
      <c r="U49" s="248"/>
      <c r="V49" s="247"/>
      <c r="W49" s="248"/>
      <c r="X49" s="248"/>
      <c r="Y49" s="251"/>
      <c r="Z49" s="248"/>
      <c r="AA49" s="248"/>
      <c r="AB49" s="248"/>
      <c r="AC49" s="248"/>
      <c r="AD49" s="248"/>
      <c r="AE49" s="254"/>
      <c r="AF49" s="248"/>
      <c r="AG49" s="248"/>
      <c r="AH49" s="251"/>
      <c r="AI49" s="248"/>
      <c r="AJ49" s="248"/>
      <c r="AK49" s="248"/>
      <c r="AL49" s="248"/>
      <c r="AM49" s="248"/>
      <c r="AN49" s="251"/>
      <c r="AO49" s="248"/>
      <c r="AP49" s="248"/>
    </row>
    <row r="50" spans="3:42" x14ac:dyDescent="0.25">
      <c r="C50" s="360"/>
      <c r="D50" s="360"/>
      <c r="E50" s="360"/>
      <c r="F50" s="360"/>
      <c r="G50" s="248"/>
      <c r="H50" s="248"/>
      <c r="I50" s="248"/>
      <c r="J50" s="247"/>
      <c r="K50" s="248"/>
      <c r="L50" s="248"/>
      <c r="M50" s="247"/>
      <c r="N50" s="248"/>
      <c r="O50" s="248"/>
      <c r="P50" s="247"/>
      <c r="Q50" s="248"/>
      <c r="R50" s="362"/>
      <c r="S50" s="358"/>
      <c r="T50" s="248"/>
      <c r="U50" s="248"/>
      <c r="V50" s="247"/>
      <c r="W50" s="248"/>
      <c r="X50" s="248"/>
      <c r="Y50" s="251"/>
      <c r="Z50" s="248"/>
      <c r="AA50" s="248"/>
      <c r="AB50" s="248"/>
      <c r="AC50" s="248"/>
      <c r="AD50" s="248"/>
      <c r="AE50" s="254"/>
      <c r="AF50" s="248"/>
      <c r="AG50" s="248"/>
      <c r="AH50" s="251"/>
      <c r="AI50" s="248"/>
      <c r="AJ50" s="248"/>
      <c r="AK50" s="248"/>
      <c r="AL50" s="248"/>
      <c r="AM50" s="248"/>
      <c r="AN50" s="251"/>
      <c r="AO50" s="248"/>
      <c r="AP50" s="248"/>
    </row>
    <row r="51" spans="3:42" x14ac:dyDescent="0.25">
      <c r="C51" s="360"/>
      <c r="D51" s="360"/>
      <c r="E51" s="360"/>
      <c r="F51" s="360"/>
      <c r="G51" s="248"/>
      <c r="H51" s="248"/>
      <c r="I51" s="248"/>
      <c r="J51" s="247"/>
      <c r="K51" s="248"/>
      <c r="L51" s="248"/>
      <c r="M51" s="247"/>
      <c r="N51" s="248"/>
      <c r="O51" s="248"/>
      <c r="P51" s="247"/>
      <c r="Q51" s="248"/>
      <c r="R51" s="362"/>
      <c r="S51" s="358"/>
      <c r="T51" s="248"/>
      <c r="U51" s="248"/>
      <c r="V51" s="247"/>
      <c r="W51" s="248"/>
      <c r="X51" s="248"/>
      <c r="Y51" s="251"/>
      <c r="Z51" s="248"/>
      <c r="AA51" s="248"/>
      <c r="AB51" s="248"/>
      <c r="AC51" s="248"/>
      <c r="AD51" s="248"/>
      <c r="AE51" s="254"/>
      <c r="AF51" s="248"/>
      <c r="AG51" s="248"/>
      <c r="AH51" s="251"/>
      <c r="AI51" s="248"/>
      <c r="AJ51" s="248"/>
      <c r="AK51" s="248"/>
      <c r="AL51" s="248"/>
      <c r="AM51" s="248"/>
      <c r="AN51" s="251"/>
      <c r="AO51" s="248"/>
      <c r="AP51" s="248"/>
    </row>
    <row r="52" spans="3:42" x14ac:dyDescent="0.25">
      <c r="C52" s="360"/>
      <c r="D52" s="360"/>
      <c r="E52" s="360"/>
      <c r="F52" s="360"/>
      <c r="G52" s="248"/>
      <c r="H52" s="248"/>
      <c r="I52" s="248"/>
      <c r="J52" s="247"/>
      <c r="K52" s="248"/>
      <c r="L52" s="248"/>
      <c r="M52" s="247"/>
      <c r="N52" s="248"/>
      <c r="O52" s="248"/>
      <c r="P52" s="247"/>
      <c r="Q52" s="248"/>
      <c r="R52" s="362"/>
      <c r="S52" s="358"/>
      <c r="T52" s="248"/>
      <c r="U52" s="248"/>
      <c r="V52" s="247"/>
      <c r="W52" s="248"/>
      <c r="X52" s="248"/>
      <c r="Y52" s="251"/>
      <c r="Z52" s="248"/>
      <c r="AA52" s="248"/>
      <c r="AB52" s="248"/>
      <c r="AC52" s="248"/>
      <c r="AD52" s="248"/>
      <c r="AE52" s="254"/>
      <c r="AF52" s="248"/>
      <c r="AG52" s="248"/>
      <c r="AH52" s="251"/>
      <c r="AI52" s="248"/>
      <c r="AJ52" s="248"/>
      <c r="AK52" s="248"/>
      <c r="AL52" s="248"/>
      <c r="AM52" s="248"/>
      <c r="AN52" s="251"/>
      <c r="AO52" s="248"/>
      <c r="AP52" s="248"/>
    </row>
    <row r="53" spans="3:42" x14ac:dyDescent="0.25">
      <c r="C53" s="360"/>
      <c r="D53" s="360"/>
      <c r="E53" s="360"/>
      <c r="F53" s="360"/>
      <c r="G53" s="248"/>
      <c r="H53" s="248"/>
      <c r="I53" s="248"/>
      <c r="J53" s="247"/>
      <c r="K53" s="248"/>
      <c r="L53" s="248"/>
      <c r="M53" s="247"/>
      <c r="N53" s="248"/>
      <c r="O53" s="248"/>
      <c r="P53" s="247"/>
      <c r="Q53" s="248"/>
      <c r="R53" s="362"/>
      <c r="S53" s="358"/>
      <c r="T53" s="248"/>
      <c r="U53" s="248"/>
      <c r="V53" s="247"/>
      <c r="W53" s="248"/>
      <c r="X53" s="248"/>
      <c r="Y53" s="251"/>
      <c r="Z53" s="248"/>
      <c r="AA53" s="248"/>
      <c r="AB53" s="248"/>
      <c r="AC53" s="248"/>
      <c r="AD53" s="248"/>
      <c r="AE53" s="254"/>
      <c r="AF53" s="248"/>
      <c r="AG53" s="248"/>
      <c r="AH53" s="251"/>
      <c r="AI53" s="248"/>
      <c r="AJ53" s="248"/>
      <c r="AK53" s="248"/>
      <c r="AL53" s="248"/>
      <c r="AM53" s="248"/>
      <c r="AN53" s="251"/>
      <c r="AO53" s="248"/>
      <c r="AP53" s="248"/>
    </row>
    <row r="54" spans="3:42" x14ac:dyDescent="0.25">
      <c r="C54" s="360"/>
      <c r="D54" s="360"/>
      <c r="E54" s="360"/>
      <c r="F54" s="360"/>
      <c r="G54" s="248"/>
      <c r="H54" s="248"/>
      <c r="I54" s="248"/>
      <c r="J54" s="247"/>
      <c r="K54" s="248"/>
      <c r="L54" s="248"/>
      <c r="M54" s="247"/>
      <c r="N54" s="248"/>
      <c r="O54" s="248"/>
      <c r="P54" s="247"/>
      <c r="Q54" s="248"/>
      <c r="R54" s="362"/>
      <c r="S54" s="358"/>
      <c r="T54" s="248"/>
      <c r="U54" s="248"/>
      <c r="V54" s="247"/>
      <c r="W54" s="248"/>
      <c r="X54" s="248"/>
      <c r="Y54" s="251"/>
      <c r="Z54" s="248"/>
      <c r="AA54" s="248"/>
      <c r="AB54" s="248"/>
      <c r="AC54" s="248"/>
      <c r="AD54" s="248"/>
      <c r="AE54" s="254"/>
      <c r="AF54" s="248"/>
      <c r="AG54" s="248"/>
      <c r="AH54" s="251"/>
      <c r="AI54" s="248"/>
      <c r="AJ54" s="248"/>
      <c r="AK54" s="248"/>
      <c r="AL54" s="248"/>
      <c r="AM54" s="248"/>
      <c r="AN54" s="251"/>
      <c r="AO54" s="248"/>
      <c r="AP54" s="248"/>
    </row>
    <row r="55" spans="3:42" x14ac:dyDescent="0.25">
      <c r="C55" s="360"/>
      <c r="D55" s="360"/>
      <c r="E55" s="360"/>
      <c r="F55" s="360"/>
      <c r="G55" s="248"/>
      <c r="H55" s="248"/>
      <c r="I55" s="248"/>
      <c r="J55" s="247"/>
      <c r="K55" s="248"/>
      <c r="L55" s="248"/>
      <c r="M55" s="247"/>
      <c r="N55" s="248"/>
      <c r="O55" s="248"/>
      <c r="P55" s="247"/>
      <c r="Q55" s="248"/>
      <c r="R55" s="362"/>
      <c r="S55" s="358"/>
      <c r="T55" s="248"/>
      <c r="U55" s="248"/>
      <c r="V55" s="247"/>
      <c r="W55" s="248"/>
      <c r="X55" s="248"/>
      <c r="Y55" s="251"/>
      <c r="Z55" s="248"/>
      <c r="AA55" s="248"/>
      <c r="AB55" s="248"/>
      <c r="AC55" s="248"/>
      <c r="AD55" s="248"/>
      <c r="AE55" s="254"/>
      <c r="AF55" s="248"/>
      <c r="AG55" s="248"/>
      <c r="AH55" s="251"/>
      <c r="AI55" s="248"/>
      <c r="AJ55" s="248"/>
      <c r="AK55" s="248"/>
      <c r="AL55" s="248"/>
      <c r="AM55" s="248"/>
      <c r="AN55" s="251"/>
      <c r="AO55" s="248"/>
      <c r="AP55" s="248"/>
    </row>
    <row r="56" spans="3:42" x14ac:dyDescent="0.25">
      <c r="C56" s="360"/>
      <c r="D56" s="360"/>
      <c r="E56" s="360"/>
      <c r="F56" s="360"/>
      <c r="G56" s="248"/>
      <c r="H56" s="248"/>
      <c r="I56" s="248"/>
      <c r="J56" s="247"/>
      <c r="K56" s="248"/>
      <c r="L56" s="248"/>
      <c r="M56" s="247"/>
      <c r="N56" s="248"/>
      <c r="O56" s="248"/>
      <c r="P56" s="247"/>
      <c r="Q56" s="248"/>
      <c r="R56" s="362"/>
      <c r="S56" s="358"/>
      <c r="T56" s="248"/>
      <c r="U56" s="248"/>
      <c r="V56" s="247"/>
      <c r="W56" s="248"/>
      <c r="X56" s="248"/>
      <c r="Y56" s="251"/>
      <c r="Z56" s="248"/>
      <c r="AA56" s="248"/>
      <c r="AB56" s="248"/>
      <c r="AC56" s="248"/>
      <c r="AD56" s="248"/>
      <c r="AE56" s="254"/>
      <c r="AF56" s="248"/>
      <c r="AG56" s="248"/>
      <c r="AH56" s="251"/>
      <c r="AI56" s="248"/>
      <c r="AJ56" s="248"/>
      <c r="AK56" s="248"/>
      <c r="AL56" s="248"/>
      <c r="AM56" s="248"/>
      <c r="AN56" s="251"/>
      <c r="AO56" s="248"/>
      <c r="AP56" s="248"/>
    </row>
    <row r="57" spans="3:42" x14ac:dyDescent="0.25">
      <c r="C57" s="360"/>
      <c r="D57" s="360"/>
      <c r="E57" s="360"/>
      <c r="F57" s="360"/>
      <c r="G57" s="248"/>
      <c r="H57" s="248"/>
      <c r="I57" s="248"/>
      <c r="J57" s="247"/>
      <c r="K57" s="248"/>
      <c r="L57" s="248"/>
      <c r="M57" s="247"/>
      <c r="N57" s="248"/>
      <c r="O57" s="248"/>
      <c r="P57" s="247"/>
      <c r="Q57" s="248"/>
      <c r="R57" s="362"/>
      <c r="S57" s="358"/>
      <c r="T57" s="248"/>
      <c r="U57" s="248"/>
      <c r="V57" s="247"/>
      <c r="W57" s="248"/>
      <c r="X57" s="248"/>
      <c r="Y57" s="251"/>
      <c r="Z57" s="248"/>
      <c r="AA57" s="248"/>
      <c r="AB57" s="248"/>
      <c r="AC57" s="248"/>
      <c r="AD57" s="248"/>
      <c r="AE57" s="254"/>
      <c r="AF57" s="248"/>
      <c r="AG57" s="248"/>
      <c r="AH57" s="251"/>
      <c r="AI57" s="248"/>
      <c r="AJ57" s="248"/>
      <c r="AK57" s="248"/>
      <c r="AL57" s="248"/>
      <c r="AM57" s="248"/>
      <c r="AN57" s="251"/>
      <c r="AO57" s="248"/>
      <c r="AP57" s="248"/>
    </row>
    <row r="58" spans="3:42" x14ac:dyDescent="0.25">
      <c r="C58" s="360"/>
      <c r="D58" s="360"/>
      <c r="E58" s="360"/>
      <c r="F58" s="360"/>
      <c r="G58" s="248"/>
      <c r="H58" s="248"/>
      <c r="I58" s="248"/>
      <c r="J58" s="247"/>
      <c r="K58" s="248"/>
      <c r="L58" s="248"/>
      <c r="M58" s="247"/>
      <c r="N58" s="248"/>
      <c r="O58" s="248"/>
      <c r="P58" s="247"/>
      <c r="Q58" s="248"/>
      <c r="R58" s="362"/>
      <c r="S58" s="358"/>
      <c r="T58" s="248"/>
      <c r="U58" s="248"/>
      <c r="V58" s="247"/>
      <c r="W58" s="248"/>
      <c r="X58" s="248"/>
      <c r="Y58" s="251"/>
      <c r="Z58" s="248"/>
      <c r="AA58" s="248"/>
      <c r="AB58" s="248"/>
      <c r="AC58" s="248"/>
      <c r="AD58" s="248"/>
      <c r="AE58" s="254"/>
      <c r="AF58" s="248"/>
      <c r="AG58" s="248"/>
      <c r="AH58" s="251"/>
      <c r="AI58" s="248"/>
      <c r="AJ58" s="248"/>
      <c r="AK58" s="248"/>
      <c r="AL58" s="248"/>
      <c r="AM58" s="248"/>
      <c r="AN58" s="251"/>
      <c r="AO58" s="248"/>
      <c r="AP58" s="248"/>
    </row>
    <row r="59" spans="3:42" x14ac:dyDescent="0.25">
      <c r="C59" s="360"/>
      <c r="D59" s="360"/>
      <c r="E59" s="360"/>
      <c r="F59" s="360"/>
      <c r="G59" s="248"/>
      <c r="H59" s="248"/>
      <c r="I59" s="248"/>
      <c r="J59" s="247"/>
      <c r="K59" s="248"/>
      <c r="L59" s="248"/>
      <c r="M59" s="247"/>
      <c r="N59" s="248"/>
      <c r="O59" s="248"/>
      <c r="P59" s="247"/>
      <c r="Q59" s="248"/>
      <c r="R59" s="362"/>
      <c r="S59" s="358"/>
      <c r="T59" s="248"/>
      <c r="U59" s="248"/>
      <c r="V59" s="247"/>
      <c r="W59" s="248"/>
      <c r="X59" s="248"/>
      <c r="Y59" s="251"/>
      <c r="Z59" s="248"/>
      <c r="AA59" s="248"/>
      <c r="AB59" s="248"/>
      <c r="AC59" s="248"/>
      <c r="AD59" s="248"/>
      <c r="AE59" s="254"/>
      <c r="AF59" s="248"/>
      <c r="AG59" s="248"/>
      <c r="AH59" s="251"/>
      <c r="AI59" s="248"/>
      <c r="AJ59" s="248"/>
      <c r="AK59" s="248"/>
      <c r="AL59" s="248"/>
      <c r="AM59" s="248"/>
      <c r="AN59" s="251"/>
      <c r="AO59" s="248"/>
      <c r="AP59" s="248"/>
    </row>
    <row r="60" spans="3:42" x14ac:dyDescent="0.25">
      <c r="C60" s="360"/>
      <c r="D60" s="360"/>
      <c r="E60" s="360"/>
      <c r="F60" s="360"/>
      <c r="G60" s="248"/>
      <c r="H60" s="248"/>
      <c r="I60" s="248"/>
      <c r="J60" s="247"/>
      <c r="K60" s="248"/>
      <c r="L60" s="248"/>
      <c r="M60" s="247"/>
      <c r="N60" s="248"/>
      <c r="O60" s="248"/>
      <c r="P60" s="247"/>
      <c r="Q60" s="248"/>
      <c r="R60" s="362"/>
      <c r="S60" s="358"/>
      <c r="T60" s="248"/>
      <c r="U60" s="248"/>
      <c r="V60" s="247"/>
      <c r="W60" s="248"/>
      <c r="X60" s="248"/>
      <c r="Y60" s="251"/>
      <c r="Z60" s="248"/>
      <c r="AA60" s="248"/>
      <c r="AB60" s="248"/>
      <c r="AC60" s="248"/>
      <c r="AD60" s="248"/>
      <c r="AE60" s="254"/>
      <c r="AF60" s="248"/>
      <c r="AG60" s="248"/>
      <c r="AH60" s="251"/>
      <c r="AI60" s="248"/>
      <c r="AJ60" s="248"/>
      <c r="AK60" s="248"/>
      <c r="AL60" s="248"/>
      <c r="AM60" s="248"/>
      <c r="AN60" s="251"/>
      <c r="AO60" s="248"/>
      <c r="AP60" s="248"/>
    </row>
    <row r="61" spans="3:42" x14ac:dyDescent="0.25">
      <c r="C61" s="360"/>
      <c r="D61" s="360"/>
      <c r="E61" s="360"/>
      <c r="F61" s="360"/>
      <c r="G61" s="248"/>
      <c r="H61" s="248"/>
      <c r="I61" s="248"/>
      <c r="J61" s="247"/>
      <c r="K61" s="248"/>
      <c r="L61" s="248"/>
      <c r="M61" s="247"/>
      <c r="N61" s="248"/>
      <c r="O61" s="248"/>
      <c r="P61" s="247"/>
      <c r="Q61" s="248"/>
      <c r="R61" s="362"/>
      <c r="S61" s="358"/>
      <c r="T61" s="248"/>
      <c r="U61" s="248"/>
      <c r="V61" s="247"/>
      <c r="W61" s="248"/>
      <c r="X61" s="248"/>
      <c r="Y61" s="251"/>
      <c r="Z61" s="248"/>
      <c r="AA61" s="248"/>
      <c r="AB61" s="248"/>
      <c r="AC61" s="248"/>
      <c r="AD61" s="248"/>
      <c r="AE61" s="254"/>
      <c r="AF61" s="248"/>
      <c r="AG61" s="248"/>
      <c r="AH61" s="251"/>
      <c r="AI61" s="248"/>
      <c r="AJ61" s="248"/>
      <c r="AK61" s="248"/>
      <c r="AL61" s="248"/>
      <c r="AM61" s="248"/>
      <c r="AN61" s="251"/>
      <c r="AO61" s="248"/>
      <c r="AP61" s="248"/>
    </row>
    <row r="62" spans="3:42" x14ac:dyDescent="0.25">
      <c r="C62" s="360"/>
      <c r="D62" s="360"/>
      <c r="E62" s="360"/>
      <c r="F62" s="360"/>
      <c r="G62" s="248"/>
      <c r="H62" s="248"/>
      <c r="I62" s="248"/>
      <c r="J62" s="247"/>
      <c r="K62" s="248"/>
      <c r="L62" s="248"/>
      <c r="M62" s="247"/>
      <c r="N62" s="248"/>
      <c r="O62" s="248"/>
      <c r="P62" s="247"/>
      <c r="Q62" s="248"/>
      <c r="R62" s="362"/>
      <c r="S62" s="358"/>
      <c r="T62" s="248"/>
      <c r="U62" s="248"/>
      <c r="V62" s="247"/>
      <c r="W62" s="248"/>
      <c r="X62" s="248"/>
      <c r="Y62" s="251"/>
      <c r="Z62" s="248"/>
      <c r="AA62" s="248"/>
      <c r="AB62" s="248"/>
      <c r="AC62" s="248"/>
      <c r="AD62" s="248"/>
      <c r="AE62" s="254"/>
      <c r="AF62" s="248"/>
      <c r="AG62" s="248"/>
      <c r="AH62" s="251"/>
      <c r="AI62" s="248"/>
      <c r="AJ62" s="248"/>
      <c r="AK62" s="248"/>
      <c r="AL62" s="248"/>
      <c r="AM62" s="248"/>
      <c r="AN62" s="251"/>
      <c r="AO62" s="248"/>
      <c r="AP62" s="248"/>
    </row>
    <row r="63" spans="3:42" x14ac:dyDescent="0.25">
      <c r="C63" s="360"/>
      <c r="D63" s="360"/>
      <c r="E63" s="360"/>
      <c r="F63" s="360"/>
      <c r="G63" s="248"/>
      <c r="H63" s="248"/>
      <c r="I63" s="248"/>
      <c r="J63" s="247"/>
      <c r="K63" s="248"/>
      <c r="L63" s="248"/>
      <c r="M63" s="247"/>
      <c r="N63" s="248"/>
      <c r="O63" s="248"/>
      <c r="P63" s="247"/>
      <c r="Q63" s="248"/>
      <c r="R63" s="362"/>
      <c r="S63" s="358"/>
      <c r="T63" s="248"/>
      <c r="U63" s="248"/>
      <c r="V63" s="247"/>
      <c r="W63" s="248"/>
      <c r="X63" s="248"/>
      <c r="Y63" s="251"/>
      <c r="Z63" s="248"/>
      <c r="AA63" s="248"/>
      <c r="AB63" s="248"/>
      <c r="AC63" s="248"/>
      <c r="AD63" s="248"/>
      <c r="AE63" s="254"/>
      <c r="AF63" s="248"/>
      <c r="AG63" s="248"/>
      <c r="AH63" s="251"/>
      <c r="AI63" s="248"/>
      <c r="AJ63" s="248"/>
      <c r="AK63" s="248"/>
      <c r="AL63" s="248"/>
      <c r="AM63" s="248"/>
      <c r="AN63" s="251"/>
      <c r="AO63" s="248"/>
      <c r="AP63" s="248"/>
    </row>
    <row r="64" spans="3:42" x14ac:dyDescent="0.25">
      <c r="C64" s="360"/>
      <c r="D64" s="360"/>
      <c r="E64" s="360"/>
      <c r="F64" s="360"/>
      <c r="G64" s="248"/>
      <c r="H64" s="248"/>
      <c r="I64" s="248"/>
      <c r="J64" s="247"/>
      <c r="K64" s="248"/>
      <c r="L64" s="248"/>
      <c r="M64" s="247"/>
      <c r="N64" s="248"/>
      <c r="O64" s="248"/>
      <c r="P64" s="247"/>
      <c r="Q64" s="248"/>
      <c r="R64" s="362"/>
      <c r="S64" s="358"/>
      <c r="T64" s="248"/>
      <c r="U64" s="248"/>
      <c r="V64" s="247"/>
      <c r="W64" s="248"/>
      <c r="X64" s="248"/>
      <c r="Y64" s="251"/>
      <c r="Z64" s="248"/>
      <c r="AA64" s="248"/>
      <c r="AB64" s="248"/>
      <c r="AC64" s="248"/>
      <c r="AD64" s="248"/>
      <c r="AE64" s="254"/>
      <c r="AF64" s="248"/>
      <c r="AG64" s="248"/>
      <c r="AH64" s="251"/>
      <c r="AI64" s="248"/>
      <c r="AJ64" s="248"/>
      <c r="AK64" s="248"/>
      <c r="AL64" s="248"/>
      <c r="AM64" s="248"/>
      <c r="AN64" s="251"/>
      <c r="AO64" s="248"/>
      <c r="AP64" s="248"/>
    </row>
    <row r="65" spans="3:42" x14ac:dyDescent="0.25">
      <c r="C65" s="360"/>
      <c r="D65" s="360"/>
      <c r="E65" s="360"/>
      <c r="F65" s="360"/>
      <c r="G65" s="248"/>
      <c r="H65" s="248"/>
      <c r="I65" s="248"/>
      <c r="J65" s="247"/>
      <c r="K65" s="248"/>
      <c r="L65" s="248"/>
      <c r="M65" s="247"/>
      <c r="N65" s="248"/>
      <c r="O65" s="248"/>
      <c r="P65" s="247"/>
      <c r="Q65" s="248"/>
      <c r="R65" s="362"/>
      <c r="S65" s="358"/>
      <c r="T65" s="248"/>
      <c r="U65" s="248"/>
      <c r="V65" s="247"/>
      <c r="W65" s="248"/>
      <c r="X65" s="248"/>
      <c r="Y65" s="251"/>
      <c r="Z65" s="248"/>
      <c r="AA65" s="248"/>
      <c r="AB65" s="248"/>
      <c r="AC65" s="248"/>
      <c r="AD65" s="248"/>
      <c r="AE65" s="254"/>
      <c r="AF65" s="248"/>
      <c r="AG65" s="248"/>
      <c r="AH65" s="251"/>
      <c r="AI65" s="248"/>
      <c r="AJ65" s="248"/>
      <c r="AK65" s="248"/>
      <c r="AL65" s="248"/>
      <c r="AM65" s="248"/>
      <c r="AN65" s="251"/>
      <c r="AO65" s="248"/>
      <c r="AP65" s="248"/>
    </row>
    <row r="66" spans="3:42" x14ac:dyDescent="0.25">
      <c r="C66" s="360"/>
      <c r="D66" s="360"/>
      <c r="E66" s="360"/>
      <c r="F66" s="360"/>
      <c r="G66" s="248"/>
      <c r="H66" s="248"/>
      <c r="I66" s="248"/>
      <c r="J66" s="247"/>
      <c r="K66" s="248"/>
      <c r="L66" s="248"/>
      <c r="M66" s="247"/>
      <c r="N66" s="248"/>
      <c r="O66" s="248"/>
      <c r="P66" s="247"/>
      <c r="Q66" s="248"/>
      <c r="R66" s="362"/>
      <c r="S66" s="358"/>
      <c r="T66" s="248"/>
      <c r="U66" s="248"/>
      <c r="V66" s="247"/>
      <c r="W66" s="248"/>
      <c r="X66" s="248"/>
      <c r="Y66" s="251"/>
      <c r="Z66" s="248"/>
      <c r="AA66" s="248"/>
      <c r="AB66" s="248"/>
      <c r="AC66" s="248"/>
      <c r="AD66" s="248"/>
      <c r="AE66" s="254"/>
      <c r="AF66" s="248"/>
      <c r="AG66" s="248"/>
      <c r="AH66" s="251"/>
      <c r="AI66" s="248"/>
      <c r="AJ66" s="248"/>
      <c r="AK66" s="248"/>
      <c r="AL66" s="248"/>
      <c r="AM66" s="248"/>
      <c r="AN66" s="251"/>
      <c r="AO66" s="248"/>
      <c r="AP66" s="248"/>
    </row>
    <row r="67" spans="3:42" x14ac:dyDescent="0.25">
      <c r="C67" s="360"/>
      <c r="D67" s="360"/>
      <c r="E67" s="360"/>
      <c r="F67" s="360"/>
      <c r="G67" s="248"/>
      <c r="H67" s="248"/>
      <c r="I67" s="248"/>
      <c r="J67" s="247"/>
      <c r="K67" s="248"/>
      <c r="L67" s="248"/>
      <c r="M67" s="247"/>
      <c r="N67" s="248"/>
      <c r="O67" s="248"/>
      <c r="P67" s="247"/>
      <c r="Q67" s="248"/>
      <c r="R67" s="362"/>
      <c r="S67" s="358"/>
      <c r="T67" s="248"/>
      <c r="U67" s="248"/>
      <c r="V67" s="247"/>
      <c r="W67" s="248"/>
      <c r="X67" s="248"/>
      <c r="Y67" s="251"/>
      <c r="Z67" s="248"/>
      <c r="AA67" s="248"/>
      <c r="AB67" s="248"/>
      <c r="AC67" s="248"/>
      <c r="AD67" s="248"/>
      <c r="AE67" s="254"/>
      <c r="AF67" s="248"/>
      <c r="AG67" s="248"/>
      <c r="AH67" s="251"/>
      <c r="AI67" s="248"/>
      <c r="AJ67" s="248"/>
      <c r="AK67" s="248"/>
      <c r="AL67" s="248"/>
      <c r="AM67" s="248"/>
      <c r="AN67" s="251"/>
      <c r="AO67" s="248"/>
      <c r="AP67" s="248"/>
    </row>
    <row r="68" spans="3:42" x14ac:dyDescent="0.25">
      <c r="C68" s="360"/>
      <c r="D68" s="360"/>
      <c r="E68" s="360"/>
      <c r="F68" s="360"/>
      <c r="G68" s="248"/>
      <c r="H68" s="248"/>
      <c r="I68" s="248"/>
      <c r="J68" s="247"/>
      <c r="K68" s="248"/>
      <c r="L68" s="248"/>
      <c r="M68" s="247"/>
      <c r="N68" s="248"/>
      <c r="O68" s="248"/>
      <c r="P68" s="247"/>
      <c r="Q68" s="248"/>
      <c r="R68" s="362"/>
      <c r="S68" s="358"/>
      <c r="T68" s="248"/>
      <c r="U68" s="248"/>
      <c r="V68" s="247"/>
      <c r="W68" s="248"/>
      <c r="X68" s="248"/>
      <c r="Y68" s="251"/>
      <c r="Z68" s="248"/>
      <c r="AA68" s="248"/>
      <c r="AB68" s="248"/>
      <c r="AC68" s="248"/>
      <c r="AD68" s="248"/>
      <c r="AE68" s="254"/>
      <c r="AF68" s="248"/>
      <c r="AG68" s="248"/>
      <c r="AH68" s="251"/>
      <c r="AI68" s="248"/>
      <c r="AJ68" s="248"/>
      <c r="AK68" s="248"/>
      <c r="AL68" s="248"/>
      <c r="AM68" s="248"/>
      <c r="AN68" s="251"/>
      <c r="AO68" s="248"/>
      <c r="AP68" s="248"/>
    </row>
    <row r="69" spans="3:42" x14ac:dyDescent="0.25">
      <c r="C69" s="360"/>
      <c r="D69" s="360"/>
      <c r="E69" s="360"/>
      <c r="F69" s="360"/>
      <c r="G69" s="248"/>
      <c r="H69" s="248"/>
      <c r="I69" s="248"/>
      <c r="J69" s="247"/>
      <c r="K69" s="248"/>
      <c r="L69" s="248"/>
      <c r="M69" s="247"/>
      <c r="N69" s="248"/>
      <c r="O69" s="248"/>
      <c r="P69" s="247"/>
      <c r="Q69" s="248"/>
      <c r="R69" s="362"/>
      <c r="S69" s="358"/>
      <c r="T69" s="248"/>
      <c r="U69" s="248"/>
      <c r="V69" s="247"/>
      <c r="W69" s="248"/>
      <c r="X69" s="248"/>
      <c r="Y69" s="251"/>
      <c r="Z69" s="248"/>
      <c r="AA69" s="248"/>
      <c r="AB69" s="248"/>
      <c r="AC69" s="248"/>
      <c r="AD69" s="248"/>
      <c r="AE69" s="254"/>
      <c r="AF69" s="248"/>
      <c r="AG69" s="248"/>
      <c r="AH69" s="251"/>
      <c r="AI69" s="248"/>
      <c r="AJ69" s="248"/>
      <c r="AK69" s="248"/>
      <c r="AL69" s="248"/>
      <c r="AM69" s="248"/>
      <c r="AN69" s="251"/>
      <c r="AO69" s="248"/>
      <c r="AP69" s="248"/>
    </row>
    <row r="70" spans="3:42" x14ac:dyDescent="0.25">
      <c r="C70" s="360"/>
      <c r="D70" s="360"/>
      <c r="E70" s="360"/>
      <c r="F70" s="360"/>
      <c r="G70" s="248"/>
      <c r="H70" s="248"/>
      <c r="I70" s="248"/>
      <c r="J70" s="247"/>
      <c r="K70" s="248"/>
      <c r="L70" s="248"/>
      <c r="M70" s="247"/>
      <c r="N70" s="248"/>
      <c r="O70" s="248"/>
      <c r="P70" s="247"/>
      <c r="Q70" s="248"/>
      <c r="R70" s="362"/>
      <c r="S70" s="358"/>
      <c r="T70" s="248"/>
      <c r="U70" s="248"/>
      <c r="V70" s="247"/>
      <c r="W70" s="248"/>
      <c r="X70" s="248"/>
      <c r="Y70" s="251"/>
      <c r="Z70" s="248"/>
      <c r="AA70" s="248"/>
      <c r="AB70" s="248"/>
      <c r="AC70" s="248"/>
      <c r="AD70" s="248"/>
      <c r="AE70" s="254"/>
      <c r="AF70" s="248"/>
      <c r="AG70" s="248"/>
      <c r="AH70" s="251"/>
      <c r="AI70" s="248"/>
      <c r="AJ70" s="248"/>
      <c r="AK70" s="248"/>
      <c r="AL70" s="248"/>
      <c r="AM70" s="248"/>
      <c r="AN70" s="251"/>
      <c r="AO70" s="248"/>
      <c r="AP70" s="248"/>
    </row>
    <row r="71" spans="3:42" x14ac:dyDescent="0.25">
      <c r="C71" s="360"/>
      <c r="D71" s="360"/>
      <c r="E71" s="360"/>
      <c r="F71" s="360"/>
      <c r="G71" s="248"/>
      <c r="H71" s="248"/>
      <c r="I71" s="248"/>
      <c r="J71" s="247"/>
      <c r="K71" s="248"/>
      <c r="L71" s="248"/>
      <c r="M71" s="247"/>
      <c r="N71" s="248"/>
      <c r="O71" s="248"/>
      <c r="P71" s="247"/>
      <c r="Q71" s="248"/>
      <c r="R71" s="362"/>
      <c r="S71" s="358"/>
      <c r="T71" s="248"/>
      <c r="U71" s="248"/>
      <c r="V71" s="247"/>
      <c r="W71" s="248"/>
      <c r="X71" s="248"/>
      <c r="Y71" s="251"/>
      <c r="Z71" s="248"/>
      <c r="AA71" s="248"/>
      <c r="AB71" s="248"/>
      <c r="AC71" s="248"/>
      <c r="AD71" s="248"/>
      <c r="AE71" s="254"/>
      <c r="AF71" s="248"/>
      <c r="AG71" s="248"/>
      <c r="AH71" s="251"/>
      <c r="AI71" s="248"/>
      <c r="AJ71" s="248"/>
      <c r="AK71" s="248"/>
      <c r="AL71" s="248"/>
      <c r="AM71" s="248"/>
      <c r="AN71" s="251"/>
      <c r="AO71" s="248"/>
      <c r="AP71" s="248"/>
    </row>
    <row r="72" spans="3:42" x14ac:dyDescent="0.25">
      <c r="C72" s="360"/>
      <c r="D72" s="360"/>
      <c r="E72" s="360"/>
      <c r="F72" s="360"/>
      <c r="G72" s="248"/>
      <c r="H72" s="248"/>
      <c r="I72" s="248"/>
      <c r="J72" s="247"/>
      <c r="K72" s="248"/>
      <c r="L72" s="248"/>
      <c r="M72" s="247"/>
      <c r="N72" s="248"/>
      <c r="O72" s="248"/>
      <c r="P72" s="247"/>
      <c r="Q72" s="248"/>
      <c r="R72" s="362"/>
      <c r="S72" s="358"/>
      <c r="T72" s="248"/>
      <c r="U72" s="248"/>
      <c r="V72" s="247"/>
      <c r="W72" s="248"/>
      <c r="X72" s="248"/>
      <c r="Y72" s="251"/>
      <c r="Z72" s="248"/>
      <c r="AA72" s="248"/>
      <c r="AB72" s="248"/>
      <c r="AC72" s="248"/>
      <c r="AD72" s="248"/>
      <c r="AE72" s="254"/>
      <c r="AF72" s="248"/>
      <c r="AG72" s="248"/>
      <c r="AH72" s="251"/>
      <c r="AI72" s="248"/>
      <c r="AJ72" s="248"/>
      <c r="AK72" s="248"/>
      <c r="AL72" s="248"/>
      <c r="AM72" s="248"/>
      <c r="AN72" s="251"/>
      <c r="AO72" s="248"/>
      <c r="AP72" s="248"/>
    </row>
    <row r="73" spans="3:42" x14ac:dyDescent="0.25">
      <c r="C73" s="360"/>
      <c r="D73" s="360"/>
      <c r="E73" s="360"/>
      <c r="F73" s="360"/>
      <c r="G73" s="248"/>
      <c r="H73" s="248"/>
      <c r="I73" s="248"/>
      <c r="J73" s="247"/>
      <c r="K73" s="248"/>
      <c r="L73" s="248"/>
      <c r="M73" s="247"/>
      <c r="N73" s="248"/>
      <c r="O73" s="248"/>
      <c r="P73" s="247"/>
      <c r="Q73" s="248"/>
      <c r="R73" s="362"/>
      <c r="S73" s="358"/>
      <c r="T73" s="248"/>
      <c r="U73" s="248"/>
      <c r="V73" s="247"/>
      <c r="W73" s="248"/>
      <c r="X73" s="248"/>
      <c r="Y73" s="251"/>
      <c r="Z73" s="248"/>
      <c r="AA73" s="248"/>
      <c r="AB73" s="248"/>
      <c r="AC73" s="248"/>
      <c r="AD73" s="248"/>
      <c r="AE73" s="254"/>
      <c r="AF73" s="248"/>
      <c r="AG73" s="248"/>
      <c r="AH73" s="251"/>
      <c r="AI73" s="248"/>
      <c r="AJ73" s="248"/>
      <c r="AK73" s="248"/>
      <c r="AL73" s="248"/>
      <c r="AM73" s="248"/>
      <c r="AN73" s="251"/>
      <c r="AO73" s="248"/>
      <c r="AP73" s="248"/>
    </row>
    <row r="74" spans="3:42" x14ac:dyDescent="0.25">
      <c r="C74" s="360"/>
      <c r="D74" s="360"/>
      <c r="E74" s="360"/>
      <c r="F74" s="360"/>
      <c r="G74" s="248"/>
      <c r="H74" s="248"/>
      <c r="I74" s="248"/>
      <c r="J74" s="247"/>
      <c r="K74" s="248"/>
      <c r="L74" s="248"/>
      <c r="M74" s="247"/>
      <c r="N74" s="248"/>
      <c r="O74" s="248"/>
      <c r="P74" s="247"/>
      <c r="Q74" s="248"/>
      <c r="R74" s="362"/>
      <c r="S74" s="358"/>
      <c r="T74" s="248"/>
      <c r="U74" s="248"/>
      <c r="V74" s="247"/>
      <c r="W74" s="248"/>
      <c r="X74" s="248"/>
      <c r="Y74" s="251"/>
      <c r="Z74" s="248"/>
      <c r="AA74" s="248"/>
      <c r="AB74" s="248"/>
      <c r="AC74" s="248"/>
      <c r="AD74" s="248"/>
      <c r="AE74" s="254"/>
      <c r="AF74" s="248"/>
      <c r="AG74" s="248"/>
      <c r="AH74" s="251"/>
      <c r="AI74" s="248"/>
      <c r="AJ74" s="248"/>
      <c r="AK74" s="248"/>
      <c r="AL74" s="248"/>
      <c r="AM74" s="248"/>
      <c r="AN74" s="251"/>
      <c r="AO74" s="248"/>
      <c r="AP74" s="248"/>
    </row>
    <row r="75" spans="3:42" x14ac:dyDescent="0.25">
      <c r="C75" s="360"/>
      <c r="D75" s="360"/>
      <c r="E75" s="360"/>
      <c r="F75" s="360"/>
      <c r="G75" s="248"/>
      <c r="H75" s="248"/>
      <c r="I75" s="248"/>
      <c r="J75" s="247"/>
      <c r="K75" s="248"/>
      <c r="L75" s="248"/>
      <c r="M75" s="247"/>
      <c r="N75" s="248"/>
      <c r="O75" s="248"/>
      <c r="P75" s="247"/>
      <c r="Q75" s="248"/>
      <c r="R75" s="362"/>
      <c r="S75" s="358"/>
      <c r="T75" s="248"/>
      <c r="U75" s="248"/>
      <c r="V75" s="247"/>
      <c r="W75" s="248"/>
      <c r="X75" s="248"/>
      <c r="Y75" s="251"/>
      <c r="Z75" s="248"/>
      <c r="AA75" s="248"/>
      <c r="AB75" s="248"/>
      <c r="AC75" s="248"/>
      <c r="AD75" s="248"/>
      <c r="AE75" s="254"/>
      <c r="AF75" s="248"/>
      <c r="AG75" s="248"/>
      <c r="AH75" s="251"/>
      <c r="AI75" s="248"/>
      <c r="AJ75" s="248"/>
      <c r="AK75" s="248"/>
      <c r="AL75" s="248"/>
      <c r="AM75" s="248"/>
      <c r="AN75" s="251"/>
      <c r="AO75" s="248"/>
      <c r="AP75" s="248"/>
    </row>
    <row r="76" spans="3:42" x14ac:dyDescent="0.25">
      <c r="C76" s="360"/>
      <c r="D76" s="360"/>
      <c r="E76" s="360"/>
      <c r="F76" s="360"/>
      <c r="G76" s="248"/>
      <c r="H76" s="248"/>
      <c r="I76" s="248"/>
      <c r="J76" s="247"/>
      <c r="K76" s="248"/>
      <c r="L76" s="248"/>
      <c r="M76" s="247"/>
      <c r="N76" s="248"/>
      <c r="O76" s="248"/>
      <c r="P76" s="247"/>
      <c r="Q76" s="248"/>
      <c r="R76" s="362"/>
      <c r="S76" s="358"/>
      <c r="T76" s="248"/>
      <c r="U76" s="248"/>
      <c r="V76" s="247"/>
      <c r="W76" s="248"/>
      <c r="X76" s="248"/>
      <c r="Y76" s="251"/>
      <c r="Z76" s="248"/>
      <c r="AA76" s="248"/>
      <c r="AB76" s="248"/>
      <c r="AC76" s="248"/>
      <c r="AD76" s="248"/>
      <c r="AE76" s="254"/>
      <c r="AF76" s="248"/>
      <c r="AG76" s="248"/>
      <c r="AH76" s="251"/>
      <c r="AI76" s="248"/>
      <c r="AJ76" s="248"/>
      <c r="AK76" s="248"/>
      <c r="AL76" s="248"/>
      <c r="AM76" s="248"/>
      <c r="AN76" s="251"/>
      <c r="AO76" s="248"/>
      <c r="AP76" s="248"/>
    </row>
    <row r="77" spans="3:42" x14ac:dyDescent="0.25">
      <c r="C77" s="360"/>
      <c r="D77" s="360"/>
      <c r="E77" s="360"/>
      <c r="F77" s="360"/>
      <c r="G77" s="248"/>
      <c r="H77" s="248"/>
      <c r="I77" s="248"/>
      <c r="J77" s="247"/>
      <c r="K77" s="248"/>
      <c r="L77" s="248"/>
      <c r="M77" s="247"/>
      <c r="N77" s="248"/>
      <c r="O77" s="248"/>
      <c r="P77" s="247"/>
      <c r="Q77" s="248"/>
      <c r="R77" s="362"/>
      <c r="S77" s="358"/>
      <c r="T77" s="248"/>
      <c r="U77" s="248"/>
      <c r="V77" s="247"/>
      <c r="W77" s="248"/>
      <c r="X77" s="248"/>
      <c r="Y77" s="251"/>
      <c r="Z77" s="248"/>
      <c r="AA77" s="248"/>
      <c r="AB77" s="248"/>
      <c r="AC77" s="248"/>
      <c r="AD77" s="248"/>
      <c r="AE77" s="254"/>
      <c r="AF77" s="248"/>
      <c r="AG77" s="248"/>
      <c r="AH77" s="251"/>
      <c r="AI77" s="248"/>
      <c r="AJ77" s="248"/>
      <c r="AK77" s="248"/>
      <c r="AL77" s="248"/>
      <c r="AM77" s="248"/>
      <c r="AN77" s="251"/>
      <c r="AO77" s="248"/>
      <c r="AP77" s="248"/>
    </row>
    <row r="78" spans="3:42" x14ac:dyDescent="0.25">
      <c r="C78" s="360"/>
      <c r="D78" s="360"/>
      <c r="E78" s="360"/>
      <c r="F78" s="360"/>
      <c r="G78" s="248"/>
      <c r="H78" s="248"/>
      <c r="I78" s="248"/>
      <c r="J78" s="247"/>
      <c r="K78" s="248"/>
      <c r="L78" s="248"/>
      <c r="M78" s="247"/>
      <c r="N78" s="248"/>
      <c r="O78" s="248"/>
      <c r="P78" s="247"/>
      <c r="Q78" s="248"/>
      <c r="R78" s="362"/>
      <c r="S78" s="358"/>
      <c r="T78" s="248"/>
      <c r="U78" s="248"/>
      <c r="V78" s="247"/>
      <c r="W78" s="248"/>
      <c r="X78" s="248"/>
      <c r="Y78" s="251"/>
      <c r="Z78" s="248"/>
      <c r="AA78" s="248"/>
      <c r="AB78" s="248"/>
      <c r="AC78" s="248"/>
      <c r="AD78" s="248"/>
      <c r="AE78" s="254"/>
      <c r="AF78" s="248"/>
      <c r="AG78" s="248"/>
      <c r="AH78" s="251"/>
      <c r="AI78" s="248"/>
      <c r="AJ78" s="248"/>
      <c r="AK78" s="248"/>
      <c r="AL78" s="248"/>
      <c r="AM78" s="248"/>
      <c r="AN78" s="251"/>
      <c r="AO78" s="248"/>
      <c r="AP78" s="248"/>
    </row>
    <row r="79" spans="3:42" x14ac:dyDescent="0.25">
      <c r="C79" s="360"/>
      <c r="D79" s="360"/>
      <c r="E79" s="360"/>
      <c r="F79" s="360"/>
      <c r="G79" s="248"/>
      <c r="H79" s="248"/>
      <c r="I79" s="248"/>
      <c r="J79" s="247"/>
      <c r="K79" s="248"/>
      <c r="L79" s="248"/>
      <c r="M79" s="247"/>
      <c r="N79" s="248"/>
      <c r="O79" s="248"/>
      <c r="P79" s="247"/>
      <c r="Q79" s="248"/>
      <c r="R79" s="362"/>
      <c r="S79" s="358"/>
      <c r="T79" s="248"/>
      <c r="U79" s="248"/>
      <c r="V79" s="247"/>
      <c r="W79" s="248"/>
      <c r="X79" s="248"/>
      <c r="Y79" s="251"/>
      <c r="Z79" s="248"/>
      <c r="AA79" s="248"/>
      <c r="AB79" s="248"/>
      <c r="AC79" s="248"/>
      <c r="AD79" s="248"/>
      <c r="AE79" s="254"/>
      <c r="AF79" s="248"/>
      <c r="AG79" s="248"/>
      <c r="AH79" s="251"/>
      <c r="AI79" s="248"/>
      <c r="AJ79" s="248"/>
      <c r="AK79" s="248"/>
      <c r="AL79" s="248"/>
      <c r="AM79" s="248"/>
      <c r="AN79" s="251"/>
      <c r="AO79" s="248"/>
      <c r="AP79" s="248"/>
    </row>
    <row r="80" spans="3:42" x14ac:dyDescent="0.25">
      <c r="C80" s="360"/>
      <c r="D80" s="360"/>
      <c r="E80" s="360"/>
      <c r="F80" s="360"/>
      <c r="G80" s="248"/>
      <c r="H80" s="248"/>
      <c r="I80" s="248"/>
      <c r="J80" s="247"/>
      <c r="K80" s="248"/>
      <c r="L80" s="248"/>
      <c r="M80" s="247"/>
      <c r="N80" s="248"/>
      <c r="O80" s="248"/>
      <c r="P80" s="247"/>
      <c r="Q80" s="248"/>
      <c r="R80" s="362"/>
      <c r="S80" s="358"/>
      <c r="T80" s="248"/>
      <c r="U80" s="248"/>
      <c r="V80" s="247"/>
      <c r="W80" s="248"/>
      <c r="X80" s="248"/>
      <c r="Y80" s="251"/>
      <c r="Z80" s="248"/>
      <c r="AA80" s="248"/>
      <c r="AB80" s="248"/>
      <c r="AC80" s="248"/>
      <c r="AD80" s="248"/>
      <c r="AE80" s="254"/>
      <c r="AF80" s="248"/>
      <c r="AG80" s="248"/>
      <c r="AH80" s="251"/>
      <c r="AI80" s="248"/>
      <c r="AJ80" s="248"/>
      <c r="AK80" s="248"/>
      <c r="AL80" s="248"/>
      <c r="AM80" s="248"/>
      <c r="AN80" s="251"/>
      <c r="AO80" s="248"/>
      <c r="AP80" s="248"/>
    </row>
    <row r="81" spans="3:42" x14ac:dyDescent="0.25">
      <c r="C81" s="360"/>
      <c r="D81" s="360"/>
      <c r="E81" s="360"/>
      <c r="F81" s="360"/>
      <c r="G81" s="248"/>
      <c r="H81" s="248"/>
      <c r="I81" s="248"/>
      <c r="J81" s="247"/>
      <c r="K81" s="248"/>
      <c r="L81" s="248"/>
      <c r="M81" s="247"/>
      <c r="N81" s="248"/>
      <c r="O81" s="248"/>
      <c r="P81" s="247"/>
      <c r="Q81" s="248"/>
      <c r="R81" s="362"/>
      <c r="S81" s="358"/>
      <c r="T81" s="248"/>
      <c r="U81" s="248"/>
      <c r="V81" s="247"/>
      <c r="W81" s="248"/>
      <c r="X81" s="248"/>
      <c r="Y81" s="251"/>
      <c r="Z81" s="248"/>
      <c r="AA81" s="248"/>
      <c r="AB81" s="248"/>
      <c r="AC81" s="248"/>
      <c r="AD81" s="248"/>
      <c r="AE81" s="254"/>
      <c r="AF81" s="248"/>
      <c r="AG81" s="248"/>
      <c r="AH81" s="251"/>
      <c r="AI81" s="248"/>
      <c r="AJ81" s="248"/>
      <c r="AK81" s="248"/>
      <c r="AL81" s="248"/>
      <c r="AM81" s="248"/>
      <c r="AN81" s="251"/>
      <c r="AO81" s="248"/>
      <c r="AP81" s="248"/>
    </row>
    <row r="82" spans="3:42" x14ac:dyDescent="0.25">
      <c r="C82" s="360"/>
      <c r="D82" s="360"/>
      <c r="E82" s="360"/>
      <c r="F82" s="360"/>
      <c r="G82" s="248"/>
      <c r="H82" s="248"/>
      <c r="I82" s="248"/>
      <c r="J82" s="247"/>
      <c r="K82" s="248"/>
      <c r="L82" s="248"/>
      <c r="M82" s="247"/>
      <c r="N82" s="248"/>
      <c r="O82" s="248"/>
      <c r="P82" s="247"/>
      <c r="Q82" s="248"/>
      <c r="R82" s="362"/>
      <c r="S82" s="358"/>
      <c r="T82" s="248"/>
      <c r="U82" s="248"/>
      <c r="V82" s="247"/>
      <c r="W82" s="248"/>
      <c r="X82" s="248"/>
      <c r="Y82" s="251"/>
      <c r="Z82" s="248"/>
      <c r="AA82" s="248"/>
      <c r="AB82" s="248"/>
      <c r="AC82" s="248"/>
      <c r="AD82" s="248"/>
      <c r="AE82" s="254"/>
      <c r="AF82" s="248"/>
      <c r="AG82" s="248"/>
      <c r="AH82" s="251"/>
      <c r="AI82" s="248"/>
      <c r="AJ82" s="248"/>
      <c r="AK82" s="248"/>
      <c r="AL82" s="248"/>
      <c r="AM82" s="248"/>
      <c r="AN82" s="251"/>
      <c r="AO82" s="248"/>
      <c r="AP82" s="248"/>
    </row>
    <row r="83" spans="3:42" x14ac:dyDescent="0.25">
      <c r="C83" s="360"/>
      <c r="D83" s="360"/>
      <c r="E83" s="360"/>
      <c r="F83" s="360"/>
      <c r="G83" s="248"/>
      <c r="H83" s="248"/>
      <c r="I83" s="248"/>
      <c r="J83" s="247"/>
      <c r="K83" s="248"/>
      <c r="L83" s="248"/>
      <c r="M83" s="247"/>
      <c r="N83" s="248"/>
      <c r="O83" s="248"/>
      <c r="P83" s="247"/>
      <c r="Q83" s="248"/>
      <c r="R83" s="362"/>
      <c r="S83" s="358"/>
      <c r="T83" s="248"/>
      <c r="U83" s="248"/>
      <c r="V83" s="247"/>
      <c r="W83" s="248"/>
      <c r="X83" s="248"/>
      <c r="Y83" s="251"/>
      <c r="Z83" s="248"/>
      <c r="AA83" s="248"/>
      <c r="AB83" s="248"/>
      <c r="AC83" s="248"/>
      <c r="AD83" s="248"/>
      <c r="AE83" s="254"/>
      <c r="AF83" s="248"/>
      <c r="AG83" s="248"/>
      <c r="AH83" s="251"/>
      <c r="AI83" s="248"/>
      <c r="AJ83" s="248"/>
      <c r="AK83" s="248"/>
      <c r="AL83" s="248"/>
      <c r="AM83" s="248"/>
      <c r="AN83" s="251"/>
      <c r="AO83" s="248"/>
      <c r="AP83" s="248"/>
    </row>
    <row r="84" spans="3:42" x14ac:dyDescent="0.25">
      <c r="C84" s="360"/>
      <c r="D84" s="360"/>
      <c r="E84" s="360"/>
      <c r="F84" s="360"/>
      <c r="G84" s="248"/>
      <c r="H84" s="248"/>
      <c r="I84" s="248"/>
      <c r="J84" s="247"/>
      <c r="K84" s="248"/>
      <c r="L84" s="248"/>
      <c r="M84" s="247"/>
      <c r="N84" s="248"/>
      <c r="O84" s="248"/>
      <c r="P84" s="247"/>
      <c r="Q84" s="248"/>
      <c r="R84" s="362"/>
      <c r="S84" s="358"/>
      <c r="T84" s="248"/>
      <c r="U84" s="248"/>
      <c r="V84" s="247"/>
      <c r="W84" s="248"/>
      <c r="X84" s="248"/>
      <c r="Y84" s="251"/>
      <c r="Z84" s="248"/>
      <c r="AA84" s="248"/>
      <c r="AB84" s="248"/>
      <c r="AC84" s="248"/>
      <c r="AD84" s="248"/>
      <c r="AE84" s="254"/>
      <c r="AF84" s="248"/>
      <c r="AG84" s="248"/>
      <c r="AH84" s="251"/>
      <c r="AI84" s="248"/>
      <c r="AJ84" s="248"/>
      <c r="AK84" s="248"/>
      <c r="AL84" s="248"/>
      <c r="AM84" s="248"/>
      <c r="AN84" s="251"/>
      <c r="AO84" s="248"/>
      <c r="AP84" s="248"/>
    </row>
    <row r="85" spans="3:42" x14ac:dyDescent="0.25">
      <c r="C85" s="360"/>
      <c r="D85" s="360"/>
      <c r="E85" s="360"/>
      <c r="F85" s="360"/>
      <c r="G85" s="248"/>
      <c r="H85" s="248"/>
      <c r="I85" s="248"/>
      <c r="J85" s="247"/>
      <c r="K85" s="248"/>
      <c r="L85" s="248"/>
      <c r="M85" s="247"/>
      <c r="N85" s="248"/>
      <c r="O85" s="248"/>
      <c r="P85" s="247"/>
      <c r="Q85" s="248"/>
      <c r="R85" s="362"/>
      <c r="S85" s="358"/>
      <c r="T85" s="248"/>
      <c r="U85" s="248"/>
      <c r="V85" s="247"/>
      <c r="W85" s="248"/>
      <c r="X85" s="248"/>
      <c r="Y85" s="251"/>
      <c r="Z85" s="248"/>
      <c r="AA85" s="248"/>
      <c r="AB85" s="248"/>
      <c r="AC85" s="248"/>
      <c r="AD85" s="248"/>
      <c r="AE85" s="254"/>
      <c r="AF85" s="248"/>
      <c r="AG85" s="248"/>
      <c r="AH85" s="251"/>
      <c r="AI85" s="248"/>
      <c r="AJ85" s="248"/>
      <c r="AK85" s="248"/>
      <c r="AL85" s="248"/>
      <c r="AM85" s="248"/>
      <c r="AN85" s="251"/>
      <c r="AO85" s="248"/>
      <c r="AP85" s="248"/>
    </row>
    <row r="86" spans="3:42" x14ac:dyDescent="0.25">
      <c r="C86" s="360"/>
      <c r="D86" s="360"/>
      <c r="E86" s="360"/>
      <c r="F86" s="360"/>
      <c r="G86" s="248"/>
      <c r="H86" s="248"/>
      <c r="I86" s="248"/>
      <c r="J86" s="247"/>
      <c r="K86" s="248"/>
      <c r="L86" s="248"/>
      <c r="M86" s="247"/>
      <c r="N86" s="248"/>
      <c r="O86" s="248"/>
      <c r="P86" s="247"/>
      <c r="Q86" s="248"/>
      <c r="R86" s="362"/>
      <c r="S86" s="358"/>
      <c r="T86" s="248"/>
      <c r="U86" s="248"/>
      <c r="V86" s="247"/>
      <c r="W86" s="248"/>
      <c r="X86" s="248"/>
      <c r="Y86" s="251"/>
      <c r="Z86" s="248"/>
      <c r="AA86" s="248"/>
      <c r="AB86" s="248"/>
      <c r="AC86" s="248"/>
      <c r="AD86" s="248"/>
      <c r="AE86" s="254"/>
      <c r="AF86" s="248"/>
      <c r="AG86" s="248"/>
      <c r="AH86" s="251"/>
      <c r="AI86" s="248"/>
      <c r="AJ86" s="248"/>
      <c r="AK86" s="248"/>
      <c r="AL86" s="248"/>
      <c r="AM86" s="248"/>
      <c r="AN86" s="251"/>
      <c r="AO86" s="248"/>
      <c r="AP86" s="248"/>
    </row>
    <row r="87" spans="3:42" x14ac:dyDescent="0.25">
      <c r="C87" s="360"/>
      <c r="D87" s="360"/>
      <c r="E87" s="360"/>
      <c r="F87" s="360"/>
      <c r="G87" s="248"/>
      <c r="H87" s="248"/>
      <c r="I87" s="248"/>
      <c r="J87" s="247"/>
      <c r="K87" s="248"/>
      <c r="L87" s="248"/>
      <c r="M87" s="247"/>
      <c r="N87" s="248"/>
      <c r="O87" s="248"/>
      <c r="P87" s="247"/>
      <c r="Q87" s="248"/>
      <c r="R87" s="362"/>
      <c r="S87" s="358"/>
      <c r="T87" s="248"/>
      <c r="U87" s="248"/>
      <c r="V87" s="247"/>
      <c r="W87" s="248"/>
      <c r="X87" s="248"/>
      <c r="Y87" s="251"/>
      <c r="Z87" s="248"/>
      <c r="AA87" s="248"/>
      <c r="AB87" s="248"/>
      <c r="AC87" s="248"/>
      <c r="AD87" s="248"/>
      <c r="AE87" s="254"/>
      <c r="AF87" s="248"/>
      <c r="AG87" s="248"/>
      <c r="AH87" s="251"/>
      <c r="AI87" s="248"/>
      <c r="AJ87" s="248"/>
      <c r="AK87" s="248"/>
      <c r="AL87" s="248"/>
      <c r="AM87" s="248"/>
      <c r="AN87" s="251"/>
      <c r="AO87" s="248"/>
      <c r="AP87" s="248"/>
    </row>
    <row r="88" spans="3:42" x14ac:dyDescent="0.25">
      <c r="C88" s="360"/>
      <c r="D88" s="360"/>
      <c r="E88" s="360"/>
      <c r="F88" s="360"/>
      <c r="G88" s="248"/>
      <c r="H88" s="248"/>
      <c r="I88" s="248"/>
      <c r="J88" s="247"/>
      <c r="K88" s="248"/>
      <c r="L88" s="248"/>
      <c r="M88" s="247"/>
      <c r="N88" s="248"/>
      <c r="O88" s="248"/>
      <c r="P88" s="247"/>
      <c r="Q88" s="248"/>
      <c r="R88" s="362"/>
      <c r="S88" s="358"/>
      <c r="T88" s="248"/>
      <c r="U88" s="248"/>
      <c r="V88" s="247"/>
      <c r="W88" s="248"/>
      <c r="X88" s="248"/>
      <c r="Y88" s="251"/>
      <c r="Z88" s="248"/>
      <c r="AA88" s="248"/>
      <c r="AB88" s="248"/>
      <c r="AC88" s="248"/>
      <c r="AD88" s="248"/>
      <c r="AE88" s="254"/>
      <c r="AF88" s="248"/>
      <c r="AG88" s="248"/>
      <c r="AH88" s="251"/>
      <c r="AI88" s="248"/>
      <c r="AJ88" s="248"/>
      <c r="AK88" s="248"/>
      <c r="AL88" s="248"/>
      <c r="AM88" s="248"/>
      <c r="AN88" s="251"/>
      <c r="AO88" s="248"/>
      <c r="AP88" s="248"/>
    </row>
    <row r="89" spans="3:42" x14ac:dyDescent="0.25">
      <c r="C89" s="360"/>
      <c r="D89" s="360"/>
      <c r="E89" s="360"/>
      <c r="F89" s="360"/>
      <c r="G89" s="248"/>
      <c r="H89" s="248"/>
      <c r="I89" s="248"/>
      <c r="J89" s="247"/>
      <c r="K89" s="248"/>
      <c r="L89" s="248"/>
      <c r="M89" s="247"/>
      <c r="N89" s="248"/>
      <c r="O89" s="248"/>
      <c r="P89" s="247"/>
      <c r="Q89" s="248"/>
      <c r="R89" s="362"/>
      <c r="S89" s="358"/>
      <c r="T89" s="248"/>
      <c r="U89" s="248"/>
      <c r="V89" s="247"/>
      <c r="W89" s="248"/>
      <c r="X89" s="248"/>
      <c r="Y89" s="251"/>
      <c r="Z89" s="248"/>
      <c r="AA89" s="248"/>
      <c r="AB89" s="248"/>
      <c r="AC89" s="248"/>
      <c r="AD89" s="248"/>
      <c r="AE89" s="254"/>
      <c r="AF89" s="248"/>
      <c r="AG89" s="248"/>
      <c r="AH89" s="251"/>
      <c r="AI89" s="248"/>
      <c r="AJ89" s="248"/>
      <c r="AK89" s="248"/>
      <c r="AL89" s="248"/>
      <c r="AM89" s="248"/>
      <c r="AN89" s="251"/>
      <c r="AO89" s="248"/>
      <c r="AP89" s="248"/>
    </row>
    <row r="90" spans="3:42" x14ac:dyDescent="0.25">
      <c r="C90" s="360"/>
      <c r="D90" s="360"/>
      <c r="E90" s="360"/>
      <c r="F90" s="360"/>
      <c r="G90" s="248"/>
      <c r="H90" s="248"/>
      <c r="I90" s="248"/>
      <c r="J90" s="247"/>
      <c r="K90" s="248"/>
      <c r="L90" s="248"/>
      <c r="M90" s="247"/>
      <c r="N90" s="248"/>
      <c r="O90" s="248"/>
      <c r="P90" s="247"/>
      <c r="Q90" s="248"/>
      <c r="R90" s="362"/>
      <c r="S90" s="358"/>
      <c r="T90" s="248"/>
      <c r="U90" s="248"/>
      <c r="V90" s="247"/>
      <c r="W90" s="248"/>
      <c r="X90" s="248"/>
      <c r="Y90" s="251"/>
      <c r="Z90" s="248"/>
      <c r="AA90" s="248"/>
      <c r="AB90" s="248"/>
      <c r="AC90" s="248"/>
      <c r="AD90" s="248"/>
      <c r="AE90" s="254"/>
      <c r="AF90" s="248"/>
      <c r="AG90" s="248"/>
      <c r="AH90" s="251"/>
      <c r="AI90" s="248"/>
      <c r="AJ90" s="248"/>
      <c r="AK90" s="248"/>
      <c r="AL90" s="248"/>
      <c r="AM90" s="248"/>
      <c r="AN90" s="251"/>
      <c r="AO90" s="248"/>
      <c r="AP90" s="248"/>
    </row>
    <row r="91" spans="3:42" x14ac:dyDescent="0.25">
      <c r="C91" s="360"/>
      <c r="D91" s="360"/>
      <c r="E91" s="360"/>
      <c r="F91" s="360"/>
      <c r="G91" s="248"/>
      <c r="H91" s="248"/>
      <c r="I91" s="248"/>
      <c r="J91" s="247"/>
      <c r="K91" s="248"/>
      <c r="L91" s="248"/>
      <c r="M91" s="247"/>
      <c r="N91" s="248"/>
      <c r="O91" s="248"/>
      <c r="P91" s="247"/>
      <c r="Q91" s="248"/>
      <c r="R91" s="362"/>
      <c r="S91" s="358"/>
      <c r="T91" s="248"/>
      <c r="U91" s="248"/>
      <c r="V91" s="247"/>
      <c r="W91" s="248"/>
      <c r="X91" s="248"/>
      <c r="Y91" s="251"/>
      <c r="Z91" s="248"/>
      <c r="AA91" s="248"/>
      <c r="AB91" s="248"/>
      <c r="AC91" s="248"/>
      <c r="AD91" s="248"/>
      <c r="AE91" s="254"/>
      <c r="AF91" s="248"/>
      <c r="AG91" s="248"/>
      <c r="AH91" s="251"/>
      <c r="AI91" s="248"/>
      <c r="AJ91" s="248"/>
      <c r="AK91" s="248"/>
      <c r="AL91" s="248"/>
      <c r="AM91" s="248"/>
      <c r="AN91" s="251"/>
      <c r="AO91" s="248"/>
      <c r="AP91" s="248"/>
    </row>
    <row r="92" spans="3:42" x14ac:dyDescent="0.25">
      <c r="C92" s="360"/>
      <c r="D92" s="360"/>
      <c r="E92" s="360"/>
      <c r="F92" s="360"/>
      <c r="G92" s="248"/>
      <c r="H92" s="248"/>
      <c r="I92" s="248"/>
      <c r="J92" s="247"/>
      <c r="K92" s="248"/>
      <c r="L92" s="248"/>
      <c r="M92" s="247"/>
      <c r="N92" s="248"/>
      <c r="O92" s="248"/>
      <c r="P92" s="247"/>
      <c r="Q92" s="248"/>
      <c r="R92" s="362"/>
      <c r="S92" s="358"/>
      <c r="T92" s="248"/>
      <c r="U92" s="248"/>
      <c r="V92" s="247"/>
      <c r="W92" s="248"/>
      <c r="X92" s="248"/>
      <c r="Y92" s="251"/>
      <c r="Z92" s="248"/>
      <c r="AA92" s="248"/>
      <c r="AB92" s="248"/>
      <c r="AC92" s="248"/>
      <c r="AD92" s="248"/>
      <c r="AE92" s="254"/>
      <c r="AF92" s="248"/>
      <c r="AG92" s="248"/>
      <c r="AH92" s="251"/>
      <c r="AI92" s="248"/>
      <c r="AJ92" s="248"/>
      <c r="AK92" s="248"/>
      <c r="AL92" s="248"/>
      <c r="AM92" s="248"/>
      <c r="AN92" s="251"/>
      <c r="AO92" s="248"/>
      <c r="AP92" s="248"/>
    </row>
    <row r="93" spans="3:42" x14ac:dyDescent="0.25">
      <c r="C93" s="360"/>
      <c r="D93" s="360"/>
      <c r="E93" s="360"/>
      <c r="F93" s="360"/>
      <c r="G93" s="248"/>
      <c r="H93" s="248"/>
      <c r="I93" s="248"/>
      <c r="J93" s="247"/>
      <c r="K93" s="248"/>
      <c r="L93" s="248"/>
      <c r="M93" s="247"/>
      <c r="N93" s="248"/>
      <c r="O93" s="248"/>
      <c r="P93" s="247"/>
      <c r="Q93" s="248"/>
      <c r="R93" s="362"/>
      <c r="S93" s="358"/>
      <c r="T93" s="248"/>
      <c r="U93" s="248"/>
      <c r="V93" s="247"/>
      <c r="W93" s="248"/>
      <c r="X93" s="248"/>
      <c r="Y93" s="251"/>
      <c r="Z93" s="248"/>
      <c r="AA93" s="248"/>
      <c r="AB93" s="248"/>
      <c r="AC93" s="248"/>
      <c r="AD93" s="248"/>
      <c r="AE93" s="254"/>
      <c r="AF93" s="248"/>
      <c r="AG93" s="248"/>
      <c r="AH93" s="251"/>
      <c r="AI93" s="248"/>
      <c r="AJ93" s="248"/>
      <c r="AK93" s="248"/>
      <c r="AL93" s="248"/>
      <c r="AM93" s="248"/>
      <c r="AN93" s="251"/>
      <c r="AO93" s="248"/>
      <c r="AP93" s="248"/>
    </row>
    <row r="94" spans="3:42" x14ac:dyDescent="0.25">
      <c r="C94" s="360"/>
      <c r="D94" s="360"/>
      <c r="E94" s="360"/>
      <c r="F94" s="360"/>
      <c r="G94" s="248"/>
      <c r="H94" s="248"/>
      <c r="I94" s="248"/>
      <c r="J94" s="247"/>
      <c r="K94" s="248"/>
      <c r="L94" s="248"/>
      <c r="M94" s="247"/>
      <c r="N94" s="248"/>
      <c r="O94" s="248"/>
      <c r="P94" s="247"/>
      <c r="Q94" s="248"/>
      <c r="R94" s="362"/>
      <c r="S94" s="358"/>
      <c r="T94" s="248"/>
      <c r="U94" s="248"/>
      <c r="V94" s="247"/>
      <c r="W94" s="248"/>
      <c r="X94" s="248"/>
      <c r="Y94" s="251"/>
      <c r="Z94" s="248"/>
      <c r="AA94" s="248"/>
      <c r="AB94" s="248"/>
      <c r="AC94" s="248"/>
      <c r="AD94" s="248"/>
      <c r="AE94" s="254"/>
      <c r="AF94" s="248"/>
      <c r="AG94" s="248"/>
      <c r="AH94" s="251"/>
      <c r="AI94" s="248"/>
      <c r="AJ94" s="248"/>
      <c r="AK94" s="248"/>
      <c r="AL94" s="248"/>
      <c r="AM94" s="248"/>
      <c r="AN94" s="251"/>
      <c r="AO94" s="248"/>
      <c r="AP94" s="248"/>
    </row>
    <row r="95" spans="3:42" x14ac:dyDescent="0.25">
      <c r="C95" s="360"/>
      <c r="D95" s="360"/>
      <c r="E95" s="360"/>
      <c r="F95" s="360"/>
      <c r="G95" s="248"/>
      <c r="H95" s="248"/>
      <c r="I95" s="248"/>
      <c r="J95" s="247"/>
      <c r="K95" s="248"/>
      <c r="L95" s="248"/>
      <c r="M95" s="247"/>
      <c r="N95" s="248"/>
      <c r="O95" s="248"/>
      <c r="P95" s="247"/>
      <c r="Q95" s="248"/>
      <c r="R95" s="362"/>
      <c r="S95" s="358"/>
      <c r="T95" s="248"/>
      <c r="U95" s="248"/>
      <c r="V95" s="247"/>
      <c r="W95" s="248"/>
      <c r="X95" s="248"/>
      <c r="Y95" s="251"/>
      <c r="Z95" s="248"/>
      <c r="AA95" s="248"/>
      <c r="AB95" s="248"/>
      <c r="AC95" s="248"/>
      <c r="AD95" s="248"/>
      <c r="AE95" s="254"/>
      <c r="AF95" s="248"/>
      <c r="AG95" s="248"/>
      <c r="AH95" s="251"/>
      <c r="AI95" s="248"/>
      <c r="AJ95" s="248"/>
      <c r="AK95" s="248"/>
      <c r="AL95" s="248"/>
      <c r="AM95" s="248"/>
      <c r="AN95" s="251"/>
      <c r="AO95" s="248"/>
      <c r="AP95" s="248"/>
    </row>
    <row r="96" spans="3:42" x14ac:dyDescent="0.25">
      <c r="C96" s="360"/>
      <c r="D96" s="360"/>
      <c r="E96" s="360"/>
      <c r="F96" s="360"/>
      <c r="G96" s="248"/>
      <c r="H96" s="248"/>
      <c r="I96" s="248"/>
      <c r="J96" s="247"/>
      <c r="K96" s="248"/>
      <c r="L96" s="248"/>
      <c r="M96" s="247"/>
      <c r="N96" s="248"/>
      <c r="O96" s="248"/>
      <c r="P96" s="247"/>
      <c r="Q96" s="248"/>
      <c r="R96" s="362"/>
      <c r="S96" s="358"/>
      <c r="T96" s="248"/>
      <c r="U96" s="248"/>
      <c r="V96" s="247"/>
      <c r="W96" s="248"/>
      <c r="X96" s="248"/>
      <c r="Y96" s="251"/>
      <c r="Z96" s="248"/>
      <c r="AA96" s="248"/>
      <c r="AB96" s="248"/>
      <c r="AC96" s="248"/>
      <c r="AD96" s="248"/>
      <c r="AE96" s="254"/>
      <c r="AF96" s="248"/>
      <c r="AG96" s="248"/>
      <c r="AH96" s="251"/>
      <c r="AI96" s="248"/>
      <c r="AJ96" s="248"/>
      <c r="AK96" s="248"/>
      <c r="AL96" s="248"/>
      <c r="AM96" s="248"/>
      <c r="AN96" s="251"/>
      <c r="AO96" s="248"/>
      <c r="AP96" s="248"/>
    </row>
    <row r="97" spans="3:42" x14ac:dyDescent="0.25">
      <c r="C97" s="360"/>
      <c r="D97" s="360"/>
      <c r="E97" s="360"/>
      <c r="F97" s="360"/>
      <c r="G97" s="248"/>
      <c r="H97" s="248"/>
      <c r="I97" s="248"/>
      <c r="J97" s="247"/>
      <c r="K97" s="248"/>
      <c r="L97" s="248"/>
      <c r="M97" s="247"/>
      <c r="N97" s="248"/>
      <c r="O97" s="248"/>
      <c r="P97" s="247"/>
      <c r="Q97" s="248"/>
      <c r="R97" s="362"/>
      <c r="S97" s="358"/>
      <c r="T97" s="248"/>
      <c r="U97" s="248"/>
      <c r="V97" s="247"/>
      <c r="W97" s="248"/>
      <c r="X97" s="248"/>
      <c r="Y97" s="251"/>
      <c r="Z97" s="248"/>
      <c r="AA97" s="248"/>
      <c r="AB97" s="248"/>
      <c r="AC97" s="248"/>
      <c r="AD97" s="248"/>
      <c r="AE97" s="254"/>
      <c r="AF97" s="248"/>
      <c r="AG97" s="248"/>
      <c r="AH97" s="251"/>
      <c r="AI97" s="248"/>
      <c r="AJ97" s="248"/>
      <c r="AK97" s="248"/>
      <c r="AL97" s="248"/>
      <c r="AM97" s="248"/>
      <c r="AN97" s="251"/>
      <c r="AO97" s="248"/>
      <c r="AP97" s="248"/>
    </row>
    <row r="98" spans="3:42" x14ac:dyDescent="0.25">
      <c r="C98" s="360"/>
      <c r="D98" s="360"/>
      <c r="E98" s="360"/>
      <c r="F98" s="360"/>
      <c r="G98" s="248"/>
      <c r="H98" s="248"/>
      <c r="I98" s="248"/>
      <c r="J98" s="247"/>
      <c r="K98" s="248"/>
      <c r="L98" s="248"/>
      <c r="M98" s="247"/>
      <c r="N98" s="248"/>
      <c r="O98" s="248"/>
      <c r="P98" s="247"/>
      <c r="Q98" s="248"/>
      <c r="R98" s="362"/>
      <c r="S98" s="358"/>
      <c r="T98" s="248"/>
      <c r="U98" s="248"/>
      <c r="V98" s="247"/>
      <c r="W98" s="248"/>
      <c r="X98" s="248"/>
      <c r="Y98" s="251"/>
      <c r="Z98" s="248"/>
      <c r="AA98" s="248"/>
      <c r="AB98" s="248"/>
      <c r="AC98" s="248"/>
      <c r="AD98" s="248"/>
      <c r="AE98" s="254"/>
      <c r="AF98" s="248"/>
      <c r="AG98" s="248"/>
      <c r="AH98" s="251"/>
      <c r="AI98" s="248"/>
      <c r="AJ98" s="248"/>
      <c r="AK98" s="248"/>
      <c r="AL98" s="248"/>
      <c r="AM98" s="248"/>
      <c r="AN98" s="251"/>
      <c r="AO98" s="248"/>
      <c r="AP98" s="248"/>
    </row>
    <row r="99" spans="3:42" x14ac:dyDescent="0.25">
      <c r="C99" s="360"/>
      <c r="D99" s="360"/>
      <c r="E99" s="360"/>
      <c r="F99" s="360"/>
      <c r="G99" s="248"/>
      <c r="H99" s="248"/>
      <c r="I99" s="248"/>
      <c r="J99" s="247"/>
      <c r="K99" s="248"/>
      <c r="L99" s="248"/>
      <c r="M99" s="247"/>
      <c r="N99" s="248"/>
      <c r="O99" s="248"/>
      <c r="P99" s="247"/>
      <c r="Q99" s="248"/>
      <c r="R99" s="362"/>
      <c r="S99" s="358"/>
      <c r="T99" s="248"/>
      <c r="U99" s="248"/>
      <c r="V99" s="247"/>
      <c r="W99" s="248"/>
      <c r="X99" s="248"/>
      <c r="Y99" s="251"/>
      <c r="Z99" s="248"/>
      <c r="AA99" s="248"/>
      <c r="AB99" s="248"/>
      <c r="AC99" s="248"/>
      <c r="AD99" s="248"/>
      <c r="AE99" s="254"/>
      <c r="AF99" s="248"/>
      <c r="AG99" s="248"/>
      <c r="AH99" s="251"/>
      <c r="AI99" s="248"/>
      <c r="AJ99" s="248"/>
      <c r="AK99" s="248"/>
      <c r="AL99" s="248"/>
      <c r="AM99" s="248"/>
      <c r="AN99" s="251"/>
      <c r="AO99" s="248"/>
      <c r="AP99" s="248"/>
    </row>
    <row r="100" spans="3:42" x14ac:dyDescent="0.25">
      <c r="C100" s="360"/>
      <c r="D100" s="360"/>
      <c r="E100" s="360"/>
      <c r="F100" s="360"/>
      <c r="G100" s="248"/>
      <c r="H100" s="248"/>
      <c r="I100" s="248"/>
      <c r="J100" s="247"/>
      <c r="K100" s="248"/>
      <c r="L100" s="248"/>
      <c r="M100" s="247"/>
      <c r="N100" s="248"/>
      <c r="O100" s="248"/>
      <c r="P100" s="247"/>
      <c r="Q100" s="248"/>
      <c r="R100" s="362"/>
      <c r="S100" s="358"/>
      <c r="T100" s="248"/>
      <c r="U100" s="248"/>
      <c r="V100" s="247"/>
      <c r="W100" s="248"/>
      <c r="X100" s="248"/>
      <c r="Y100" s="251"/>
      <c r="Z100" s="248"/>
      <c r="AA100" s="248"/>
      <c r="AB100" s="248"/>
      <c r="AC100" s="248"/>
      <c r="AD100" s="248"/>
      <c r="AE100" s="254"/>
      <c r="AF100" s="248"/>
      <c r="AG100" s="248"/>
      <c r="AH100" s="251"/>
      <c r="AI100" s="248"/>
      <c r="AJ100" s="248"/>
      <c r="AK100" s="248"/>
      <c r="AL100" s="248"/>
      <c r="AM100" s="248"/>
      <c r="AN100" s="251"/>
      <c r="AO100" s="248"/>
      <c r="AP100" s="248"/>
    </row>
    <row r="101" spans="3:42" x14ac:dyDescent="0.25">
      <c r="C101" s="360"/>
      <c r="D101" s="360"/>
      <c r="E101" s="360"/>
      <c r="F101" s="360"/>
      <c r="G101" s="248"/>
      <c r="H101" s="248"/>
      <c r="I101" s="248"/>
      <c r="J101" s="247"/>
      <c r="K101" s="248"/>
      <c r="L101" s="248"/>
      <c r="M101" s="247"/>
      <c r="N101" s="248"/>
      <c r="O101" s="248"/>
      <c r="P101" s="247"/>
      <c r="Q101" s="248"/>
      <c r="R101" s="362"/>
      <c r="S101" s="358"/>
      <c r="T101" s="248"/>
      <c r="U101" s="248"/>
      <c r="V101" s="247"/>
      <c r="W101" s="248"/>
      <c r="X101" s="248"/>
      <c r="Y101" s="251"/>
      <c r="Z101" s="248"/>
      <c r="AA101" s="248"/>
      <c r="AB101" s="248"/>
      <c r="AC101" s="248"/>
      <c r="AD101" s="248"/>
      <c r="AE101" s="254"/>
      <c r="AF101" s="248"/>
      <c r="AG101" s="248"/>
      <c r="AH101" s="251"/>
      <c r="AI101" s="248"/>
      <c r="AJ101" s="248"/>
      <c r="AK101" s="248"/>
      <c r="AL101" s="248"/>
      <c r="AM101" s="248"/>
      <c r="AN101" s="251"/>
      <c r="AO101" s="248"/>
      <c r="AP101" s="248"/>
    </row>
    <row r="102" spans="3:42" x14ac:dyDescent="0.25">
      <c r="C102" s="360"/>
      <c r="D102" s="360"/>
      <c r="E102" s="360"/>
      <c r="F102" s="360"/>
      <c r="G102" s="248"/>
      <c r="H102" s="248"/>
      <c r="I102" s="248"/>
      <c r="J102" s="247"/>
      <c r="K102" s="248"/>
      <c r="L102" s="248"/>
      <c r="M102" s="247"/>
      <c r="N102" s="248"/>
      <c r="O102" s="248"/>
      <c r="P102" s="247"/>
      <c r="Q102" s="248"/>
      <c r="R102" s="362"/>
      <c r="S102" s="358"/>
      <c r="T102" s="248"/>
      <c r="U102" s="248"/>
      <c r="V102" s="247"/>
      <c r="W102" s="248"/>
      <c r="X102" s="248"/>
      <c r="Y102" s="251"/>
      <c r="Z102" s="248"/>
      <c r="AA102" s="248"/>
      <c r="AB102" s="248"/>
      <c r="AC102" s="248"/>
      <c r="AD102" s="248"/>
      <c r="AE102" s="254"/>
      <c r="AF102" s="248"/>
      <c r="AG102" s="248"/>
      <c r="AH102" s="251"/>
      <c r="AI102" s="248"/>
      <c r="AJ102" s="248"/>
      <c r="AK102" s="248"/>
      <c r="AL102" s="248"/>
      <c r="AM102" s="248"/>
      <c r="AN102" s="251"/>
      <c r="AO102" s="248"/>
      <c r="AP102" s="248"/>
    </row>
    <row r="103" spans="3:42" x14ac:dyDescent="0.25">
      <c r="C103" s="360"/>
      <c r="D103" s="360"/>
      <c r="E103" s="360"/>
      <c r="F103" s="360"/>
      <c r="G103" s="248"/>
      <c r="H103" s="248"/>
      <c r="I103" s="248"/>
      <c r="J103" s="247"/>
      <c r="K103" s="248"/>
      <c r="L103" s="248"/>
      <c r="M103" s="247"/>
      <c r="N103" s="248"/>
      <c r="O103" s="248"/>
      <c r="P103" s="247"/>
      <c r="Q103" s="248"/>
      <c r="R103" s="362"/>
      <c r="S103" s="358"/>
      <c r="T103" s="248"/>
      <c r="U103" s="248"/>
      <c r="V103" s="247"/>
      <c r="W103" s="248"/>
      <c r="X103" s="248"/>
      <c r="Y103" s="251"/>
      <c r="Z103" s="248"/>
      <c r="AA103" s="248"/>
      <c r="AB103" s="248"/>
      <c r="AC103" s="248"/>
      <c r="AD103" s="248"/>
      <c r="AE103" s="254"/>
      <c r="AF103" s="248"/>
      <c r="AG103" s="248"/>
      <c r="AH103" s="251"/>
      <c r="AI103" s="248"/>
      <c r="AJ103" s="248"/>
      <c r="AK103" s="248"/>
      <c r="AL103" s="248"/>
      <c r="AM103" s="248"/>
      <c r="AN103" s="251"/>
      <c r="AO103" s="248"/>
      <c r="AP103" s="248"/>
    </row>
    <row r="104" spans="3:42" x14ac:dyDescent="0.25">
      <c r="C104" s="360"/>
      <c r="D104" s="360"/>
      <c r="E104" s="360"/>
      <c r="F104" s="360"/>
      <c r="G104" s="248"/>
      <c r="H104" s="248"/>
      <c r="I104" s="248"/>
      <c r="J104" s="247"/>
      <c r="K104" s="248"/>
      <c r="L104" s="248"/>
      <c r="M104" s="247"/>
      <c r="N104" s="248"/>
      <c r="O104" s="248"/>
      <c r="P104" s="247"/>
      <c r="Q104" s="248"/>
      <c r="R104" s="362"/>
      <c r="S104" s="358"/>
      <c r="T104" s="248"/>
      <c r="U104" s="248"/>
      <c r="V104" s="247"/>
      <c r="W104" s="248"/>
      <c r="X104" s="248"/>
      <c r="Y104" s="251"/>
      <c r="Z104" s="248"/>
      <c r="AA104" s="248"/>
      <c r="AB104" s="248"/>
      <c r="AC104" s="248"/>
      <c r="AD104" s="248"/>
      <c r="AE104" s="254"/>
      <c r="AF104" s="248"/>
      <c r="AG104" s="248"/>
      <c r="AH104" s="251"/>
      <c r="AI104" s="248"/>
      <c r="AJ104" s="248"/>
      <c r="AK104" s="248"/>
      <c r="AL104" s="248"/>
      <c r="AM104" s="248"/>
      <c r="AN104" s="251"/>
      <c r="AO104" s="248"/>
      <c r="AP104" s="248"/>
    </row>
    <row r="105" spans="3:42" x14ac:dyDescent="0.25">
      <c r="C105" s="360"/>
      <c r="D105" s="360"/>
      <c r="E105" s="360"/>
      <c r="F105" s="360"/>
      <c r="G105" s="248"/>
      <c r="H105" s="248"/>
      <c r="I105" s="248"/>
      <c r="J105" s="247"/>
      <c r="K105" s="248"/>
      <c r="L105" s="248"/>
      <c r="M105" s="247"/>
      <c r="N105" s="248"/>
      <c r="O105" s="248"/>
      <c r="P105" s="247"/>
      <c r="Q105" s="248"/>
      <c r="R105" s="362"/>
      <c r="S105" s="358"/>
      <c r="T105" s="248"/>
      <c r="U105" s="248"/>
      <c r="V105" s="247"/>
      <c r="W105" s="248"/>
      <c r="X105" s="248"/>
      <c r="Y105" s="251"/>
      <c r="Z105" s="248"/>
      <c r="AA105" s="248"/>
      <c r="AB105" s="248"/>
      <c r="AC105" s="248"/>
      <c r="AD105" s="248"/>
      <c r="AE105" s="254"/>
      <c r="AF105" s="248"/>
      <c r="AG105" s="248"/>
      <c r="AH105" s="251"/>
      <c r="AI105" s="248"/>
      <c r="AJ105" s="248"/>
      <c r="AK105" s="248"/>
      <c r="AL105" s="248"/>
      <c r="AM105" s="248"/>
      <c r="AN105" s="251"/>
      <c r="AO105" s="248"/>
      <c r="AP105" s="248"/>
    </row>
    <row r="106" spans="3:42" x14ac:dyDescent="0.25">
      <c r="C106" s="360"/>
      <c r="D106" s="360"/>
      <c r="E106" s="360"/>
      <c r="F106" s="360"/>
      <c r="G106" s="248"/>
      <c r="H106" s="248"/>
      <c r="I106" s="248"/>
      <c r="J106" s="247"/>
      <c r="K106" s="248"/>
      <c r="L106" s="248"/>
      <c r="M106" s="247"/>
      <c r="N106" s="248"/>
      <c r="O106" s="248"/>
      <c r="P106" s="247"/>
      <c r="Q106" s="248"/>
      <c r="R106" s="362"/>
      <c r="S106" s="358"/>
      <c r="T106" s="248"/>
      <c r="U106" s="248"/>
      <c r="V106" s="247"/>
      <c r="W106" s="248"/>
      <c r="X106" s="248"/>
      <c r="Y106" s="251"/>
      <c r="Z106" s="248"/>
      <c r="AA106" s="248"/>
      <c r="AB106" s="248"/>
      <c r="AC106" s="248"/>
      <c r="AD106" s="248"/>
      <c r="AE106" s="254"/>
      <c r="AF106" s="248"/>
      <c r="AG106" s="248"/>
      <c r="AH106" s="251"/>
      <c r="AI106" s="248"/>
      <c r="AJ106" s="248"/>
      <c r="AK106" s="248"/>
      <c r="AL106" s="248"/>
      <c r="AM106" s="248"/>
      <c r="AN106" s="251"/>
      <c r="AO106" s="248"/>
      <c r="AP106" s="248"/>
    </row>
    <row r="107" spans="3:42" x14ac:dyDescent="0.25">
      <c r="C107" s="360"/>
      <c r="D107" s="360"/>
      <c r="E107" s="360"/>
      <c r="F107" s="360"/>
      <c r="G107" s="248"/>
      <c r="H107" s="248"/>
      <c r="I107" s="248"/>
      <c r="J107" s="247"/>
      <c r="K107" s="248"/>
      <c r="L107" s="248"/>
      <c r="M107" s="247"/>
      <c r="N107" s="248"/>
      <c r="O107" s="248"/>
      <c r="P107" s="247"/>
      <c r="Q107" s="248"/>
      <c r="R107" s="362"/>
      <c r="S107" s="358"/>
      <c r="T107" s="248"/>
      <c r="U107" s="248"/>
      <c r="V107" s="247"/>
      <c r="W107" s="248"/>
      <c r="X107" s="248"/>
      <c r="Y107" s="251"/>
      <c r="Z107" s="248"/>
      <c r="AA107" s="248"/>
      <c r="AB107" s="248"/>
      <c r="AC107" s="248"/>
      <c r="AD107" s="248"/>
      <c r="AE107" s="254"/>
      <c r="AF107" s="248"/>
      <c r="AG107" s="248"/>
      <c r="AH107" s="251"/>
      <c r="AI107" s="248"/>
      <c r="AJ107" s="248"/>
      <c r="AK107" s="248"/>
      <c r="AL107" s="248"/>
      <c r="AM107" s="248"/>
      <c r="AN107" s="251"/>
      <c r="AO107" s="248"/>
      <c r="AP107" s="248"/>
    </row>
    <row r="108" spans="3:42" x14ac:dyDescent="0.25">
      <c r="C108" s="360"/>
      <c r="D108" s="360"/>
      <c r="E108" s="360"/>
      <c r="F108" s="360"/>
      <c r="G108" s="248"/>
      <c r="H108" s="248"/>
      <c r="I108" s="248"/>
      <c r="J108" s="247"/>
      <c r="K108" s="248"/>
      <c r="L108" s="248"/>
      <c r="M108" s="247"/>
      <c r="N108" s="248"/>
      <c r="O108" s="248"/>
      <c r="P108" s="247"/>
      <c r="Q108" s="248"/>
      <c r="R108" s="362"/>
      <c r="S108" s="358"/>
      <c r="T108" s="248"/>
      <c r="U108" s="248"/>
      <c r="V108" s="247"/>
      <c r="W108" s="248"/>
      <c r="X108" s="248"/>
      <c r="Y108" s="251"/>
      <c r="Z108" s="248"/>
      <c r="AA108" s="248"/>
      <c r="AB108" s="248"/>
      <c r="AC108" s="248"/>
      <c r="AD108" s="248"/>
      <c r="AE108" s="254"/>
      <c r="AF108" s="248"/>
      <c r="AG108" s="248"/>
      <c r="AH108" s="251"/>
      <c r="AI108" s="248"/>
      <c r="AJ108" s="248"/>
      <c r="AK108" s="248"/>
      <c r="AL108" s="248"/>
      <c r="AM108" s="248"/>
      <c r="AN108" s="251"/>
      <c r="AO108" s="248"/>
      <c r="AP108" s="248"/>
    </row>
    <row r="109" spans="3:42" x14ac:dyDescent="0.25">
      <c r="C109" s="360"/>
      <c r="D109" s="360"/>
      <c r="E109" s="360"/>
      <c r="F109" s="360"/>
      <c r="G109" s="248"/>
      <c r="H109" s="248"/>
      <c r="I109" s="248"/>
      <c r="J109" s="247"/>
      <c r="K109" s="248"/>
      <c r="L109" s="248"/>
      <c r="M109" s="247"/>
      <c r="N109" s="248"/>
      <c r="O109" s="248"/>
      <c r="P109" s="247"/>
      <c r="Q109" s="248"/>
      <c r="R109" s="362"/>
      <c r="S109" s="358"/>
      <c r="T109" s="248"/>
      <c r="U109" s="248"/>
      <c r="V109" s="247"/>
      <c r="W109" s="248"/>
      <c r="X109" s="248"/>
      <c r="Y109" s="251"/>
      <c r="Z109" s="248"/>
      <c r="AA109" s="248"/>
      <c r="AB109" s="248"/>
      <c r="AC109" s="248"/>
      <c r="AD109" s="248"/>
      <c r="AE109" s="254"/>
      <c r="AF109" s="248"/>
      <c r="AG109" s="248"/>
      <c r="AH109" s="251"/>
      <c r="AI109" s="248"/>
      <c r="AJ109" s="248"/>
      <c r="AK109" s="248"/>
      <c r="AL109" s="248"/>
      <c r="AM109" s="248"/>
      <c r="AN109" s="251"/>
      <c r="AO109" s="248"/>
      <c r="AP109" s="248"/>
    </row>
    <row r="110" spans="3:42" x14ac:dyDescent="0.25">
      <c r="C110" s="360"/>
      <c r="D110" s="360"/>
      <c r="E110" s="360"/>
      <c r="F110" s="360"/>
      <c r="G110" s="248"/>
      <c r="H110" s="248"/>
      <c r="I110" s="248"/>
      <c r="J110" s="247"/>
      <c r="K110" s="248"/>
      <c r="L110" s="248"/>
      <c r="M110" s="247"/>
      <c r="N110" s="248"/>
      <c r="O110" s="248"/>
      <c r="P110" s="247"/>
      <c r="Q110" s="248"/>
      <c r="R110" s="362"/>
      <c r="S110" s="358"/>
      <c r="T110" s="248"/>
      <c r="U110" s="248"/>
      <c r="V110" s="247"/>
      <c r="W110" s="248"/>
      <c r="X110" s="248"/>
      <c r="Y110" s="251"/>
      <c r="Z110" s="248"/>
      <c r="AA110" s="248"/>
      <c r="AB110" s="248"/>
      <c r="AC110" s="248"/>
      <c r="AD110" s="248"/>
      <c r="AE110" s="254"/>
      <c r="AF110" s="248"/>
      <c r="AG110" s="248"/>
      <c r="AH110" s="251"/>
      <c r="AI110" s="248"/>
      <c r="AJ110" s="248"/>
      <c r="AK110" s="248"/>
      <c r="AL110" s="248"/>
      <c r="AM110" s="248"/>
      <c r="AN110" s="251"/>
      <c r="AO110" s="248"/>
      <c r="AP110" s="248"/>
    </row>
    <row r="111" spans="3:42" x14ac:dyDescent="0.25">
      <c r="C111" s="360"/>
      <c r="D111" s="360"/>
      <c r="E111" s="360"/>
      <c r="F111" s="360"/>
      <c r="G111" s="248"/>
      <c r="H111" s="248"/>
      <c r="I111" s="248"/>
      <c r="J111" s="247"/>
      <c r="K111" s="248"/>
      <c r="L111" s="248"/>
      <c r="M111" s="247"/>
      <c r="N111" s="248"/>
      <c r="O111" s="248"/>
      <c r="P111" s="247"/>
      <c r="Q111" s="248"/>
      <c r="R111" s="362"/>
      <c r="S111" s="358"/>
      <c r="T111" s="248"/>
      <c r="U111" s="248"/>
      <c r="V111" s="247"/>
      <c r="W111" s="248"/>
      <c r="X111" s="248"/>
      <c r="Y111" s="251"/>
      <c r="Z111" s="248"/>
      <c r="AA111" s="248"/>
      <c r="AB111" s="248"/>
      <c r="AC111" s="248"/>
      <c r="AD111" s="248"/>
      <c r="AE111" s="254"/>
      <c r="AF111" s="248"/>
      <c r="AG111" s="248"/>
      <c r="AH111" s="251"/>
      <c r="AI111" s="248"/>
      <c r="AJ111" s="248"/>
      <c r="AK111" s="248"/>
      <c r="AL111" s="248"/>
      <c r="AM111" s="248"/>
      <c r="AN111" s="251"/>
      <c r="AO111" s="248"/>
      <c r="AP111" s="248"/>
    </row>
    <row r="112" spans="3:42" x14ac:dyDescent="0.25">
      <c r="C112" s="360"/>
      <c r="D112" s="360"/>
      <c r="E112" s="360"/>
      <c r="F112" s="360"/>
      <c r="G112" s="248"/>
      <c r="H112" s="248"/>
      <c r="I112" s="248"/>
      <c r="J112" s="247"/>
      <c r="K112" s="248"/>
      <c r="L112" s="248"/>
      <c r="M112" s="247"/>
      <c r="N112" s="248"/>
      <c r="O112" s="248"/>
      <c r="P112" s="247"/>
      <c r="Q112" s="248"/>
      <c r="R112" s="362"/>
      <c r="S112" s="358"/>
      <c r="T112" s="248"/>
      <c r="U112" s="248"/>
      <c r="V112" s="247"/>
      <c r="W112" s="248"/>
      <c r="X112" s="248"/>
      <c r="Y112" s="251"/>
      <c r="Z112" s="248"/>
      <c r="AA112" s="248"/>
      <c r="AB112" s="248"/>
      <c r="AC112" s="248"/>
      <c r="AD112" s="248"/>
      <c r="AE112" s="254"/>
      <c r="AF112" s="248"/>
      <c r="AG112" s="248"/>
      <c r="AH112" s="251"/>
      <c r="AI112" s="248"/>
      <c r="AJ112" s="248"/>
      <c r="AK112" s="248"/>
      <c r="AL112" s="248"/>
      <c r="AM112" s="248"/>
      <c r="AN112" s="251"/>
      <c r="AO112" s="248"/>
      <c r="AP112" s="248"/>
    </row>
    <row r="113" spans="3:42" x14ac:dyDescent="0.25">
      <c r="C113" s="360"/>
      <c r="D113" s="360"/>
      <c r="E113" s="360"/>
      <c r="F113" s="360"/>
      <c r="G113" s="248"/>
      <c r="H113" s="248"/>
      <c r="I113" s="248"/>
      <c r="J113" s="247"/>
      <c r="K113" s="248"/>
      <c r="L113" s="248"/>
      <c r="M113" s="247"/>
      <c r="N113" s="248"/>
      <c r="O113" s="248"/>
      <c r="P113" s="247"/>
      <c r="Q113" s="248"/>
      <c r="R113" s="362"/>
      <c r="S113" s="358"/>
      <c r="T113" s="248"/>
      <c r="U113" s="248"/>
      <c r="V113" s="247"/>
      <c r="W113" s="248"/>
      <c r="X113" s="248"/>
      <c r="Y113" s="251"/>
      <c r="Z113" s="248"/>
      <c r="AA113" s="248"/>
      <c r="AB113" s="248"/>
      <c r="AC113" s="248"/>
      <c r="AD113" s="248"/>
      <c r="AE113" s="254"/>
      <c r="AF113" s="248"/>
      <c r="AG113" s="248"/>
      <c r="AH113" s="251"/>
      <c r="AI113" s="248"/>
      <c r="AJ113" s="248"/>
      <c r="AK113" s="248"/>
      <c r="AL113" s="248"/>
      <c r="AM113" s="248"/>
      <c r="AN113" s="251"/>
      <c r="AO113" s="248"/>
      <c r="AP113" s="248"/>
    </row>
    <row r="114" spans="3:42" x14ac:dyDescent="0.25">
      <c r="C114" s="360"/>
      <c r="D114" s="360"/>
      <c r="E114" s="360"/>
      <c r="F114" s="360"/>
      <c r="G114" s="248"/>
      <c r="H114" s="248"/>
      <c r="I114" s="248"/>
      <c r="J114" s="247"/>
      <c r="K114" s="248"/>
      <c r="L114" s="248"/>
      <c r="M114" s="247"/>
      <c r="N114" s="248"/>
      <c r="O114" s="248"/>
      <c r="P114" s="247"/>
      <c r="Q114" s="248"/>
      <c r="R114" s="362"/>
      <c r="S114" s="358"/>
      <c r="T114" s="248"/>
      <c r="U114" s="248"/>
      <c r="V114" s="247"/>
      <c r="W114" s="248"/>
      <c r="X114" s="248"/>
      <c r="Y114" s="251"/>
      <c r="Z114" s="248"/>
      <c r="AA114" s="248"/>
      <c r="AB114" s="248"/>
      <c r="AC114" s="248"/>
      <c r="AD114" s="248"/>
      <c r="AE114" s="254"/>
      <c r="AF114" s="248"/>
      <c r="AG114" s="248"/>
      <c r="AH114" s="251"/>
      <c r="AI114" s="248"/>
      <c r="AJ114" s="248"/>
      <c r="AK114" s="248"/>
      <c r="AL114" s="248"/>
      <c r="AM114" s="248"/>
      <c r="AN114" s="251"/>
      <c r="AO114" s="248"/>
      <c r="AP114" s="248"/>
    </row>
    <row r="115" spans="3:42" x14ac:dyDescent="0.25">
      <c r="C115" s="360"/>
      <c r="D115" s="360"/>
      <c r="E115" s="360"/>
      <c r="F115" s="360"/>
      <c r="G115" s="248"/>
      <c r="H115" s="248"/>
      <c r="I115" s="248"/>
      <c r="J115" s="247"/>
      <c r="K115" s="248"/>
      <c r="L115" s="248"/>
      <c r="M115" s="247"/>
      <c r="N115" s="248"/>
      <c r="O115" s="248"/>
      <c r="P115" s="247"/>
      <c r="Q115" s="248"/>
      <c r="R115" s="362"/>
      <c r="S115" s="358"/>
      <c r="T115" s="248"/>
      <c r="U115" s="248"/>
      <c r="V115" s="247"/>
      <c r="W115" s="248"/>
      <c r="X115" s="248"/>
      <c r="Y115" s="251"/>
      <c r="Z115" s="248"/>
      <c r="AA115" s="248"/>
      <c r="AB115" s="248"/>
      <c r="AC115" s="248"/>
      <c r="AD115" s="248"/>
      <c r="AE115" s="254"/>
      <c r="AF115" s="248"/>
      <c r="AG115" s="248"/>
      <c r="AH115" s="251"/>
      <c r="AI115" s="248"/>
      <c r="AJ115" s="248"/>
      <c r="AK115" s="248"/>
      <c r="AL115" s="248"/>
      <c r="AM115" s="248"/>
      <c r="AN115" s="251"/>
      <c r="AO115" s="248"/>
      <c r="AP115" s="248"/>
    </row>
    <row r="116" spans="3:42" x14ac:dyDescent="0.25">
      <c r="C116" s="360"/>
      <c r="D116" s="360"/>
      <c r="E116" s="360"/>
      <c r="F116" s="360"/>
      <c r="G116" s="248"/>
      <c r="H116" s="248"/>
      <c r="I116" s="248"/>
      <c r="J116" s="247"/>
      <c r="K116" s="248"/>
      <c r="L116" s="248"/>
      <c r="M116" s="247"/>
      <c r="N116" s="248"/>
      <c r="O116" s="248"/>
      <c r="P116" s="247"/>
      <c r="Q116" s="248"/>
      <c r="R116" s="362"/>
      <c r="S116" s="358"/>
      <c r="T116" s="248"/>
      <c r="U116" s="248"/>
      <c r="V116" s="247"/>
      <c r="W116" s="248"/>
      <c r="X116" s="248"/>
      <c r="Y116" s="251"/>
      <c r="Z116" s="248"/>
      <c r="AA116" s="248"/>
      <c r="AB116" s="248"/>
      <c r="AC116" s="248"/>
      <c r="AD116" s="248"/>
      <c r="AE116" s="254"/>
      <c r="AF116" s="248"/>
      <c r="AG116" s="248"/>
      <c r="AH116" s="251"/>
      <c r="AI116" s="248"/>
      <c r="AJ116" s="248"/>
      <c r="AK116" s="248"/>
      <c r="AL116" s="248"/>
      <c r="AM116" s="248"/>
      <c r="AN116" s="251"/>
      <c r="AO116" s="248"/>
      <c r="AP116" s="248"/>
    </row>
    <row r="117" spans="3:42" x14ac:dyDescent="0.25">
      <c r="C117" s="360"/>
      <c r="D117" s="360"/>
      <c r="E117" s="360"/>
      <c r="F117" s="360"/>
      <c r="G117" s="248"/>
      <c r="H117" s="248"/>
      <c r="I117" s="248"/>
      <c r="J117" s="247"/>
      <c r="K117" s="248"/>
      <c r="L117" s="248"/>
      <c r="M117" s="247"/>
      <c r="N117" s="248"/>
      <c r="O117" s="248"/>
      <c r="P117" s="247"/>
      <c r="Q117" s="248"/>
      <c r="R117" s="362"/>
      <c r="S117" s="358"/>
      <c r="T117" s="248"/>
      <c r="U117" s="248"/>
      <c r="V117" s="247"/>
      <c r="W117" s="248"/>
      <c r="X117" s="248"/>
      <c r="Y117" s="251"/>
      <c r="Z117" s="248"/>
      <c r="AA117" s="248"/>
      <c r="AB117" s="248"/>
      <c r="AC117" s="248"/>
      <c r="AD117" s="248"/>
      <c r="AE117" s="254"/>
      <c r="AF117" s="248"/>
      <c r="AG117" s="248"/>
      <c r="AH117" s="251"/>
      <c r="AI117" s="248"/>
      <c r="AJ117" s="248"/>
      <c r="AK117" s="248"/>
      <c r="AL117" s="248"/>
      <c r="AM117" s="248"/>
      <c r="AN117" s="251"/>
      <c r="AO117" s="248"/>
      <c r="AP117" s="248"/>
    </row>
    <row r="118" spans="3:42" x14ac:dyDescent="0.25">
      <c r="C118" s="360"/>
      <c r="D118" s="360"/>
      <c r="E118" s="360"/>
      <c r="F118" s="360"/>
      <c r="G118" s="248"/>
      <c r="H118" s="248"/>
      <c r="I118" s="248"/>
      <c r="J118" s="247"/>
      <c r="K118" s="248"/>
      <c r="L118" s="248"/>
      <c r="M118" s="247"/>
      <c r="N118" s="248"/>
      <c r="O118" s="248"/>
      <c r="P118" s="247"/>
      <c r="Q118" s="248"/>
      <c r="R118" s="362"/>
      <c r="S118" s="358"/>
      <c r="T118" s="248"/>
      <c r="U118" s="248"/>
      <c r="V118" s="247"/>
      <c r="W118" s="248"/>
      <c r="X118" s="248"/>
      <c r="Y118" s="251"/>
      <c r="Z118" s="248"/>
      <c r="AA118" s="248"/>
      <c r="AB118" s="248"/>
      <c r="AC118" s="248"/>
      <c r="AD118" s="248"/>
      <c r="AE118" s="254"/>
      <c r="AF118" s="248"/>
      <c r="AG118" s="248"/>
      <c r="AH118" s="251"/>
      <c r="AI118" s="248"/>
      <c r="AJ118" s="248"/>
      <c r="AK118" s="248"/>
      <c r="AL118" s="248"/>
      <c r="AM118" s="248"/>
      <c r="AN118" s="251"/>
      <c r="AO118" s="248"/>
      <c r="AP118" s="248"/>
    </row>
    <row r="119" spans="3:42" x14ac:dyDescent="0.25">
      <c r="C119" s="360"/>
      <c r="D119" s="360"/>
      <c r="E119" s="360"/>
      <c r="F119" s="360"/>
      <c r="G119" s="248"/>
      <c r="H119" s="248"/>
      <c r="I119" s="248"/>
      <c r="J119" s="247"/>
      <c r="K119" s="248"/>
      <c r="L119" s="248"/>
      <c r="M119" s="247"/>
      <c r="N119" s="248"/>
      <c r="O119" s="248"/>
      <c r="P119" s="247"/>
      <c r="Q119" s="248"/>
      <c r="R119" s="362"/>
      <c r="S119" s="358"/>
      <c r="T119" s="248"/>
      <c r="U119" s="248"/>
      <c r="V119" s="247"/>
      <c r="W119" s="248"/>
      <c r="X119" s="248"/>
      <c r="Y119" s="251"/>
      <c r="Z119" s="248"/>
      <c r="AA119" s="248"/>
      <c r="AB119" s="248"/>
      <c r="AC119" s="248"/>
      <c r="AD119" s="248"/>
      <c r="AE119" s="254"/>
      <c r="AF119" s="248"/>
      <c r="AG119" s="248"/>
      <c r="AH119" s="251"/>
      <c r="AI119" s="248"/>
      <c r="AJ119" s="248"/>
      <c r="AK119" s="248"/>
      <c r="AL119" s="248"/>
      <c r="AM119" s="248"/>
      <c r="AN119" s="251"/>
      <c r="AO119" s="248"/>
      <c r="AP119" s="248"/>
    </row>
    <row r="120" spans="3:42" x14ac:dyDescent="0.25">
      <c r="C120" s="360"/>
      <c r="D120" s="360"/>
      <c r="E120" s="360"/>
      <c r="F120" s="360"/>
      <c r="G120" s="248"/>
      <c r="H120" s="248"/>
      <c r="I120" s="248"/>
      <c r="J120" s="247"/>
      <c r="K120" s="248"/>
      <c r="L120" s="248"/>
      <c r="M120" s="247"/>
      <c r="N120" s="248"/>
      <c r="O120" s="248"/>
      <c r="P120" s="247"/>
      <c r="Q120" s="248"/>
      <c r="R120" s="362"/>
      <c r="S120" s="358"/>
      <c r="T120" s="248"/>
      <c r="U120" s="248"/>
      <c r="V120" s="247"/>
      <c r="W120" s="248"/>
      <c r="X120" s="248"/>
      <c r="Y120" s="251"/>
      <c r="Z120" s="248"/>
      <c r="AA120" s="248"/>
      <c r="AB120" s="248"/>
      <c r="AC120" s="248"/>
      <c r="AD120" s="248"/>
      <c r="AE120" s="254"/>
      <c r="AF120" s="248"/>
      <c r="AG120" s="248"/>
      <c r="AH120" s="251"/>
      <c r="AI120" s="248"/>
      <c r="AJ120" s="248"/>
      <c r="AK120" s="248"/>
      <c r="AL120" s="248"/>
      <c r="AM120" s="248"/>
      <c r="AN120" s="251"/>
      <c r="AO120" s="248"/>
      <c r="AP120" s="248"/>
    </row>
    <row r="121" spans="3:42" x14ac:dyDescent="0.25">
      <c r="C121" s="360"/>
      <c r="D121" s="360"/>
      <c r="E121" s="360"/>
      <c r="F121" s="360"/>
      <c r="G121" s="248"/>
      <c r="H121" s="248"/>
      <c r="I121" s="248"/>
      <c r="J121" s="247"/>
      <c r="K121" s="248"/>
      <c r="L121" s="248"/>
      <c r="M121" s="247"/>
      <c r="N121" s="248"/>
      <c r="O121" s="248"/>
      <c r="P121" s="247"/>
      <c r="Q121" s="248"/>
      <c r="R121" s="362"/>
      <c r="S121" s="358"/>
      <c r="T121" s="248"/>
      <c r="U121" s="248"/>
      <c r="V121" s="247"/>
      <c r="W121" s="248"/>
      <c r="X121" s="248"/>
      <c r="Y121" s="251"/>
      <c r="Z121" s="248"/>
      <c r="AA121" s="248"/>
      <c r="AB121" s="248"/>
      <c r="AC121" s="248"/>
      <c r="AD121" s="248"/>
      <c r="AE121" s="254"/>
      <c r="AF121" s="248"/>
      <c r="AG121" s="248"/>
      <c r="AH121" s="251"/>
      <c r="AI121" s="248"/>
      <c r="AJ121" s="248"/>
      <c r="AK121" s="248"/>
      <c r="AL121" s="248"/>
      <c r="AM121" s="248"/>
      <c r="AN121" s="251"/>
      <c r="AO121" s="248"/>
      <c r="AP121" s="248"/>
    </row>
    <row r="122" spans="3:42" x14ac:dyDescent="0.25">
      <c r="C122" s="360"/>
      <c r="D122" s="360"/>
      <c r="E122" s="360"/>
      <c r="F122" s="360"/>
      <c r="G122" s="248"/>
      <c r="H122" s="248"/>
      <c r="I122" s="248"/>
      <c r="J122" s="247"/>
      <c r="K122" s="248"/>
      <c r="L122" s="248"/>
      <c r="M122" s="247"/>
      <c r="N122" s="248"/>
      <c r="O122" s="248"/>
      <c r="P122" s="247"/>
      <c r="Q122" s="248"/>
      <c r="R122" s="362"/>
      <c r="S122" s="358"/>
      <c r="T122" s="248"/>
      <c r="U122" s="248"/>
      <c r="V122" s="247"/>
      <c r="W122" s="248"/>
      <c r="X122" s="248"/>
      <c r="Y122" s="251"/>
      <c r="Z122" s="248"/>
      <c r="AA122" s="248"/>
      <c r="AB122" s="248"/>
      <c r="AC122" s="248"/>
      <c r="AD122" s="248"/>
      <c r="AE122" s="254"/>
      <c r="AF122" s="248"/>
      <c r="AG122" s="248"/>
      <c r="AH122" s="251"/>
      <c r="AI122" s="248"/>
      <c r="AJ122" s="248"/>
      <c r="AK122" s="248"/>
      <c r="AL122" s="248"/>
      <c r="AM122" s="248"/>
      <c r="AN122" s="251"/>
      <c r="AO122" s="248"/>
      <c r="AP122" s="248"/>
    </row>
    <row r="123" spans="3:42" x14ac:dyDescent="0.25">
      <c r="C123" s="360"/>
      <c r="D123" s="360"/>
      <c r="E123" s="360"/>
      <c r="F123" s="360"/>
      <c r="G123" s="248"/>
      <c r="H123" s="248"/>
      <c r="I123" s="248"/>
      <c r="J123" s="247"/>
      <c r="K123" s="248"/>
      <c r="L123" s="248"/>
      <c r="M123" s="247"/>
      <c r="N123" s="248"/>
      <c r="O123" s="248"/>
      <c r="P123" s="247"/>
      <c r="Q123" s="248"/>
      <c r="R123" s="362"/>
      <c r="S123" s="358"/>
      <c r="T123" s="248"/>
      <c r="U123" s="248"/>
      <c r="V123" s="247"/>
      <c r="W123" s="248"/>
      <c r="X123" s="248"/>
      <c r="Y123" s="251"/>
      <c r="Z123" s="248"/>
      <c r="AA123" s="248"/>
      <c r="AB123" s="248"/>
      <c r="AC123" s="248"/>
      <c r="AD123" s="248"/>
      <c r="AE123" s="254"/>
      <c r="AF123" s="248"/>
      <c r="AG123" s="248"/>
      <c r="AH123" s="251"/>
      <c r="AI123" s="248"/>
      <c r="AJ123" s="248"/>
      <c r="AK123" s="248"/>
      <c r="AL123" s="248"/>
      <c r="AM123" s="248"/>
      <c r="AN123" s="251"/>
      <c r="AO123" s="248"/>
      <c r="AP123" s="248"/>
    </row>
    <row r="124" spans="3:42" x14ac:dyDescent="0.25">
      <c r="C124" s="360"/>
      <c r="D124" s="360"/>
      <c r="E124" s="360"/>
      <c r="F124" s="360"/>
      <c r="G124" s="248"/>
      <c r="H124" s="248"/>
      <c r="I124" s="248"/>
      <c r="J124" s="247"/>
      <c r="K124" s="248"/>
      <c r="L124" s="248"/>
      <c r="M124" s="247"/>
      <c r="N124" s="248"/>
      <c r="O124" s="248"/>
      <c r="P124" s="247"/>
      <c r="Q124" s="248"/>
      <c r="R124" s="362"/>
      <c r="S124" s="358"/>
      <c r="T124" s="248"/>
      <c r="U124" s="248"/>
      <c r="V124" s="247"/>
      <c r="W124" s="248"/>
      <c r="X124" s="248"/>
      <c r="Y124" s="251"/>
      <c r="Z124" s="248"/>
      <c r="AA124" s="248"/>
      <c r="AB124" s="248"/>
      <c r="AC124" s="248"/>
      <c r="AD124" s="248"/>
      <c r="AE124" s="254"/>
      <c r="AF124" s="248"/>
      <c r="AG124" s="248"/>
      <c r="AH124" s="251"/>
      <c r="AI124" s="248"/>
      <c r="AJ124" s="248"/>
      <c r="AK124" s="248"/>
      <c r="AL124" s="248"/>
      <c r="AM124" s="248"/>
      <c r="AN124" s="251"/>
      <c r="AO124" s="248"/>
      <c r="AP124" s="248"/>
    </row>
    <row r="125" spans="3:42" x14ac:dyDescent="0.25">
      <c r="C125" s="360"/>
      <c r="D125" s="360"/>
      <c r="E125" s="360"/>
      <c r="F125" s="360"/>
      <c r="G125" s="248"/>
      <c r="H125" s="248"/>
      <c r="I125" s="248"/>
      <c r="J125" s="247"/>
      <c r="K125" s="248"/>
      <c r="L125" s="248"/>
      <c r="M125" s="247"/>
      <c r="N125" s="248"/>
      <c r="O125" s="248"/>
      <c r="P125" s="247"/>
      <c r="Q125" s="248"/>
      <c r="R125" s="362"/>
      <c r="S125" s="358"/>
      <c r="T125" s="248"/>
      <c r="U125" s="248"/>
      <c r="V125" s="247"/>
      <c r="W125" s="248"/>
      <c r="X125" s="248"/>
      <c r="Y125" s="251"/>
      <c r="Z125" s="248"/>
      <c r="AA125" s="248"/>
      <c r="AB125" s="248"/>
      <c r="AC125" s="248"/>
      <c r="AD125" s="248"/>
      <c r="AE125" s="254"/>
      <c r="AF125" s="248"/>
      <c r="AG125" s="248"/>
      <c r="AH125" s="251"/>
      <c r="AI125" s="248"/>
      <c r="AJ125" s="248"/>
      <c r="AK125" s="248"/>
      <c r="AL125" s="248"/>
      <c r="AM125" s="248"/>
      <c r="AN125" s="251"/>
      <c r="AO125" s="248"/>
      <c r="AP125" s="248"/>
    </row>
    <row r="126" spans="3:42" x14ac:dyDescent="0.25">
      <c r="C126" s="360"/>
      <c r="D126" s="360"/>
      <c r="E126" s="360"/>
      <c r="F126" s="360"/>
      <c r="G126" s="248"/>
      <c r="H126" s="248"/>
      <c r="I126" s="248"/>
      <c r="J126" s="247"/>
      <c r="K126" s="248"/>
      <c r="L126" s="248"/>
      <c r="M126" s="247"/>
      <c r="N126" s="248"/>
      <c r="O126" s="248"/>
      <c r="P126" s="247"/>
      <c r="Q126" s="248"/>
      <c r="R126" s="362"/>
      <c r="S126" s="358"/>
      <c r="T126" s="248"/>
      <c r="U126" s="248"/>
      <c r="V126" s="247"/>
      <c r="W126" s="248"/>
      <c r="X126" s="248"/>
      <c r="Y126" s="251"/>
      <c r="Z126" s="248"/>
      <c r="AA126" s="248"/>
      <c r="AB126" s="248"/>
      <c r="AC126" s="248"/>
      <c r="AD126" s="248"/>
      <c r="AE126" s="254"/>
      <c r="AF126" s="248"/>
      <c r="AG126" s="248"/>
      <c r="AH126" s="251"/>
      <c r="AI126" s="248"/>
      <c r="AJ126" s="248"/>
      <c r="AK126" s="248"/>
      <c r="AL126" s="248"/>
      <c r="AM126" s="248"/>
      <c r="AN126" s="251"/>
      <c r="AO126" s="248"/>
      <c r="AP126" s="248"/>
    </row>
    <row r="127" spans="3:42" x14ac:dyDescent="0.25">
      <c r="C127" s="360"/>
      <c r="D127" s="360"/>
      <c r="E127" s="360"/>
      <c r="F127" s="360"/>
      <c r="G127" s="248"/>
      <c r="H127" s="248"/>
      <c r="I127" s="248"/>
      <c r="J127" s="247"/>
      <c r="K127" s="248"/>
      <c r="L127" s="248"/>
      <c r="M127" s="247"/>
      <c r="N127" s="248"/>
      <c r="O127" s="248"/>
      <c r="P127" s="247"/>
      <c r="Q127" s="248"/>
      <c r="R127" s="362"/>
      <c r="S127" s="358"/>
      <c r="T127" s="248"/>
      <c r="U127" s="248"/>
      <c r="V127" s="247"/>
      <c r="W127" s="248"/>
      <c r="X127" s="248"/>
      <c r="Y127" s="251"/>
      <c r="Z127" s="248"/>
      <c r="AA127" s="248"/>
      <c r="AB127" s="248"/>
      <c r="AC127" s="248"/>
      <c r="AD127" s="248"/>
      <c r="AE127" s="254"/>
      <c r="AF127" s="248"/>
      <c r="AG127" s="248"/>
      <c r="AH127" s="251"/>
      <c r="AI127" s="248"/>
      <c r="AJ127" s="248"/>
      <c r="AK127" s="248"/>
      <c r="AL127" s="248"/>
      <c r="AM127" s="248"/>
      <c r="AN127" s="251"/>
      <c r="AO127" s="248"/>
      <c r="AP127" s="248"/>
    </row>
    <row r="128" spans="3:42" x14ac:dyDescent="0.25">
      <c r="C128" s="360"/>
      <c r="D128" s="360"/>
      <c r="E128" s="360"/>
      <c r="F128" s="360"/>
      <c r="G128" s="248"/>
      <c r="H128" s="248"/>
      <c r="I128" s="248"/>
      <c r="J128" s="247"/>
      <c r="K128" s="248"/>
      <c r="L128" s="248"/>
      <c r="M128" s="247"/>
      <c r="N128" s="248"/>
      <c r="O128" s="248"/>
      <c r="P128" s="247"/>
      <c r="Q128" s="248"/>
      <c r="R128" s="362"/>
      <c r="S128" s="358"/>
      <c r="T128" s="248"/>
      <c r="U128" s="248"/>
      <c r="V128" s="247"/>
      <c r="W128" s="248"/>
      <c r="X128" s="248"/>
      <c r="Y128" s="251"/>
      <c r="Z128" s="248"/>
      <c r="AA128" s="248"/>
      <c r="AB128" s="248"/>
      <c r="AC128" s="248"/>
      <c r="AD128" s="248"/>
      <c r="AE128" s="254"/>
      <c r="AF128" s="248"/>
      <c r="AG128" s="248"/>
      <c r="AH128" s="251"/>
      <c r="AI128" s="248"/>
      <c r="AJ128" s="248"/>
      <c r="AK128" s="248"/>
      <c r="AL128" s="248"/>
      <c r="AM128" s="248"/>
      <c r="AN128" s="251"/>
      <c r="AO128" s="248"/>
      <c r="AP128" s="248"/>
    </row>
    <row r="129" spans="3:42" x14ac:dyDescent="0.25">
      <c r="C129" s="360"/>
      <c r="D129" s="360"/>
      <c r="E129" s="360"/>
      <c r="F129" s="360"/>
      <c r="G129" s="248"/>
      <c r="H129" s="248"/>
      <c r="I129" s="248"/>
      <c r="J129" s="247"/>
      <c r="K129" s="248"/>
      <c r="L129" s="248"/>
      <c r="M129" s="247"/>
      <c r="N129" s="248"/>
      <c r="O129" s="248"/>
      <c r="P129" s="247"/>
      <c r="Q129" s="248"/>
      <c r="R129" s="362"/>
      <c r="S129" s="358"/>
      <c r="T129" s="248"/>
      <c r="U129" s="248"/>
      <c r="V129" s="247"/>
      <c r="W129" s="248"/>
      <c r="X129" s="248"/>
      <c r="Y129" s="251"/>
      <c r="Z129" s="248"/>
      <c r="AA129" s="248"/>
      <c r="AB129" s="248"/>
      <c r="AC129" s="248"/>
      <c r="AD129" s="248"/>
      <c r="AE129" s="254"/>
      <c r="AF129" s="248"/>
      <c r="AG129" s="248"/>
      <c r="AH129" s="251"/>
      <c r="AI129" s="248"/>
      <c r="AJ129" s="248"/>
      <c r="AK129" s="248"/>
      <c r="AL129" s="248"/>
      <c r="AM129" s="248"/>
      <c r="AN129" s="251"/>
      <c r="AO129" s="248"/>
      <c r="AP129" s="248"/>
    </row>
    <row r="130" spans="3:42" x14ac:dyDescent="0.25">
      <c r="C130" s="360"/>
      <c r="D130" s="360"/>
      <c r="E130" s="360"/>
      <c r="F130" s="360"/>
      <c r="G130" s="248"/>
      <c r="H130" s="248"/>
      <c r="I130" s="248"/>
      <c r="J130" s="247"/>
      <c r="K130" s="248"/>
      <c r="L130" s="248"/>
      <c r="M130" s="247"/>
      <c r="N130" s="248"/>
      <c r="O130" s="248"/>
      <c r="P130" s="247"/>
      <c r="Q130" s="248"/>
      <c r="R130" s="362"/>
      <c r="S130" s="358"/>
      <c r="T130" s="248"/>
      <c r="U130" s="248"/>
      <c r="V130" s="247"/>
      <c r="W130" s="248"/>
      <c r="X130" s="248"/>
      <c r="Y130" s="251"/>
      <c r="Z130" s="248"/>
      <c r="AA130" s="248"/>
      <c r="AB130" s="248"/>
      <c r="AC130" s="248"/>
      <c r="AD130" s="248"/>
      <c r="AE130" s="254"/>
      <c r="AF130" s="248"/>
      <c r="AG130" s="248"/>
      <c r="AH130" s="251"/>
      <c r="AI130" s="248"/>
      <c r="AJ130" s="248"/>
      <c r="AK130" s="248"/>
      <c r="AL130" s="248"/>
      <c r="AM130" s="248"/>
      <c r="AN130" s="251"/>
      <c r="AO130" s="248"/>
      <c r="AP130" s="248"/>
    </row>
    <row r="131" spans="3:42" x14ac:dyDescent="0.25">
      <c r="C131" s="360"/>
      <c r="D131" s="360"/>
      <c r="E131" s="360"/>
      <c r="F131" s="360"/>
      <c r="G131" s="248"/>
      <c r="H131" s="248"/>
      <c r="I131" s="248"/>
      <c r="J131" s="247"/>
      <c r="K131" s="248"/>
      <c r="L131" s="248"/>
      <c r="M131" s="247"/>
      <c r="N131" s="248"/>
      <c r="O131" s="248"/>
      <c r="P131" s="247"/>
      <c r="Q131" s="248"/>
      <c r="R131" s="362"/>
      <c r="S131" s="358"/>
      <c r="T131" s="248"/>
      <c r="U131" s="248"/>
      <c r="V131" s="247"/>
      <c r="W131" s="248"/>
      <c r="X131" s="248"/>
      <c r="Y131" s="251"/>
      <c r="Z131" s="248"/>
      <c r="AA131" s="248"/>
      <c r="AB131" s="248"/>
      <c r="AC131" s="248"/>
      <c r="AD131" s="248"/>
      <c r="AE131" s="254"/>
      <c r="AF131" s="248"/>
      <c r="AG131" s="248"/>
      <c r="AH131" s="251"/>
      <c r="AI131" s="248"/>
      <c r="AJ131" s="248"/>
      <c r="AK131" s="248"/>
      <c r="AL131" s="248"/>
      <c r="AM131" s="248"/>
      <c r="AN131" s="251"/>
      <c r="AO131" s="248"/>
      <c r="AP131" s="248"/>
    </row>
    <row r="132" spans="3:42" x14ac:dyDescent="0.25">
      <c r="C132" s="360"/>
      <c r="D132" s="360"/>
      <c r="E132" s="360"/>
      <c r="F132" s="360"/>
      <c r="G132" s="248"/>
      <c r="H132" s="248"/>
      <c r="I132" s="248"/>
      <c r="J132" s="247"/>
      <c r="K132" s="248"/>
      <c r="L132" s="248"/>
      <c r="M132" s="247"/>
      <c r="N132" s="248"/>
      <c r="O132" s="248"/>
      <c r="P132" s="247"/>
      <c r="Q132" s="248"/>
      <c r="R132" s="362"/>
      <c r="S132" s="358"/>
      <c r="T132" s="248"/>
      <c r="U132" s="248"/>
      <c r="V132" s="247"/>
      <c r="W132" s="248"/>
      <c r="X132" s="248"/>
      <c r="Y132" s="251"/>
      <c r="Z132" s="248"/>
      <c r="AA132" s="248"/>
      <c r="AB132" s="248"/>
      <c r="AC132" s="248"/>
      <c r="AD132" s="248"/>
      <c r="AE132" s="254"/>
      <c r="AF132" s="248"/>
      <c r="AG132" s="248"/>
      <c r="AH132" s="251"/>
      <c r="AI132" s="248"/>
      <c r="AJ132" s="248"/>
      <c r="AK132" s="248"/>
      <c r="AL132" s="248"/>
      <c r="AM132" s="248"/>
      <c r="AN132" s="251"/>
      <c r="AO132" s="248"/>
      <c r="AP132" s="248"/>
    </row>
    <row r="133" spans="3:42" x14ac:dyDescent="0.25">
      <c r="C133" s="360"/>
      <c r="D133" s="360"/>
      <c r="E133" s="360"/>
      <c r="F133" s="360"/>
      <c r="G133" s="248"/>
      <c r="H133" s="248"/>
      <c r="I133" s="248"/>
      <c r="J133" s="247"/>
      <c r="K133" s="248"/>
      <c r="L133" s="248"/>
      <c r="M133" s="247"/>
      <c r="N133" s="248"/>
      <c r="O133" s="248"/>
      <c r="P133" s="247"/>
      <c r="Q133" s="248"/>
      <c r="R133" s="362"/>
      <c r="S133" s="358"/>
      <c r="T133" s="248"/>
      <c r="U133" s="248"/>
      <c r="V133" s="247"/>
      <c r="W133" s="248"/>
      <c r="X133" s="248"/>
      <c r="Y133" s="251"/>
      <c r="Z133" s="248"/>
      <c r="AA133" s="248"/>
      <c r="AB133" s="248"/>
      <c r="AC133" s="248"/>
      <c r="AD133" s="248"/>
      <c r="AE133" s="254"/>
      <c r="AF133" s="248"/>
      <c r="AG133" s="248"/>
      <c r="AH133" s="251"/>
      <c r="AI133" s="248"/>
      <c r="AJ133" s="248"/>
      <c r="AK133" s="248"/>
      <c r="AL133" s="248"/>
      <c r="AM133" s="248"/>
      <c r="AN133" s="251"/>
      <c r="AO133" s="248"/>
      <c r="AP133" s="248"/>
    </row>
    <row r="134" spans="3:42" x14ac:dyDescent="0.25">
      <c r="C134" s="360"/>
      <c r="D134" s="360"/>
      <c r="E134" s="360"/>
      <c r="F134" s="360"/>
      <c r="G134" s="248"/>
      <c r="H134" s="248"/>
      <c r="I134" s="248"/>
      <c r="J134" s="247"/>
      <c r="K134" s="248"/>
      <c r="L134" s="248"/>
      <c r="M134" s="247"/>
      <c r="N134" s="248"/>
      <c r="O134" s="248"/>
      <c r="P134" s="247"/>
      <c r="Q134" s="248"/>
      <c r="R134" s="362"/>
      <c r="S134" s="358"/>
      <c r="T134" s="248"/>
      <c r="U134" s="248"/>
      <c r="V134" s="247"/>
      <c r="W134" s="248"/>
      <c r="X134" s="248"/>
      <c r="Y134" s="251"/>
      <c r="Z134" s="248"/>
      <c r="AA134" s="248"/>
      <c r="AB134" s="248"/>
      <c r="AC134" s="248"/>
      <c r="AD134" s="248"/>
      <c r="AE134" s="254"/>
      <c r="AF134" s="248"/>
      <c r="AG134" s="248"/>
      <c r="AH134" s="251"/>
      <c r="AI134" s="248"/>
      <c r="AJ134" s="248"/>
      <c r="AK134" s="248"/>
      <c r="AL134" s="248"/>
      <c r="AM134" s="248"/>
      <c r="AN134" s="251"/>
      <c r="AO134" s="248"/>
      <c r="AP134" s="248"/>
    </row>
    <row r="135" spans="3:42" x14ac:dyDescent="0.25">
      <c r="C135" s="360"/>
      <c r="D135" s="360"/>
      <c r="E135" s="360"/>
      <c r="F135" s="360"/>
      <c r="G135" s="248"/>
      <c r="H135" s="248"/>
      <c r="I135" s="248"/>
      <c r="J135" s="247"/>
      <c r="K135" s="248"/>
      <c r="L135" s="248"/>
      <c r="M135" s="247"/>
      <c r="N135" s="248"/>
      <c r="O135" s="248"/>
      <c r="P135" s="247"/>
      <c r="Q135" s="248"/>
      <c r="R135" s="362"/>
      <c r="S135" s="358"/>
      <c r="T135" s="248"/>
      <c r="U135" s="248"/>
      <c r="V135" s="247"/>
      <c r="W135" s="248"/>
      <c r="X135" s="248"/>
      <c r="Y135" s="251"/>
      <c r="Z135" s="248"/>
      <c r="AA135" s="248"/>
      <c r="AB135" s="248"/>
      <c r="AC135" s="248"/>
      <c r="AD135" s="248"/>
      <c r="AE135" s="254"/>
      <c r="AF135" s="248"/>
      <c r="AG135" s="248"/>
      <c r="AH135" s="251"/>
      <c r="AI135" s="248"/>
      <c r="AJ135" s="248"/>
      <c r="AK135" s="248"/>
      <c r="AL135" s="248"/>
      <c r="AM135" s="248"/>
      <c r="AN135" s="251"/>
      <c r="AO135" s="248"/>
      <c r="AP135" s="248"/>
    </row>
    <row r="136" spans="3:42" x14ac:dyDescent="0.25">
      <c r="C136" s="360"/>
      <c r="D136" s="360"/>
      <c r="E136" s="360"/>
      <c r="F136" s="360"/>
      <c r="G136" s="248"/>
      <c r="H136" s="248"/>
      <c r="I136" s="248"/>
      <c r="J136" s="247"/>
      <c r="K136" s="248"/>
      <c r="L136" s="248"/>
      <c r="M136" s="247"/>
      <c r="N136" s="248"/>
      <c r="O136" s="248"/>
      <c r="P136" s="247"/>
      <c r="Q136" s="248"/>
      <c r="R136" s="362"/>
      <c r="S136" s="358"/>
      <c r="T136" s="248"/>
      <c r="U136" s="248"/>
      <c r="V136" s="247"/>
      <c r="W136" s="248"/>
      <c r="X136" s="248"/>
      <c r="Y136" s="251"/>
      <c r="Z136" s="248"/>
      <c r="AA136" s="248"/>
      <c r="AB136" s="248"/>
      <c r="AC136" s="248"/>
      <c r="AD136" s="248"/>
      <c r="AE136" s="254"/>
      <c r="AF136" s="248"/>
      <c r="AG136" s="248"/>
      <c r="AH136" s="251"/>
      <c r="AI136" s="248"/>
      <c r="AJ136" s="248"/>
      <c r="AK136" s="248"/>
      <c r="AL136" s="248"/>
      <c r="AM136" s="248"/>
      <c r="AN136" s="251"/>
      <c r="AO136" s="248"/>
      <c r="AP136" s="248"/>
    </row>
    <row r="137" spans="3:42" x14ac:dyDescent="0.25">
      <c r="C137" s="360"/>
      <c r="D137" s="360"/>
      <c r="E137" s="360"/>
      <c r="F137" s="360"/>
      <c r="G137" s="248"/>
      <c r="H137" s="248"/>
      <c r="I137" s="248"/>
      <c r="J137" s="247"/>
      <c r="K137" s="248"/>
      <c r="L137" s="248"/>
      <c r="M137" s="247"/>
      <c r="N137" s="248"/>
      <c r="O137" s="248"/>
      <c r="P137" s="247"/>
      <c r="Q137" s="248"/>
      <c r="R137" s="362"/>
      <c r="S137" s="358"/>
      <c r="T137" s="248"/>
      <c r="U137" s="248"/>
      <c r="V137" s="247"/>
      <c r="W137" s="248"/>
      <c r="X137" s="248"/>
      <c r="Y137" s="251"/>
      <c r="Z137" s="248"/>
      <c r="AA137" s="248"/>
      <c r="AB137" s="248"/>
      <c r="AC137" s="248"/>
      <c r="AD137" s="248"/>
      <c r="AE137" s="254"/>
      <c r="AF137" s="248"/>
      <c r="AG137" s="248"/>
      <c r="AH137" s="251"/>
      <c r="AI137" s="248"/>
      <c r="AJ137" s="248"/>
      <c r="AK137" s="248"/>
      <c r="AL137" s="248"/>
      <c r="AM137" s="248"/>
      <c r="AN137" s="251"/>
      <c r="AO137" s="248"/>
      <c r="AP137" s="248"/>
    </row>
    <row r="138" spans="3:42" x14ac:dyDescent="0.25">
      <c r="C138" s="360"/>
      <c r="D138" s="360"/>
      <c r="E138" s="360"/>
      <c r="F138" s="360"/>
      <c r="G138" s="248"/>
      <c r="H138" s="248"/>
      <c r="I138" s="248"/>
      <c r="J138" s="247"/>
      <c r="K138" s="248"/>
      <c r="L138" s="248"/>
      <c r="M138" s="247"/>
      <c r="N138" s="248"/>
      <c r="O138" s="248"/>
      <c r="P138" s="247"/>
      <c r="Q138" s="248"/>
      <c r="R138" s="362"/>
      <c r="S138" s="358"/>
      <c r="T138" s="248"/>
      <c r="U138" s="248"/>
      <c r="V138" s="247"/>
      <c r="W138" s="248"/>
      <c r="X138" s="248"/>
      <c r="Y138" s="251"/>
      <c r="Z138" s="248"/>
      <c r="AA138" s="248"/>
      <c r="AB138" s="248"/>
      <c r="AC138" s="248"/>
      <c r="AD138" s="248"/>
      <c r="AE138" s="254"/>
      <c r="AF138" s="248"/>
      <c r="AG138" s="248"/>
      <c r="AH138" s="251"/>
      <c r="AI138" s="248"/>
      <c r="AJ138" s="248"/>
      <c r="AK138" s="248"/>
      <c r="AL138" s="248"/>
      <c r="AM138" s="248"/>
      <c r="AN138" s="251"/>
      <c r="AO138" s="248"/>
      <c r="AP138" s="248"/>
    </row>
    <row r="139" spans="3:42" x14ac:dyDescent="0.25">
      <c r="C139" s="360"/>
      <c r="D139" s="360"/>
      <c r="E139" s="360"/>
      <c r="F139" s="360"/>
      <c r="G139" s="248"/>
      <c r="H139" s="248"/>
      <c r="I139" s="248"/>
      <c r="J139" s="247"/>
      <c r="K139" s="248"/>
      <c r="L139" s="248"/>
      <c r="M139" s="247"/>
      <c r="N139" s="248"/>
      <c r="O139" s="248"/>
      <c r="P139" s="247"/>
      <c r="Q139" s="248"/>
      <c r="R139" s="362"/>
      <c r="S139" s="358"/>
      <c r="T139" s="248"/>
      <c r="U139" s="248"/>
      <c r="V139" s="247"/>
      <c r="W139" s="248"/>
      <c r="X139" s="248"/>
      <c r="Y139" s="251"/>
      <c r="Z139" s="248"/>
      <c r="AA139" s="248"/>
      <c r="AB139" s="248"/>
      <c r="AC139" s="248"/>
      <c r="AD139" s="248"/>
      <c r="AE139" s="254"/>
      <c r="AF139" s="248"/>
      <c r="AG139" s="248"/>
      <c r="AH139" s="251"/>
      <c r="AI139" s="248"/>
      <c r="AJ139" s="248"/>
      <c r="AK139" s="248"/>
      <c r="AL139" s="248"/>
      <c r="AM139" s="248"/>
      <c r="AN139" s="251"/>
      <c r="AO139" s="248"/>
      <c r="AP139" s="248"/>
    </row>
    <row r="140" spans="3:42" x14ac:dyDescent="0.25">
      <c r="C140" s="360"/>
      <c r="D140" s="360"/>
      <c r="E140" s="360"/>
      <c r="F140" s="360"/>
      <c r="G140" s="248"/>
      <c r="H140" s="248"/>
      <c r="I140" s="248"/>
      <c r="J140" s="247"/>
      <c r="K140" s="248"/>
      <c r="L140" s="248"/>
      <c r="M140" s="247"/>
      <c r="N140" s="248"/>
      <c r="O140" s="248"/>
      <c r="P140" s="247"/>
      <c r="Q140" s="248"/>
      <c r="R140" s="362"/>
      <c r="S140" s="358"/>
      <c r="T140" s="248"/>
      <c r="U140" s="248"/>
      <c r="V140" s="247"/>
      <c r="W140" s="248"/>
      <c r="X140" s="248"/>
      <c r="Y140" s="251"/>
      <c r="Z140" s="248"/>
      <c r="AA140" s="248"/>
      <c r="AB140" s="248"/>
      <c r="AC140" s="248"/>
      <c r="AD140" s="248"/>
      <c r="AE140" s="254"/>
      <c r="AF140" s="248"/>
      <c r="AG140" s="248"/>
      <c r="AH140" s="251"/>
      <c r="AI140" s="248"/>
      <c r="AJ140" s="248"/>
      <c r="AK140" s="248"/>
      <c r="AL140" s="248"/>
      <c r="AM140" s="248"/>
      <c r="AN140" s="251"/>
      <c r="AO140" s="248"/>
      <c r="AP140" s="248"/>
    </row>
    <row r="141" spans="3:42" x14ac:dyDescent="0.25">
      <c r="C141" s="360"/>
      <c r="D141" s="360"/>
      <c r="E141" s="360"/>
      <c r="F141" s="360"/>
      <c r="G141" s="248"/>
      <c r="H141" s="248"/>
      <c r="I141" s="248"/>
      <c r="J141" s="247"/>
      <c r="K141" s="248"/>
      <c r="L141" s="248"/>
      <c r="M141" s="247"/>
      <c r="N141" s="248"/>
      <c r="O141" s="248"/>
      <c r="P141" s="247"/>
      <c r="Q141" s="248"/>
      <c r="R141" s="362"/>
      <c r="S141" s="358"/>
      <c r="T141" s="248"/>
      <c r="U141" s="248"/>
      <c r="V141" s="247"/>
      <c r="W141" s="248"/>
      <c r="X141" s="248"/>
      <c r="Y141" s="251"/>
      <c r="Z141" s="248"/>
      <c r="AA141" s="248"/>
      <c r="AB141" s="248"/>
      <c r="AC141" s="248"/>
      <c r="AD141" s="248"/>
      <c r="AE141" s="254"/>
      <c r="AF141" s="248"/>
      <c r="AG141" s="248"/>
      <c r="AH141" s="251"/>
      <c r="AI141" s="248"/>
      <c r="AJ141" s="248"/>
      <c r="AK141" s="248"/>
      <c r="AL141" s="248"/>
      <c r="AM141" s="248"/>
      <c r="AN141" s="251"/>
      <c r="AO141" s="248"/>
      <c r="AP141" s="248"/>
    </row>
    <row r="142" spans="3:42" x14ac:dyDescent="0.25">
      <c r="C142" s="360"/>
      <c r="D142" s="360"/>
      <c r="E142" s="360"/>
      <c r="F142" s="360"/>
      <c r="G142" s="248"/>
      <c r="H142" s="248"/>
      <c r="I142" s="248"/>
      <c r="J142" s="247"/>
      <c r="K142" s="248"/>
      <c r="L142" s="248"/>
      <c r="M142" s="247"/>
      <c r="N142" s="248"/>
      <c r="O142" s="248"/>
      <c r="P142" s="247"/>
      <c r="Q142" s="248"/>
      <c r="R142" s="362"/>
      <c r="S142" s="358"/>
      <c r="T142" s="248"/>
      <c r="U142" s="248"/>
      <c r="V142" s="247"/>
      <c r="W142" s="248"/>
      <c r="X142" s="248"/>
      <c r="Y142" s="251"/>
      <c r="Z142" s="248"/>
      <c r="AA142" s="248"/>
      <c r="AB142" s="248"/>
      <c r="AC142" s="248"/>
      <c r="AD142" s="248"/>
      <c r="AE142" s="254"/>
      <c r="AF142" s="248"/>
      <c r="AG142" s="248"/>
      <c r="AH142" s="251"/>
      <c r="AI142" s="248"/>
      <c r="AJ142" s="248"/>
      <c r="AK142" s="248"/>
      <c r="AL142" s="248"/>
      <c r="AM142" s="248"/>
      <c r="AN142" s="251"/>
      <c r="AO142" s="248"/>
      <c r="AP142" s="248"/>
    </row>
    <row r="143" spans="3:42" x14ac:dyDescent="0.25">
      <c r="C143" s="360"/>
      <c r="D143" s="360"/>
      <c r="E143" s="360"/>
      <c r="F143" s="360"/>
      <c r="G143" s="248"/>
      <c r="H143" s="248"/>
      <c r="I143" s="248"/>
      <c r="J143" s="247"/>
      <c r="K143" s="248"/>
      <c r="L143" s="248"/>
      <c r="M143" s="247"/>
      <c r="N143" s="248"/>
      <c r="O143" s="248"/>
      <c r="P143" s="247"/>
      <c r="Q143" s="248"/>
      <c r="R143" s="362"/>
      <c r="S143" s="358"/>
      <c r="T143" s="248"/>
      <c r="U143" s="248"/>
      <c r="V143" s="247"/>
      <c r="W143" s="248"/>
      <c r="X143" s="248"/>
      <c r="Y143" s="251"/>
      <c r="Z143" s="248"/>
      <c r="AA143" s="248"/>
      <c r="AB143" s="248"/>
      <c r="AC143" s="248"/>
      <c r="AD143" s="248"/>
      <c r="AE143" s="254"/>
      <c r="AF143" s="248"/>
      <c r="AG143" s="248"/>
      <c r="AH143" s="251"/>
      <c r="AI143" s="248"/>
      <c r="AJ143" s="248"/>
      <c r="AK143" s="248"/>
      <c r="AL143" s="248"/>
      <c r="AM143" s="248"/>
      <c r="AN143" s="251"/>
      <c r="AO143" s="248"/>
      <c r="AP143" s="248"/>
    </row>
    <row r="144" spans="3:42" x14ac:dyDescent="0.25">
      <c r="C144" s="360"/>
      <c r="D144" s="360"/>
      <c r="E144" s="360"/>
      <c r="F144" s="360"/>
      <c r="G144" s="248"/>
      <c r="H144" s="248"/>
      <c r="I144" s="248"/>
      <c r="J144" s="247"/>
      <c r="K144" s="248"/>
      <c r="L144" s="248"/>
      <c r="M144" s="247"/>
      <c r="N144" s="248"/>
      <c r="O144" s="248"/>
      <c r="P144" s="247"/>
      <c r="Q144" s="248"/>
      <c r="R144" s="362"/>
      <c r="S144" s="358"/>
      <c r="T144" s="248"/>
      <c r="U144" s="248"/>
      <c r="V144" s="247"/>
      <c r="W144" s="248"/>
      <c r="X144" s="248"/>
      <c r="Y144" s="251"/>
      <c r="Z144" s="248"/>
      <c r="AA144" s="248"/>
      <c r="AB144" s="248"/>
      <c r="AC144" s="248"/>
      <c r="AD144" s="248"/>
      <c r="AE144" s="254"/>
      <c r="AF144" s="248"/>
      <c r="AG144" s="248"/>
      <c r="AH144" s="251"/>
      <c r="AI144" s="248"/>
      <c r="AJ144" s="248"/>
      <c r="AK144" s="248"/>
      <c r="AL144" s="248"/>
      <c r="AM144" s="248"/>
      <c r="AN144" s="251"/>
      <c r="AO144" s="248"/>
      <c r="AP144" s="248"/>
    </row>
    <row r="145" spans="3:42" x14ac:dyDescent="0.25">
      <c r="C145" s="360"/>
      <c r="D145" s="360"/>
      <c r="E145" s="360"/>
      <c r="F145" s="360"/>
      <c r="G145" s="248"/>
      <c r="H145" s="248"/>
      <c r="I145" s="248"/>
      <c r="J145" s="247"/>
      <c r="K145" s="248"/>
      <c r="L145" s="248"/>
      <c r="M145" s="247"/>
      <c r="N145" s="248"/>
      <c r="O145" s="248"/>
      <c r="P145" s="247"/>
      <c r="Q145" s="248"/>
      <c r="R145" s="362"/>
      <c r="S145" s="358"/>
      <c r="T145" s="248"/>
      <c r="U145" s="248"/>
      <c r="V145" s="247"/>
      <c r="W145" s="248"/>
      <c r="X145" s="248"/>
      <c r="Y145" s="251"/>
      <c r="Z145" s="248"/>
      <c r="AA145" s="248"/>
      <c r="AB145" s="248"/>
      <c r="AC145" s="248"/>
      <c r="AD145" s="248"/>
      <c r="AE145" s="254"/>
      <c r="AF145" s="248"/>
      <c r="AG145" s="248"/>
      <c r="AH145" s="251"/>
      <c r="AI145" s="248"/>
      <c r="AJ145" s="248"/>
      <c r="AK145" s="248"/>
      <c r="AL145" s="248"/>
      <c r="AM145" s="248"/>
      <c r="AN145" s="251"/>
      <c r="AO145" s="248"/>
      <c r="AP145" s="248"/>
    </row>
    <row r="146" spans="3:42" x14ac:dyDescent="0.25">
      <c r="C146" s="360"/>
      <c r="D146" s="360"/>
      <c r="E146" s="360"/>
      <c r="F146" s="360"/>
      <c r="G146" s="248"/>
      <c r="H146" s="248"/>
      <c r="I146" s="248"/>
      <c r="J146" s="247"/>
      <c r="K146" s="248"/>
      <c r="L146" s="248"/>
      <c r="M146" s="247"/>
      <c r="N146" s="248"/>
      <c r="O146" s="248"/>
      <c r="P146" s="247"/>
      <c r="Q146" s="248"/>
      <c r="R146" s="362"/>
      <c r="S146" s="358"/>
      <c r="T146" s="248"/>
      <c r="U146" s="248"/>
      <c r="V146" s="247"/>
      <c r="W146" s="248"/>
      <c r="X146" s="248"/>
      <c r="Y146" s="251"/>
      <c r="Z146" s="248"/>
      <c r="AA146" s="248"/>
      <c r="AB146" s="248"/>
      <c r="AC146" s="248"/>
      <c r="AD146" s="248"/>
      <c r="AE146" s="254"/>
      <c r="AF146" s="248"/>
      <c r="AG146" s="248"/>
      <c r="AH146" s="251"/>
      <c r="AI146" s="248"/>
      <c r="AJ146" s="248"/>
      <c r="AK146" s="248"/>
      <c r="AL146" s="248"/>
      <c r="AM146" s="248"/>
      <c r="AN146" s="251"/>
      <c r="AO146" s="248"/>
      <c r="AP146" s="248"/>
    </row>
    <row r="147" spans="3:42" x14ac:dyDescent="0.25">
      <c r="C147" s="360"/>
      <c r="D147" s="360"/>
      <c r="E147" s="360"/>
      <c r="F147" s="360"/>
      <c r="G147" s="248"/>
      <c r="H147" s="248"/>
      <c r="I147" s="248"/>
      <c r="J147" s="247"/>
      <c r="K147" s="248"/>
      <c r="L147" s="248"/>
      <c r="M147" s="247"/>
      <c r="N147" s="248"/>
      <c r="O147" s="248"/>
      <c r="P147" s="247"/>
      <c r="Q147" s="248"/>
      <c r="R147" s="362"/>
      <c r="S147" s="358"/>
      <c r="T147" s="248"/>
      <c r="U147" s="248"/>
      <c r="V147" s="247"/>
      <c r="W147" s="248"/>
      <c r="X147" s="248"/>
      <c r="Y147" s="251"/>
      <c r="Z147" s="248"/>
      <c r="AA147" s="248"/>
      <c r="AB147" s="248"/>
      <c r="AC147" s="248"/>
      <c r="AD147" s="248"/>
      <c r="AE147" s="254"/>
      <c r="AF147" s="248"/>
      <c r="AG147" s="248"/>
      <c r="AH147" s="251"/>
      <c r="AI147" s="248"/>
      <c r="AJ147" s="248"/>
      <c r="AK147" s="248"/>
      <c r="AL147" s="248"/>
      <c r="AM147" s="248"/>
      <c r="AN147" s="251"/>
      <c r="AO147" s="248"/>
      <c r="AP147" s="248"/>
    </row>
    <row r="148" spans="3:42" x14ac:dyDescent="0.25">
      <c r="C148" s="360"/>
      <c r="D148" s="360"/>
      <c r="E148" s="360"/>
      <c r="F148" s="360"/>
      <c r="G148" s="248"/>
      <c r="H148" s="248"/>
      <c r="I148" s="248"/>
      <c r="J148" s="247"/>
      <c r="K148" s="248"/>
      <c r="L148" s="248"/>
      <c r="M148" s="247"/>
      <c r="N148" s="248"/>
      <c r="O148" s="248"/>
      <c r="P148" s="247"/>
      <c r="Q148" s="248"/>
      <c r="R148" s="362"/>
      <c r="S148" s="358"/>
      <c r="T148" s="248"/>
      <c r="U148" s="248"/>
      <c r="V148" s="247"/>
      <c r="W148" s="248"/>
      <c r="X148" s="248"/>
      <c r="Y148" s="251"/>
      <c r="Z148" s="248"/>
      <c r="AA148" s="248"/>
      <c r="AB148" s="248"/>
      <c r="AC148" s="248"/>
      <c r="AD148" s="248"/>
      <c r="AE148" s="254"/>
      <c r="AF148" s="248"/>
      <c r="AG148" s="248"/>
      <c r="AH148" s="251"/>
      <c r="AI148" s="248"/>
      <c r="AJ148" s="248"/>
      <c r="AK148" s="248"/>
      <c r="AL148" s="248"/>
      <c r="AM148" s="248"/>
      <c r="AN148" s="251"/>
      <c r="AO148" s="248"/>
      <c r="AP148" s="248"/>
    </row>
    <row r="149" spans="3:42" x14ac:dyDescent="0.25">
      <c r="C149" s="360"/>
      <c r="D149" s="360"/>
      <c r="E149" s="360"/>
      <c r="F149" s="360"/>
      <c r="G149" s="248"/>
      <c r="H149" s="248"/>
      <c r="I149" s="248"/>
      <c r="J149" s="247"/>
      <c r="K149" s="248"/>
      <c r="L149" s="248"/>
      <c r="M149" s="247"/>
      <c r="N149" s="248"/>
      <c r="O149" s="248"/>
      <c r="P149" s="247"/>
      <c r="Q149" s="248"/>
      <c r="R149" s="362"/>
      <c r="S149" s="358"/>
      <c r="T149" s="248"/>
      <c r="U149" s="248"/>
      <c r="V149" s="247"/>
      <c r="W149" s="248"/>
      <c r="X149" s="248"/>
      <c r="Y149" s="251"/>
      <c r="Z149" s="248"/>
      <c r="AA149" s="248"/>
      <c r="AB149" s="248"/>
      <c r="AC149" s="248"/>
      <c r="AD149" s="248"/>
      <c r="AE149" s="254"/>
      <c r="AF149" s="248"/>
      <c r="AG149" s="248"/>
      <c r="AH149" s="251"/>
      <c r="AI149" s="248"/>
      <c r="AJ149" s="248"/>
      <c r="AK149" s="248"/>
      <c r="AL149" s="248"/>
      <c r="AM149" s="248"/>
      <c r="AN149" s="251"/>
      <c r="AO149" s="248"/>
      <c r="AP149" s="248"/>
    </row>
    <row r="150" spans="3:42" x14ac:dyDescent="0.25">
      <c r="C150" s="360"/>
      <c r="D150" s="360"/>
      <c r="E150" s="360"/>
      <c r="F150" s="360"/>
      <c r="G150" s="248"/>
      <c r="H150" s="248"/>
      <c r="I150" s="248"/>
      <c r="J150" s="247"/>
      <c r="K150" s="248"/>
      <c r="L150" s="248"/>
      <c r="M150" s="247"/>
      <c r="N150" s="248"/>
      <c r="O150" s="248"/>
      <c r="P150" s="247"/>
      <c r="Q150" s="248"/>
      <c r="R150" s="362"/>
      <c r="S150" s="358"/>
      <c r="T150" s="248"/>
      <c r="U150" s="248"/>
      <c r="V150" s="247"/>
      <c r="W150" s="248"/>
      <c r="X150" s="248"/>
      <c r="Y150" s="251"/>
      <c r="Z150" s="248"/>
      <c r="AA150" s="248"/>
      <c r="AB150" s="248"/>
      <c r="AC150" s="248"/>
      <c r="AD150" s="248"/>
      <c r="AE150" s="254"/>
      <c r="AF150" s="248"/>
      <c r="AG150" s="248"/>
      <c r="AH150" s="251"/>
      <c r="AI150" s="248"/>
      <c r="AJ150" s="248"/>
      <c r="AK150" s="248"/>
      <c r="AL150" s="248"/>
      <c r="AM150" s="248"/>
      <c r="AN150" s="251"/>
      <c r="AO150" s="248"/>
      <c r="AP150" s="248"/>
    </row>
    <row r="151" spans="3:42" x14ac:dyDescent="0.25">
      <c r="C151" s="360"/>
      <c r="D151" s="360"/>
      <c r="E151" s="360"/>
      <c r="F151" s="360"/>
      <c r="G151" s="248"/>
      <c r="H151" s="248"/>
      <c r="I151" s="248"/>
      <c r="J151" s="247"/>
      <c r="K151" s="248"/>
      <c r="L151" s="248"/>
      <c r="M151" s="247"/>
      <c r="N151" s="248"/>
      <c r="O151" s="248"/>
      <c r="P151" s="247"/>
      <c r="Q151" s="248"/>
      <c r="R151" s="362"/>
      <c r="S151" s="358"/>
      <c r="T151" s="248"/>
      <c r="U151" s="248"/>
      <c r="V151" s="247"/>
      <c r="W151" s="248"/>
      <c r="X151" s="248"/>
      <c r="Y151" s="251"/>
      <c r="Z151" s="248"/>
      <c r="AA151" s="248"/>
      <c r="AB151" s="248"/>
      <c r="AC151" s="248"/>
      <c r="AD151" s="248"/>
      <c r="AE151" s="254"/>
      <c r="AF151" s="248"/>
      <c r="AG151" s="248"/>
      <c r="AH151" s="251"/>
      <c r="AI151" s="248"/>
      <c r="AJ151" s="248"/>
      <c r="AK151" s="248"/>
      <c r="AL151" s="248"/>
      <c r="AM151" s="248"/>
      <c r="AN151" s="251"/>
      <c r="AO151" s="248"/>
      <c r="AP151" s="248"/>
    </row>
    <row r="152" spans="3:42" x14ac:dyDescent="0.25">
      <c r="C152" s="360"/>
      <c r="D152" s="360"/>
      <c r="E152" s="360"/>
      <c r="F152" s="360"/>
      <c r="G152" s="248"/>
      <c r="H152" s="248"/>
      <c r="I152" s="248"/>
      <c r="J152" s="247"/>
      <c r="K152" s="248"/>
      <c r="L152" s="248"/>
      <c r="M152" s="247"/>
      <c r="N152" s="248"/>
      <c r="O152" s="248"/>
      <c r="P152" s="247"/>
      <c r="Q152" s="248"/>
      <c r="R152" s="362"/>
      <c r="S152" s="358"/>
      <c r="T152" s="248"/>
      <c r="U152" s="248"/>
      <c r="V152" s="247"/>
      <c r="W152" s="248"/>
      <c r="X152" s="248"/>
      <c r="Y152" s="251"/>
      <c r="Z152" s="248"/>
      <c r="AA152" s="248"/>
      <c r="AB152" s="248"/>
      <c r="AC152" s="248"/>
      <c r="AD152" s="248"/>
      <c r="AE152" s="254"/>
      <c r="AF152" s="248"/>
      <c r="AG152" s="248"/>
      <c r="AH152" s="251"/>
      <c r="AI152" s="248"/>
      <c r="AJ152" s="248"/>
      <c r="AK152" s="248"/>
      <c r="AL152" s="248"/>
      <c r="AM152" s="248"/>
      <c r="AN152" s="251"/>
      <c r="AO152" s="248"/>
      <c r="AP152" s="248"/>
    </row>
    <row r="153" spans="3:42" x14ac:dyDescent="0.25">
      <c r="C153" s="360"/>
      <c r="D153" s="360"/>
      <c r="E153" s="360"/>
      <c r="F153" s="360"/>
      <c r="G153" s="248"/>
      <c r="H153" s="248"/>
      <c r="I153" s="248"/>
      <c r="J153" s="247"/>
      <c r="K153" s="248"/>
      <c r="L153" s="248"/>
      <c r="M153" s="247"/>
      <c r="N153" s="248"/>
      <c r="O153" s="248"/>
      <c r="P153" s="247"/>
      <c r="Q153" s="248"/>
      <c r="R153" s="362"/>
      <c r="S153" s="358"/>
      <c r="T153" s="248"/>
      <c r="U153" s="248"/>
      <c r="V153" s="247"/>
      <c r="W153" s="248"/>
      <c r="X153" s="248"/>
      <c r="Y153" s="251"/>
      <c r="Z153" s="248"/>
      <c r="AA153" s="248"/>
      <c r="AB153" s="248"/>
      <c r="AC153" s="248"/>
      <c r="AD153" s="248"/>
      <c r="AE153" s="254"/>
      <c r="AF153" s="248"/>
      <c r="AG153" s="248"/>
      <c r="AH153" s="251"/>
      <c r="AI153" s="248"/>
      <c r="AJ153" s="248"/>
      <c r="AK153" s="248"/>
      <c r="AL153" s="248"/>
      <c r="AM153" s="248"/>
      <c r="AN153" s="251"/>
      <c r="AO153" s="248"/>
      <c r="AP153" s="248"/>
    </row>
    <row r="154" spans="3:42" x14ac:dyDescent="0.25">
      <c r="C154" s="360"/>
      <c r="D154" s="360"/>
      <c r="E154" s="360"/>
      <c r="F154" s="360"/>
      <c r="G154" s="248"/>
      <c r="H154" s="248"/>
      <c r="I154" s="248"/>
      <c r="J154" s="247"/>
      <c r="K154" s="248"/>
      <c r="L154" s="248"/>
      <c r="M154" s="247"/>
      <c r="N154" s="248"/>
      <c r="O154" s="248"/>
      <c r="P154" s="247"/>
      <c r="Q154" s="248"/>
      <c r="R154" s="362"/>
      <c r="S154" s="358"/>
      <c r="T154" s="248"/>
      <c r="U154" s="248"/>
      <c r="V154" s="247"/>
      <c r="W154" s="248"/>
      <c r="X154" s="248"/>
      <c r="Y154" s="251"/>
      <c r="Z154" s="248"/>
      <c r="AA154" s="248"/>
      <c r="AB154" s="248"/>
      <c r="AC154" s="248"/>
      <c r="AD154" s="248"/>
      <c r="AE154" s="254"/>
      <c r="AF154" s="248"/>
      <c r="AG154" s="248"/>
      <c r="AH154" s="251"/>
      <c r="AI154" s="248"/>
      <c r="AJ154" s="248"/>
      <c r="AK154" s="248"/>
      <c r="AL154" s="248"/>
      <c r="AM154" s="248"/>
      <c r="AN154" s="251"/>
      <c r="AO154" s="248"/>
      <c r="AP154" s="248"/>
    </row>
    <row r="155" spans="3:42" x14ac:dyDescent="0.25">
      <c r="C155" s="360"/>
      <c r="D155" s="360"/>
      <c r="E155" s="360"/>
      <c r="F155" s="360"/>
      <c r="G155" s="248"/>
      <c r="H155" s="248"/>
      <c r="I155" s="248"/>
      <c r="J155" s="247"/>
      <c r="K155" s="248"/>
      <c r="L155" s="248"/>
      <c r="M155" s="247"/>
      <c r="N155" s="248"/>
      <c r="O155" s="248"/>
      <c r="P155" s="247"/>
      <c r="Q155" s="248"/>
      <c r="R155" s="362"/>
      <c r="S155" s="358"/>
      <c r="T155" s="248"/>
      <c r="U155" s="248"/>
      <c r="V155" s="247"/>
      <c r="W155" s="248"/>
      <c r="X155" s="248"/>
      <c r="Y155" s="251"/>
      <c r="Z155" s="248"/>
      <c r="AA155" s="248"/>
      <c r="AB155" s="248"/>
      <c r="AC155" s="248"/>
      <c r="AD155" s="248"/>
      <c r="AE155" s="254"/>
      <c r="AF155" s="248"/>
      <c r="AG155" s="248"/>
      <c r="AH155" s="251"/>
      <c r="AI155" s="248"/>
      <c r="AJ155" s="248"/>
      <c r="AK155" s="248"/>
      <c r="AL155" s="248"/>
      <c r="AM155" s="248"/>
      <c r="AN155" s="251"/>
      <c r="AO155" s="248"/>
      <c r="AP155" s="248"/>
    </row>
    <row r="156" spans="3:42" x14ac:dyDescent="0.25">
      <c r="C156" s="360"/>
      <c r="D156" s="360"/>
      <c r="E156" s="360"/>
      <c r="F156" s="360"/>
      <c r="G156" s="248"/>
      <c r="H156" s="248"/>
      <c r="I156" s="248"/>
      <c r="J156" s="247"/>
      <c r="K156" s="248"/>
      <c r="L156" s="248"/>
      <c r="M156" s="247"/>
      <c r="N156" s="248"/>
      <c r="O156" s="248"/>
      <c r="P156" s="247"/>
      <c r="Q156" s="248"/>
      <c r="R156" s="362"/>
      <c r="S156" s="358"/>
      <c r="T156" s="248"/>
      <c r="U156" s="248"/>
      <c r="V156" s="247"/>
      <c r="W156" s="248"/>
      <c r="X156" s="248"/>
      <c r="Y156" s="251"/>
      <c r="Z156" s="248"/>
      <c r="AA156" s="248"/>
      <c r="AB156" s="248"/>
      <c r="AC156" s="248"/>
      <c r="AD156" s="248"/>
      <c r="AE156" s="254"/>
      <c r="AF156" s="248"/>
      <c r="AG156" s="248"/>
      <c r="AH156" s="251"/>
      <c r="AI156" s="248"/>
      <c r="AJ156" s="248"/>
      <c r="AK156" s="248"/>
      <c r="AL156" s="248"/>
      <c r="AM156" s="248"/>
      <c r="AN156" s="251"/>
      <c r="AO156" s="248"/>
      <c r="AP156" s="248"/>
    </row>
    <row r="157" spans="3:42" x14ac:dyDescent="0.25">
      <c r="C157" s="360"/>
      <c r="D157" s="360"/>
      <c r="E157" s="360"/>
      <c r="F157" s="360"/>
      <c r="G157" s="248"/>
      <c r="H157" s="248"/>
      <c r="I157" s="248"/>
      <c r="J157" s="247"/>
      <c r="K157" s="248"/>
      <c r="L157" s="248"/>
      <c r="M157" s="247"/>
      <c r="N157" s="248"/>
      <c r="O157" s="248"/>
      <c r="P157" s="247"/>
      <c r="Q157" s="248"/>
      <c r="R157" s="362"/>
      <c r="S157" s="358"/>
      <c r="T157" s="248"/>
      <c r="U157" s="248"/>
      <c r="V157" s="247"/>
      <c r="W157" s="248"/>
      <c r="X157" s="248"/>
      <c r="Y157" s="251"/>
      <c r="Z157" s="248"/>
      <c r="AA157" s="248"/>
      <c r="AB157" s="248"/>
      <c r="AC157" s="248"/>
      <c r="AD157" s="248"/>
      <c r="AE157" s="254"/>
      <c r="AF157" s="248"/>
      <c r="AG157" s="248"/>
      <c r="AH157" s="251"/>
      <c r="AI157" s="248"/>
      <c r="AJ157" s="248"/>
      <c r="AK157" s="248"/>
      <c r="AL157" s="248"/>
      <c r="AM157" s="248"/>
      <c r="AN157" s="251"/>
      <c r="AO157" s="248"/>
      <c r="AP157" s="248"/>
    </row>
    <row r="158" spans="3:42" x14ac:dyDescent="0.25">
      <c r="C158" s="360"/>
      <c r="D158" s="360"/>
      <c r="E158" s="360"/>
      <c r="F158" s="360"/>
      <c r="G158" s="248"/>
      <c r="H158" s="248"/>
      <c r="I158" s="248"/>
      <c r="J158" s="247"/>
      <c r="K158" s="248"/>
      <c r="L158" s="248"/>
      <c r="M158" s="247"/>
      <c r="N158" s="248"/>
      <c r="O158" s="248"/>
      <c r="P158" s="247"/>
      <c r="Q158" s="248"/>
      <c r="R158" s="362"/>
      <c r="S158" s="358"/>
      <c r="T158" s="248"/>
      <c r="U158" s="248"/>
      <c r="V158" s="247"/>
      <c r="W158" s="248"/>
      <c r="X158" s="248"/>
      <c r="Y158" s="251"/>
      <c r="Z158" s="248"/>
      <c r="AA158" s="248"/>
      <c r="AB158" s="248"/>
      <c r="AC158" s="248"/>
      <c r="AD158" s="248"/>
      <c r="AE158" s="254"/>
      <c r="AF158" s="248"/>
      <c r="AG158" s="248"/>
      <c r="AH158" s="251"/>
      <c r="AI158" s="248"/>
      <c r="AJ158" s="248"/>
      <c r="AK158" s="248"/>
      <c r="AL158" s="248"/>
      <c r="AM158" s="248"/>
      <c r="AN158" s="251"/>
      <c r="AO158" s="248"/>
      <c r="AP158" s="248"/>
    </row>
    <row r="159" spans="3:42" x14ac:dyDescent="0.25">
      <c r="C159" s="360"/>
      <c r="D159" s="360"/>
      <c r="E159" s="360"/>
      <c r="F159" s="360"/>
      <c r="G159" s="248"/>
      <c r="H159" s="248"/>
      <c r="I159" s="248"/>
      <c r="J159" s="247"/>
      <c r="K159" s="248"/>
      <c r="L159" s="248"/>
      <c r="M159" s="247"/>
      <c r="N159" s="248"/>
      <c r="O159" s="248"/>
      <c r="P159" s="247"/>
      <c r="Q159" s="248"/>
      <c r="R159" s="362"/>
      <c r="S159" s="358"/>
      <c r="T159" s="248"/>
      <c r="U159" s="248"/>
      <c r="V159" s="247"/>
      <c r="W159" s="248"/>
      <c r="X159" s="248"/>
      <c r="Y159" s="251"/>
      <c r="Z159" s="248"/>
      <c r="AA159" s="248"/>
      <c r="AB159" s="248"/>
      <c r="AC159" s="248"/>
      <c r="AD159" s="248"/>
      <c r="AE159" s="254"/>
      <c r="AF159" s="248"/>
      <c r="AG159" s="248"/>
      <c r="AH159" s="251"/>
      <c r="AI159" s="248"/>
      <c r="AJ159" s="248"/>
      <c r="AK159" s="248"/>
      <c r="AL159" s="248"/>
      <c r="AM159" s="248"/>
      <c r="AN159" s="251"/>
      <c r="AO159" s="248"/>
      <c r="AP159" s="248"/>
    </row>
    <row r="160" spans="3:42" x14ac:dyDescent="0.25">
      <c r="C160" s="360"/>
      <c r="D160" s="360"/>
      <c r="E160" s="360"/>
      <c r="F160" s="360"/>
      <c r="G160" s="248"/>
      <c r="H160" s="248"/>
      <c r="I160" s="248"/>
      <c r="J160" s="247"/>
      <c r="K160" s="248"/>
      <c r="L160" s="248"/>
      <c r="M160" s="247"/>
      <c r="N160" s="248"/>
      <c r="O160" s="248"/>
      <c r="P160" s="247"/>
      <c r="Q160" s="248"/>
      <c r="R160" s="362"/>
      <c r="S160" s="358"/>
      <c r="T160" s="248"/>
      <c r="U160" s="248"/>
      <c r="V160" s="247"/>
      <c r="W160" s="248"/>
      <c r="X160" s="248"/>
      <c r="Y160" s="251"/>
      <c r="Z160" s="248"/>
      <c r="AA160" s="248"/>
      <c r="AB160" s="248"/>
      <c r="AC160" s="248"/>
      <c r="AD160" s="248"/>
      <c r="AE160" s="254"/>
      <c r="AF160" s="248"/>
      <c r="AG160" s="248"/>
      <c r="AH160" s="251"/>
      <c r="AI160" s="248"/>
      <c r="AJ160" s="248"/>
      <c r="AK160" s="248"/>
      <c r="AL160" s="248"/>
      <c r="AM160" s="248"/>
      <c r="AN160" s="251"/>
      <c r="AO160" s="248"/>
      <c r="AP160" s="248"/>
    </row>
    <row r="161" spans="3:42" x14ac:dyDescent="0.25">
      <c r="C161" s="360"/>
      <c r="D161" s="360"/>
      <c r="E161" s="360"/>
      <c r="F161" s="360"/>
      <c r="G161" s="248"/>
      <c r="H161" s="248"/>
      <c r="I161" s="248"/>
      <c r="J161" s="247"/>
      <c r="K161" s="248"/>
      <c r="L161" s="248"/>
      <c r="M161" s="247"/>
      <c r="N161" s="248"/>
      <c r="O161" s="248"/>
      <c r="P161" s="247"/>
      <c r="Q161" s="248"/>
      <c r="R161" s="362"/>
      <c r="S161" s="358"/>
      <c r="T161" s="248"/>
      <c r="U161" s="248"/>
      <c r="V161" s="247"/>
      <c r="W161" s="248"/>
      <c r="X161" s="248"/>
      <c r="Y161" s="251"/>
      <c r="Z161" s="248"/>
      <c r="AA161" s="248"/>
      <c r="AB161" s="248"/>
      <c r="AC161" s="248"/>
      <c r="AD161" s="248"/>
      <c r="AE161" s="254"/>
      <c r="AF161" s="248"/>
      <c r="AG161" s="248"/>
      <c r="AH161" s="251"/>
      <c r="AI161" s="248"/>
      <c r="AJ161" s="248"/>
      <c r="AK161" s="248"/>
      <c r="AL161" s="248"/>
      <c r="AM161" s="248"/>
      <c r="AN161" s="251"/>
      <c r="AO161" s="248"/>
      <c r="AP161" s="248"/>
    </row>
    <row r="162" spans="3:42" x14ac:dyDescent="0.25">
      <c r="C162" s="360"/>
      <c r="D162" s="360"/>
      <c r="E162" s="360"/>
      <c r="F162" s="360"/>
      <c r="G162" s="248"/>
      <c r="H162" s="248"/>
      <c r="I162" s="248"/>
      <c r="J162" s="247"/>
      <c r="K162" s="248"/>
      <c r="L162" s="248"/>
      <c r="M162" s="247"/>
      <c r="N162" s="248"/>
      <c r="O162" s="248"/>
      <c r="P162" s="247"/>
      <c r="Q162" s="248"/>
      <c r="R162" s="362"/>
      <c r="S162" s="358"/>
      <c r="T162" s="248"/>
      <c r="U162" s="248"/>
      <c r="V162" s="247"/>
      <c r="W162" s="248"/>
      <c r="X162" s="248"/>
      <c r="Y162" s="251"/>
      <c r="Z162" s="248"/>
      <c r="AA162" s="248"/>
      <c r="AB162" s="248"/>
      <c r="AC162" s="248"/>
      <c r="AD162" s="248"/>
      <c r="AE162" s="254"/>
      <c r="AF162" s="248"/>
      <c r="AG162" s="248"/>
      <c r="AH162" s="251"/>
      <c r="AI162" s="248"/>
      <c r="AJ162" s="248"/>
      <c r="AK162" s="248"/>
      <c r="AL162" s="248"/>
      <c r="AM162" s="248"/>
      <c r="AN162" s="251"/>
      <c r="AO162" s="248"/>
      <c r="AP162" s="248"/>
    </row>
    <row r="163" spans="3:42" x14ac:dyDescent="0.25">
      <c r="C163" s="360"/>
      <c r="D163" s="360"/>
      <c r="E163" s="360"/>
      <c r="F163" s="360"/>
      <c r="G163" s="248"/>
      <c r="H163" s="248"/>
      <c r="I163" s="248"/>
      <c r="J163" s="247"/>
      <c r="K163" s="248"/>
      <c r="L163" s="248"/>
      <c r="M163" s="247"/>
      <c r="N163" s="248"/>
      <c r="O163" s="248"/>
      <c r="P163" s="247"/>
      <c r="Q163" s="248"/>
      <c r="R163" s="362"/>
      <c r="S163" s="358"/>
      <c r="T163" s="248"/>
      <c r="U163" s="248"/>
      <c r="V163" s="247"/>
      <c r="W163" s="248"/>
      <c r="X163" s="248"/>
      <c r="Y163" s="251"/>
      <c r="Z163" s="248"/>
      <c r="AA163" s="248"/>
      <c r="AB163" s="248"/>
      <c r="AC163" s="248"/>
      <c r="AD163" s="248"/>
      <c r="AE163" s="254"/>
      <c r="AF163" s="248"/>
      <c r="AG163" s="248"/>
      <c r="AH163" s="251"/>
      <c r="AI163" s="248"/>
      <c r="AJ163" s="248"/>
      <c r="AK163" s="248"/>
      <c r="AL163" s="248"/>
      <c r="AM163" s="248"/>
      <c r="AN163" s="251"/>
      <c r="AO163" s="248"/>
      <c r="AP163" s="248"/>
    </row>
    <row r="164" spans="3:42" x14ac:dyDescent="0.25">
      <c r="C164" s="360"/>
      <c r="D164" s="360"/>
      <c r="E164" s="360"/>
      <c r="F164" s="360"/>
      <c r="G164" s="248"/>
      <c r="H164" s="248"/>
      <c r="I164" s="248"/>
      <c r="J164" s="247"/>
      <c r="K164" s="248"/>
      <c r="L164" s="248"/>
      <c r="M164" s="247"/>
      <c r="N164" s="248"/>
      <c r="O164" s="248"/>
      <c r="P164" s="247"/>
      <c r="Q164" s="248"/>
      <c r="R164" s="362"/>
      <c r="S164" s="358"/>
      <c r="T164" s="248"/>
      <c r="U164" s="248"/>
      <c r="V164" s="247"/>
      <c r="W164" s="248"/>
      <c r="X164" s="248"/>
      <c r="Y164" s="251"/>
      <c r="Z164" s="248"/>
      <c r="AA164" s="248"/>
      <c r="AB164" s="248"/>
      <c r="AC164" s="248"/>
      <c r="AD164" s="248"/>
      <c r="AE164" s="254"/>
      <c r="AF164" s="248"/>
      <c r="AG164" s="248"/>
      <c r="AH164" s="251"/>
      <c r="AI164" s="248"/>
      <c r="AJ164" s="248"/>
      <c r="AK164" s="248"/>
      <c r="AL164" s="248"/>
      <c r="AM164" s="248"/>
      <c r="AN164" s="251"/>
      <c r="AO164" s="248"/>
      <c r="AP164" s="248"/>
    </row>
    <row r="165" spans="3:42" x14ac:dyDescent="0.25">
      <c r="C165" s="360"/>
      <c r="D165" s="360"/>
      <c r="E165" s="360"/>
      <c r="F165" s="360"/>
      <c r="G165" s="248"/>
      <c r="H165" s="248"/>
      <c r="I165" s="248"/>
      <c r="J165" s="247"/>
      <c r="K165" s="248"/>
      <c r="L165" s="248"/>
      <c r="M165" s="247"/>
      <c r="N165" s="248"/>
      <c r="O165" s="248"/>
      <c r="P165" s="247"/>
      <c r="Q165" s="248"/>
      <c r="R165" s="362"/>
      <c r="S165" s="358"/>
      <c r="T165" s="248"/>
      <c r="U165" s="248"/>
      <c r="V165" s="247"/>
      <c r="W165" s="248"/>
      <c r="X165" s="248"/>
      <c r="Y165" s="251"/>
      <c r="Z165" s="248"/>
      <c r="AA165" s="248"/>
      <c r="AB165" s="248"/>
      <c r="AC165" s="248"/>
      <c r="AD165" s="248"/>
      <c r="AE165" s="254"/>
      <c r="AF165" s="248"/>
      <c r="AG165" s="248"/>
      <c r="AH165" s="251"/>
      <c r="AI165" s="248"/>
      <c r="AJ165" s="248"/>
      <c r="AK165" s="248"/>
      <c r="AL165" s="248"/>
      <c r="AM165" s="248"/>
      <c r="AN165" s="251"/>
      <c r="AO165" s="248"/>
      <c r="AP165" s="248"/>
    </row>
    <row r="166" spans="3:42" x14ac:dyDescent="0.25">
      <c r="C166" s="360"/>
      <c r="D166" s="360"/>
      <c r="E166" s="360"/>
      <c r="F166" s="360"/>
      <c r="G166" s="248"/>
      <c r="H166" s="248"/>
      <c r="I166" s="248"/>
      <c r="J166" s="247"/>
      <c r="K166" s="248"/>
      <c r="L166" s="248"/>
      <c r="M166" s="247"/>
      <c r="N166" s="248"/>
      <c r="O166" s="248"/>
      <c r="P166" s="247"/>
      <c r="Q166" s="248"/>
      <c r="R166" s="362"/>
      <c r="S166" s="358"/>
      <c r="T166" s="248"/>
      <c r="U166" s="248"/>
      <c r="V166" s="247"/>
      <c r="W166" s="248"/>
      <c r="X166" s="248"/>
      <c r="Y166" s="251"/>
      <c r="Z166" s="248"/>
      <c r="AA166" s="248"/>
      <c r="AB166" s="248"/>
      <c r="AC166" s="248"/>
      <c r="AD166" s="248"/>
      <c r="AE166" s="254"/>
      <c r="AF166" s="248"/>
      <c r="AG166" s="248"/>
      <c r="AH166" s="251"/>
      <c r="AI166" s="248"/>
      <c r="AJ166" s="248"/>
      <c r="AK166" s="248"/>
      <c r="AL166" s="248"/>
      <c r="AM166" s="248"/>
      <c r="AN166" s="251"/>
      <c r="AO166" s="248"/>
      <c r="AP166" s="248"/>
    </row>
    <row r="167" spans="3:42" x14ac:dyDescent="0.25">
      <c r="C167" s="360"/>
      <c r="D167" s="360"/>
      <c r="E167" s="360"/>
      <c r="F167" s="360"/>
      <c r="G167" s="248"/>
      <c r="H167" s="248"/>
      <c r="I167" s="248"/>
      <c r="J167" s="247"/>
      <c r="K167" s="248"/>
      <c r="L167" s="248"/>
      <c r="M167" s="247"/>
      <c r="N167" s="248"/>
      <c r="O167" s="248"/>
      <c r="P167" s="247"/>
      <c r="Q167" s="248"/>
      <c r="R167" s="362"/>
      <c r="S167" s="358"/>
      <c r="T167" s="248"/>
      <c r="U167" s="248"/>
      <c r="V167" s="247"/>
      <c r="W167" s="248"/>
      <c r="X167" s="248"/>
      <c r="Y167" s="251"/>
      <c r="Z167" s="248"/>
      <c r="AA167" s="248"/>
      <c r="AB167" s="248"/>
      <c r="AC167" s="248"/>
      <c r="AD167" s="248"/>
      <c r="AE167" s="254"/>
      <c r="AF167" s="248"/>
      <c r="AG167" s="248"/>
      <c r="AH167" s="251"/>
      <c r="AI167" s="248"/>
      <c r="AJ167" s="248"/>
      <c r="AK167" s="248"/>
      <c r="AL167" s="248"/>
      <c r="AM167" s="248"/>
      <c r="AN167" s="251"/>
      <c r="AO167" s="248"/>
      <c r="AP167" s="248"/>
    </row>
    <row r="168" spans="3:42" x14ac:dyDescent="0.25">
      <c r="C168" s="360"/>
      <c r="D168" s="360"/>
      <c r="E168" s="360"/>
      <c r="F168" s="360"/>
      <c r="G168" s="248"/>
      <c r="H168" s="248"/>
      <c r="I168" s="248"/>
      <c r="J168" s="247"/>
      <c r="K168" s="248"/>
      <c r="L168" s="248"/>
      <c r="M168" s="247"/>
      <c r="N168" s="248"/>
      <c r="O168" s="248"/>
      <c r="P168" s="247"/>
      <c r="Q168" s="248"/>
      <c r="R168" s="362"/>
      <c r="S168" s="358"/>
      <c r="T168" s="248"/>
      <c r="U168" s="248"/>
      <c r="V168" s="247"/>
      <c r="W168" s="248"/>
      <c r="X168" s="248"/>
      <c r="Y168" s="251"/>
      <c r="Z168" s="248"/>
      <c r="AA168" s="248"/>
      <c r="AB168" s="248"/>
      <c r="AC168" s="248"/>
      <c r="AD168" s="248"/>
      <c r="AE168" s="254"/>
      <c r="AF168" s="248"/>
      <c r="AG168" s="248"/>
      <c r="AH168" s="251"/>
      <c r="AI168" s="248"/>
      <c r="AJ168" s="248"/>
      <c r="AK168" s="248"/>
      <c r="AL168" s="248"/>
      <c r="AM168" s="248"/>
      <c r="AN168" s="251"/>
      <c r="AO168" s="248"/>
      <c r="AP168" s="248"/>
    </row>
    <row r="169" spans="3:42" x14ac:dyDescent="0.25">
      <c r="C169" s="360"/>
      <c r="D169" s="360"/>
      <c r="E169" s="360"/>
      <c r="F169" s="360"/>
      <c r="G169" s="248"/>
      <c r="H169" s="248"/>
      <c r="I169" s="248"/>
      <c r="J169" s="247"/>
      <c r="K169" s="248"/>
      <c r="L169" s="248"/>
      <c r="M169" s="247"/>
      <c r="N169" s="248"/>
      <c r="O169" s="248"/>
      <c r="P169" s="247"/>
      <c r="Q169" s="248"/>
      <c r="R169" s="362"/>
      <c r="S169" s="358"/>
      <c r="T169" s="248"/>
      <c r="U169" s="248"/>
      <c r="V169" s="247"/>
      <c r="W169" s="248"/>
      <c r="X169" s="248"/>
      <c r="Y169" s="251"/>
      <c r="Z169" s="248"/>
      <c r="AA169" s="248"/>
      <c r="AB169" s="248"/>
      <c r="AC169" s="248"/>
      <c r="AD169" s="248"/>
      <c r="AE169" s="254"/>
      <c r="AF169" s="248"/>
      <c r="AG169" s="248"/>
      <c r="AH169" s="251"/>
      <c r="AI169" s="248"/>
      <c r="AJ169" s="248"/>
      <c r="AK169" s="248"/>
      <c r="AL169" s="248"/>
      <c r="AM169" s="248"/>
      <c r="AN169" s="251"/>
      <c r="AO169" s="248"/>
      <c r="AP169" s="248"/>
    </row>
    <row r="170" spans="3:42" x14ac:dyDescent="0.25">
      <c r="C170" s="360"/>
      <c r="D170" s="360"/>
      <c r="E170" s="360"/>
      <c r="F170" s="360"/>
      <c r="G170" s="248"/>
      <c r="H170" s="248"/>
      <c r="I170" s="248"/>
      <c r="J170" s="247"/>
      <c r="K170" s="248"/>
      <c r="L170" s="248"/>
      <c r="M170" s="247"/>
      <c r="N170" s="248"/>
      <c r="O170" s="248"/>
      <c r="P170" s="247"/>
      <c r="Q170" s="248"/>
      <c r="R170" s="362"/>
      <c r="S170" s="358"/>
      <c r="T170" s="248"/>
      <c r="U170" s="248"/>
      <c r="V170" s="247"/>
      <c r="W170" s="248"/>
      <c r="X170" s="248"/>
      <c r="Y170" s="251"/>
      <c r="Z170" s="248"/>
      <c r="AA170" s="248"/>
      <c r="AB170" s="248"/>
      <c r="AC170" s="248"/>
      <c r="AD170" s="248"/>
      <c r="AE170" s="254"/>
      <c r="AF170" s="248"/>
      <c r="AG170" s="248"/>
      <c r="AH170" s="251"/>
      <c r="AI170" s="248"/>
      <c r="AJ170" s="248"/>
      <c r="AK170" s="248"/>
      <c r="AL170" s="248"/>
      <c r="AM170" s="248"/>
      <c r="AN170" s="251"/>
      <c r="AO170" s="248"/>
      <c r="AP170" s="248"/>
    </row>
    <row r="171" spans="3:42" x14ac:dyDescent="0.25">
      <c r="C171" s="360"/>
      <c r="D171" s="360"/>
      <c r="E171" s="360"/>
      <c r="F171" s="360"/>
      <c r="G171" s="248"/>
      <c r="H171" s="248"/>
      <c r="I171" s="248"/>
      <c r="J171" s="247"/>
      <c r="K171" s="248"/>
      <c r="L171" s="248"/>
      <c r="M171" s="247"/>
      <c r="N171" s="248"/>
      <c r="O171" s="248"/>
      <c r="P171" s="247"/>
      <c r="Q171" s="248"/>
      <c r="R171" s="362"/>
      <c r="S171" s="358"/>
      <c r="T171" s="248"/>
      <c r="U171" s="248"/>
      <c r="V171" s="247"/>
      <c r="W171" s="248"/>
      <c r="X171" s="248"/>
      <c r="Y171" s="251"/>
      <c r="Z171" s="248"/>
      <c r="AA171" s="248"/>
      <c r="AB171" s="248"/>
      <c r="AC171" s="248"/>
      <c r="AD171" s="248"/>
      <c r="AE171" s="254"/>
      <c r="AF171" s="248"/>
      <c r="AG171" s="248"/>
      <c r="AH171" s="251"/>
      <c r="AI171" s="248"/>
      <c r="AJ171" s="248"/>
      <c r="AK171" s="248"/>
      <c r="AL171" s="248"/>
      <c r="AM171" s="248"/>
      <c r="AN171" s="251"/>
      <c r="AO171" s="248"/>
      <c r="AP171" s="248"/>
    </row>
    <row r="172" spans="3:42" x14ac:dyDescent="0.25">
      <c r="C172" s="360"/>
      <c r="D172" s="360"/>
      <c r="E172" s="360"/>
      <c r="F172" s="360"/>
      <c r="G172" s="248"/>
      <c r="H172" s="248"/>
      <c r="I172" s="248"/>
      <c r="J172" s="247"/>
      <c r="K172" s="248"/>
      <c r="L172" s="248"/>
      <c r="M172" s="247"/>
      <c r="N172" s="248"/>
      <c r="O172" s="248"/>
      <c r="P172" s="247"/>
      <c r="Q172" s="248"/>
      <c r="R172" s="362"/>
      <c r="S172" s="358"/>
      <c r="T172" s="248"/>
      <c r="U172" s="248"/>
      <c r="V172" s="247"/>
      <c r="W172" s="248"/>
      <c r="X172" s="248"/>
      <c r="Y172" s="251"/>
      <c r="Z172" s="248"/>
      <c r="AA172" s="248"/>
      <c r="AB172" s="248"/>
      <c r="AC172" s="248"/>
      <c r="AD172" s="248"/>
      <c r="AE172" s="254"/>
      <c r="AF172" s="248"/>
      <c r="AG172" s="248"/>
      <c r="AH172" s="251"/>
      <c r="AI172" s="248"/>
      <c r="AJ172" s="248"/>
      <c r="AK172" s="248"/>
      <c r="AL172" s="248"/>
      <c r="AM172" s="248"/>
      <c r="AN172" s="251"/>
      <c r="AO172" s="248"/>
      <c r="AP172" s="248"/>
    </row>
    <row r="173" spans="3:42" x14ac:dyDescent="0.25">
      <c r="C173" s="360"/>
      <c r="D173" s="360"/>
      <c r="E173" s="360"/>
      <c r="F173" s="360"/>
      <c r="G173" s="248"/>
      <c r="H173" s="248"/>
      <c r="I173" s="248"/>
      <c r="J173" s="247"/>
      <c r="K173" s="248"/>
      <c r="L173" s="248"/>
      <c r="M173" s="247"/>
      <c r="N173" s="248"/>
      <c r="O173" s="248"/>
      <c r="P173" s="247"/>
      <c r="Q173" s="248"/>
      <c r="R173" s="362"/>
      <c r="S173" s="358"/>
      <c r="T173" s="248"/>
      <c r="U173" s="248"/>
      <c r="V173" s="247"/>
      <c r="W173" s="248"/>
      <c r="X173" s="248"/>
      <c r="Y173" s="251"/>
      <c r="Z173" s="248"/>
      <c r="AA173" s="248"/>
      <c r="AB173" s="248"/>
      <c r="AC173" s="248"/>
      <c r="AD173" s="248"/>
      <c r="AE173" s="254"/>
      <c r="AF173" s="248"/>
      <c r="AG173" s="248"/>
      <c r="AH173" s="251"/>
      <c r="AI173" s="248"/>
      <c r="AJ173" s="248"/>
      <c r="AK173" s="248"/>
      <c r="AL173" s="248"/>
      <c r="AM173" s="248"/>
      <c r="AN173" s="251"/>
      <c r="AO173" s="248"/>
      <c r="AP173" s="248"/>
    </row>
    <row r="174" spans="3:42" x14ac:dyDescent="0.25">
      <c r="C174" s="360"/>
      <c r="D174" s="360"/>
      <c r="E174" s="360"/>
      <c r="F174" s="360"/>
      <c r="G174" s="248"/>
      <c r="H174" s="248"/>
      <c r="I174" s="248"/>
      <c r="J174" s="247"/>
      <c r="K174" s="248"/>
      <c r="L174" s="248"/>
      <c r="M174" s="247"/>
      <c r="N174" s="248"/>
      <c r="O174" s="248"/>
      <c r="P174" s="247"/>
      <c r="Q174" s="248"/>
      <c r="R174" s="362"/>
      <c r="S174" s="358"/>
      <c r="T174" s="248"/>
      <c r="U174" s="248"/>
      <c r="V174" s="247"/>
      <c r="W174" s="248"/>
      <c r="X174" s="248"/>
      <c r="Y174" s="251"/>
      <c r="Z174" s="248"/>
      <c r="AA174" s="248"/>
      <c r="AB174" s="248"/>
      <c r="AC174" s="248"/>
      <c r="AD174" s="248"/>
      <c r="AE174" s="254"/>
      <c r="AF174" s="248"/>
      <c r="AG174" s="248"/>
      <c r="AH174" s="251"/>
      <c r="AI174" s="248"/>
      <c r="AJ174" s="248"/>
      <c r="AK174" s="248"/>
      <c r="AL174" s="248"/>
      <c r="AM174" s="248"/>
      <c r="AN174" s="251"/>
      <c r="AO174" s="248"/>
      <c r="AP174" s="248"/>
    </row>
    <row r="175" spans="3:42" x14ac:dyDescent="0.25">
      <c r="C175" s="360"/>
      <c r="D175" s="360"/>
      <c r="E175" s="360"/>
      <c r="F175" s="360"/>
      <c r="G175" s="248"/>
      <c r="H175" s="248"/>
      <c r="I175" s="248"/>
      <c r="J175" s="247"/>
      <c r="K175" s="248"/>
      <c r="L175" s="248"/>
      <c r="M175" s="247"/>
      <c r="N175" s="248"/>
      <c r="O175" s="248"/>
      <c r="P175" s="247"/>
      <c r="Q175" s="248"/>
      <c r="R175" s="362"/>
      <c r="S175" s="358"/>
      <c r="T175" s="248"/>
      <c r="U175" s="248"/>
      <c r="V175" s="247"/>
      <c r="W175" s="248"/>
      <c r="X175" s="248"/>
      <c r="Y175" s="251"/>
      <c r="Z175" s="248"/>
      <c r="AA175" s="248"/>
      <c r="AB175" s="248"/>
      <c r="AC175" s="248"/>
      <c r="AD175" s="248"/>
      <c r="AE175" s="254"/>
      <c r="AF175" s="248"/>
      <c r="AG175" s="248"/>
      <c r="AH175" s="251"/>
      <c r="AI175" s="248"/>
      <c r="AJ175" s="248"/>
      <c r="AK175" s="248"/>
      <c r="AL175" s="248"/>
      <c r="AM175" s="248"/>
      <c r="AN175" s="251"/>
      <c r="AO175" s="248"/>
      <c r="AP175" s="248"/>
    </row>
    <row r="176" spans="3:42" x14ac:dyDescent="0.25">
      <c r="C176" s="360"/>
      <c r="D176" s="360"/>
      <c r="E176" s="360"/>
      <c r="F176" s="360"/>
      <c r="G176" s="248"/>
      <c r="H176" s="248"/>
      <c r="I176" s="248"/>
      <c r="J176" s="247"/>
      <c r="K176" s="248"/>
      <c r="L176" s="248"/>
      <c r="M176" s="247"/>
      <c r="N176" s="248"/>
      <c r="O176" s="248"/>
      <c r="P176" s="247"/>
      <c r="Q176" s="248"/>
      <c r="R176" s="362"/>
      <c r="S176" s="358"/>
      <c r="T176" s="248"/>
      <c r="U176" s="248"/>
      <c r="V176" s="247"/>
      <c r="W176" s="248"/>
      <c r="X176" s="248"/>
      <c r="Y176" s="251"/>
      <c r="Z176" s="248"/>
      <c r="AA176" s="248"/>
      <c r="AB176" s="248"/>
      <c r="AC176" s="248"/>
      <c r="AD176" s="248"/>
      <c r="AE176" s="254"/>
      <c r="AF176" s="248"/>
      <c r="AG176" s="248"/>
      <c r="AH176" s="251"/>
      <c r="AI176" s="248"/>
      <c r="AJ176" s="248"/>
      <c r="AK176" s="248"/>
      <c r="AL176" s="248"/>
      <c r="AM176" s="248"/>
      <c r="AN176" s="251"/>
      <c r="AO176" s="248"/>
      <c r="AP176" s="248"/>
    </row>
    <row r="177" spans="3:42" x14ac:dyDescent="0.25">
      <c r="C177" s="360"/>
      <c r="D177" s="360"/>
      <c r="E177" s="360"/>
      <c r="F177" s="360"/>
      <c r="G177" s="248"/>
      <c r="H177" s="248"/>
      <c r="I177" s="248"/>
      <c r="J177" s="247"/>
      <c r="K177" s="248"/>
      <c r="L177" s="248"/>
      <c r="M177" s="247"/>
      <c r="N177" s="248"/>
      <c r="O177" s="248"/>
      <c r="P177" s="247"/>
      <c r="Q177" s="248"/>
      <c r="R177" s="362"/>
      <c r="S177" s="358"/>
      <c r="T177" s="248"/>
      <c r="U177" s="248"/>
      <c r="V177" s="247"/>
      <c r="W177" s="248"/>
      <c r="X177" s="248"/>
      <c r="Y177" s="251"/>
      <c r="Z177" s="248"/>
      <c r="AA177" s="248"/>
      <c r="AB177" s="248"/>
      <c r="AC177" s="248"/>
      <c r="AD177" s="248"/>
      <c r="AE177" s="254"/>
      <c r="AF177" s="248"/>
      <c r="AG177" s="248"/>
      <c r="AH177" s="251"/>
      <c r="AI177" s="248"/>
      <c r="AJ177" s="248"/>
      <c r="AK177" s="248"/>
      <c r="AL177" s="248"/>
      <c r="AM177" s="248"/>
      <c r="AN177" s="251"/>
      <c r="AO177" s="248"/>
      <c r="AP177" s="248"/>
    </row>
    <row r="178" spans="3:42" x14ac:dyDescent="0.25">
      <c r="C178" s="360"/>
      <c r="D178" s="360"/>
      <c r="E178" s="360"/>
      <c r="F178" s="360"/>
      <c r="G178" s="248"/>
      <c r="H178" s="248"/>
      <c r="I178" s="248"/>
      <c r="J178" s="247"/>
      <c r="K178" s="248"/>
      <c r="L178" s="248"/>
      <c r="M178" s="247"/>
      <c r="N178" s="248"/>
      <c r="O178" s="248"/>
      <c r="P178" s="247"/>
      <c r="Q178" s="248"/>
      <c r="R178" s="362"/>
      <c r="S178" s="358"/>
      <c r="T178" s="248"/>
      <c r="U178" s="248"/>
      <c r="V178" s="247"/>
      <c r="W178" s="248"/>
      <c r="X178" s="248"/>
      <c r="Y178" s="251"/>
      <c r="Z178" s="248"/>
      <c r="AA178" s="248"/>
      <c r="AB178" s="248"/>
      <c r="AC178" s="248"/>
      <c r="AD178" s="248"/>
      <c r="AE178" s="254"/>
      <c r="AF178" s="248"/>
      <c r="AG178" s="248"/>
      <c r="AH178" s="251"/>
      <c r="AI178" s="248"/>
      <c r="AJ178" s="248"/>
      <c r="AK178" s="248"/>
      <c r="AL178" s="248"/>
      <c r="AM178" s="248"/>
      <c r="AN178" s="251"/>
      <c r="AO178" s="248"/>
      <c r="AP178" s="248"/>
    </row>
    <row r="179" spans="3:42" x14ac:dyDescent="0.25">
      <c r="C179" s="360"/>
      <c r="D179" s="360"/>
      <c r="E179" s="360"/>
      <c r="F179" s="360"/>
      <c r="G179" s="248"/>
      <c r="H179" s="248"/>
      <c r="I179" s="248"/>
      <c r="J179" s="247"/>
      <c r="K179" s="248"/>
      <c r="L179" s="248"/>
      <c r="M179" s="247"/>
      <c r="N179" s="248"/>
      <c r="O179" s="248"/>
      <c r="P179" s="247"/>
      <c r="Q179" s="248"/>
      <c r="R179" s="362"/>
      <c r="S179" s="358"/>
      <c r="T179" s="248"/>
      <c r="U179" s="248"/>
      <c r="V179" s="247"/>
      <c r="W179" s="248"/>
      <c r="X179" s="248"/>
      <c r="Y179" s="251"/>
      <c r="Z179" s="248"/>
      <c r="AA179" s="248"/>
      <c r="AB179" s="248"/>
      <c r="AC179" s="248"/>
      <c r="AD179" s="248"/>
      <c r="AE179" s="254"/>
      <c r="AF179" s="248"/>
      <c r="AG179" s="248"/>
      <c r="AH179" s="251"/>
      <c r="AI179" s="248"/>
      <c r="AJ179" s="248"/>
      <c r="AK179" s="248"/>
      <c r="AL179" s="248"/>
      <c r="AM179" s="248"/>
      <c r="AN179" s="251"/>
      <c r="AO179" s="248"/>
      <c r="AP179" s="248"/>
    </row>
    <row r="180" spans="3:42" x14ac:dyDescent="0.25">
      <c r="C180" s="360"/>
      <c r="D180" s="360"/>
      <c r="E180" s="360"/>
      <c r="F180" s="360"/>
      <c r="G180" s="248"/>
      <c r="H180" s="248"/>
      <c r="I180" s="248"/>
      <c r="J180" s="247"/>
      <c r="K180" s="248"/>
      <c r="L180" s="248"/>
      <c r="M180" s="247"/>
      <c r="N180" s="248"/>
      <c r="O180" s="248"/>
      <c r="P180" s="247"/>
      <c r="Q180" s="248"/>
      <c r="R180" s="362"/>
      <c r="S180" s="358"/>
      <c r="T180" s="248"/>
      <c r="U180" s="248"/>
      <c r="V180" s="247"/>
      <c r="W180" s="248"/>
      <c r="X180" s="248"/>
      <c r="Y180" s="251"/>
      <c r="Z180" s="248"/>
      <c r="AA180" s="248"/>
      <c r="AB180" s="248"/>
      <c r="AC180" s="248"/>
      <c r="AD180" s="248"/>
      <c r="AE180" s="254"/>
      <c r="AF180" s="248"/>
      <c r="AG180" s="248"/>
      <c r="AH180" s="251"/>
      <c r="AI180" s="248"/>
      <c r="AJ180" s="248"/>
      <c r="AK180" s="248"/>
      <c r="AL180" s="248"/>
      <c r="AM180" s="248"/>
      <c r="AN180" s="251"/>
      <c r="AO180" s="248"/>
      <c r="AP180" s="248"/>
    </row>
    <row r="181" spans="3:42" x14ac:dyDescent="0.25">
      <c r="C181" s="360"/>
      <c r="D181" s="360"/>
      <c r="E181" s="360"/>
      <c r="F181" s="360"/>
      <c r="G181" s="248"/>
      <c r="H181" s="248"/>
      <c r="I181" s="248"/>
      <c r="J181" s="247"/>
      <c r="K181" s="248"/>
      <c r="L181" s="248"/>
      <c r="M181" s="247"/>
      <c r="N181" s="248"/>
      <c r="O181" s="248"/>
      <c r="P181" s="247"/>
      <c r="Q181" s="248"/>
      <c r="R181" s="362"/>
      <c r="S181" s="358"/>
      <c r="T181" s="248"/>
      <c r="U181" s="248"/>
      <c r="V181" s="247"/>
      <c r="W181" s="248"/>
      <c r="X181" s="248"/>
      <c r="Y181" s="251"/>
      <c r="Z181" s="248"/>
      <c r="AA181" s="248"/>
      <c r="AB181" s="248"/>
      <c r="AC181" s="248"/>
      <c r="AD181" s="248"/>
      <c r="AE181" s="254"/>
      <c r="AF181" s="248"/>
      <c r="AG181" s="248"/>
      <c r="AH181" s="251"/>
      <c r="AI181" s="248"/>
      <c r="AJ181" s="248"/>
      <c r="AK181" s="248"/>
      <c r="AL181" s="248"/>
      <c r="AM181" s="248"/>
      <c r="AN181" s="251"/>
      <c r="AO181" s="248"/>
      <c r="AP181" s="248"/>
    </row>
    <row r="182" spans="3:42" x14ac:dyDescent="0.25">
      <c r="C182" s="360"/>
      <c r="D182" s="360"/>
      <c r="E182" s="360"/>
      <c r="F182" s="360"/>
      <c r="G182" s="248"/>
      <c r="H182" s="248"/>
      <c r="I182" s="248"/>
      <c r="J182" s="247"/>
      <c r="K182" s="248"/>
      <c r="L182" s="248"/>
      <c r="M182" s="247"/>
      <c r="N182" s="248"/>
      <c r="O182" s="248"/>
      <c r="P182" s="247"/>
      <c r="Q182" s="248"/>
      <c r="R182" s="362"/>
      <c r="S182" s="358"/>
      <c r="T182" s="248"/>
      <c r="U182" s="248"/>
      <c r="V182" s="247"/>
      <c r="W182" s="248"/>
      <c r="X182" s="248"/>
      <c r="Y182" s="251"/>
      <c r="Z182" s="248"/>
      <c r="AA182" s="248"/>
      <c r="AB182" s="248"/>
      <c r="AC182" s="248"/>
      <c r="AD182" s="248"/>
      <c r="AE182" s="254"/>
      <c r="AF182" s="248"/>
      <c r="AG182" s="248"/>
      <c r="AH182" s="251"/>
      <c r="AI182" s="248"/>
      <c r="AJ182" s="248"/>
      <c r="AK182" s="248"/>
      <c r="AL182" s="248"/>
      <c r="AM182" s="248"/>
      <c r="AN182" s="251"/>
      <c r="AO182" s="248"/>
      <c r="AP182" s="248"/>
    </row>
    <row r="183" spans="3:42" x14ac:dyDescent="0.25">
      <c r="C183" s="360"/>
      <c r="D183" s="360"/>
      <c r="E183" s="360"/>
      <c r="F183" s="360"/>
      <c r="G183" s="248"/>
      <c r="H183" s="248"/>
      <c r="I183" s="248"/>
      <c r="J183" s="247"/>
      <c r="K183" s="248"/>
      <c r="L183" s="248"/>
      <c r="M183" s="247"/>
      <c r="N183" s="248"/>
      <c r="O183" s="248"/>
      <c r="P183" s="247"/>
      <c r="Q183" s="248"/>
      <c r="R183" s="362"/>
      <c r="S183" s="358"/>
      <c r="T183" s="248"/>
      <c r="U183" s="248"/>
      <c r="V183" s="247"/>
      <c r="W183" s="248"/>
      <c r="X183" s="248"/>
      <c r="Y183" s="251"/>
      <c r="Z183" s="248"/>
      <c r="AA183" s="248"/>
      <c r="AB183" s="248"/>
      <c r="AC183" s="248"/>
      <c r="AD183" s="248"/>
      <c r="AE183" s="254"/>
      <c r="AF183" s="248"/>
      <c r="AG183" s="248"/>
      <c r="AH183" s="251"/>
      <c r="AI183" s="248"/>
      <c r="AJ183" s="248"/>
      <c r="AK183" s="248"/>
      <c r="AL183" s="248"/>
      <c r="AM183" s="248"/>
      <c r="AN183" s="251"/>
      <c r="AO183" s="248"/>
      <c r="AP183" s="248"/>
    </row>
    <row r="184" spans="3:42" x14ac:dyDescent="0.25">
      <c r="C184" s="360"/>
      <c r="D184" s="360"/>
      <c r="E184" s="360"/>
      <c r="F184" s="360"/>
      <c r="G184" s="248"/>
      <c r="H184" s="248"/>
      <c r="I184" s="248"/>
      <c r="J184" s="247"/>
      <c r="K184" s="248"/>
      <c r="L184" s="248"/>
      <c r="M184" s="247"/>
      <c r="N184" s="248"/>
      <c r="O184" s="248"/>
      <c r="P184" s="247"/>
      <c r="Q184" s="248"/>
      <c r="R184" s="362"/>
      <c r="S184" s="358"/>
      <c r="T184" s="248"/>
      <c r="U184" s="248"/>
      <c r="V184" s="247"/>
      <c r="W184" s="248"/>
      <c r="X184" s="248"/>
      <c r="Y184" s="251"/>
      <c r="Z184" s="248"/>
      <c r="AA184" s="248"/>
      <c r="AB184" s="248"/>
      <c r="AC184" s="248"/>
      <c r="AD184" s="248"/>
      <c r="AE184" s="254"/>
      <c r="AF184" s="248"/>
      <c r="AG184" s="248"/>
      <c r="AH184" s="251"/>
      <c r="AI184" s="248"/>
      <c r="AJ184" s="248"/>
      <c r="AK184" s="248"/>
      <c r="AL184" s="248"/>
      <c r="AM184" s="248"/>
      <c r="AN184" s="251"/>
      <c r="AO184" s="248"/>
      <c r="AP184" s="248"/>
    </row>
    <row r="185" spans="3:42" x14ac:dyDescent="0.25">
      <c r="C185" s="360"/>
      <c r="D185" s="360"/>
      <c r="E185" s="360"/>
      <c r="F185" s="360"/>
      <c r="G185" s="248"/>
      <c r="H185" s="248"/>
      <c r="I185" s="248"/>
      <c r="J185" s="247"/>
      <c r="K185" s="248"/>
      <c r="L185" s="248"/>
      <c r="M185" s="247"/>
      <c r="N185" s="248"/>
      <c r="O185" s="248"/>
      <c r="P185" s="247"/>
      <c r="Q185" s="248"/>
      <c r="R185" s="362"/>
      <c r="S185" s="358"/>
      <c r="T185" s="248"/>
      <c r="U185" s="248"/>
      <c r="V185" s="247"/>
      <c r="W185" s="248"/>
      <c r="X185" s="248"/>
      <c r="Y185" s="251"/>
      <c r="Z185" s="248"/>
      <c r="AA185" s="248"/>
      <c r="AB185" s="248"/>
      <c r="AC185" s="248"/>
      <c r="AD185" s="248"/>
      <c r="AE185" s="254"/>
      <c r="AF185" s="248"/>
      <c r="AG185" s="248"/>
      <c r="AH185" s="251"/>
      <c r="AI185" s="248"/>
      <c r="AJ185" s="248"/>
      <c r="AK185" s="248"/>
      <c r="AL185" s="248"/>
      <c r="AM185" s="248"/>
      <c r="AN185" s="251"/>
      <c r="AO185" s="248"/>
      <c r="AP185" s="248"/>
    </row>
    <row r="186" spans="3:42" x14ac:dyDescent="0.25">
      <c r="C186" s="360"/>
      <c r="D186" s="360"/>
      <c r="E186" s="360"/>
      <c r="F186" s="360"/>
      <c r="G186" s="248"/>
      <c r="H186" s="248"/>
      <c r="I186" s="248"/>
      <c r="J186" s="247"/>
      <c r="K186" s="248"/>
      <c r="L186" s="248"/>
      <c r="M186" s="247"/>
      <c r="N186" s="248"/>
      <c r="O186" s="248"/>
      <c r="P186" s="247"/>
      <c r="Q186" s="248"/>
      <c r="R186" s="362"/>
      <c r="S186" s="358"/>
      <c r="T186" s="248"/>
      <c r="U186" s="248"/>
      <c r="V186" s="247"/>
      <c r="W186" s="248"/>
      <c r="X186" s="248"/>
      <c r="Y186" s="251"/>
      <c r="Z186" s="248"/>
      <c r="AA186" s="248"/>
      <c r="AB186" s="248"/>
      <c r="AC186" s="248"/>
      <c r="AD186" s="248"/>
      <c r="AE186" s="254"/>
      <c r="AF186" s="248"/>
      <c r="AG186" s="248"/>
      <c r="AH186" s="251"/>
      <c r="AI186" s="248"/>
      <c r="AJ186" s="248"/>
      <c r="AK186" s="248"/>
      <c r="AL186" s="248"/>
      <c r="AM186" s="248"/>
      <c r="AN186" s="251"/>
      <c r="AO186" s="248"/>
      <c r="AP186" s="248"/>
    </row>
    <row r="187" spans="3:42" x14ac:dyDescent="0.25">
      <c r="C187" s="360"/>
      <c r="D187" s="360"/>
      <c r="E187" s="360"/>
      <c r="F187" s="360"/>
      <c r="G187" s="248"/>
      <c r="H187" s="248"/>
      <c r="I187" s="248"/>
      <c r="J187" s="247"/>
      <c r="K187" s="248"/>
      <c r="L187" s="248"/>
      <c r="M187" s="247"/>
      <c r="N187" s="248"/>
      <c r="O187" s="248"/>
      <c r="P187" s="247"/>
      <c r="Q187" s="248"/>
      <c r="R187" s="362"/>
      <c r="S187" s="358"/>
      <c r="T187" s="248"/>
      <c r="U187" s="248"/>
      <c r="V187" s="247"/>
      <c r="W187" s="248"/>
      <c r="X187" s="248"/>
      <c r="Y187" s="251"/>
      <c r="Z187" s="248"/>
      <c r="AA187" s="248"/>
      <c r="AB187" s="248"/>
      <c r="AC187" s="248"/>
      <c r="AD187" s="248"/>
      <c r="AE187" s="254"/>
      <c r="AF187" s="248"/>
      <c r="AG187" s="248"/>
      <c r="AH187" s="251"/>
      <c r="AI187" s="248"/>
      <c r="AJ187" s="248"/>
      <c r="AK187" s="248"/>
      <c r="AL187" s="248"/>
      <c r="AM187" s="248"/>
      <c r="AN187" s="251"/>
      <c r="AO187" s="248"/>
      <c r="AP187" s="248"/>
    </row>
    <row r="188" spans="3:42" x14ac:dyDescent="0.25">
      <c r="C188" s="360"/>
      <c r="D188" s="360"/>
      <c r="E188" s="360"/>
      <c r="F188" s="360"/>
      <c r="G188" s="248"/>
      <c r="H188" s="248"/>
      <c r="I188" s="248"/>
      <c r="J188" s="247"/>
      <c r="K188" s="248"/>
      <c r="L188" s="248"/>
      <c r="M188" s="247"/>
      <c r="N188" s="248"/>
      <c r="O188" s="248"/>
      <c r="P188" s="247"/>
      <c r="Q188" s="248"/>
      <c r="R188" s="362"/>
      <c r="S188" s="358"/>
      <c r="T188" s="248"/>
      <c r="U188" s="248"/>
      <c r="V188" s="247"/>
      <c r="W188" s="248"/>
      <c r="X188" s="248"/>
      <c r="Y188" s="251"/>
      <c r="Z188" s="248"/>
      <c r="AA188" s="248"/>
      <c r="AB188" s="248"/>
      <c r="AC188" s="248"/>
      <c r="AD188" s="248"/>
      <c r="AE188" s="254"/>
      <c r="AF188" s="248"/>
      <c r="AG188" s="248"/>
      <c r="AH188" s="251"/>
      <c r="AI188" s="248"/>
      <c r="AJ188" s="248"/>
      <c r="AK188" s="248"/>
      <c r="AL188" s="248"/>
      <c r="AM188" s="248"/>
      <c r="AN188" s="251"/>
      <c r="AO188" s="248"/>
      <c r="AP188" s="248"/>
    </row>
    <row r="189" spans="3:42" x14ac:dyDescent="0.25">
      <c r="C189" s="360"/>
      <c r="D189" s="360"/>
      <c r="E189" s="360"/>
      <c r="F189" s="360"/>
      <c r="G189" s="248"/>
      <c r="H189" s="248"/>
      <c r="I189" s="248"/>
      <c r="J189" s="247"/>
      <c r="K189" s="248"/>
      <c r="L189" s="248"/>
      <c r="M189" s="247"/>
      <c r="N189" s="248"/>
      <c r="O189" s="248"/>
      <c r="P189" s="247"/>
      <c r="Q189" s="248"/>
      <c r="R189" s="362"/>
      <c r="S189" s="358"/>
      <c r="T189" s="248"/>
      <c r="U189" s="248"/>
      <c r="V189" s="247"/>
      <c r="W189" s="248"/>
      <c r="X189" s="248"/>
      <c r="Y189" s="251"/>
      <c r="Z189" s="248"/>
      <c r="AA189" s="248"/>
      <c r="AB189" s="248"/>
      <c r="AC189" s="248"/>
      <c r="AD189" s="248"/>
      <c r="AE189" s="254"/>
      <c r="AF189" s="248"/>
      <c r="AG189" s="248"/>
      <c r="AH189" s="251"/>
      <c r="AI189" s="248"/>
      <c r="AJ189" s="248"/>
      <c r="AK189" s="248"/>
      <c r="AL189" s="248"/>
      <c r="AM189" s="248"/>
      <c r="AN189" s="251"/>
      <c r="AO189" s="248"/>
      <c r="AP189" s="248"/>
    </row>
    <row r="190" spans="3:42" x14ac:dyDescent="0.25">
      <c r="C190" s="360"/>
      <c r="D190" s="360"/>
      <c r="E190" s="360"/>
      <c r="F190" s="360"/>
      <c r="G190" s="248"/>
      <c r="H190" s="248"/>
      <c r="I190" s="248"/>
      <c r="J190" s="247"/>
      <c r="K190" s="248"/>
      <c r="L190" s="248"/>
      <c r="M190" s="247"/>
      <c r="N190" s="248"/>
      <c r="O190" s="248"/>
      <c r="P190" s="247"/>
      <c r="Q190" s="248"/>
      <c r="R190" s="362"/>
      <c r="S190" s="358"/>
      <c r="T190" s="248"/>
      <c r="U190" s="248"/>
      <c r="V190" s="247"/>
      <c r="W190" s="248"/>
      <c r="X190" s="248"/>
      <c r="Y190" s="251"/>
      <c r="Z190" s="248"/>
      <c r="AA190" s="248"/>
      <c r="AB190" s="248"/>
      <c r="AC190" s="248"/>
      <c r="AD190" s="248"/>
      <c r="AE190" s="254"/>
      <c r="AF190" s="248"/>
      <c r="AG190" s="248"/>
      <c r="AH190" s="251"/>
      <c r="AI190" s="248"/>
      <c r="AJ190" s="248"/>
      <c r="AK190" s="248"/>
      <c r="AL190" s="248"/>
      <c r="AM190" s="248"/>
      <c r="AN190" s="251"/>
      <c r="AO190" s="248"/>
      <c r="AP190" s="248"/>
    </row>
    <row r="191" spans="3:42" x14ac:dyDescent="0.25">
      <c r="C191" s="360"/>
      <c r="D191" s="360"/>
      <c r="E191" s="360"/>
      <c r="F191" s="360"/>
      <c r="G191" s="248"/>
      <c r="H191" s="248"/>
      <c r="I191" s="248"/>
      <c r="J191" s="247"/>
      <c r="K191" s="248"/>
      <c r="L191" s="248"/>
      <c r="M191" s="247"/>
      <c r="N191" s="248"/>
      <c r="O191" s="248"/>
      <c r="P191" s="247"/>
      <c r="Q191" s="248"/>
      <c r="R191" s="362"/>
      <c r="S191" s="358"/>
      <c r="T191" s="248"/>
      <c r="U191" s="248"/>
      <c r="V191" s="247"/>
      <c r="W191" s="248"/>
      <c r="X191" s="248"/>
      <c r="Y191" s="251"/>
      <c r="Z191" s="248"/>
      <c r="AA191" s="248"/>
      <c r="AB191" s="248"/>
      <c r="AC191" s="248"/>
      <c r="AD191" s="248"/>
      <c r="AE191" s="254"/>
      <c r="AF191" s="248"/>
      <c r="AG191" s="248"/>
      <c r="AH191" s="251"/>
      <c r="AI191" s="248"/>
      <c r="AJ191" s="248"/>
      <c r="AK191" s="248"/>
      <c r="AL191" s="248"/>
      <c r="AM191" s="248"/>
      <c r="AN191" s="251"/>
      <c r="AO191" s="248"/>
      <c r="AP191" s="248"/>
    </row>
    <row r="192" spans="3:42" x14ac:dyDescent="0.25">
      <c r="C192" s="360"/>
      <c r="D192" s="360"/>
      <c r="E192" s="360"/>
      <c r="F192" s="360"/>
      <c r="G192" s="248"/>
      <c r="H192" s="248"/>
      <c r="I192" s="248"/>
      <c r="J192" s="247"/>
      <c r="K192" s="248"/>
      <c r="L192" s="248"/>
      <c r="M192" s="247"/>
      <c r="N192" s="248"/>
      <c r="O192" s="248"/>
      <c r="P192" s="247"/>
      <c r="Q192" s="248"/>
      <c r="R192" s="362"/>
      <c r="S192" s="358"/>
      <c r="T192" s="248"/>
      <c r="U192" s="248"/>
      <c r="V192" s="247"/>
      <c r="W192" s="248"/>
      <c r="X192" s="248"/>
      <c r="Y192" s="251"/>
      <c r="Z192" s="248"/>
      <c r="AA192" s="248"/>
      <c r="AB192" s="248"/>
      <c r="AC192" s="248"/>
      <c r="AD192" s="248"/>
      <c r="AE192" s="254"/>
      <c r="AF192" s="248"/>
      <c r="AG192" s="248"/>
      <c r="AH192" s="251"/>
      <c r="AI192" s="248"/>
      <c r="AJ192" s="248"/>
      <c r="AK192" s="248"/>
      <c r="AL192" s="248"/>
      <c r="AM192" s="248"/>
      <c r="AN192" s="251"/>
      <c r="AO192" s="248"/>
      <c r="AP192" s="248"/>
    </row>
    <row r="193" spans="3:42" x14ac:dyDescent="0.25">
      <c r="C193" s="360"/>
      <c r="D193" s="360"/>
      <c r="E193" s="360"/>
      <c r="F193" s="360"/>
      <c r="G193" s="248"/>
      <c r="H193" s="248"/>
      <c r="I193" s="248"/>
      <c r="J193" s="247"/>
      <c r="K193" s="248"/>
      <c r="L193" s="248"/>
      <c r="M193" s="247"/>
      <c r="N193" s="248"/>
      <c r="O193" s="248"/>
      <c r="P193" s="247"/>
      <c r="Q193" s="248"/>
      <c r="R193" s="362"/>
      <c r="S193" s="358"/>
      <c r="T193" s="248"/>
      <c r="U193" s="248"/>
      <c r="V193" s="247"/>
      <c r="W193" s="248"/>
      <c r="X193" s="248"/>
      <c r="Y193" s="251"/>
      <c r="Z193" s="248"/>
      <c r="AA193" s="248"/>
      <c r="AB193" s="248"/>
      <c r="AC193" s="248"/>
      <c r="AD193" s="248"/>
      <c r="AE193" s="254"/>
      <c r="AF193" s="248"/>
      <c r="AG193" s="248"/>
      <c r="AH193" s="251"/>
      <c r="AI193" s="248"/>
      <c r="AJ193" s="248"/>
      <c r="AK193" s="248"/>
      <c r="AL193" s="248"/>
      <c r="AM193" s="248"/>
      <c r="AN193" s="251"/>
      <c r="AO193" s="248"/>
      <c r="AP193" s="248"/>
    </row>
    <row r="194" spans="3:42" x14ac:dyDescent="0.25">
      <c r="C194" s="360"/>
      <c r="D194" s="360"/>
      <c r="E194" s="360"/>
      <c r="F194" s="360"/>
      <c r="G194" s="248"/>
      <c r="H194" s="248"/>
      <c r="I194" s="248"/>
      <c r="J194" s="247"/>
      <c r="K194" s="248"/>
      <c r="L194" s="248"/>
      <c r="M194" s="247"/>
      <c r="N194" s="248"/>
      <c r="O194" s="248"/>
      <c r="P194" s="247"/>
      <c r="Q194" s="248"/>
      <c r="R194" s="362"/>
      <c r="S194" s="358"/>
      <c r="T194" s="248"/>
      <c r="U194" s="248"/>
      <c r="V194" s="247"/>
      <c r="W194" s="248"/>
      <c r="X194" s="248"/>
      <c r="Y194" s="251"/>
      <c r="Z194" s="248"/>
      <c r="AA194" s="248"/>
      <c r="AB194" s="248"/>
      <c r="AC194" s="248"/>
      <c r="AD194" s="248"/>
      <c r="AE194" s="254"/>
      <c r="AF194" s="248"/>
      <c r="AG194" s="248"/>
      <c r="AH194" s="251"/>
      <c r="AI194" s="248"/>
      <c r="AJ194" s="248"/>
      <c r="AK194" s="248"/>
      <c r="AL194" s="248"/>
      <c r="AM194" s="248"/>
      <c r="AN194" s="251"/>
      <c r="AO194" s="248"/>
      <c r="AP194" s="248"/>
    </row>
    <row r="195" spans="3:42" x14ac:dyDescent="0.25">
      <c r="C195" s="360"/>
      <c r="D195" s="360"/>
      <c r="E195" s="360"/>
      <c r="F195" s="360"/>
      <c r="G195" s="248"/>
      <c r="H195" s="248"/>
      <c r="I195" s="248"/>
      <c r="J195" s="247"/>
      <c r="K195" s="248"/>
      <c r="L195" s="248"/>
      <c r="M195" s="247"/>
      <c r="N195" s="248"/>
      <c r="O195" s="248"/>
      <c r="P195" s="247"/>
      <c r="Q195" s="248"/>
      <c r="R195" s="362"/>
      <c r="S195" s="358"/>
      <c r="T195" s="248"/>
      <c r="U195" s="248"/>
      <c r="V195" s="247"/>
      <c r="W195" s="248"/>
      <c r="X195" s="248"/>
      <c r="Y195" s="251"/>
      <c r="Z195" s="248"/>
      <c r="AA195" s="248"/>
      <c r="AB195" s="248"/>
      <c r="AC195" s="248"/>
      <c r="AD195" s="248"/>
      <c r="AE195" s="254"/>
      <c r="AF195" s="248"/>
      <c r="AG195" s="248"/>
      <c r="AH195" s="251"/>
      <c r="AI195" s="248"/>
      <c r="AJ195" s="248"/>
      <c r="AK195" s="248"/>
      <c r="AL195" s="248"/>
      <c r="AM195" s="248"/>
      <c r="AN195" s="251"/>
      <c r="AO195" s="248"/>
      <c r="AP195" s="248"/>
    </row>
    <row r="196" spans="3:42" x14ac:dyDescent="0.25">
      <c r="C196" s="360"/>
      <c r="D196" s="360"/>
      <c r="E196" s="360"/>
      <c r="F196" s="360"/>
      <c r="G196" s="248"/>
      <c r="H196" s="248"/>
      <c r="I196" s="248"/>
      <c r="J196" s="247"/>
      <c r="K196" s="248"/>
      <c r="L196" s="248"/>
      <c r="M196" s="247"/>
      <c r="N196" s="248"/>
      <c r="O196" s="248"/>
      <c r="P196" s="247"/>
      <c r="Q196" s="248"/>
      <c r="R196" s="362"/>
      <c r="S196" s="358"/>
      <c r="T196" s="248"/>
      <c r="U196" s="248"/>
      <c r="V196" s="247"/>
      <c r="W196" s="248"/>
      <c r="X196" s="248"/>
      <c r="Y196" s="251"/>
      <c r="Z196" s="248"/>
      <c r="AA196" s="248"/>
      <c r="AB196" s="248"/>
      <c r="AC196" s="248"/>
      <c r="AD196" s="248"/>
      <c r="AE196" s="254"/>
      <c r="AF196" s="248"/>
      <c r="AG196" s="248"/>
      <c r="AH196" s="251"/>
      <c r="AI196" s="248"/>
      <c r="AJ196" s="248"/>
      <c r="AK196" s="248"/>
      <c r="AL196" s="248"/>
      <c r="AM196" s="248"/>
      <c r="AN196" s="251"/>
      <c r="AO196" s="248"/>
      <c r="AP196" s="248"/>
    </row>
    <row r="197" spans="3:42" x14ac:dyDescent="0.25">
      <c r="C197" s="360"/>
      <c r="D197" s="360"/>
      <c r="E197" s="360"/>
      <c r="F197" s="360"/>
      <c r="G197" s="248"/>
      <c r="H197" s="248"/>
      <c r="I197" s="248"/>
      <c r="J197" s="247"/>
      <c r="K197" s="248"/>
      <c r="L197" s="248"/>
      <c r="M197" s="247"/>
      <c r="N197" s="248"/>
      <c r="O197" s="248"/>
      <c r="P197" s="247"/>
      <c r="Q197" s="248"/>
      <c r="R197" s="362"/>
      <c r="S197" s="358"/>
      <c r="T197" s="248"/>
      <c r="U197" s="248"/>
      <c r="V197" s="247"/>
      <c r="W197" s="248"/>
      <c r="X197" s="248"/>
      <c r="Y197" s="251"/>
      <c r="Z197" s="248"/>
      <c r="AA197" s="248"/>
      <c r="AB197" s="248"/>
      <c r="AC197" s="248"/>
      <c r="AD197" s="248"/>
      <c r="AE197" s="254"/>
      <c r="AF197" s="248"/>
      <c r="AG197" s="248"/>
      <c r="AH197" s="251"/>
      <c r="AI197" s="248"/>
      <c r="AJ197" s="248"/>
      <c r="AK197" s="248"/>
      <c r="AL197" s="248"/>
      <c r="AM197" s="248"/>
      <c r="AN197" s="251"/>
      <c r="AO197" s="248"/>
      <c r="AP197" s="248"/>
    </row>
    <row r="198" spans="3:42" x14ac:dyDescent="0.25">
      <c r="C198" s="360"/>
      <c r="D198" s="360"/>
      <c r="E198" s="360"/>
      <c r="F198" s="360"/>
      <c r="G198" s="248"/>
      <c r="H198" s="248"/>
      <c r="I198" s="248"/>
      <c r="J198" s="247"/>
      <c r="K198" s="248"/>
      <c r="L198" s="248"/>
      <c r="M198" s="247"/>
      <c r="N198" s="248"/>
      <c r="O198" s="248"/>
      <c r="P198" s="247"/>
      <c r="Q198" s="248"/>
      <c r="R198" s="362"/>
      <c r="S198" s="358"/>
      <c r="T198" s="248"/>
      <c r="U198" s="248"/>
      <c r="V198" s="247"/>
      <c r="W198" s="248"/>
      <c r="X198" s="248"/>
      <c r="Y198" s="251"/>
      <c r="Z198" s="248"/>
      <c r="AA198" s="248"/>
      <c r="AB198" s="248"/>
      <c r="AC198" s="248"/>
      <c r="AD198" s="248"/>
      <c r="AE198" s="254"/>
      <c r="AF198" s="248"/>
      <c r="AG198" s="248"/>
      <c r="AH198" s="251"/>
      <c r="AI198" s="248"/>
      <c r="AJ198" s="248"/>
      <c r="AK198" s="248"/>
      <c r="AL198" s="248"/>
      <c r="AM198" s="248"/>
      <c r="AN198" s="251"/>
      <c r="AO198" s="248"/>
      <c r="AP198" s="248"/>
    </row>
    <row r="199" spans="3:42" x14ac:dyDescent="0.25">
      <c r="C199" s="360"/>
      <c r="D199" s="360"/>
      <c r="E199" s="360"/>
      <c r="F199" s="360"/>
      <c r="G199" s="248"/>
      <c r="H199" s="248"/>
      <c r="I199" s="248"/>
      <c r="J199" s="247"/>
      <c r="K199" s="248"/>
      <c r="L199" s="248"/>
      <c r="M199" s="247"/>
      <c r="N199" s="248"/>
      <c r="O199" s="248"/>
      <c r="P199" s="247"/>
      <c r="Q199" s="248"/>
      <c r="R199" s="362"/>
      <c r="S199" s="358"/>
      <c r="T199" s="248"/>
      <c r="U199" s="248"/>
      <c r="V199" s="247"/>
      <c r="W199" s="248"/>
      <c r="X199" s="248"/>
      <c r="Y199" s="251"/>
      <c r="Z199" s="248"/>
      <c r="AA199" s="248"/>
      <c r="AB199" s="248"/>
      <c r="AC199" s="248"/>
      <c r="AD199" s="248"/>
      <c r="AE199" s="254"/>
      <c r="AF199" s="248"/>
      <c r="AG199" s="248"/>
      <c r="AH199" s="251"/>
      <c r="AI199" s="248"/>
      <c r="AJ199" s="248"/>
      <c r="AK199" s="248"/>
      <c r="AL199" s="248"/>
      <c r="AM199" s="248"/>
      <c r="AN199" s="251"/>
      <c r="AO199" s="248"/>
      <c r="AP199" s="248"/>
    </row>
    <row r="200" spans="3:42" x14ac:dyDescent="0.25">
      <c r="C200" s="360"/>
      <c r="D200" s="360"/>
      <c r="E200" s="360"/>
      <c r="F200" s="360"/>
      <c r="G200" s="248"/>
      <c r="H200" s="248"/>
      <c r="I200" s="248"/>
      <c r="J200" s="247"/>
      <c r="K200" s="248"/>
      <c r="L200" s="248"/>
      <c r="M200" s="247"/>
      <c r="N200" s="248"/>
      <c r="O200" s="248"/>
      <c r="P200" s="247"/>
      <c r="Q200" s="248"/>
      <c r="R200" s="362"/>
      <c r="S200" s="358"/>
      <c r="T200" s="248"/>
      <c r="U200" s="248"/>
      <c r="V200" s="247"/>
      <c r="W200" s="248"/>
      <c r="X200" s="248"/>
      <c r="Y200" s="251"/>
      <c r="Z200" s="248"/>
      <c r="AA200" s="248"/>
      <c r="AB200" s="248"/>
      <c r="AC200" s="248"/>
      <c r="AD200" s="248"/>
      <c r="AE200" s="254"/>
      <c r="AF200" s="248"/>
      <c r="AG200" s="248"/>
      <c r="AH200" s="251"/>
      <c r="AI200" s="248"/>
      <c r="AJ200" s="248"/>
      <c r="AK200" s="248"/>
      <c r="AL200" s="248"/>
      <c r="AM200" s="248"/>
      <c r="AN200" s="251"/>
      <c r="AO200" s="248"/>
      <c r="AP200" s="248"/>
    </row>
    <row r="201" spans="3:42" x14ac:dyDescent="0.25">
      <c r="C201" s="360"/>
      <c r="D201" s="360"/>
      <c r="E201" s="360"/>
      <c r="F201" s="360"/>
      <c r="G201" s="248"/>
      <c r="H201" s="248"/>
      <c r="I201" s="248"/>
      <c r="J201" s="247"/>
      <c r="K201" s="248"/>
      <c r="L201" s="248"/>
      <c r="M201" s="247"/>
      <c r="N201" s="248"/>
      <c r="O201" s="248"/>
      <c r="P201" s="247"/>
      <c r="Q201" s="248"/>
      <c r="R201" s="362"/>
      <c r="S201" s="358"/>
      <c r="T201" s="248"/>
      <c r="U201" s="248"/>
      <c r="V201" s="247"/>
      <c r="W201" s="248"/>
      <c r="X201" s="248"/>
      <c r="Y201" s="251"/>
      <c r="Z201" s="248"/>
      <c r="AA201" s="248"/>
      <c r="AB201" s="248"/>
      <c r="AC201" s="248"/>
      <c r="AD201" s="248"/>
      <c r="AE201" s="254"/>
      <c r="AF201" s="248"/>
      <c r="AG201" s="248"/>
      <c r="AH201" s="251"/>
      <c r="AI201" s="248"/>
      <c r="AJ201" s="248"/>
      <c r="AK201" s="248"/>
      <c r="AL201" s="248"/>
      <c r="AM201" s="248"/>
      <c r="AN201" s="251"/>
      <c r="AO201" s="248"/>
      <c r="AP201" s="248"/>
    </row>
    <row r="202" spans="3:42" x14ac:dyDescent="0.25">
      <c r="C202" s="360"/>
      <c r="D202" s="360"/>
      <c r="E202" s="360"/>
      <c r="F202" s="360"/>
      <c r="G202" s="248"/>
      <c r="H202" s="248"/>
      <c r="I202" s="248"/>
      <c r="J202" s="247"/>
      <c r="K202" s="248"/>
      <c r="L202" s="248"/>
      <c r="M202" s="247"/>
      <c r="N202" s="248"/>
      <c r="O202" s="248"/>
      <c r="P202" s="247"/>
      <c r="Q202" s="248"/>
      <c r="R202" s="362"/>
      <c r="S202" s="358"/>
      <c r="T202" s="248"/>
      <c r="U202" s="248"/>
      <c r="V202" s="247"/>
      <c r="W202" s="248"/>
      <c r="X202" s="248"/>
      <c r="Y202" s="251"/>
      <c r="Z202" s="248"/>
      <c r="AA202" s="248"/>
      <c r="AB202" s="248"/>
      <c r="AC202" s="248"/>
      <c r="AD202" s="248"/>
      <c r="AE202" s="254"/>
      <c r="AF202" s="248"/>
      <c r="AG202" s="248"/>
      <c r="AH202" s="251"/>
      <c r="AI202" s="248"/>
      <c r="AJ202" s="248"/>
      <c r="AK202" s="248"/>
      <c r="AL202" s="248"/>
      <c r="AM202" s="248"/>
      <c r="AN202" s="251"/>
      <c r="AO202" s="248"/>
      <c r="AP202" s="248"/>
    </row>
    <row r="203" spans="3:42" x14ac:dyDescent="0.25">
      <c r="C203" s="360"/>
      <c r="D203" s="360"/>
      <c r="E203" s="360"/>
      <c r="F203" s="360"/>
      <c r="G203" s="248"/>
      <c r="H203" s="248"/>
      <c r="I203" s="248"/>
      <c r="J203" s="247"/>
      <c r="K203" s="248"/>
      <c r="L203" s="248"/>
      <c r="M203" s="247"/>
      <c r="N203" s="248"/>
      <c r="O203" s="248"/>
      <c r="P203" s="247"/>
      <c r="Q203" s="248"/>
      <c r="R203" s="362"/>
      <c r="S203" s="358"/>
      <c r="T203" s="248"/>
      <c r="U203" s="248"/>
      <c r="V203" s="247"/>
      <c r="W203" s="248"/>
      <c r="X203" s="248"/>
      <c r="Y203" s="251"/>
      <c r="Z203" s="248"/>
      <c r="AA203" s="248"/>
      <c r="AB203" s="248"/>
      <c r="AC203" s="248"/>
      <c r="AD203" s="248"/>
      <c r="AE203" s="254"/>
      <c r="AF203" s="248"/>
      <c r="AG203" s="248"/>
      <c r="AH203" s="251"/>
      <c r="AI203" s="248"/>
      <c r="AJ203" s="248"/>
      <c r="AK203" s="248"/>
      <c r="AL203" s="248"/>
      <c r="AM203" s="248"/>
      <c r="AN203" s="251"/>
      <c r="AO203" s="248"/>
      <c r="AP203" s="248"/>
    </row>
    <row r="204" spans="3:42" x14ac:dyDescent="0.25">
      <c r="C204" s="360"/>
      <c r="D204" s="360"/>
      <c r="E204" s="360"/>
      <c r="F204" s="360"/>
      <c r="G204" s="248"/>
      <c r="H204" s="248"/>
      <c r="I204" s="248"/>
      <c r="J204" s="247"/>
      <c r="K204" s="248"/>
      <c r="L204" s="248"/>
      <c r="M204" s="247"/>
      <c r="N204" s="248"/>
      <c r="O204" s="248"/>
      <c r="P204" s="247"/>
      <c r="Q204" s="248"/>
      <c r="R204" s="362"/>
      <c r="S204" s="358"/>
      <c r="T204" s="248"/>
      <c r="U204" s="248"/>
      <c r="V204" s="247"/>
      <c r="W204" s="248"/>
      <c r="X204" s="248"/>
      <c r="Y204" s="251"/>
      <c r="Z204" s="248"/>
      <c r="AA204" s="248"/>
      <c r="AB204" s="248"/>
      <c r="AC204" s="248"/>
      <c r="AD204" s="248"/>
      <c r="AE204" s="254"/>
      <c r="AF204" s="248"/>
      <c r="AG204" s="248"/>
      <c r="AH204" s="251"/>
      <c r="AI204" s="248"/>
      <c r="AJ204" s="248"/>
      <c r="AK204" s="248"/>
      <c r="AL204" s="248"/>
      <c r="AM204" s="248"/>
      <c r="AN204" s="251"/>
      <c r="AO204" s="248"/>
      <c r="AP204" s="248"/>
    </row>
    <row r="205" spans="3:42" x14ac:dyDescent="0.25">
      <c r="C205" s="360"/>
      <c r="D205" s="360"/>
      <c r="E205" s="360"/>
      <c r="F205" s="360"/>
      <c r="G205" s="248"/>
      <c r="H205" s="248"/>
      <c r="I205" s="248"/>
      <c r="J205" s="247"/>
      <c r="K205" s="248"/>
      <c r="L205" s="248"/>
      <c r="M205" s="247"/>
      <c r="N205" s="248"/>
      <c r="O205" s="248"/>
      <c r="P205" s="247"/>
      <c r="Q205" s="248"/>
      <c r="R205" s="362"/>
      <c r="S205" s="358"/>
      <c r="T205" s="248"/>
      <c r="U205" s="248"/>
      <c r="V205" s="247"/>
      <c r="W205" s="248"/>
      <c r="X205" s="248"/>
      <c r="Y205" s="251"/>
      <c r="Z205" s="248"/>
      <c r="AA205" s="248"/>
      <c r="AB205" s="248"/>
      <c r="AC205" s="248"/>
      <c r="AD205" s="248"/>
      <c r="AE205" s="254"/>
      <c r="AF205" s="248"/>
      <c r="AG205" s="248"/>
      <c r="AH205" s="251"/>
      <c r="AI205" s="248"/>
      <c r="AJ205" s="248"/>
      <c r="AK205" s="248"/>
      <c r="AL205" s="248"/>
      <c r="AM205" s="248"/>
      <c r="AN205" s="251"/>
      <c r="AO205" s="248"/>
      <c r="AP205" s="248"/>
    </row>
    <row r="206" spans="3:42" x14ac:dyDescent="0.25">
      <c r="C206" s="360"/>
      <c r="D206" s="360"/>
      <c r="E206" s="360"/>
      <c r="F206" s="360"/>
      <c r="G206" s="248"/>
      <c r="H206" s="248"/>
      <c r="I206" s="248"/>
      <c r="J206" s="247"/>
      <c r="K206" s="248"/>
      <c r="L206" s="248"/>
      <c r="M206" s="247"/>
      <c r="N206" s="248"/>
      <c r="O206" s="248"/>
      <c r="P206" s="247"/>
      <c r="Q206" s="248"/>
      <c r="R206" s="362"/>
      <c r="S206" s="358"/>
      <c r="T206" s="248"/>
      <c r="U206" s="248"/>
      <c r="V206" s="247"/>
      <c r="W206" s="248"/>
      <c r="X206" s="248"/>
      <c r="Y206" s="251"/>
      <c r="Z206" s="248"/>
      <c r="AA206" s="248"/>
      <c r="AB206" s="248"/>
      <c r="AC206" s="248"/>
      <c r="AD206" s="248"/>
      <c r="AE206" s="254"/>
      <c r="AF206" s="248"/>
      <c r="AG206" s="248"/>
      <c r="AH206" s="251"/>
      <c r="AI206" s="248"/>
      <c r="AJ206" s="248"/>
      <c r="AK206" s="248"/>
      <c r="AL206" s="248"/>
      <c r="AM206" s="248"/>
      <c r="AN206" s="251"/>
      <c r="AO206" s="248"/>
      <c r="AP206" s="248"/>
    </row>
    <row r="207" spans="3:42" x14ac:dyDescent="0.25">
      <c r="C207" s="360"/>
      <c r="D207" s="360"/>
      <c r="E207" s="360"/>
      <c r="F207" s="360"/>
      <c r="G207" s="248"/>
      <c r="H207" s="248"/>
      <c r="I207" s="248"/>
      <c r="J207" s="247"/>
      <c r="K207" s="248"/>
      <c r="L207" s="248"/>
      <c r="M207" s="247"/>
      <c r="N207" s="248"/>
      <c r="O207" s="248"/>
      <c r="P207" s="247"/>
      <c r="Q207" s="248"/>
      <c r="R207" s="362"/>
      <c r="S207" s="358"/>
      <c r="T207" s="248"/>
      <c r="U207" s="248"/>
      <c r="V207" s="247"/>
      <c r="W207" s="248"/>
      <c r="X207" s="248"/>
      <c r="Y207" s="251"/>
      <c r="Z207" s="248"/>
      <c r="AA207" s="248"/>
      <c r="AB207" s="248"/>
      <c r="AC207" s="248"/>
      <c r="AD207" s="248"/>
      <c r="AE207" s="254"/>
      <c r="AF207" s="248"/>
      <c r="AG207" s="248"/>
      <c r="AH207" s="251"/>
      <c r="AI207" s="248"/>
      <c r="AJ207" s="248"/>
      <c r="AK207" s="248"/>
      <c r="AL207" s="248"/>
      <c r="AM207" s="248"/>
      <c r="AN207" s="251"/>
      <c r="AO207" s="248"/>
      <c r="AP207" s="248"/>
    </row>
    <row r="208" spans="3:42" x14ac:dyDescent="0.25">
      <c r="C208" s="360"/>
      <c r="D208" s="360"/>
      <c r="E208" s="360"/>
      <c r="F208" s="360"/>
      <c r="G208" s="248"/>
      <c r="H208" s="248"/>
      <c r="I208" s="248"/>
      <c r="J208" s="247"/>
      <c r="K208" s="248"/>
      <c r="L208" s="248"/>
      <c r="M208" s="247"/>
      <c r="N208" s="248"/>
      <c r="O208" s="248"/>
      <c r="P208" s="247"/>
      <c r="Q208" s="248"/>
      <c r="R208" s="362"/>
      <c r="S208" s="358"/>
      <c r="T208" s="248"/>
      <c r="U208" s="248"/>
      <c r="V208" s="247"/>
      <c r="W208" s="248"/>
      <c r="X208" s="248"/>
      <c r="Y208" s="251"/>
      <c r="Z208" s="248"/>
      <c r="AA208" s="248"/>
      <c r="AB208" s="248"/>
      <c r="AC208" s="248"/>
      <c r="AD208" s="248"/>
      <c r="AE208" s="254"/>
      <c r="AF208" s="248"/>
      <c r="AG208" s="248"/>
      <c r="AH208" s="251"/>
      <c r="AI208" s="248"/>
      <c r="AJ208" s="248"/>
      <c r="AK208" s="248"/>
      <c r="AL208" s="248"/>
      <c r="AM208" s="248"/>
      <c r="AN208" s="251"/>
      <c r="AO208" s="248"/>
      <c r="AP208" s="248"/>
    </row>
    <row r="209" spans="3:42" x14ac:dyDescent="0.25">
      <c r="C209" s="360"/>
      <c r="D209" s="360"/>
      <c r="E209" s="360"/>
      <c r="F209" s="360"/>
      <c r="G209" s="248"/>
      <c r="H209" s="248"/>
      <c r="I209" s="248"/>
      <c r="J209" s="247"/>
      <c r="K209" s="248"/>
      <c r="L209" s="248"/>
      <c r="M209" s="247"/>
      <c r="N209" s="248"/>
      <c r="O209" s="248"/>
      <c r="P209" s="247"/>
      <c r="Q209" s="248"/>
      <c r="R209" s="362"/>
      <c r="S209" s="358"/>
      <c r="T209" s="248"/>
      <c r="U209" s="248"/>
      <c r="V209" s="247"/>
      <c r="W209" s="248"/>
      <c r="X209" s="248"/>
      <c r="Y209" s="251"/>
      <c r="Z209" s="248"/>
      <c r="AA209" s="248"/>
      <c r="AB209" s="248"/>
      <c r="AC209" s="248"/>
      <c r="AD209" s="248"/>
      <c r="AE209" s="254"/>
      <c r="AF209" s="248"/>
      <c r="AG209" s="248"/>
      <c r="AH209" s="251"/>
      <c r="AI209" s="248"/>
      <c r="AJ209" s="248"/>
      <c r="AK209" s="248"/>
      <c r="AL209" s="248"/>
      <c r="AM209" s="248"/>
      <c r="AN209" s="251"/>
      <c r="AO209" s="248"/>
      <c r="AP209" s="248"/>
    </row>
    <row r="210" spans="3:42" x14ac:dyDescent="0.25">
      <c r="C210" s="360"/>
      <c r="D210" s="360"/>
      <c r="E210" s="360"/>
      <c r="F210" s="360"/>
      <c r="G210" s="248"/>
      <c r="H210" s="248"/>
      <c r="I210" s="248"/>
      <c r="J210" s="247"/>
      <c r="K210" s="248"/>
      <c r="L210" s="248"/>
      <c r="M210" s="247"/>
      <c r="N210" s="248"/>
      <c r="O210" s="248"/>
      <c r="P210" s="247"/>
      <c r="Q210" s="248"/>
      <c r="R210" s="362"/>
      <c r="S210" s="358"/>
      <c r="T210" s="248"/>
      <c r="U210" s="248"/>
      <c r="V210" s="247"/>
      <c r="W210" s="248"/>
      <c r="X210" s="248"/>
      <c r="Y210" s="251"/>
      <c r="Z210" s="248"/>
      <c r="AA210" s="248"/>
      <c r="AB210" s="248"/>
      <c r="AC210" s="248"/>
      <c r="AD210" s="248"/>
      <c r="AE210" s="254"/>
      <c r="AF210" s="248"/>
      <c r="AG210" s="248"/>
      <c r="AH210" s="251"/>
      <c r="AI210" s="248"/>
      <c r="AJ210" s="248"/>
      <c r="AK210" s="248"/>
      <c r="AL210" s="248"/>
      <c r="AM210" s="248"/>
      <c r="AN210" s="251"/>
      <c r="AO210" s="248"/>
      <c r="AP210" s="248"/>
    </row>
    <row r="211" spans="3:42" x14ac:dyDescent="0.25">
      <c r="C211" s="360"/>
      <c r="D211" s="360"/>
      <c r="E211" s="360"/>
      <c r="F211" s="360"/>
      <c r="G211" s="248"/>
      <c r="H211" s="248"/>
      <c r="I211" s="248"/>
      <c r="J211" s="247"/>
      <c r="K211" s="248"/>
      <c r="L211" s="248"/>
      <c r="M211" s="247"/>
      <c r="N211" s="248"/>
      <c r="O211" s="248"/>
      <c r="P211" s="247"/>
      <c r="Q211" s="248"/>
      <c r="R211" s="362"/>
      <c r="S211" s="358"/>
      <c r="T211" s="248"/>
      <c r="U211" s="248"/>
      <c r="V211" s="247"/>
      <c r="W211" s="248"/>
      <c r="X211" s="248"/>
      <c r="Y211" s="251"/>
      <c r="Z211" s="248"/>
      <c r="AA211" s="248"/>
      <c r="AB211" s="248"/>
      <c r="AC211" s="248"/>
      <c r="AD211" s="248"/>
      <c r="AE211" s="254"/>
      <c r="AF211" s="248"/>
      <c r="AG211" s="248"/>
      <c r="AH211" s="251"/>
      <c r="AI211" s="248"/>
      <c r="AJ211" s="248"/>
      <c r="AK211" s="248"/>
      <c r="AL211" s="248"/>
      <c r="AM211" s="248"/>
      <c r="AN211" s="251"/>
      <c r="AO211" s="248"/>
      <c r="AP211" s="248"/>
    </row>
    <row r="212" spans="3:42" x14ac:dyDescent="0.25">
      <c r="C212" s="360"/>
      <c r="D212" s="360"/>
      <c r="E212" s="360"/>
      <c r="F212" s="360"/>
      <c r="G212" s="248"/>
      <c r="H212" s="248"/>
      <c r="I212" s="248"/>
      <c r="J212" s="247"/>
      <c r="K212" s="248"/>
      <c r="L212" s="248"/>
      <c r="M212" s="247"/>
      <c r="N212" s="248"/>
      <c r="O212" s="248"/>
      <c r="P212" s="247"/>
      <c r="Q212" s="248"/>
      <c r="R212" s="362"/>
      <c r="S212" s="358"/>
      <c r="T212" s="248"/>
      <c r="U212" s="248"/>
      <c r="V212" s="247"/>
      <c r="W212" s="248"/>
      <c r="X212" s="248"/>
      <c r="Y212" s="251"/>
      <c r="Z212" s="248"/>
      <c r="AA212" s="248"/>
      <c r="AB212" s="248"/>
      <c r="AC212" s="248"/>
      <c r="AD212" s="248"/>
      <c r="AE212" s="254"/>
      <c r="AF212" s="248"/>
      <c r="AG212" s="248"/>
      <c r="AH212" s="251"/>
      <c r="AI212" s="248"/>
      <c r="AJ212" s="248"/>
      <c r="AK212" s="248"/>
      <c r="AL212" s="248"/>
      <c r="AM212" s="248"/>
      <c r="AN212" s="251"/>
      <c r="AO212" s="248"/>
      <c r="AP212" s="248"/>
    </row>
    <row r="213" spans="3:42" x14ac:dyDescent="0.25">
      <c r="C213" s="360"/>
      <c r="D213" s="360"/>
      <c r="E213" s="360"/>
      <c r="F213" s="360"/>
      <c r="G213" s="248"/>
      <c r="H213" s="248"/>
      <c r="I213" s="248"/>
      <c r="J213" s="247"/>
      <c r="K213" s="248"/>
      <c r="L213" s="248"/>
      <c r="M213" s="247"/>
      <c r="N213" s="248"/>
      <c r="O213" s="248"/>
      <c r="P213" s="247"/>
      <c r="Q213" s="248"/>
      <c r="R213" s="362"/>
      <c r="S213" s="358"/>
      <c r="T213" s="248"/>
      <c r="U213" s="248"/>
      <c r="V213" s="247"/>
      <c r="W213" s="248"/>
      <c r="X213" s="248"/>
      <c r="Y213" s="251"/>
      <c r="Z213" s="248"/>
      <c r="AA213" s="248"/>
      <c r="AB213" s="248"/>
      <c r="AC213" s="248"/>
      <c r="AD213" s="248"/>
      <c r="AE213" s="254"/>
      <c r="AF213" s="248"/>
      <c r="AG213" s="248"/>
      <c r="AH213" s="251"/>
      <c r="AI213" s="248"/>
      <c r="AJ213" s="248"/>
      <c r="AK213" s="248"/>
      <c r="AL213" s="248"/>
      <c r="AM213" s="248"/>
      <c r="AN213" s="251"/>
      <c r="AO213" s="248"/>
      <c r="AP213" s="248"/>
    </row>
    <row r="214" spans="3:42" x14ac:dyDescent="0.25">
      <c r="C214" s="360"/>
      <c r="D214" s="360"/>
      <c r="E214" s="360"/>
      <c r="F214" s="360"/>
      <c r="G214" s="248"/>
      <c r="H214" s="248"/>
      <c r="I214" s="248"/>
      <c r="J214" s="247"/>
      <c r="K214" s="248"/>
      <c r="L214" s="248"/>
      <c r="M214" s="247"/>
      <c r="N214" s="248"/>
      <c r="O214" s="248"/>
      <c r="P214" s="247"/>
      <c r="Q214" s="248"/>
      <c r="R214" s="362"/>
      <c r="S214" s="358"/>
      <c r="T214" s="248"/>
      <c r="U214" s="248"/>
      <c r="V214" s="247"/>
      <c r="W214" s="248"/>
      <c r="X214" s="248"/>
      <c r="Y214" s="251"/>
      <c r="Z214" s="248"/>
      <c r="AA214" s="248"/>
      <c r="AB214" s="248"/>
      <c r="AC214" s="248"/>
      <c r="AD214" s="248"/>
      <c r="AE214" s="254"/>
      <c r="AF214" s="248"/>
      <c r="AG214" s="248"/>
      <c r="AH214" s="251"/>
      <c r="AI214" s="248"/>
      <c r="AJ214" s="248"/>
      <c r="AK214" s="248"/>
      <c r="AL214" s="248"/>
      <c r="AM214" s="248"/>
      <c r="AN214" s="251"/>
      <c r="AO214" s="248"/>
      <c r="AP214" s="248"/>
    </row>
    <row r="215" spans="3:42" x14ac:dyDescent="0.25">
      <c r="C215" s="360"/>
      <c r="D215" s="360"/>
      <c r="E215" s="360"/>
      <c r="F215" s="360"/>
      <c r="G215" s="248"/>
      <c r="H215" s="248"/>
      <c r="I215" s="248"/>
      <c r="J215" s="247"/>
      <c r="K215" s="248"/>
      <c r="L215" s="248"/>
      <c r="M215" s="247"/>
      <c r="N215" s="248"/>
      <c r="O215" s="248"/>
      <c r="P215" s="247"/>
      <c r="Q215" s="248"/>
      <c r="R215" s="362"/>
      <c r="S215" s="358"/>
      <c r="T215" s="248"/>
      <c r="U215" s="248"/>
      <c r="V215" s="247"/>
      <c r="W215" s="248"/>
      <c r="X215" s="248"/>
      <c r="Y215" s="251"/>
      <c r="Z215" s="248"/>
      <c r="AA215" s="248"/>
      <c r="AB215" s="248"/>
      <c r="AC215" s="248"/>
      <c r="AD215" s="248"/>
      <c r="AE215" s="254"/>
      <c r="AF215" s="248"/>
      <c r="AG215" s="248"/>
      <c r="AH215" s="251"/>
      <c r="AI215" s="248"/>
      <c r="AJ215" s="248"/>
      <c r="AK215" s="248"/>
      <c r="AL215" s="248"/>
      <c r="AM215" s="248"/>
      <c r="AN215" s="251"/>
      <c r="AO215" s="248"/>
      <c r="AP215" s="248"/>
    </row>
    <row r="216" spans="3:42" x14ac:dyDescent="0.25">
      <c r="C216" s="360"/>
      <c r="D216" s="360"/>
      <c r="E216" s="360"/>
      <c r="F216" s="360"/>
      <c r="G216" s="248"/>
      <c r="H216" s="248"/>
      <c r="I216" s="248"/>
      <c r="J216" s="247"/>
      <c r="K216" s="248"/>
      <c r="L216" s="248"/>
      <c r="M216" s="247"/>
      <c r="N216" s="248"/>
      <c r="O216" s="248"/>
      <c r="P216" s="247"/>
      <c r="Q216" s="248"/>
      <c r="R216" s="362"/>
      <c r="S216" s="358"/>
      <c r="T216" s="248"/>
      <c r="U216" s="248"/>
      <c r="V216" s="247"/>
      <c r="W216" s="248"/>
      <c r="X216" s="248"/>
      <c r="Y216" s="251"/>
      <c r="Z216" s="248"/>
      <c r="AA216" s="248"/>
      <c r="AB216" s="248"/>
      <c r="AC216" s="248"/>
      <c r="AD216" s="248"/>
      <c r="AE216" s="254"/>
      <c r="AF216" s="248"/>
      <c r="AG216" s="248"/>
      <c r="AH216" s="251"/>
      <c r="AI216" s="248"/>
      <c r="AJ216" s="248"/>
      <c r="AK216" s="248"/>
      <c r="AL216" s="248"/>
      <c r="AM216" s="248"/>
      <c r="AN216" s="251"/>
      <c r="AO216" s="248"/>
      <c r="AP216" s="248"/>
    </row>
    <row r="217" spans="3:42" x14ac:dyDescent="0.25">
      <c r="C217" s="360"/>
      <c r="D217" s="360"/>
      <c r="E217" s="360"/>
      <c r="F217" s="360"/>
      <c r="G217" s="248"/>
      <c r="H217" s="248"/>
      <c r="I217" s="248"/>
      <c r="J217" s="247"/>
      <c r="K217" s="248"/>
      <c r="L217" s="248"/>
      <c r="M217" s="247"/>
      <c r="N217" s="248"/>
      <c r="O217" s="248"/>
      <c r="P217" s="247"/>
      <c r="Q217" s="248"/>
      <c r="R217" s="362"/>
      <c r="S217" s="358"/>
      <c r="T217" s="248"/>
      <c r="U217" s="248"/>
      <c r="V217" s="247"/>
      <c r="W217" s="248"/>
      <c r="X217" s="248"/>
      <c r="Y217" s="251"/>
      <c r="Z217" s="248"/>
      <c r="AA217" s="248"/>
      <c r="AB217" s="248"/>
      <c r="AC217" s="248"/>
      <c r="AD217" s="248"/>
      <c r="AE217" s="254"/>
      <c r="AF217" s="248"/>
      <c r="AG217" s="248"/>
      <c r="AH217" s="251"/>
      <c r="AI217" s="248"/>
      <c r="AJ217" s="248"/>
      <c r="AK217" s="248"/>
      <c r="AL217" s="248"/>
      <c r="AM217" s="248"/>
      <c r="AN217" s="251"/>
      <c r="AO217" s="248"/>
      <c r="AP217" s="248"/>
    </row>
    <row r="218" spans="3:42" x14ac:dyDescent="0.25">
      <c r="C218" s="360"/>
      <c r="D218" s="360"/>
      <c r="E218" s="360"/>
      <c r="F218" s="360"/>
      <c r="G218" s="248"/>
      <c r="H218" s="248"/>
      <c r="I218" s="248"/>
      <c r="J218" s="247"/>
      <c r="K218" s="248"/>
      <c r="L218" s="248"/>
      <c r="M218" s="247"/>
      <c r="N218" s="248"/>
      <c r="O218" s="248"/>
      <c r="P218" s="247"/>
      <c r="Q218" s="248"/>
      <c r="R218" s="362"/>
      <c r="S218" s="358"/>
      <c r="T218" s="248"/>
      <c r="U218" s="248"/>
      <c r="V218" s="247"/>
      <c r="W218" s="248"/>
      <c r="X218" s="248"/>
      <c r="Y218" s="251"/>
      <c r="Z218" s="248"/>
      <c r="AA218" s="248"/>
      <c r="AB218" s="248"/>
      <c r="AC218" s="248"/>
      <c r="AD218" s="248"/>
      <c r="AE218" s="254"/>
      <c r="AF218" s="248"/>
      <c r="AG218" s="248"/>
      <c r="AH218" s="251"/>
      <c r="AI218" s="248"/>
      <c r="AJ218" s="248"/>
      <c r="AK218" s="248"/>
      <c r="AL218" s="248"/>
      <c r="AM218" s="248"/>
      <c r="AN218" s="251"/>
      <c r="AO218" s="248"/>
      <c r="AP218" s="248"/>
    </row>
    <row r="219" spans="3:42" x14ac:dyDescent="0.25">
      <c r="C219" s="360"/>
      <c r="D219" s="360"/>
      <c r="E219" s="360"/>
      <c r="F219" s="360"/>
      <c r="G219" s="248"/>
      <c r="H219" s="248"/>
      <c r="I219" s="248"/>
      <c r="J219" s="247"/>
      <c r="K219" s="248"/>
      <c r="L219" s="248"/>
      <c r="M219" s="247"/>
      <c r="N219" s="248"/>
      <c r="O219" s="248"/>
      <c r="P219" s="247"/>
      <c r="Q219" s="248"/>
      <c r="R219" s="362"/>
      <c r="S219" s="358"/>
      <c r="T219" s="248"/>
      <c r="U219" s="248"/>
      <c r="V219" s="247"/>
      <c r="W219" s="248"/>
      <c r="X219" s="248"/>
      <c r="Y219" s="251"/>
      <c r="Z219" s="248"/>
      <c r="AA219" s="248"/>
      <c r="AB219" s="248"/>
      <c r="AC219" s="248"/>
      <c r="AD219" s="248"/>
      <c r="AE219" s="254"/>
      <c r="AF219" s="248"/>
      <c r="AG219" s="248"/>
      <c r="AH219" s="251"/>
      <c r="AI219" s="248"/>
      <c r="AJ219" s="248"/>
      <c r="AK219" s="248"/>
      <c r="AL219" s="248"/>
      <c r="AM219" s="248"/>
      <c r="AN219" s="251"/>
      <c r="AO219" s="248"/>
      <c r="AP219" s="248"/>
    </row>
    <row r="220" spans="3:42" x14ac:dyDescent="0.25">
      <c r="C220" s="360"/>
      <c r="D220" s="360"/>
      <c r="E220" s="360"/>
      <c r="F220" s="360"/>
      <c r="G220" s="248"/>
      <c r="H220" s="248"/>
      <c r="I220" s="248"/>
      <c r="J220" s="247"/>
      <c r="K220" s="248"/>
      <c r="L220" s="248"/>
      <c r="M220" s="247"/>
      <c r="N220" s="248"/>
      <c r="O220" s="248"/>
      <c r="P220" s="247"/>
      <c r="Q220" s="248"/>
      <c r="R220" s="362"/>
      <c r="S220" s="358"/>
      <c r="T220" s="248"/>
      <c r="U220" s="248"/>
      <c r="V220" s="247"/>
      <c r="W220" s="248"/>
      <c r="X220" s="248"/>
      <c r="Y220" s="251"/>
      <c r="Z220" s="248"/>
      <c r="AA220" s="248"/>
      <c r="AB220" s="248"/>
      <c r="AC220" s="248"/>
      <c r="AD220" s="248"/>
      <c r="AE220" s="254"/>
      <c r="AF220" s="248"/>
      <c r="AG220" s="248"/>
      <c r="AH220" s="251"/>
      <c r="AI220" s="248"/>
      <c r="AJ220" s="248"/>
      <c r="AK220" s="248"/>
      <c r="AL220" s="248"/>
      <c r="AM220" s="248"/>
      <c r="AN220" s="251"/>
      <c r="AO220" s="248"/>
      <c r="AP220" s="248"/>
    </row>
    <row r="221" spans="3:42" x14ac:dyDescent="0.25">
      <c r="C221" s="360"/>
      <c r="D221" s="360"/>
      <c r="E221" s="360"/>
      <c r="F221" s="360"/>
      <c r="G221" s="248"/>
      <c r="H221" s="248"/>
      <c r="I221" s="248"/>
      <c r="J221" s="247"/>
      <c r="K221" s="248"/>
      <c r="L221" s="248"/>
      <c r="M221" s="247"/>
      <c r="N221" s="248"/>
      <c r="O221" s="248"/>
      <c r="P221" s="247"/>
      <c r="Q221" s="248"/>
      <c r="R221" s="362"/>
      <c r="S221" s="358"/>
      <c r="T221" s="248"/>
      <c r="U221" s="248"/>
      <c r="V221" s="247"/>
      <c r="W221" s="248"/>
      <c r="X221" s="248"/>
      <c r="Y221" s="251"/>
      <c r="Z221" s="248"/>
      <c r="AA221" s="248"/>
      <c r="AB221" s="248"/>
      <c r="AC221" s="248"/>
      <c r="AD221" s="248"/>
      <c r="AE221" s="254"/>
      <c r="AF221" s="248"/>
      <c r="AG221" s="248"/>
      <c r="AH221" s="251"/>
      <c r="AI221" s="248"/>
      <c r="AJ221" s="248"/>
      <c r="AK221" s="248"/>
      <c r="AL221" s="248"/>
      <c r="AM221" s="248"/>
      <c r="AN221" s="251"/>
      <c r="AO221" s="248"/>
      <c r="AP221" s="248"/>
    </row>
    <row r="222" spans="3:42" x14ac:dyDescent="0.25">
      <c r="C222" s="360"/>
      <c r="D222" s="360"/>
      <c r="E222" s="360"/>
      <c r="F222" s="360"/>
      <c r="G222" s="248"/>
      <c r="H222" s="248"/>
      <c r="I222" s="248"/>
      <c r="J222" s="247"/>
      <c r="K222" s="248"/>
      <c r="L222" s="248"/>
      <c r="M222" s="247"/>
      <c r="N222" s="248"/>
      <c r="O222" s="248"/>
      <c r="P222" s="247"/>
      <c r="Q222" s="248"/>
      <c r="R222" s="362"/>
      <c r="S222" s="358"/>
      <c r="T222" s="248"/>
      <c r="U222" s="248"/>
      <c r="V222" s="247"/>
      <c r="W222" s="248"/>
      <c r="X222" s="248"/>
      <c r="Y222" s="251"/>
      <c r="Z222" s="248"/>
      <c r="AA222" s="248"/>
      <c r="AB222" s="248"/>
      <c r="AC222" s="248"/>
      <c r="AD222" s="248"/>
      <c r="AE222" s="254"/>
      <c r="AF222" s="248"/>
      <c r="AG222" s="248"/>
      <c r="AH222" s="251"/>
      <c r="AI222" s="248"/>
      <c r="AJ222" s="248"/>
      <c r="AK222" s="248"/>
      <c r="AL222" s="248"/>
      <c r="AM222" s="248"/>
      <c r="AN222" s="251"/>
      <c r="AO222" s="248"/>
      <c r="AP222" s="248"/>
    </row>
    <row r="223" spans="3:42" x14ac:dyDescent="0.25">
      <c r="C223" s="360"/>
      <c r="D223" s="360"/>
      <c r="E223" s="360"/>
      <c r="F223" s="360"/>
      <c r="G223" s="248"/>
      <c r="H223" s="248"/>
      <c r="I223" s="248"/>
      <c r="J223" s="247"/>
      <c r="K223" s="248"/>
      <c r="L223" s="248"/>
      <c r="M223" s="247"/>
      <c r="N223" s="248"/>
      <c r="O223" s="248"/>
      <c r="P223" s="247"/>
      <c r="Q223" s="248"/>
      <c r="R223" s="362"/>
      <c r="S223" s="358"/>
      <c r="T223" s="248"/>
      <c r="U223" s="248"/>
      <c r="V223" s="247"/>
      <c r="W223" s="248"/>
      <c r="X223" s="248"/>
      <c r="Y223" s="251"/>
      <c r="Z223" s="248"/>
      <c r="AA223" s="248"/>
      <c r="AB223" s="248"/>
      <c r="AC223" s="248"/>
      <c r="AD223" s="248"/>
      <c r="AE223" s="254"/>
      <c r="AF223" s="248"/>
      <c r="AG223" s="248"/>
      <c r="AH223" s="251"/>
      <c r="AI223" s="248"/>
      <c r="AJ223" s="248"/>
      <c r="AK223" s="248"/>
      <c r="AL223" s="248"/>
      <c r="AM223" s="248"/>
      <c r="AN223" s="251"/>
      <c r="AO223" s="248"/>
      <c r="AP223" s="248"/>
    </row>
    <row r="224" spans="3:42" x14ac:dyDescent="0.25">
      <c r="C224" s="360"/>
      <c r="D224" s="360"/>
      <c r="E224" s="360"/>
      <c r="F224" s="360"/>
      <c r="G224" s="248"/>
      <c r="H224" s="248"/>
      <c r="I224" s="248"/>
      <c r="J224" s="247"/>
      <c r="K224" s="248"/>
      <c r="L224" s="248"/>
      <c r="M224" s="247"/>
      <c r="N224" s="248"/>
      <c r="O224" s="248"/>
      <c r="P224" s="247"/>
      <c r="Q224" s="248"/>
      <c r="R224" s="362"/>
      <c r="S224" s="358"/>
      <c r="T224" s="248"/>
      <c r="U224" s="248"/>
      <c r="V224" s="247"/>
      <c r="W224" s="248"/>
      <c r="X224" s="248"/>
      <c r="Y224" s="251"/>
      <c r="Z224" s="248"/>
      <c r="AA224" s="248"/>
      <c r="AB224" s="248"/>
      <c r="AC224" s="248"/>
      <c r="AD224" s="248"/>
      <c r="AE224" s="254"/>
      <c r="AF224" s="248"/>
      <c r="AG224" s="248"/>
      <c r="AH224" s="251"/>
      <c r="AI224" s="248"/>
      <c r="AJ224" s="248"/>
      <c r="AK224" s="248"/>
      <c r="AL224" s="248"/>
      <c r="AM224" s="248"/>
      <c r="AN224" s="251"/>
      <c r="AO224" s="248"/>
      <c r="AP224" s="248"/>
    </row>
    <row r="225" spans="3:42" x14ac:dyDescent="0.25">
      <c r="C225" s="360"/>
      <c r="D225" s="360"/>
      <c r="E225" s="360"/>
      <c r="F225" s="360"/>
      <c r="G225" s="248"/>
      <c r="H225" s="248"/>
      <c r="I225" s="248"/>
      <c r="J225" s="247"/>
      <c r="K225" s="248"/>
      <c r="L225" s="248"/>
      <c r="M225" s="247"/>
      <c r="N225" s="248"/>
      <c r="O225" s="248"/>
      <c r="P225" s="247"/>
      <c r="Q225" s="248"/>
      <c r="R225" s="362"/>
      <c r="S225" s="358"/>
      <c r="T225" s="248"/>
      <c r="U225" s="248"/>
      <c r="V225" s="247"/>
      <c r="W225" s="248"/>
      <c r="X225" s="248"/>
      <c r="Y225" s="251"/>
      <c r="Z225" s="248"/>
      <c r="AA225" s="248"/>
      <c r="AB225" s="248"/>
      <c r="AC225" s="248"/>
      <c r="AD225" s="248"/>
      <c r="AE225" s="254"/>
      <c r="AF225" s="248"/>
      <c r="AG225" s="248"/>
      <c r="AH225" s="251"/>
      <c r="AI225" s="248"/>
      <c r="AJ225" s="248"/>
      <c r="AK225" s="248"/>
      <c r="AL225" s="248"/>
      <c r="AM225" s="248"/>
      <c r="AN225" s="251"/>
      <c r="AO225" s="248"/>
      <c r="AP225" s="248"/>
    </row>
    <row r="226" spans="3:42" x14ac:dyDescent="0.25">
      <c r="C226" s="360"/>
      <c r="D226" s="360"/>
      <c r="E226" s="360"/>
      <c r="F226" s="360"/>
      <c r="G226" s="248"/>
      <c r="H226" s="248"/>
      <c r="I226" s="248"/>
      <c r="J226" s="247"/>
      <c r="K226" s="248"/>
      <c r="L226" s="248"/>
      <c r="M226" s="247"/>
      <c r="N226" s="248"/>
      <c r="O226" s="248"/>
      <c r="P226" s="247"/>
      <c r="Q226" s="248"/>
      <c r="R226" s="362"/>
      <c r="S226" s="358"/>
      <c r="T226" s="248"/>
      <c r="U226" s="248"/>
      <c r="V226" s="247"/>
      <c r="W226" s="248"/>
      <c r="X226" s="248"/>
      <c r="Y226" s="251"/>
      <c r="Z226" s="248"/>
      <c r="AA226" s="248"/>
      <c r="AB226" s="248"/>
      <c r="AC226" s="248"/>
      <c r="AD226" s="248"/>
      <c r="AE226" s="254"/>
      <c r="AF226" s="248"/>
      <c r="AG226" s="248"/>
      <c r="AH226" s="251"/>
      <c r="AI226" s="248"/>
      <c r="AJ226" s="248"/>
      <c r="AK226" s="248"/>
      <c r="AL226" s="248"/>
      <c r="AM226" s="248"/>
      <c r="AN226" s="251"/>
      <c r="AO226" s="248"/>
      <c r="AP226" s="248"/>
    </row>
    <row r="227" spans="3:42" x14ac:dyDescent="0.25">
      <c r="C227" s="360"/>
      <c r="D227" s="360"/>
      <c r="E227" s="360"/>
      <c r="F227" s="360"/>
      <c r="G227" s="248"/>
      <c r="H227" s="248"/>
      <c r="I227" s="248"/>
      <c r="J227" s="247"/>
      <c r="K227" s="248"/>
      <c r="L227" s="248"/>
      <c r="M227" s="247"/>
      <c r="N227" s="248"/>
      <c r="O227" s="248"/>
      <c r="P227" s="247"/>
      <c r="Q227" s="248"/>
      <c r="R227" s="362"/>
      <c r="S227" s="358"/>
      <c r="T227" s="248"/>
      <c r="U227" s="248"/>
      <c r="V227" s="247"/>
      <c r="W227" s="248"/>
      <c r="X227" s="248"/>
      <c r="Y227" s="251"/>
      <c r="Z227" s="248"/>
      <c r="AA227" s="248"/>
      <c r="AB227" s="248"/>
      <c r="AC227" s="248"/>
      <c r="AD227" s="248"/>
      <c r="AE227" s="254"/>
      <c r="AF227" s="248"/>
      <c r="AG227" s="248"/>
      <c r="AH227" s="251"/>
      <c r="AI227" s="248"/>
      <c r="AJ227" s="248"/>
      <c r="AK227" s="248"/>
      <c r="AL227" s="248"/>
      <c r="AM227" s="248"/>
      <c r="AN227" s="251"/>
      <c r="AO227" s="248"/>
      <c r="AP227" s="248"/>
    </row>
    <row r="228" spans="3:42" x14ac:dyDescent="0.25">
      <c r="C228" s="360"/>
      <c r="D228" s="360"/>
      <c r="E228" s="360"/>
      <c r="F228" s="360"/>
      <c r="G228" s="248"/>
      <c r="H228" s="248"/>
      <c r="I228" s="248"/>
      <c r="J228" s="247"/>
      <c r="K228" s="248"/>
      <c r="L228" s="248"/>
      <c r="M228" s="247"/>
      <c r="N228" s="248"/>
      <c r="O228" s="248"/>
      <c r="P228" s="247"/>
      <c r="Q228" s="248"/>
      <c r="R228" s="362"/>
      <c r="S228" s="358"/>
      <c r="T228" s="248"/>
      <c r="U228" s="248"/>
      <c r="V228" s="247"/>
      <c r="W228" s="248"/>
      <c r="X228" s="248"/>
      <c r="Y228" s="251"/>
      <c r="Z228" s="248"/>
      <c r="AA228" s="248"/>
      <c r="AB228" s="248"/>
      <c r="AC228" s="248"/>
      <c r="AD228" s="248"/>
      <c r="AE228" s="254"/>
      <c r="AF228" s="248"/>
      <c r="AG228" s="248"/>
      <c r="AH228" s="251"/>
      <c r="AI228" s="248"/>
      <c r="AJ228" s="248"/>
      <c r="AK228" s="248"/>
      <c r="AL228" s="248"/>
      <c r="AM228" s="248"/>
      <c r="AN228" s="251"/>
      <c r="AO228" s="248"/>
      <c r="AP228" s="248"/>
    </row>
    <row r="229" spans="3:42" x14ac:dyDescent="0.25">
      <c r="C229" s="360"/>
      <c r="D229" s="360"/>
      <c r="E229" s="360"/>
      <c r="F229" s="360"/>
      <c r="G229" s="248"/>
      <c r="H229" s="248"/>
      <c r="I229" s="248"/>
      <c r="J229" s="247"/>
      <c r="K229" s="248"/>
      <c r="L229" s="248"/>
      <c r="M229" s="247"/>
      <c r="N229" s="248"/>
      <c r="O229" s="248"/>
      <c r="P229" s="247"/>
      <c r="Q229" s="248"/>
      <c r="R229" s="362"/>
      <c r="S229" s="358"/>
      <c r="T229" s="248"/>
      <c r="U229" s="248"/>
      <c r="V229" s="247"/>
      <c r="W229" s="248"/>
      <c r="X229" s="248"/>
      <c r="Y229" s="251"/>
      <c r="Z229" s="248"/>
      <c r="AA229" s="248"/>
      <c r="AB229" s="248"/>
      <c r="AC229" s="248"/>
      <c r="AD229" s="248"/>
      <c r="AE229" s="254"/>
      <c r="AF229" s="248"/>
      <c r="AG229" s="248"/>
      <c r="AH229" s="251"/>
      <c r="AI229" s="248"/>
      <c r="AJ229" s="248"/>
      <c r="AK229" s="248"/>
      <c r="AL229" s="248"/>
      <c r="AM229" s="248"/>
      <c r="AN229" s="251"/>
      <c r="AO229" s="248"/>
      <c r="AP229" s="248"/>
    </row>
    <row r="230" spans="3:42" x14ac:dyDescent="0.25">
      <c r="C230" s="360"/>
      <c r="D230" s="360"/>
      <c r="E230" s="360"/>
      <c r="F230" s="360"/>
      <c r="G230" s="248"/>
      <c r="H230" s="248"/>
      <c r="I230" s="248"/>
      <c r="J230" s="247"/>
      <c r="K230" s="248"/>
      <c r="L230" s="248"/>
      <c r="M230" s="247"/>
      <c r="N230" s="248"/>
      <c r="O230" s="248"/>
      <c r="P230" s="247"/>
      <c r="Q230" s="248"/>
      <c r="R230" s="362"/>
      <c r="S230" s="358"/>
      <c r="T230" s="248"/>
      <c r="U230" s="248"/>
      <c r="V230" s="247"/>
      <c r="W230" s="248"/>
      <c r="X230" s="248"/>
      <c r="Y230" s="251"/>
      <c r="Z230" s="248"/>
      <c r="AA230" s="248"/>
      <c r="AB230" s="248"/>
      <c r="AC230" s="248"/>
      <c r="AD230" s="248"/>
      <c r="AE230" s="254"/>
      <c r="AF230" s="248"/>
      <c r="AG230" s="248"/>
      <c r="AH230" s="251"/>
      <c r="AI230" s="248"/>
      <c r="AJ230" s="248"/>
      <c r="AK230" s="248"/>
      <c r="AL230" s="248"/>
      <c r="AM230" s="248"/>
      <c r="AN230" s="251"/>
      <c r="AO230" s="248"/>
      <c r="AP230" s="248"/>
    </row>
    <row r="231" spans="3:42" x14ac:dyDescent="0.25">
      <c r="C231" s="360"/>
      <c r="D231" s="360"/>
      <c r="E231" s="360"/>
      <c r="F231" s="360"/>
      <c r="G231" s="248"/>
      <c r="H231" s="248"/>
      <c r="I231" s="248"/>
      <c r="J231" s="247"/>
      <c r="K231" s="248"/>
      <c r="L231" s="248"/>
      <c r="M231" s="247"/>
      <c r="N231" s="248"/>
      <c r="O231" s="248"/>
      <c r="P231" s="247"/>
      <c r="Q231" s="248"/>
      <c r="R231" s="362"/>
      <c r="S231" s="358"/>
      <c r="T231" s="248"/>
      <c r="U231" s="248"/>
      <c r="V231" s="247"/>
      <c r="W231" s="248"/>
      <c r="X231" s="248"/>
      <c r="Y231" s="251"/>
      <c r="Z231" s="248"/>
      <c r="AA231" s="248"/>
      <c r="AB231" s="248"/>
      <c r="AC231" s="248"/>
      <c r="AD231" s="248"/>
      <c r="AE231" s="254"/>
      <c r="AF231" s="248"/>
      <c r="AG231" s="248"/>
      <c r="AH231" s="251"/>
      <c r="AI231" s="248"/>
      <c r="AJ231" s="248"/>
      <c r="AK231" s="248"/>
      <c r="AL231" s="248"/>
      <c r="AM231" s="248"/>
      <c r="AN231" s="251"/>
      <c r="AO231" s="248"/>
      <c r="AP231" s="248"/>
    </row>
    <row r="232" spans="3:42" x14ac:dyDescent="0.25">
      <c r="C232" s="360"/>
      <c r="D232" s="360"/>
      <c r="E232" s="360"/>
      <c r="F232" s="360"/>
      <c r="G232" s="248"/>
      <c r="H232" s="248"/>
      <c r="I232" s="248"/>
      <c r="J232" s="247"/>
      <c r="K232" s="248"/>
      <c r="L232" s="248"/>
      <c r="M232" s="247"/>
      <c r="N232" s="248"/>
      <c r="O232" s="248"/>
      <c r="P232" s="247"/>
      <c r="Q232" s="248"/>
      <c r="R232" s="362"/>
      <c r="S232" s="358"/>
      <c r="T232" s="248"/>
      <c r="U232" s="248"/>
      <c r="V232" s="247"/>
      <c r="W232" s="248"/>
      <c r="X232" s="248"/>
      <c r="Y232" s="251"/>
      <c r="Z232" s="248"/>
      <c r="AA232" s="248"/>
      <c r="AB232" s="248"/>
      <c r="AC232" s="248"/>
      <c r="AD232" s="248"/>
      <c r="AE232" s="254"/>
      <c r="AF232" s="248"/>
      <c r="AG232" s="248"/>
      <c r="AH232" s="251"/>
      <c r="AI232" s="248"/>
      <c r="AJ232" s="248"/>
      <c r="AK232" s="248"/>
      <c r="AL232" s="248"/>
      <c r="AM232" s="248"/>
      <c r="AN232" s="251"/>
      <c r="AO232" s="248"/>
      <c r="AP232" s="248"/>
    </row>
    <row r="233" spans="3:42" x14ac:dyDescent="0.25">
      <c r="C233" s="360"/>
      <c r="D233" s="360"/>
      <c r="E233" s="360"/>
      <c r="F233" s="360"/>
      <c r="G233" s="248"/>
      <c r="H233" s="248"/>
      <c r="I233" s="248"/>
      <c r="J233" s="247"/>
      <c r="K233" s="248"/>
      <c r="L233" s="248"/>
      <c r="M233" s="247"/>
      <c r="N233" s="248"/>
      <c r="O233" s="248"/>
      <c r="P233" s="247"/>
      <c r="Q233" s="248"/>
      <c r="R233" s="362"/>
      <c r="S233" s="358"/>
      <c r="T233" s="248"/>
      <c r="U233" s="248"/>
      <c r="V233" s="247"/>
      <c r="W233" s="248"/>
      <c r="X233" s="248"/>
      <c r="Y233" s="251"/>
      <c r="Z233" s="248"/>
      <c r="AA233" s="248"/>
      <c r="AB233" s="248"/>
      <c r="AC233" s="248"/>
      <c r="AD233" s="248"/>
      <c r="AE233" s="254"/>
      <c r="AF233" s="248"/>
      <c r="AG233" s="248"/>
      <c r="AH233" s="251"/>
      <c r="AI233" s="248"/>
      <c r="AJ233" s="248"/>
      <c r="AK233" s="248"/>
      <c r="AL233" s="248"/>
      <c r="AM233" s="248"/>
      <c r="AN233" s="251"/>
      <c r="AO233" s="248"/>
      <c r="AP233" s="248"/>
    </row>
    <row r="234" spans="3:42" x14ac:dyDescent="0.25">
      <c r="C234" s="360"/>
      <c r="D234" s="360"/>
      <c r="E234" s="360"/>
      <c r="F234" s="360"/>
      <c r="G234" s="248"/>
      <c r="H234" s="248"/>
      <c r="I234" s="248"/>
      <c r="J234" s="247"/>
      <c r="K234" s="248"/>
      <c r="L234" s="248"/>
      <c r="M234" s="247"/>
      <c r="N234" s="248"/>
      <c r="O234" s="248"/>
      <c r="P234" s="247"/>
      <c r="Q234" s="248"/>
      <c r="R234" s="362"/>
      <c r="S234" s="358"/>
      <c r="T234" s="248"/>
      <c r="U234" s="248"/>
      <c r="V234" s="247"/>
      <c r="W234" s="248"/>
      <c r="X234" s="248"/>
      <c r="Y234" s="251"/>
      <c r="Z234" s="248"/>
      <c r="AA234" s="248"/>
      <c r="AB234" s="248"/>
      <c r="AC234" s="248"/>
      <c r="AD234" s="248"/>
      <c r="AE234" s="254"/>
      <c r="AF234" s="248"/>
      <c r="AG234" s="248"/>
      <c r="AH234" s="251"/>
      <c r="AI234" s="248"/>
      <c r="AJ234" s="248"/>
      <c r="AK234" s="248"/>
      <c r="AL234" s="248"/>
      <c r="AM234" s="248"/>
      <c r="AN234" s="251"/>
      <c r="AO234" s="248"/>
      <c r="AP234" s="248"/>
    </row>
    <row r="235" spans="3:42" x14ac:dyDescent="0.25">
      <c r="C235" s="360"/>
      <c r="D235" s="360"/>
      <c r="E235" s="360"/>
      <c r="F235" s="360"/>
      <c r="G235" s="248"/>
      <c r="H235" s="248"/>
      <c r="I235" s="248"/>
      <c r="J235" s="247"/>
      <c r="K235" s="248"/>
      <c r="L235" s="248"/>
      <c r="M235" s="247"/>
      <c r="N235" s="248"/>
      <c r="O235" s="248"/>
      <c r="P235" s="247"/>
      <c r="Q235" s="248"/>
      <c r="R235" s="362"/>
      <c r="S235" s="358"/>
      <c r="T235" s="248"/>
      <c r="U235" s="248"/>
      <c r="V235" s="247"/>
      <c r="W235" s="248"/>
      <c r="X235" s="248"/>
      <c r="Y235" s="251"/>
      <c r="Z235" s="248"/>
      <c r="AA235" s="248"/>
      <c r="AB235" s="248"/>
      <c r="AC235" s="248"/>
      <c r="AD235" s="248"/>
      <c r="AE235" s="254"/>
      <c r="AF235" s="248"/>
      <c r="AG235" s="248"/>
      <c r="AH235" s="251"/>
      <c r="AI235" s="248"/>
      <c r="AJ235" s="248"/>
      <c r="AK235" s="248"/>
      <c r="AL235" s="248"/>
      <c r="AM235" s="248"/>
      <c r="AN235" s="251"/>
      <c r="AO235" s="248"/>
      <c r="AP235" s="248"/>
    </row>
    <row r="236" spans="3:42" x14ac:dyDescent="0.25">
      <c r="C236" s="360"/>
      <c r="D236" s="360"/>
      <c r="E236" s="360"/>
      <c r="F236" s="360"/>
      <c r="G236" s="248"/>
      <c r="H236" s="248"/>
      <c r="I236" s="248"/>
      <c r="J236" s="247"/>
      <c r="K236" s="248"/>
      <c r="L236" s="248"/>
      <c r="M236" s="247"/>
      <c r="N236" s="248"/>
      <c r="O236" s="248"/>
      <c r="P236" s="247"/>
      <c r="Q236" s="248"/>
      <c r="R236" s="362"/>
      <c r="S236" s="358"/>
      <c r="T236" s="248"/>
      <c r="U236" s="248"/>
      <c r="V236" s="247"/>
      <c r="W236" s="248"/>
      <c r="X236" s="248"/>
      <c r="Y236" s="251"/>
      <c r="Z236" s="248"/>
      <c r="AA236" s="248"/>
      <c r="AB236" s="248"/>
      <c r="AC236" s="248"/>
      <c r="AD236" s="248"/>
      <c r="AE236" s="254"/>
      <c r="AF236" s="248"/>
      <c r="AG236" s="248"/>
      <c r="AH236" s="251"/>
      <c r="AI236" s="248"/>
      <c r="AJ236" s="248"/>
      <c r="AK236" s="248"/>
      <c r="AL236" s="248"/>
      <c r="AM236" s="248"/>
      <c r="AN236" s="251"/>
      <c r="AO236" s="248"/>
      <c r="AP236" s="248"/>
    </row>
    <row r="237" spans="3:42" x14ac:dyDescent="0.25">
      <c r="C237" s="360"/>
      <c r="D237" s="360"/>
      <c r="E237" s="360"/>
      <c r="F237" s="360"/>
      <c r="G237" s="248"/>
      <c r="H237" s="248"/>
      <c r="I237" s="248"/>
      <c r="J237" s="247"/>
      <c r="K237" s="248"/>
      <c r="L237" s="248"/>
      <c r="M237" s="247"/>
      <c r="N237" s="248"/>
      <c r="O237" s="248"/>
      <c r="P237" s="247"/>
      <c r="Q237" s="248"/>
      <c r="R237" s="362"/>
      <c r="S237" s="358"/>
      <c r="T237" s="248"/>
      <c r="U237" s="248"/>
      <c r="V237" s="247"/>
      <c r="W237" s="248"/>
      <c r="X237" s="248"/>
      <c r="Y237" s="251"/>
      <c r="Z237" s="248"/>
      <c r="AA237" s="248"/>
      <c r="AB237" s="248"/>
      <c r="AC237" s="248"/>
      <c r="AD237" s="248"/>
      <c r="AE237" s="254"/>
      <c r="AF237" s="248"/>
      <c r="AG237" s="248"/>
      <c r="AH237" s="251"/>
      <c r="AI237" s="248"/>
      <c r="AJ237" s="248"/>
      <c r="AK237" s="248"/>
      <c r="AL237" s="248"/>
      <c r="AM237" s="248"/>
      <c r="AN237" s="251"/>
      <c r="AO237" s="248"/>
      <c r="AP237" s="248"/>
    </row>
    <row r="238" spans="3:42" x14ac:dyDescent="0.25">
      <c r="C238" s="360"/>
      <c r="D238" s="360"/>
      <c r="E238" s="360"/>
      <c r="F238" s="360"/>
      <c r="G238" s="248"/>
      <c r="H238" s="248"/>
      <c r="I238" s="248"/>
      <c r="J238" s="247"/>
      <c r="K238" s="248"/>
      <c r="L238" s="248"/>
      <c r="M238" s="247"/>
      <c r="N238" s="248"/>
      <c r="O238" s="248"/>
      <c r="P238" s="247"/>
      <c r="Q238" s="248"/>
      <c r="R238" s="362"/>
      <c r="S238" s="358"/>
      <c r="T238" s="248"/>
      <c r="U238" s="248"/>
      <c r="V238" s="247"/>
      <c r="W238" s="248"/>
      <c r="X238" s="248"/>
      <c r="Y238" s="251"/>
      <c r="Z238" s="248"/>
      <c r="AA238" s="248"/>
      <c r="AB238" s="248"/>
      <c r="AC238" s="248"/>
      <c r="AD238" s="248"/>
      <c r="AE238" s="254"/>
      <c r="AF238" s="248"/>
      <c r="AG238" s="248"/>
      <c r="AH238" s="251"/>
      <c r="AI238" s="248"/>
      <c r="AJ238" s="248"/>
      <c r="AK238" s="248"/>
      <c r="AL238" s="248"/>
      <c r="AM238" s="248"/>
      <c r="AN238" s="251"/>
      <c r="AO238" s="248"/>
      <c r="AP238" s="248"/>
    </row>
    <row r="239" spans="3:42" x14ac:dyDescent="0.25">
      <c r="C239" s="360"/>
      <c r="D239" s="360"/>
      <c r="E239" s="360"/>
      <c r="F239" s="360"/>
      <c r="G239" s="248"/>
      <c r="H239" s="248"/>
      <c r="I239" s="248"/>
      <c r="J239" s="247"/>
      <c r="K239" s="248"/>
      <c r="L239" s="248"/>
      <c r="M239" s="247"/>
      <c r="N239" s="248"/>
      <c r="O239" s="248"/>
      <c r="P239" s="247"/>
      <c r="Q239" s="248"/>
      <c r="R239" s="362"/>
      <c r="S239" s="358"/>
      <c r="T239" s="248"/>
      <c r="U239" s="248"/>
      <c r="V239" s="247"/>
      <c r="W239" s="248"/>
      <c r="X239" s="248"/>
      <c r="Y239" s="251"/>
      <c r="Z239" s="248"/>
      <c r="AA239" s="248"/>
      <c r="AB239" s="248"/>
      <c r="AC239" s="248"/>
      <c r="AD239" s="248"/>
      <c r="AE239" s="254"/>
      <c r="AF239" s="248"/>
      <c r="AG239" s="248"/>
      <c r="AH239" s="251"/>
      <c r="AI239" s="248"/>
      <c r="AJ239" s="248"/>
      <c r="AK239" s="248"/>
      <c r="AL239" s="248"/>
      <c r="AM239" s="248"/>
      <c r="AN239" s="251"/>
      <c r="AO239" s="248"/>
      <c r="AP239" s="248"/>
    </row>
    <row r="240" spans="3:42" x14ac:dyDescent="0.25">
      <c r="C240" s="360"/>
      <c r="D240" s="360"/>
      <c r="E240" s="360"/>
      <c r="F240" s="360"/>
      <c r="G240" s="248"/>
      <c r="H240" s="248"/>
      <c r="I240" s="248"/>
      <c r="J240" s="247"/>
      <c r="K240" s="248"/>
      <c r="L240" s="248"/>
      <c r="M240" s="247"/>
      <c r="N240" s="248"/>
      <c r="O240" s="248"/>
      <c r="P240" s="247"/>
      <c r="Q240" s="248"/>
      <c r="R240" s="362"/>
      <c r="S240" s="358"/>
      <c r="T240" s="248"/>
      <c r="U240" s="248"/>
      <c r="V240" s="247"/>
      <c r="W240" s="248"/>
      <c r="X240" s="248"/>
      <c r="Y240" s="251"/>
      <c r="Z240" s="248"/>
      <c r="AA240" s="248"/>
      <c r="AB240" s="248"/>
      <c r="AC240" s="248"/>
      <c r="AD240" s="248"/>
      <c r="AE240" s="254"/>
      <c r="AF240" s="248"/>
      <c r="AG240" s="248"/>
      <c r="AH240" s="251"/>
      <c r="AI240" s="248"/>
      <c r="AJ240" s="248"/>
      <c r="AK240" s="248"/>
      <c r="AL240" s="248"/>
      <c r="AM240" s="248"/>
      <c r="AN240" s="251"/>
      <c r="AO240" s="248"/>
      <c r="AP240" s="248"/>
    </row>
    <row r="241" spans="3:42" x14ac:dyDescent="0.25">
      <c r="C241" s="360"/>
      <c r="D241" s="360"/>
      <c r="E241" s="360"/>
      <c r="F241" s="360"/>
      <c r="G241" s="248"/>
      <c r="H241" s="248"/>
      <c r="I241" s="248"/>
      <c r="J241" s="247"/>
      <c r="K241" s="248"/>
      <c r="L241" s="248"/>
      <c r="M241" s="247"/>
      <c r="N241" s="248"/>
      <c r="O241" s="248"/>
      <c r="P241" s="247"/>
      <c r="Q241" s="248"/>
      <c r="R241" s="362"/>
      <c r="S241" s="358"/>
      <c r="T241" s="248"/>
      <c r="U241" s="248"/>
      <c r="V241" s="247"/>
      <c r="W241" s="248"/>
      <c r="X241" s="248"/>
      <c r="Y241" s="251"/>
      <c r="Z241" s="248"/>
      <c r="AA241" s="248"/>
      <c r="AB241" s="248"/>
      <c r="AC241" s="248"/>
      <c r="AD241" s="248"/>
      <c r="AE241" s="254"/>
      <c r="AF241" s="248"/>
      <c r="AG241" s="248"/>
      <c r="AH241" s="251"/>
      <c r="AI241" s="248"/>
      <c r="AJ241" s="248"/>
      <c r="AK241" s="248"/>
      <c r="AL241" s="248"/>
      <c r="AM241" s="248"/>
      <c r="AN241" s="251"/>
      <c r="AO241" s="248"/>
      <c r="AP241" s="248"/>
    </row>
    <row r="242" spans="3:42" x14ac:dyDescent="0.25">
      <c r="C242" s="360"/>
      <c r="D242" s="360"/>
      <c r="E242" s="360"/>
      <c r="F242" s="360"/>
      <c r="G242" s="248"/>
      <c r="H242" s="248"/>
      <c r="I242" s="248"/>
      <c r="J242" s="247"/>
      <c r="K242" s="248"/>
      <c r="L242" s="248"/>
      <c r="M242" s="247"/>
      <c r="N242" s="248"/>
      <c r="O242" s="248"/>
      <c r="P242" s="247"/>
      <c r="Q242" s="248"/>
      <c r="R242" s="362"/>
      <c r="S242" s="358"/>
      <c r="T242" s="248"/>
      <c r="U242" s="248"/>
      <c r="V242" s="247"/>
      <c r="W242" s="248"/>
      <c r="X242" s="248"/>
      <c r="Y242" s="251"/>
      <c r="Z242" s="248"/>
      <c r="AA242" s="248"/>
      <c r="AB242" s="248"/>
      <c r="AC242" s="248"/>
      <c r="AD242" s="248"/>
      <c r="AE242" s="254"/>
      <c r="AF242" s="248"/>
      <c r="AG242" s="248"/>
      <c r="AH242" s="251"/>
      <c r="AI242" s="248"/>
      <c r="AJ242" s="248"/>
      <c r="AK242" s="248"/>
      <c r="AL242" s="248"/>
      <c r="AM242" s="248"/>
      <c r="AN242" s="251"/>
      <c r="AO242" s="248"/>
      <c r="AP242" s="248"/>
    </row>
    <row r="243" spans="3:42" x14ac:dyDescent="0.25">
      <c r="C243" s="360"/>
      <c r="D243" s="360"/>
      <c r="E243" s="360"/>
      <c r="F243" s="360"/>
      <c r="G243" s="248"/>
      <c r="H243" s="248"/>
      <c r="I243" s="248"/>
      <c r="J243" s="247"/>
      <c r="K243" s="248"/>
      <c r="L243" s="248"/>
      <c r="M243" s="247"/>
      <c r="N243" s="248"/>
      <c r="O243" s="248"/>
      <c r="P243" s="247"/>
      <c r="Q243" s="248"/>
      <c r="R243" s="362"/>
      <c r="S243" s="358"/>
      <c r="T243" s="248"/>
      <c r="U243" s="248"/>
      <c r="V243" s="247"/>
      <c r="W243" s="248"/>
      <c r="X243" s="248"/>
      <c r="Y243" s="251"/>
      <c r="Z243" s="248"/>
      <c r="AA243" s="248"/>
      <c r="AB243" s="248"/>
      <c r="AC243" s="248"/>
      <c r="AD243" s="248"/>
      <c r="AE243" s="254"/>
      <c r="AF243" s="248"/>
      <c r="AG243" s="248"/>
      <c r="AH243" s="251"/>
      <c r="AI243" s="248"/>
      <c r="AJ243" s="248"/>
      <c r="AK243" s="248"/>
      <c r="AL243" s="248"/>
      <c r="AM243" s="248"/>
      <c r="AN243" s="251"/>
      <c r="AO243" s="248"/>
      <c r="AP243" s="248"/>
    </row>
    <row r="244" spans="3:42" x14ac:dyDescent="0.25">
      <c r="C244" s="360"/>
      <c r="D244" s="360"/>
      <c r="E244" s="360"/>
      <c r="F244" s="360"/>
      <c r="G244" s="248"/>
      <c r="H244" s="248"/>
      <c r="I244" s="248"/>
      <c r="J244" s="247"/>
      <c r="K244" s="248"/>
      <c r="L244" s="248"/>
      <c r="M244" s="247"/>
      <c r="N244" s="248"/>
      <c r="O244" s="248"/>
      <c r="P244" s="247"/>
      <c r="Q244" s="248"/>
      <c r="R244" s="362"/>
      <c r="S244" s="358"/>
      <c r="T244" s="248"/>
      <c r="U244" s="248"/>
      <c r="V244" s="247"/>
      <c r="W244" s="248"/>
      <c r="X244" s="248"/>
      <c r="Y244" s="251"/>
      <c r="Z244" s="248"/>
      <c r="AA244" s="248"/>
      <c r="AB244" s="248"/>
      <c r="AC244" s="248"/>
      <c r="AD244" s="248"/>
      <c r="AE244" s="254"/>
      <c r="AF244" s="248"/>
      <c r="AG244" s="248"/>
      <c r="AH244" s="251"/>
      <c r="AI244" s="248"/>
      <c r="AJ244" s="248"/>
      <c r="AK244" s="248"/>
      <c r="AL244" s="248"/>
      <c r="AM244" s="248"/>
      <c r="AN244" s="251"/>
      <c r="AO244" s="248"/>
      <c r="AP244" s="248"/>
    </row>
    <row r="245" spans="3:42" x14ac:dyDescent="0.25">
      <c r="C245" s="360"/>
      <c r="D245" s="360"/>
      <c r="E245" s="360"/>
      <c r="F245" s="360"/>
      <c r="G245" s="248"/>
      <c r="H245" s="248"/>
      <c r="I245" s="248"/>
      <c r="J245" s="247"/>
      <c r="K245" s="248"/>
      <c r="L245" s="248"/>
      <c r="M245" s="247"/>
      <c r="N245" s="248"/>
      <c r="O245" s="248"/>
      <c r="P245" s="247"/>
      <c r="Q245" s="248"/>
      <c r="R245" s="362"/>
      <c r="S245" s="358"/>
      <c r="T245" s="248"/>
      <c r="U245" s="248"/>
      <c r="V245" s="247"/>
      <c r="W245" s="248"/>
      <c r="X245" s="248"/>
      <c r="Y245" s="251"/>
      <c r="Z245" s="248"/>
      <c r="AA245" s="248"/>
      <c r="AB245" s="248"/>
      <c r="AC245" s="248"/>
      <c r="AD245" s="248"/>
      <c r="AE245" s="254"/>
      <c r="AF245" s="248"/>
      <c r="AG245" s="248"/>
      <c r="AH245" s="251"/>
      <c r="AI245" s="248"/>
      <c r="AJ245" s="248"/>
      <c r="AK245" s="248"/>
      <c r="AL245" s="248"/>
      <c r="AM245" s="248"/>
      <c r="AN245" s="251"/>
      <c r="AO245" s="248"/>
      <c r="AP245" s="248"/>
    </row>
    <row r="246" spans="3:42" x14ac:dyDescent="0.25">
      <c r="C246" s="360"/>
      <c r="D246" s="360"/>
      <c r="E246" s="360"/>
      <c r="F246" s="360"/>
      <c r="G246" s="248"/>
      <c r="H246" s="248"/>
      <c r="I246" s="248"/>
      <c r="J246" s="247"/>
      <c r="K246" s="248"/>
      <c r="L246" s="248"/>
      <c r="M246" s="247"/>
      <c r="N246" s="248"/>
      <c r="O246" s="248"/>
      <c r="P246" s="247"/>
      <c r="Q246" s="248"/>
      <c r="R246" s="362"/>
      <c r="S246" s="358"/>
      <c r="T246" s="248"/>
      <c r="U246" s="248"/>
      <c r="V246" s="247"/>
      <c r="W246" s="248"/>
      <c r="X246" s="248"/>
      <c r="Y246" s="251"/>
      <c r="Z246" s="248"/>
      <c r="AA246" s="248"/>
      <c r="AB246" s="248"/>
      <c r="AC246" s="248"/>
      <c r="AD246" s="248"/>
      <c r="AE246" s="254"/>
      <c r="AF246" s="248"/>
      <c r="AG246" s="248"/>
      <c r="AH246" s="251"/>
      <c r="AI246" s="248"/>
      <c r="AJ246" s="248"/>
      <c r="AK246" s="248"/>
      <c r="AL246" s="248"/>
      <c r="AM246" s="248"/>
      <c r="AN246" s="251"/>
      <c r="AO246" s="248"/>
      <c r="AP246" s="248"/>
    </row>
    <row r="247" spans="3:42" x14ac:dyDescent="0.25">
      <c r="C247" s="360"/>
      <c r="D247" s="360"/>
      <c r="E247" s="360"/>
      <c r="F247" s="360"/>
      <c r="G247" s="248"/>
      <c r="H247" s="248"/>
      <c r="I247" s="248"/>
      <c r="J247" s="247"/>
      <c r="K247" s="248"/>
      <c r="L247" s="248"/>
      <c r="M247" s="247"/>
      <c r="N247" s="248"/>
      <c r="O247" s="248"/>
      <c r="P247" s="247"/>
      <c r="Q247" s="248"/>
      <c r="R247" s="362"/>
      <c r="S247" s="358"/>
      <c r="T247" s="248"/>
      <c r="U247" s="248"/>
      <c r="V247" s="247"/>
      <c r="W247" s="248"/>
      <c r="X247" s="248"/>
      <c r="Y247" s="251"/>
      <c r="Z247" s="248"/>
      <c r="AA247" s="248"/>
      <c r="AB247" s="248"/>
      <c r="AC247" s="248"/>
      <c r="AD247" s="248"/>
      <c r="AE247" s="254"/>
      <c r="AF247" s="248"/>
      <c r="AG247" s="248"/>
      <c r="AH247" s="251"/>
      <c r="AI247" s="248"/>
      <c r="AJ247" s="248"/>
      <c r="AK247" s="248"/>
      <c r="AL247" s="248"/>
      <c r="AM247" s="248"/>
      <c r="AN247" s="251"/>
      <c r="AO247" s="248"/>
      <c r="AP247" s="248"/>
    </row>
    <row r="248" spans="3:42" x14ac:dyDescent="0.25">
      <c r="C248" s="360"/>
      <c r="D248" s="360"/>
      <c r="E248" s="360"/>
      <c r="F248" s="360"/>
      <c r="G248" s="248"/>
      <c r="H248" s="248"/>
      <c r="I248" s="248"/>
      <c r="J248" s="247"/>
      <c r="K248" s="248"/>
      <c r="L248" s="248"/>
      <c r="M248" s="247"/>
      <c r="N248" s="248"/>
      <c r="O248" s="248"/>
      <c r="P248" s="247"/>
      <c r="Q248" s="248"/>
      <c r="R248" s="362"/>
      <c r="S248" s="358"/>
      <c r="T248" s="248"/>
      <c r="U248" s="248"/>
      <c r="V248" s="247"/>
      <c r="W248" s="248"/>
      <c r="X248" s="248"/>
      <c r="Y248" s="251"/>
      <c r="Z248" s="248"/>
      <c r="AA248" s="248"/>
      <c r="AB248" s="248"/>
      <c r="AC248" s="248"/>
      <c r="AD248" s="248"/>
      <c r="AE248" s="254"/>
      <c r="AF248" s="248"/>
      <c r="AG248" s="248"/>
      <c r="AH248" s="251"/>
      <c r="AI248" s="248"/>
      <c r="AJ248" s="248"/>
      <c r="AK248" s="248"/>
      <c r="AL248" s="248"/>
      <c r="AM248" s="248"/>
      <c r="AN248" s="251"/>
      <c r="AO248" s="248"/>
      <c r="AP248" s="248"/>
    </row>
    <row r="249" spans="3:42" x14ac:dyDescent="0.25">
      <c r="C249" s="360"/>
      <c r="D249" s="360"/>
      <c r="E249" s="360"/>
      <c r="F249" s="360"/>
      <c r="G249" s="248"/>
      <c r="H249" s="248"/>
      <c r="I249" s="248"/>
      <c r="J249" s="247"/>
      <c r="K249" s="248"/>
      <c r="L249" s="248"/>
      <c r="M249" s="247"/>
      <c r="N249" s="248"/>
      <c r="O249" s="248"/>
      <c r="P249" s="247"/>
      <c r="Q249" s="248"/>
      <c r="R249" s="362"/>
      <c r="S249" s="358"/>
      <c r="T249" s="248"/>
      <c r="U249" s="248"/>
      <c r="V249" s="247"/>
      <c r="W249" s="248"/>
      <c r="X249" s="248"/>
      <c r="Y249" s="251"/>
      <c r="Z249" s="248"/>
      <c r="AA249" s="248"/>
      <c r="AB249" s="248"/>
      <c r="AC249" s="248"/>
      <c r="AD249" s="248"/>
      <c r="AE249" s="254"/>
      <c r="AF249" s="248"/>
      <c r="AG249" s="248"/>
      <c r="AH249" s="251"/>
      <c r="AI249" s="248"/>
      <c r="AJ249" s="248"/>
      <c r="AK249" s="248"/>
      <c r="AL249" s="248"/>
      <c r="AM249" s="248"/>
      <c r="AN249" s="251"/>
      <c r="AO249" s="248"/>
      <c r="AP249" s="248"/>
    </row>
    <row r="250" spans="3:42" x14ac:dyDescent="0.25">
      <c r="C250" s="360"/>
      <c r="D250" s="360"/>
      <c r="E250" s="360"/>
      <c r="F250" s="360"/>
      <c r="G250" s="248"/>
      <c r="H250" s="248"/>
      <c r="I250" s="248"/>
      <c r="J250" s="247"/>
      <c r="K250" s="248"/>
      <c r="L250" s="248"/>
      <c r="M250" s="247"/>
      <c r="N250" s="248"/>
      <c r="O250" s="248"/>
      <c r="P250" s="247"/>
      <c r="Q250" s="248"/>
      <c r="R250" s="362"/>
      <c r="S250" s="358"/>
      <c r="T250" s="248"/>
      <c r="U250" s="248"/>
      <c r="V250" s="247"/>
      <c r="W250" s="248"/>
      <c r="X250" s="248"/>
      <c r="Y250" s="251"/>
      <c r="Z250" s="248"/>
      <c r="AA250" s="248"/>
      <c r="AB250" s="248"/>
      <c r="AC250" s="248"/>
      <c r="AD250" s="248"/>
      <c r="AE250" s="254"/>
      <c r="AF250" s="248"/>
      <c r="AG250" s="248"/>
      <c r="AH250" s="251"/>
      <c r="AI250" s="248"/>
      <c r="AJ250" s="248"/>
      <c r="AK250" s="248"/>
      <c r="AL250" s="248"/>
      <c r="AM250" s="248"/>
      <c r="AN250" s="251"/>
      <c r="AO250" s="248"/>
      <c r="AP250" s="248"/>
    </row>
    <row r="251" spans="3:42" x14ac:dyDescent="0.25">
      <c r="C251" s="360"/>
      <c r="D251" s="360"/>
      <c r="E251" s="360"/>
      <c r="F251" s="360"/>
      <c r="G251" s="248"/>
      <c r="H251" s="248"/>
      <c r="I251" s="248"/>
      <c r="J251" s="247"/>
      <c r="K251" s="248"/>
      <c r="L251" s="248"/>
      <c r="M251" s="247"/>
      <c r="N251" s="248"/>
      <c r="O251" s="248"/>
      <c r="P251" s="247"/>
      <c r="Q251" s="248"/>
      <c r="R251" s="362"/>
      <c r="S251" s="358"/>
      <c r="T251" s="248"/>
      <c r="U251" s="248"/>
      <c r="V251" s="247"/>
      <c r="W251" s="248"/>
      <c r="X251" s="248"/>
      <c r="Y251" s="251"/>
      <c r="Z251" s="248"/>
      <c r="AA251" s="248"/>
      <c r="AB251" s="248"/>
      <c r="AC251" s="248"/>
      <c r="AD251" s="248"/>
      <c r="AE251" s="254"/>
      <c r="AF251" s="248"/>
      <c r="AG251" s="248"/>
      <c r="AH251" s="251"/>
      <c r="AI251" s="248"/>
      <c r="AJ251" s="248"/>
      <c r="AK251" s="248"/>
      <c r="AL251" s="248"/>
      <c r="AM251" s="248"/>
      <c r="AN251" s="251"/>
      <c r="AO251" s="248"/>
      <c r="AP251" s="248"/>
    </row>
    <row r="252" spans="3:42" x14ac:dyDescent="0.25">
      <c r="C252" s="360"/>
      <c r="D252" s="360"/>
      <c r="E252" s="360"/>
      <c r="F252" s="360"/>
      <c r="G252" s="248"/>
      <c r="H252" s="248"/>
      <c r="I252" s="248"/>
      <c r="J252" s="247"/>
      <c r="K252" s="248"/>
      <c r="L252" s="248"/>
      <c r="M252" s="247"/>
      <c r="N252" s="248"/>
      <c r="O252" s="248"/>
      <c r="P252" s="247"/>
      <c r="Q252" s="248"/>
      <c r="R252" s="362"/>
      <c r="S252" s="358"/>
      <c r="T252" s="248"/>
      <c r="U252" s="248"/>
      <c r="V252" s="247"/>
      <c r="W252" s="248"/>
      <c r="X252" s="248"/>
      <c r="Y252" s="251"/>
      <c r="Z252" s="248"/>
      <c r="AA252" s="248"/>
      <c r="AB252" s="248"/>
      <c r="AC252" s="248"/>
      <c r="AD252" s="248"/>
      <c r="AE252" s="254"/>
      <c r="AF252" s="248"/>
      <c r="AG252" s="248"/>
      <c r="AH252" s="251"/>
      <c r="AI252" s="248"/>
      <c r="AJ252" s="248"/>
      <c r="AK252" s="248"/>
      <c r="AL252" s="248"/>
      <c r="AM252" s="248"/>
      <c r="AN252" s="251"/>
      <c r="AO252" s="248"/>
      <c r="AP252" s="248"/>
    </row>
    <row r="253" spans="3:42" x14ac:dyDescent="0.25">
      <c r="C253" s="360"/>
      <c r="D253" s="360"/>
      <c r="E253" s="360"/>
      <c r="F253" s="360"/>
      <c r="G253" s="248"/>
      <c r="H253" s="248"/>
      <c r="I253" s="248"/>
      <c r="J253" s="247"/>
      <c r="K253" s="248"/>
      <c r="L253" s="248"/>
      <c r="M253" s="247"/>
      <c r="N253" s="248"/>
      <c r="O253" s="248"/>
      <c r="P253" s="247"/>
      <c r="Q253" s="248"/>
      <c r="R253" s="362"/>
      <c r="S253" s="358"/>
      <c r="T253" s="248"/>
      <c r="U253" s="248"/>
      <c r="V253" s="247"/>
      <c r="W253" s="248"/>
      <c r="X253" s="248"/>
      <c r="Y253" s="251"/>
      <c r="Z253" s="248"/>
      <c r="AA253" s="248"/>
      <c r="AB253" s="248"/>
      <c r="AC253" s="248"/>
      <c r="AD253" s="248"/>
      <c r="AE253" s="254"/>
      <c r="AF253" s="248"/>
      <c r="AG253" s="248"/>
      <c r="AH253" s="251"/>
      <c r="AI253" s="248"/>
      <c r="AJ253" s="248"/>
      <c r="AK253" s="248"/>
      <c r="AL253" s="248"/>
      <c r="AM253" s="248"/>
      <c r="AN253" s="251"/>
      <c r="AO253" s="248"/>
      <c r="AP253" s="248"/>
    </row>
    <row r="254" spans="3:42" x14ac:dyDescent="0.25">
      <c r="C254" s="360"/>
      <c r="D254" s="360"/>
      <c r="E254" s="360"/>
      <c r="F254" s="360"/>
      <c r="G254" s="248"/>
      <c r="H254" s="248"/>
      <c r="I254" s="248"/>
      <c r="J254" s="247"/>
      <c r="K254" s="248"/>
      <c r="L254" s="248"/>
      <c r="M254" s="247"/>
      <c r="N254" s="248"/>
      <c r="O254" s="248"/>
      <c r="P254" s="247"/>
      <c r="Q254" s="248"/>
      <c r="R254" s="362"/>
      <c r="S254" s="358"/>
      <c r="T254" s="248"/>
      <c r="U254" s="248"/>
      <c r="V254" s="247"/>
      <c r="W254" s="248"/>
      <c r="X254" s="248"/>
      <c r="Y254" s="251"/>
      <c r="Z254" s="248"/>
      <c r="AA254" s="248"/>
      <c r="AB254" s="248"/>
      <c r="AC254" s="248"/>
      <c r="AD254" s="248"/>
      <c r="AE254" s="254"/>
      <c r="AF254" s="248"/>
      <c r="AG254" s="248"/>
      <c r="AH254" s="251"/>
      <c r="AI254" s="248"/>
      <c r="AJ254" s="248"/>
      <c r="AK254" s="248"/>
      <c r="AL254" s="248"/>
      <c r="AM254" s="248"/>
      <c r="AN254" s="251"/>
      <c r="AO254" s="248"/>
      <c r="AP254" s="248"/>
    </row>
    <row r="255" spans="3:42" x14ac:dyDescent="0.25">
      <c r="C255" s="360"/>
      <c r="D255" s="360"/>
      <c r="E255" s="360"/>
      <c r="F255" s="360"/>
      <c r="G255" s="248"/>
      <c r="H255" s="248"/>
      <c r="I255" s="248"/>
      <c r="J255" s="247"/>
      <c r="K255" s="248"/>
      <c r="L255" s="248"/>
      <c r="M255" s="247"/>
      <c r="N255" s="248"/>
      <c r="O255" s="248"/>
      <c r="P255" s="247"/>
      <c r="Q255" s="248"/>
      <c r="R255" s="362"/>
      <c r="S255" s="358"/>
      <c r="T255" s="248"/>
      <c r="U255" s="248"/>
      <c r="V255" s="247"/>
      <c r="W255" s="248"/>
      <c r="X255" s="248"/>
      <c r="Y255" s="251"/>
      <c r="Z255" s="248"/>
      <c r="AA255" s="248"/>
      <c r="AB255" s="248"/>
      <c r="AC255" s="248"/>
      <c r="AD255" s="248"/>
      <c r="AE255" s="254"/>
      <c r="AF255" s="248"/>
      <c r="AG255" s="248"/>
      <c r="AH255" s="251"/>
      <c r="AI255" s="248"/>
      <c r="AJ255" s="248"/>
      <c r="AK255" s="248"/>
      <c r="AL255" s="248"/>
      <c r="AM255" s="248"/>
      <c r="AN255" s="251"/>
      <c r="AO255" s="248"/>
      <c r="AP255" s="248"/>
    </row>
    <row r="256" spans="3:42" x14ac:dyDescent="0.25">
      <c r="C256" s="360"/>
      <c r="D256" s="360"/>
      <c r="E256" s="360"/>
      <c r="F256" s="360"/>
      <c r="G256" s="248"/>
      <c r="H256" s="248"/>
      <c r="I256" s="248"/>
      <c r="J256" s="247"/>
      <c r="K256" s="248"/>
      <c r="L256" s="248"/>
      <c r="M256" s="247"/>
      <c r="N256" s="248"/>
      <c r="O256" s="248"/>
      <c r="P256" s="247"/>
      <c r="Q256" s="248"/>
      <c r="R256" s="362"/>
      <c r="S256" s="358"/>
      <c r="T256" s="248"/>
      <c r="U256" s="248"/>
      <c r="V256" s="247"/>
      <c r="W256" s="248"/>
      <c r="X256" s="248"/>
      <c r="Y256" s="251"/>
      <c r="Z256" s="248"/>
      <c r="AA256" s="248"/>
      <c r="AB256" s="248"/>
      <c r="AC256" s="248"/>
      <c r="AD256" s="248"/>
      <c r="AE256" s="254"/>
      <c r="AF256" s="248"/>
      <c r="AG256" s="248"/>
      <c r="AH256" s="251"/>
      <c r="AI256" s="248"/>
      <c r="AJ256" s="248"/>
      <c r="AK256" s="248"/>
      <c r="AL256" s="248"/>
      <c r="AM256" s="248"/>
      <c r="AN256" s="251"/>
      <c r="AO256" s="248"/>
      <c r="AP256" s="248"/>
    </row>
    <row r="257" spans="3:42" x14ac:dyDescent="0.25">
      <c r="C257" s="360"/>
      <c r="D257" s="360"/>
      <c r="E257" s="360"/>
      <c r="F257" s="360"/>
      <c r="G257" s="248"/>
      <c r="H257" s="248"/>
      <c r="I257" s="248"/>
      <c r="J257" s="247"/>
      <c r="K257" s="248"/>
      <c r="L257" s="248"/>
      <c r="M257" s="247"/>
      <c r="N257" s="248"/>
      <c r="O257" s="248"/>
      <c r="P257" s="247"/>
      <c r="Q257" s="248"/>
      <c r="R257" s="362"/>
      <c r="S257" s="358"/>
      <c r="T257" s="248"/>
      <c r="U257" s="248"/>
      <c r="V257" s="247"/>
      <c r="W257" s="248"/>
      <c r="X257" s="248"/>
      <c r="Y257" s="251"/>
      <c r="Z257" s="248"/>
      <c r="AA257" s="248"/>
      <c r="AB257" s="248"/>
      <c r="AC257" s="248"/>
      <c r="AD257" s="248"/>
      <c r="AE257" s="254"/>
      <c r="AF257" s="248"/>
      <c r="AG257" s="248"/>
      <c r="AH257" s="251"/>
      <c r="AI257" s="248"/>
      <c r="AJ257" s="248"/>
      <c r="AK257" s="248"/>
      <c r="AL257" s="248"/>
      <c r="AM257" s="248"/>
      <c r="AN257" s="251"/>
      <c r="AO257" s="248"/>
      <c r="AP257" s="248"/>
    </row>
    <row r="258" spans="3:42" x14ac:dyDescent="0.25">
      <c r="C258" s="360"/>
      <c r="D258" s="360"/>
      <c r="E258" s="360"/>
      <c r="F258" s="360"/>
      <c r="G258" s="248"/>
      <c r="H258" s="248"/>
      <c r="I258" s="248"/>
      <c r="J258" s="247"/>
      <c r="K258" s="248"/>
      <c r="L258" s="248"/>
      <c r="M258" s="247"/>
      <c r="N258" s="248"/>
      <c r="O258" s="248"/>
      <c r="P258" s="247"/>
      <c r="Q258" s="248"/>
      <c r="R258" s="362"/>
      <c r="S258" s="358"/>
      <c r="T258" s="248"/>
      <c r="U258" s="248"/>
      <c r="V258" s="247"/>
      <c r="W258" s="248"/>
      <c r="X258" s="248"/>
      <c r="Y258" s="251"/>
      <c r="Z258" s="248"/>
      <c r="AA258" s="248"/>
      <c r="AB258" s="248"/>
      <c r="AC258" s="248"/>
      <c r="AD258" s="248"/>
      <c r="AE258" s="254"/>
      <c r="AF258" s="248"/>
      <c r="AG258" s="248"/>
      <c r="AH258" s="251"/>
      <c r="AI258" s="248"/>
      <c r="AJ258" s="248"/>
      <c r="AK258" s="248"/>
      <c r="AL258" s="248"/>
      <c r="AM258" s="248"/>
      <c r="AN258" s="251"/>
      <c r="AO258" s="248"/>
      <c r="AP258" s="248"/>
    </row>
    <row r="259" spans="3:42" x14ac:dyDescent="0.25">
      <c r="C259" s="360"/>
      <c r="D259" s="360"/>
      <c r="E259" s="360"/>
      <c r="F259" s="360"/>
      <c r="G259" s="248"/>
      <c r="H259" s="248"/>
      <c r="I259" s="248"/>
      <c r="J259" s="247"/>
      <c r="K259" s="248"/>
      <c r="L259" s="248"/>
      <c r="M259" s="247"/>
      <c r="N259" s="248"/>
      <c r="O259" s="248"/>
      <c r="P259" s="247"/>
      <c r="Q259" s="248"/>
      <c r="R259" s="362"/>
      <c r="S259" s="358"/>
      <c r="T259" s="248"/>
      <c r="U259" s="248"/>
      <c r="V259" s="247"/>
      <c r="W259" s="248"/>
      <c r="X259" s="248"/>
      <c r="Y259" s="251"/>
      <c r="Z259" s="248"/>
      <c r="AA259" s="248"/>
      <c r="AB259" s="248"/>
      <c r="AC259" s="248"/>
      <c r="AD259" s="248"/>
      <c r="AE259" s="254"/>
      <c r="AF259" s="248"/>
      <c r="AG259" s="248"/>
      <c r="AH259" s="251"/>
      <c r="AI259" s="248"/>
      <c r="AJ259" s="248"/>
      <c r="AK259" s="248"/>
      <c r="AL259" s="248"/>
      <c r="AM259" s="248"/>
      <c r="AN259" s="251"/>
      <c r="AO259" s="248"/>
      <c r="AP259" s="248"/>
    </row>
    <row r="260" spans="3:42" x14ac:dyDescent="0.25">
      <c r="C260" s="360"/>
      <c r="D260" s="360"/>
      <c r="E260" s="360"/>
      <c r="F260" s="360"/>
      <c r="G260" s="248"/>
      <c r="H260" s="248"/>
      <c r="I260" s="248"/>
      <c r="J260" s="247"/>
      <c r="K260" s="248"/>
      <c r="L260" s="248"/>
      <c r="M260" s="247"/>
      <c r="N260" s="248"/>
      <c r="O260" s="248"/>
      <c r="P260" s="247"/>
      <c r="Q260" s="248"/>
      <c r="R260" s="362"/>
      <c r="S260" s="358"/>
      <c r="T260" s="248"/>
      <c r="U260" s="248"/>
      <c r="V260" s="247"/>
      <c r="W260" s="248"/>
      <c r="X260" s="248"/>
      <c r="Y260" s="251"/>
      <c r="Z260" s="248"/>
      <c r="AA260" s="248"/>
      <c r="AB260" s="248"/>
      <c r="AC260" s="248"/>
      <c r="AD260" s="248"/>
      <c r="AE260" s="254"/>
      <c r="AF260" s="248"/>
      <c r="AG260" s="248"/>
      <c r="AH260" s="251"/>
      <c r="AI260" s="248"/>
      <c r="AJ260" s="248"/>
      <c r="AK260" s="248"/>
      <c r="AL260" s="248"/>
      <c r="AM260" s="248"/>
      <c r="AN260" s="251"/>
      <c r="AO260" s="248"/>
      <c r="AP260" s="248"/>
    </row>
    <row r="261" spans="3:42" x14ac:dyDescent="0.25">
      <c r="C261" s="360"/>
      <c r="D261" s="360"/>
      <c r="E261" s="360"/>
      <c r="F261" s="360"/>
      <c r="G261" s="248"/>
      <c r="H261" s="248"/>
      <c r="I261" s="248"/>
      <c r="J261" s="247"/>
      <c r="K261" s="248"/>
      <c r="L261" s="248"/>
      <c r="M261" s="247"/>
      <c r="N261" s="248"/>
      <c r="O261" s="248"/>
      <c r="P261" s="247"/>
      <c r="Q261" s="248"/>
      <c r="R261" s="362"/>
      <c r="S261" s="358"/>
      <c r="T261" s="248"/>
      <c r="U261" s="248"/>
      <c r="V261" s="247"/>
      <c r="W261" s="248"/>
      <c r="X261" s="248"/>
      <c r="Y261" s="251"/>
      <c r="Z261" s="248"/>
      <c r="AA261" s="248"/>
      <c r="AB261" s="248"/>
      <c r="AC261" s="248"/>
      <c r="AD261" s="248"/>
      <c r="AE261" s="254"/>
      <c r="AF261" s="248"/>
      <c r="AG261" s="248"/>
      <c r="AH261" s="251"/>
      <c r="AI261" s="248"/>
      <c r="AJ261" s="248"/>
      <c r="AK261" s="248"/>
      <c r="AL261" s="248"/>
      <c r="AM261" s="248"/>
      <c r="AN261" s="251"/>
      <c r="AO261" s="248"/>
      <c r="AP261" s="248"/>
    </row>
    <row r="262" spans="3:42" x14ac:dyDescent="0.25">
      <c r="C262" s="360"/>
      <c r="D262" s="360"/>
      <c r="E262" s="360"/>
      <c r="F262" s="360"/>
      <c r="G262" s="248"/>
      <c r="H262" s="248"/>
      <c r="I262" s="248"/>
      <c r="J262" s="247"/>
      <c r="K262" s="248"/>
      <c r="L262" s="248"/>
      <c r="M262" s="247"/>
      <c r="N262" s="248"/>
      <c r="O262" s="248"/>
      <c r="P262" s="247"/>
      <c r="Q262" s="248"/>
      <c r="R262" s="362"/>
      <c r="S262" s="358"/>
      <c r="T262" s="248"/>
      <c r="U262" s="248"/>
      <c r="V262" s="247"/>
      <c r="W262" s="248"/>
      <c r="X262" s="248"/>
      <c r="Y262" s="251"/>
      <c r="Z262" s="248"/>
      <c r="AA262" s="248"/>
      <c r="AB262" s="248"/>
      <c r="AC262" s="248"/>
      <c r="AD262" s="248"/>
      <c r="AE262" s="254"/>
      <c r="AF262" s="248"/>
      <c r="AG262" s="248"/>
      <c r="AH262" s="251"/>
      <c r="AI262" s="248"/>
      <c r="AJ262" s="248"/>
      <c r="AK262" s="248"/>
      <c r="AL262" s="248"/>
      <c r="AM262" s="248"/>
      <c r="AN262" s="251"/>
      <c r="AO262" s="248"/>
      <c r="AP262" s="248"/>
    </row>
    <row r="263" spans="3:42" x14ac:dyDescent="0.25">
      <c r="C263" s="360"/>
      <c r="D263" s="360"/>
      <c r="E263" s="360"/>
      <c r="F263" s="360"/>
      <c r="G263" s="248"/>
      <c r="H263" s="248"/>
      <c r="I263" s="248"/>
      <c r="J263" s="247"/>
      <c r="K263" s="248"/>
      <c r="L263" s="248"/>
      <c r="M263" s="247"/>
      <c r="N263" s="248"/>
      <c r="O263" s="248"/>
      <c r="P263" s="247"/>
      <c r="Q263" s="248"/>
      <c r="R263" s="362"/>
      <c r="S263" s="358"/>
      <c r="T263" s="248"/>
      <c r="U263" s="248"/>
      <c r="V263" s="247"/>
      <c r="W263" s="248"/>
      <c r="X263" s="248"/>
      <c r="Y263" s="251"/>
      <c r="Z263" s="248"/>
      <c r="AA263" s="248"/>
      <c r="AB263" s="248"/>
      <c r="AC263" s="248"/>
      <c r="AD263" s="248"/>
      <c r="AE263" s="254"/>
      <c r="AF263" s="248"/>
      <c r="AG263" s="248"/>
      <c r="AH263" s="251"/>
      <c r="AI263" s="248"/>
      <c r="AJ263" s="248"/>
      <c r="AK263" s="248"/>
      <c r="AL263" s="248"/>
      <c r="AM263" s="248"/>
      <c r="AN263" s="251"/>
      <c r="AO263" s="248"/>
      <c r="AP263" s="248"/>
    </row>
    <row r="264" spans="3:42" x14ac:dyDescent="0.25">
      <c r="C264" s="360"/>
      <c r="D264" s="360"/>
      <c r="E264" s="360"/>
      <c r="F264" s="360"/>
      <c r="G264" s="248"/>
      <c r="H264" s="248"/>
      <c r="I264" s="248"/>
      <c r="J264" s="247"/>
      <c r="K264" s="248"/>
      <c r="L264" s="248"/>
      <c r="M264" s="247"/>
      <c r="N264" s="248"/>
      <c r="O264" s="248"/>
      <c r="P264" s="247"/>
      <c r="Q264" s="248"/>
      <c r="R264" s="362"/>
      <c r="S264" s="358"/>
      <c r="T264" s="248"/>
      <c r="U264" s="248"/>
      <c r="V264" s="247"/>
      <c r="W264" s="248"/>
      <c r="X264" s="248"/>
      <c r="Y264" s="251"/>
      <c r="Z264" s="248"/>
      <c r="AA264" s="248"/>
      <c r="AB264" s="248"/>
      <c r="AC264" s="248"/>
      <c r="AD264" s="248"/>
      <c r="AE264" s="254"/>
      <c r="AF264" s="248"/>
      <c r="AG264" s="248"/>
      <c r="AH264" s="251"/>
      <c r="AI264" s="248"/>
      <c r="AJ264" s="248"/>
      <c r="AK264" s="248"/>
      <c r="AL264" s="248"/>
      <c r="AM264" s="248"/>
      <c r="AN264" s="251"/>
      <c r="AO264" s="248"/>
      <c r="AP264" s="248"/>
    </row>
    <row r="265" spans="3:42" x14ac:dyDescent="0.25">
      <c r="C265" s="360"/>
      <c r="D265" s="360"/>
      <c r="E265" s="360"/>
      <c r="F265" s="360"/>
      <c r="G265" s="248"/>
      <c r="H265" s="248"/>
      <c r="I265" s="248"/>
      <c r="J265" s="247"/>
      <c r="K265" s="248"/>
      <c r="L265" s="248"/>
      <c r="M265" s="247"/>
      <c r="N265" s="248"/>
      <c r="O265" s="248"/>
      <c r="P265" s="247"/>
      <c r="Q265" s="248"/>
      <c r="R265" s="362"/>
      <c r="S265" s="358"/>
      <c r="T265" s="248"/>
      <c r="U265" s="248"/>
      <c r="V265" s="247"/>
      <c r="W265" s="248"/>
      <c r="X265" s="248"/>
      <c r="Y265" s="251"/>
      <c r="Z265" s="248"/>
      <c r="AA265" s="248"/>
      <c r="AB265" s="248"/>
      <c r="AC265" s="248"/>
      <c r="AD265" s="248"/>
      <c r="AE265" s="254"/>
      <c r="AF265" s="248"/>
      <c r="AG265" s="248"/>
      <c r="AH265" s="251"/>
      <c r="AI265" s="248"/>
      <c r="AJ265" s="248"/>
      <c r="AK265" s="248"/>
      <c r="AL265" s="248"/>
      <c r="AM265" s="248"/>
      <c r="AN265" s="251"/>
      <c r="AO265" s="248"/>
      <c r="AP265" s="248"/>
    </row>
    <row r="266" spans="3:42" x14ac:dyDescent="0.25">
      <c r="C266" s="360"/>
      <c r="D266" s="360"/>
      <c r="E266" s="360"/>
      <c r="F266" s="360"/>
      <c r="G266" s="248"/>
      <c r="H266" s="248"/>
      <c r="I266" s="248"/>
      <c r="J266" s="247"/>
      <c r="K266" s="248"/>
      <c r="L266" s="248"/>
      <c r="M266" s="247"/>
      <c r="N266" s="248"/>
      <c r="O266" s="248"/>
      <c r="P266" s="247"/>
      <c r="Q266" s="248"/>
      <c r="R266" s="362"/>
      <c r="S266" s="358"/>
      <c r="T266" s="248"/>
      <c r="U266" s="248"/>
      <c r="V266" s="247"/>
      <c r="W266" s="248"/>
      <c r="X266" s="248"/>
      <c r="Y266" s="251"/>
      <c r="Z266" s="248"/>
      <c r="AA266" s="248"/>
      <c r="AB266" s="248"/>
      <c r="AC266" s="248"/>
      <c r="AD266" s="248"/>
      <c r="AE266" s="254"/>
      <c r="AF266" s="248"/>
      <c r="AG266" s="248"/>
      <c r="AH266" s="251"/>
      <c r="AI266" s="248"/>
      <c r="AJ266" s="248"/>
      <c r="AK266" s="248"/>
      <c r="AL266" s="248"/>
      <c r="AM266" s="248"/>
      <c r="AN266" s="251"/>
      <c r="AO266" s="248"/>
      <c r="AP266" s="248"/>
    </row>
    <row r="267" spans="3:42" x14ac:dyDescent="0.25">
      <c r="C267" s="360"/>
      <c r="D267" s="360"/>
      <c r="E267" s="360"/>
      <c r="F267" s="360"/>
      <c r="G267" s="248"/>
      <c r="H267" s="248"/>
      <c r="I267" s="248"/>
      <c r="J267" s="247"/>
      <c r="K267" s="248"/>
      <c r="L267" s="248"/>
      <c r="M267" s="247"/>
      <c r="N267" s="248"/>
      <c r="O267" s="248"/>
      <c r="P267" s="247"/>
      <c r="Q267" s="248"/>
      <c r="R267" s="362"/>
      <c r="S267" s="358"/>
      <c r="T267" s="248"/>
      <c r="U267" s="248"/>
      <c r="V267" s="247"/>
      <c r="W267" s="248"/>
      <c r="X267" s="248"/>
      <c r="Y267" s="251"/>
      <c r="Z267" s="248"/>
      <c r="AA267" s="248"/>
      <c r="AB267" s="248"/>
      <c r="AC267" s="248"/>
      <c r="AD267" s="248"/>
      <c r="AE267" s="254"/>
      <c r="AF267" s="248"/>
      <c r="AG267" s="248"/>
      <c r="AH267" s="251"/>
      <c r="AI267" s="248"/>
      <c r="AJ267" s="248"/>
      <c r="AK267" s="248"/>
      <c r="AL267" s="248"/>
      <c r="AM267" s="248"/>
      <c r="AN267" s="251"/>
      <c r="AO267" s="248"/>
      <c r="AP267" s="248"/>
    </row>
    <row r="268" spans="3:42" x14ac:dyDescent="0.25">
      <c r="C268" s="360"/>
      <c r="D268" s="360"/>
      <c r="E268" s="360"/>
      <c r="F268" s="360"/>
      <c r="G268" s="248"/>
      <c r="H268" s="248"/>
      <c r="I268" s="248"/>
      <c r="J268" s="247"/>
      <c r="K268" s="248"/>
      <c r="L268" s="248"/>
      <c r="M268" s="247"/>
      <c r="N268" s="248"/>
      <c r="O268" s="248"/>
      <c r="P268" s="247"/>
      <c r="Q268" s="248"/>
      <c r="R268" s="362"/>
      <c r="S268" s="358"/>
      <c r="T268" s="248"/>
      <c r="U268" s="248"/>
      <c r="V268" s="247"/>
      <c r="W268" s="248"/>
      <c r="X268" s="248"/>
      <c r="Y268" s="251"/>
      <c r="Z268" s="248"/>
      <c r="AA268" s="248"/>
      <c r="AB268" s="248"/>
      <c r="AC268" s="248"/>
      <c r="AD268" s="248"/>
      <c r="AE268" s="254"/>
      <c r="AF268" s="248"/>
      <c r="AK268" s="248"/>
      <c r="AL268" s="248"/>
      <c r="AM268" s="248"/>
      <c r="AN268" s="251"/>
      <c r="AO268" s="248"/>
      <c r="AP268" s="248"/>
    </row>
    <row r="269" spans="3:42" x14ac:dyDescent="0.25">
      <c r="C269" s="360"/>
      <c r="D269" s="360"/>
      <c r="E269" s="360"/>
      <c r="F269" s="360"/>
      <c r="G269" s="248"/>
      <c r="H269" s="248"/>
      <c r="I269" s="248"/>
      <c r="J269" s="247"/>
      <c r="K269" s="248"/>
      <c r="L269" s="248"/>
      <c r="M269" s="247"/>
      <c r="N269" s="248"/>
      <c r="O269" s="248"/>
      <c r="P269" s="247"/>
      <c r="Q269" s="248"/>
      <c r="R269" s="362"/>
      <c r="S269" s="358"/>
      <c r="T269" s="248"/>
      <c r="U269" s="248"/>
      <c r="V269" s="247"/>
      <c r="W269" s="248"/>
      <c r="X269" s="248"/>
      <c r="Y269" s="251"/>
      <c r="Z269" s="248"/>
      <c r="AA269" s="248"/>
      <c r="AB269" s="248"/>
      <c r="AC269" s="248"/>
      <c r="AD269" s="248"/>
      <c r="AE269" s="254"/>
      <c r="AF269" s="248"/>
      <c r="AK269" s="248"/>
      <c r="AL269" s="248"/>
      <c r="AM269" s="248"/>
      <c r="AN269" s="251"/>
      <c r="AO269" s="248"/>
      <c r="AP269" s="248"/>
    </row>
    <row r="270" spans="3:42" x14ac:dyDescent="0.25">
      <c r="C270" s="360"/>
      <c r="D270" s="360"/>
      <c r="E270" s="360"/>
      <c r="F270" s="360"/>
      <c r="G270" s="248"/>
      <c r="H270" s="248"/>
      <c r="I270" s="248"/>
      <c r="J270" s="247"/>
      <c r="K270" s="248"/>
      <c r="L270" s="248"/>
      <c r="M270" s="247"/>
      <c r="N270" s="248"/>
      <c r="O270" s="248"/>
      <c r="P270" s="247"/>
      <c r="Q270" s="248"/>
      <c r="R270" s="362"/>
      <c r="S270" s="358"/>
      <c r="T270" s="248"/>
      <c r="U270" s="248"/>
      <c r="V270" s="247"/>
      <c r="W270" s="248"/>
      <c r="X270" s="248"/>
      <c r="Y270" s="251"/>
      <c r="Z270" s="248"/>
      <c r="AA270" s="248"/>
      <c r="AB270" s="248"/>
      <c r="AC270" s="248"/>
      <c r="AD270" s="248"/>
      <c r="AE270" s="254"/>
      <c r="AF270" s="248"/>
      <c r="AK270" s="248"/>
      <c r="AL270" s="248"/>
      <c r="AM270" s="248"/>
      <c r="AN270" s="251"/>
      <c r="AO270" s="248"/>
      <c r="AP270" s="248"/>
    </row>
    <row r="271" spans="3:42" x14ac:dyDescent="0.25">
      <c r="C271" s="360"/>
      <c r="D271" s="360"/>
      <c r="E271" s="360"/>
      <c r="F271" s="360"/>
      <c r="G271" s="248"/>
      <c r="H271" s="248"/>
      <c r="I271" s="248"/>
      <c r="J271" s="247"/>
      <c r="K271" s="248"/>
      <c r="L271" s="248"/>
      <c r="M271" s="247"/>
      <c r="N271" s="248"/>
      <c r="O271" s="248"/>
      <c r="P271" s="247"/>
      <c r="Q271" s="248"/>
      <c r="R271" s="362"/>
      <c r="S271" s="358"/>
      <c r="T271" s="248"/>
      <c r="U271" s="248"/>
      <c r="V271" s="247"/>
      <c r="W271" s="248"/>
      <c r="X271" s="248"/>
      <c r="Y271" s="251"/>
      <c r="Z271" s="248"/>
      <c r="AA271" s="248"/>
      <c r="AB271" s="248"/>
      <c r="AC271" s="248"/>
      <c r="AD271" s="248"/>
      <c r="AE271" s="254"/>
      <c r="AF271" s="248"/>
      <c r="AK271" s="248"/>
      <c r="AL271" s="248"/>
      <c r="AM271" s="248"/>
      <c r="AN271" s="251"/>
      <c r="AO271" s="248"/>
      <c r="AP271" s="248"/>
    </row>
    <row r="272" spans="3:42" x14ac:dyDescent="0.25">
      <c r="C272" s="360"/>
      <c r="D272" s="360"/>
      <c r="E272" s="360"/>
      <c r="F272" s="360"/>
      <c r="G272" s="248"/>
      <c r="H272" s="248"/>
      <c r="I272" s="248"/>
      <c r="J272" s="247"/>
      <c r="K272" s="248"/>
      <c r="L272" s="248"/>
      <c r="M272" s="247"/>
      <c r="N272" s="248"/>
      <c r="O272" s="248"/>
      <c r="P272" s="247"/>
      <c r="Q272" s="248"/>
      <c r="R272" s="362"/>
      <c r="S272" s="358"/>
      <c r="T272" s="248"/>
      <c r="U272" s="248"/>
      <c r="V272" s="247"/>
      <c r="W272" s="248"/>
      <c r="Y272" s="251"/>
      <c r="Z272" s="248"/>
      <c r="AA272" s="248"/>
      <c r="AB272" s="248"/>
      <c r="AC272" s="248"/>
      <c r="AD272" s="248"/>
      <c r="AE272" s="254"/>
      <c r="AF272" s="248"/>
      <c r="AK272" s="248"/>
      <c r="AL272" s="248"/>
      <c r="AM272" s="248"/>
      <c r="AN272" s="251"/>
      <c r="AO272" s="248"/>
      <c r="AP272" s="248"/>
    </row>
    <row r="273" spans="3:19" x14ac:dyDescent="0.25">
      <c r="R273" s="366"/>
      <c r="S273" s="358"/>
    </row>
    <row r="274" spans="3:19" x14ac:dyDescent="0.25">
      <c r="R274" s="366"/>
      <c r="S274" s="358"/>
    </row>
    <row r="275" spans="3:19" x14ac:dyDescent="0.25">
      <c r="R275" s="366"/>
      <c r="S275" s="358"/>
    </row>
    <row r="276" spans="3:19" x14ac:dyDescent="0.25">
      <c r="R276" s="366"/>
      <c r="S276" s="358"/>
    </row>
    <row r="277" spans="3:19" x14ac:dyDescent="0.25">
      <c r="R277" s="366"/>
      <c r="S277" s="358"/>
    </row>
    <row r="278" spans="3:19" x14ac:dyDescent="0.25">
      <c r="R278" s="366"/>
      <c r="S278" s="358"/>
    </row>
    <row r="279" spans="3:19" x14ac:dyDescent="0.25">
      <c r="R279" s="366"/>
      <c r="S279" s="358"/>
    </row>
    <row r="280" spans="3:19" x14ac:dyDescent="0.25">
      <c r="C280" s="222"/>
      <c r="D280" s="222"/>
      <c r="E280" s="222"/>
      <c r="F280" s="222"/>
      <c r="R280" s="366"/>
      <c r="S280" s="358"/>
    </row>
    <row r="281" spans="3:19" x14ac:dyDescent="0.25">
      <c r="C281" s="222"/>
      <c r="D281" s="222"/>
      <c r="E281" s="222"/>
      <c r="F281" s="222"/>
      <c r="R281" s="366"/>
      <c r="S281" s="358"/>
    </row>
    <row r="282" spans="3:19" x14ac:dyDescent="0.25">
      <c r="C282" s="222"/>
      <c r="D282" s="222"/>
      <c r="E282" s="222"/>
      <c r="F282" s="222"/>
      <c r="R282" s="366"/>
      <c r="S282" s="358"/>
    </row>
    <row r="283" spans="3:19" x14ac:dyDescent="0.25">
      <c r="C283" s="222"/>
      <c r="D283" s="222"/>
      <c r="E283" s="222"/>
      <c r="F283" s="222"/>
      <c r="R283" s="366"/>
      <c r="S283" s="358"/>
    </row>
    <row r="284" spans="3:19" x14ac:dyDescent="0.25">
      <c r="C284" s="222"/>
      <c r="D284" s="222"/>
      <c r="E284" s="222"/>
      <c r="F284" s="222"/>
      <c r="R284" s="366"/>
      <c r="S284" s="358"/>
    </row>
    <row r="285" spans="3:19" x14ac:dyDescent="0.25">
      <c r="C285" s="222"/>
      <c r="D285" s="222"/>
      <c r="E285" s="222"/>
      <c r="F285" s="222"/>
      <c r="R285" s="366"/>
      <c r="S285" s="358"/>
    </row>
    <row r="286" spans="3:19" x14ac:dyDescent="0.25">
      <c r="C286" s="222"/>
      <c r="D286" s="222"/>
      <c r="E286" s="222"/>
      <c r="F286" s="222"/>
      <c r="J286" s="222"/>
      <c r="M286" s="357"/>
      <c r="P286" s="357"/>
      <c r="R286" s="366"/>
      <c r="S286" s="358"/>
    </row>
    <row r="287" spans="3:19" x14ac:dyDescent="0.25">
      <c r="C287" s="222"/>
      <c r="D287" s="222"/>
      <c r="E287" s="222"/>
      <c r="F287" s="222"/>
      <c r="J287" s="222"/>
      <c r="M287" s="357"/>
      <c r="P287" s="357"/>
      <c r="R287" s="366"/>
      <c r="S287" s="358"/>
    </row>
    <row r="288" spans="3:19" x14ac:dyDescent="0.25">
      <c r="C288" s="222"/>
      <c r="D288" s="222"/>
      <c r="E288" s="222"/>
      <c r="F288" s="222"/>
      <c r="J288" s="222"/>
      <c r="M288" s="357"/>
      <c r="P288" s="357"/>
      <c r="R288" s="366"/>
      <c r="S288" s="358"/>
    </row>
    <row r="289" spans="3:19" x14ac:dyDescent="0.25">
      <c r="C289" s="222"/>
      <c r="D289" s="222"/>
      <c r="E289" s="222"/>
      <c r="F289" s="222"/>
      <c r="J289" s="222"/>
      <c r="M289" s="357"/>
      <c r="P289" s="357"/>
      <c r="R289" s="366"/>
      <c r="S289" s="358"/>
    </row>
    <row r="290" spans="3:19" x14ac:dyDescent="0.25">
      <c r="C290" s="222"/>
      <c r="D290" s="222"/>
      <c r="E290" s="222"/>
      <c r="F290" s="222"/>
      <c r="J290" s="222"/>
      <c r="M290" s="357"/>
      <c r="P290" s="357"/>
      <c r="R290" s="366"/>
      <c r="S290" s="358"/>
    </row>
    <row r="291" spans="3:19" x14ac:dyDescent="0.25">
      <c r="C291" s="222"/>
      <c r="D291" s="222"/>
      <c r="E291" s="222"/>
      <c r="F291" s="222"/>
      <c r="J291" s="222"/>
      <c r="M291" s="357"/>
      <c r="P291" s="357"/>
      <c r="R291" s="366"/>
      <c r="S291" s="358"/>
    </row>
    <row r="292" spans="3:19" x14ac:dyDescent="0.25">
      <c r="C292" s="222"/>
      <c r="D292" s="222"/>
      <c r="E292" s="222"/>
      <c r="F292" s="222"/>
      <c r="J292" s="222"/>
      <c r="M292" s="357"/>
      <c r="P292" s="357"/>
      <c r="R292" s="366"/>
      <c r="S292" s="358"/>
    </row>
    <row r="293" spans="3:19" x14ac:dyDescent="0.25">
      <c r="C293" s="222"/>
      <c r="D293" s="222"/>
      <c r="E293" s="222"/>
      <c r="F293" s="222"/>
      <c r="J293" s="222"/>
      <c r="M293" s="357"/>
      <c r="P293" s="357"/>
      <c r="R293" s="366"/>
      <c r="S293" s="358"/>
    </row>
    <row r="294" spans="3:19" x14ac:dyDescent="0.25">
      <c r="C294" s="222"/>
      <c r="D294" s="222"/>
      <c r="E294" s="222"/>
      <c r="F294" s="222"/>
      <c r="J294" s="222"/>
      <c r="M294" s="357"/>
      <c r="P294" s="357"/>
      <c r="R294" s="366"/>
      <c r="S294" s="358"/>
    </row>
    <row r="295" spans="3:19" x14ac:dyDescent="0.25">
      <c r="C295" s="222"/>
      <c r="D295" s="222"/>
      <c r="E295" s="222"/>
      <c r="F295" s="222"/>
      <c r="J295" s="222"/>
      <c r="M295" s="357"/>
      <c r="P295" s="357"/>
      <c r="R295" s="366"/>
      <c r="S295" s="358"/>
    </row>
    <row r="296" spans="3:19" x14ac:dyDescent="0.25">
      <c r="C296" s="222"/>
      <c r="D296" s="222"/>
      <c r="E296" s="222"/>
      <c r="F296" s="222"/>
      <c r="J296" s="222"/>
      <c r="M296" s="357"/>
      <c r="P296" s="357"/>
      <c r="R296" s="366"/>
      <c r="S296" s="358"/>
    </row>
    <row r="297" spans="3:19" x14ac:dyDescent="0.25">
      <c r="C297" s="222"/>
      <c r="D297" s="222"/>
      <c r="E297" s="222"/>
      <c r="F297" s="222"/>
      <c r="J297" s="222"/>
      <c r="M297" s="357"/>
      <c r="P297" s="357"/>
      <c r="R297" s="366"/>
      <c r="S297" s="358"/>
    </row>
    <row r="298" spans="3:19" x14ac:dyDescent="0.25">
      <c r="C298" s="222"/>
      <c r="D298" s="222"/>
      <c r="E298" s="222"/>
      <c r="F298" s="222"/>
      <c r="J298" s="222"/>
      <c r="M298" s="357"/>
      <c r="P298" s="357"/>
      <c r="R298" s="366"/>
      <c r="S298" s="358"/>
    </row>
    <row r="299" spans="3:19" x14ac:dyDescent="0.25">
      <c r="C299" s="222"/>
      <c r="D299" s="222"/>
      <c r="E299" s="222"/>
      <c r="F299" s="222"/>
      <c r="J299" s="222"/>
      <c r="M299" s="357"/>
      <c r="P299" s="357"/>
      <c r="R299" s="366"/>
      <c r="S299" s="358"/>
    </row>
    <row r="300" spans="3:19" x14ac:dyDescent="0.25">
      <c r="C300" s="222"/>
      <c r="D300" s="222"/>
      <c r="E300" s="222"/>
      <c r="F300" s="222"/>
      <c r="J300" s="222"/>
      <c r="M300" s="357"/>
      <c r="P300" s="357"/>
      <c r="R300" s="366"/>
      <c r="S300" s="358"/>
    </row>
    <row r="301" spans="3:19" x14ac:dyDescent="0.25">
      <c r="C301" s="222"/>
      <c r="D301" s="222"/>
      <c r="E301" s="222"/>
      <c r="F301" s="222"/>
      <c r="J301" s="222"/>
      <c r="M301" s="357"/>
      <c r="P301" s="357"/>
      <c r="R301" s="366"/>
      <c r="S301" s="358"/>
    </row>
    <row r="302" spans="3:19" x14ac:dyDescent="0.25">
      <c r="C302" s="222"/>
      <c r="D302" s="222"/>
      <c r="E302" s="222"/>
      <c r="F302" s="222"/>
      <c r="J302" s="222"/>
      <c r="M302" s="357"/>
      <c r="P302" s="357"/>
      <c r="R302" s="366"/>
      <c r="S302" s="358"/>
    </row>
    <row r="303" spans="3:19" x14ac:dyDescent="0.25">
      <c r="C303" s="222"/>
      <c r="D303" s="222"/>
      <c r="E303" s="222"/>
      <c r="F303" s="222"/>
      <c r="J303" s="222"/>
      <c r="M303" s="357"/>
      <c r="P303" s="357"/>
      <c r="R303" s="366"/>
      <c r="S303" s="358"/>
    </row>
    <row r="304" spans="3:19" x14ac:dyDescent="0.25">
      <c r="C304" s="222"/>
      <c r="D304" s="222"/>
      <c r="E304" s="222"/>
      <c r="F304" s="222"/>
      <c r="J304" s="222"/>
      <c r="M304" s="357"/>
      <c r="P304" s="357"/>
      <c r="R304" s="366"/>
      <c r="S304" s="358"/>
    </row>
    <row r="305" spans="3:19" x14ac:dyDescent="0.25">
      <c r="C305" s="222"/>
      <c r="D305" s="222"/>
      <c r="E305" s="222"/>
      <c r="F305" s="222"/>
      <c r="J305" s="222"/>
      <c r="M305" s="357"/>
      <c r="P305" s="357"/>
      <c r="R305" s="366"/>
      <c r="S305" s="358"/>
    </row>
    <row r="306" spans="3:19" x14ac:dyDescent="0.25">
      <c r="C306" s="222"/>
      <c r="D306" s="222"/>
      <c r="E306" s="222"/>
      <c r="F306" s="222"/>
      <c r="J306" s="222"/>
      <c r="M306" s="357"/>
      <c r="P306" s="357"/>
      <c r="R306" s="366"/>
      <c r="S306" s="358"/>
    </row>
    <row r="307" spans="3:19" x14ac:dyDescent="0.25">
      <c r="C307" s="222"/>
      <c r="D307" s="222"/>
      <c r="E307" s="222"/>
      <c r="F307" s="222"/>
      <c r="J307" s="222"/>
      <c r="M307" s="357"/>
      <c r="P307" s="357"/>
      <c r="R307" s="366"/>
      <c r="S307" s="358"/>
    </row>
    <row r="308" spans="3:19" x14ac:dyDescent="0.25">
      <c r="C308" s="222"/>
      <c r="D308" s="222"/>
      <c r="E308" s="222"/>
      <c r="F308" s="222"/>
      <c r="J308" s="222"/>
      <c r="M308" s="357"/>
      <c r="P308" s="357"/>
      <c r="R308" s="366"/>
      <c r="S308" s="358"/>
    </row>
    <row r="309" spans="3:19" x14ac:dyDescent="0.25">
      <c r="C309" s="222"/>
      <c r="D309" s="222"/>
      <c r="E309" s="222"/>
      <c r="F309" s="222"/>
      <c r="J309" s="222"/>
      <c r="M309" s="357"/>
      <c r="P309" s="357"/>
      <c r="R309" s="366"/>
      <c r="S309" s="358"/>
    </row>
    <row r="310" spans="3:19" x14ac:dyDescent="0.25">
      <c r="C310" s="222"/>
      <c r="D310" s="222"/>
      <c r="E310" s="222"/>
      <c r="F310" s="222"/>
      <c r="J310" s="222"/>
      <c r="M310" s="357"/>
      <c r="P310" s="357"/>
      <c r="R310" s="366"/>
      <c r="S310" s="358"/>
    </row>
    <row r="311" spans="3:19" x14ac:dyDescent="0.25">
      <c r="C311" s="222"/>
      <c r="D311" s="222"/>
      <c r="E311" s="222"/>
      <c r="F311" s="222"/>
      <c r="J311" s="222"/>
      <c r="M311" s="357"/>
      <c r="P311" s="357"/>
      <c r="R311" s="366"/>
      <c r="S311" s="358"/>
    </row>
    <row r="312" spans="3:19" x14ac:dyDescent="0.25">
      <c r="C312" s="222"/>
      <c r="D312" s="222"/>
      <c r="E312" s="222"/>
      <c r="F312" s="222"/>
      <c r="J312" s="222"/>
      <c r="M312" s="357"/>
      <c r="P312" s="357"/>
      <c r="R312" s="366"/>
      <c r="S312" s="358"/>
    </row>
    <row r="313" spans="3:19" x14ac:dyDescent="0.25">
      <c r="C313" s="222"/>
      <c r="D313" s="222"/>
      <c r="E313" s="222"/>
      <c r="F313" s="222"/>
      <c r="J313" s="222"/>
      <c r="M313" s="357"/>
      <c r="P313" s="357"/>
      <c r="R313" s="366"/>
      <c r="S313" s="358"/>
    </row>
    <row r="314" spans="3:19" x14ac:dyDescent="0.25">
      <c r="C314" s="222"/>
      <c r="D314" s="222"/>
      <c r="E314" s="222"/>
      <c r="F314" s="222"/>
      <c r="J314" s="222"/>
      <c r="M314" s="357"/>
      <c r="P314" s="357"/>
      <c r="R314" s="366"/>
      <c r="S314" s="358"/>
    </row>
    <row r="315" spans="3:19" x14ac:dyDescent="0.25">
      <c r="C315" s="222"/>
      <c r="D315" s="222"/>
      <c r="E315" s="222"/>
      <c r="F315" s="222"/>
      <c r="J315" s="222"/>
      <c r="M315" s="357"/>
      <c r="P315" s="357"/>
      <c r="R315" s="366"/>
      <c r="S315" s="358"/>
    </row>
    <row r="316" spans="3:19" x14ac:dyDescent="0.25">
      <c r="C316" s="222"/>
      <c r="D316" s="222"/>
      <c r="E316" s="222"/>
      <c r="F316" s="222"/>
      <c r="J316" s="222"/>
      <c r="M316" s="357"/>
      <c r="P316" s="357"/>
      <c r="R316" s="366"/>
      <c r="S316" s="358"/>
    </row>
    <row r="317" spans="3:19" x14ac:dyDescent="0.25">
      <c r="C317" s="222"/>
      <c r="D317" s="222"/>
      <c r="E317" s="222"/>
      <c r="F317" s="222"/>
      <c r="J317" s="222"/>
      <c r="M317" s="357"/>
      <c r="P317" s="357"/>
      <c r="R317" s="366"/>
      <c r="S317" s="358"/>
    </row>
    <row r="318" spans="3:19" x14ac:dyDescent="0.25">
      <c r="C318" s="222"/>
      <c r="D318" s="222"/>
      <c r="E318" s="222"/>
      <c r="F318" s="222"/>
      <c r="J318" s="222"/>
      <c r="M318" s="357"/>
      <c r="P318" s="357"/>
      <c r="R318" s="366"/>
      <c r="S318" s="358"/>
    </row>
    <row r="319" spans="3:19" x14ac:dyDescent="0.25">
      <c r="C319" s="222"/>
      <c r="D319" s="222"/>
      <c r="E319" s="222"/>
      <c r="F319" s="222"/>
      <c r="J319" s="222"/>
      <c r="M319" s="357"/>
      <c r="P319" s="357"/>
      <c r="R319" s="366"/>
      <c r="S319" s="358"/>
    </row>
    <row r="320" spans="3:19" x14ac:dyDescent="0.25">
      <c r="C320" s="222"/>
      <c r="D320" s="222"/>
      <c r="E320" s="222"/>
      <c r="F320" s="222"/>
      <c r="J320" s="222"/>
      <c r="M320" s="357"/>
      <c r="P320" s="357"/>
      <c r="R320" s="366"/>
      <c r="S320" s="358"/>
    </row>
    <row r="321" spans="3:19" x14ac:dyDescent="0.25">
      <c r="C321" s="222"/>
      <c r="D321" s="222"/>
      <c r="E321" s="222"/>
      <c r="F321" s="222"/>
      <c r="J321" s="222"/>
      <c r="M321" s="357"/>
      <c r="P321" s="357"/>
      <c r="R321" s="366"/>
      <c r="S321" s="358"/>
    </row>
    <row r="322" spans="3:19" x14ac:dyDescent="0.25">
      <c r="C322" s="222"/>
      <c r="D322" s="222"/>
      <c r="E322" s="222"/>
      <c r="F322" s="222"/>
      <c r="J322" s="222"/>
      <c r="M322" s="357"/>
      <c r="P322" s="357"/>
      <c r="R322" s="366"/>
      <c r="S322" s="358"/>
    </row>
    <row r="323" spans="3:19" x14ac:dyDescent="0.25">
      <c r="C323" s="222"/>
      <c r="D323" s="222"/>
      <c r="E323" s="222"/>
      <c r="F323" s="222"/>
      <c r="J323" s="222"/>
      <c r="M323" s="357"/>
      <c r="P323" s="357"/>
      <c r="R323" s="366"/>
      <c r="S323" s="358"/>
    </row>
    <row r="324" spans="3:19" x14ac:dyDescent="0.25">
      <c r="C324" s="222"/>
      <c r="D324" s="222"/>
      <c r="E324" s="222"/>
      <c r="F324" s="222"/>
      <c r="J324" s="222"/>
      <c r="M324" s="357"/>
      <c r="P324" s="357"/>
      <c r="R324" s="366"/>
      <c r="S324" s="358"/>
    </row>
    <row r="325" spans="3:19" x14ac:dyDescent="0.25">
      <c r="C325" s="222"/>
      <c r="D325" s="222"/>
      <c r="E325" s="222"/>
      <c r="F325" s="222"/>
      <c r="J325" s="222"/>
      <c r="M325" s="357"/>
      <c r="P325" s="357"/>
      <c r="R325" s="366"/>
      <c r="S325" s="358"/>
    </row>
    <row r="326" spans="3:19" x14ac:dyDescent="0.25">
      <c r="C326" s="222"/>
      <c r="D326" s="222"/>
      <c r="E326" s="222"/>
      <c r="F326" s="222"/>
      <c r="J326" s="222"/>
      <c r="M326" s="357"/>
      <c r="P326" s="357"/>
      <c r="R326" s="366"/>
      <c r="S326" s="358"/>
    </row>
    <row r="327" spans="3:19" x14ac:dyDescent="0.25">
      <c r="C327" s="222"/>
      <c r="D327" s="222"/>
      <c r="E327" s="222"/>
      <c r="F327" s="222"/>
      <c r="J327" s="222"/>
      <c r="M327" s="357"/>
      <c r="P327" s="357"/>
      <c r="R327" s="366"/>
      <c r="S327" s="358"/>
    </row>
    <row r="328" spans="3:19" x14ac:dyDescent="0.25">
      <c r="C328" s="222"/>
      <c r="D328" s="222"/>
      <c r="E328" s="222"/>
      <c r="F328" s="222"/>
      <c r="J328" s="222"/>
      <c r="M328" s="357"/>
      <c r="P328" s="357"/>
      <c r="R328" s="366"/>
      <c r="S328" s="358"/>
    </row>
    <row r="329" spans="3:19" x14ac:dyDescent="0.25">
      <c r="C329" s="222"/>
      <c r="D329" s="222"/>
      <c r="E329" s="222"/>
      <c r="F329" s="222"/>
      <c r="J329" s="222"/>
      <c r="M329" s="357"/>
      <c r="P329" s="357"/>
      <c r="R329" s="366"/>
      <c r="S329" s="358"/>
    </row>
    <row r="330" spans="3:19" x14ac:dyDescent="0.25">
      <c r="C330" s="222"/>
      <c r="D330" s="222"/>
      <c r="E330" s="222"/>
      <c r="F330" s="222"/>
      <c r="J330" s="222"/>
      <c r="M330" s="357"/>
      <c r="P330" s="357"/>
      <c r="R330" s="366"/>
      <c r="S330" s="358"/>
    </row>
    <row r="331" spans="3:19" x14ac:dyDescent="0.25">
      <c r="C331" s="222"/>
      <c r="D331" s="222"/>
      <c r="E331" s="222"/>
      <c r="F331" s="222"/>
      <c r="J331" s="222"/>
      <c r="M331" s="357"/>
      <c r="P331" s="357"/>
      <c r="R331" s="366"/>
      <c r="S331" s="358"/>
    </row>
    <row r="332" spans="3:19" x14ac:dyDescent="0.25">
      <c r="C332" s="222"/>
      <c r="D332" s="222"/>
      <c r="E332" s="222"/>
      <c r="F332" s="222"/>
      <c r="J332" s="222"/>
      <c r="M332" s="357"/>
      <c r="P332" s="357"/>
      <c r="R332" s="366"/>
      <c r="S332" s="358"/>
    </row>
    <row r="333" spans="3:19" x14ac:dyDescent="0.25">
      <c r="C333" s="222"/>
      <c r="D333" s="222"/>
      <c r="E333" s="222"/>
      <c r="F333" s="222"/>
      <c r="J333" s="222"/>
      <c r="M333" s="357"/>
      <c r="P333" s="357"/>
      <c r="R333" s="366"/>
      <c r="S333" s="358"/>
    </row>
    <row r="334" spans="3:19" x14ac:dyDescent="0.25">
      <c r="C334" s="222"/>
      <c r="D334" s="222"/>
      <c r="E334" s="222"/>
      <c r="F334" s="222"/>
      <c r="J334" s="222"/>
      <c r="M334" s="357"/>
      <c r="P334" s="357"/>
      <c r="R334" s="366"/>
      <c r="S334" s="358"/>
    </row>
    <row r="335" spans="3:19" x14ac:dyDescent="0.25">
      <c r="C335" s="222"/>
      <c r="D335" s="222"/>
      <c r="E335" s="222"/>
      <c r="F335" s="222"/>
      <c r="J335" s="222"/>
      <c r="M335" s="357"/>
      <c r="P335" s="357"/>
      <c r="R335" s="366"/>
      <c r="S335" s="358"/>
    </row>
    <row r="336" spans="3:19" x14ac:dyDescent="0.25">
      <c r="C336" s="222"/>
      <c r="D336" s="222"/>
      <c r="E336" s="222"/>
      <c r="F336" s="222"/>
      <c r="J336" s="222"/>
      <c r="M336" s="357"/>
      <c r="P336" s="357"/>
      <c r="R336" s="366"/>
      <c r="S336" s="358"/>
    </row>
    <row r="337" spans="3:19" x14ac:dyDescent="0.25">
      <c r="C337" s="222"/>
      <c r="D337" s="222"/>
      <c r="E337" s="222"/>
      <c r="F337" s="222"/>
      <c r="J337" s="222"/>
      <c r="M337" s="357"/>
      <c r="P337" s="357"/>
      <c r="R337" s="366"/>
      <c r="S337" s="358"/>
    </row>
    <row r="338" spans="3:19" x14ac:dyDescent="0.25">
      <c r="C338" s="222"/>
      <c r="D338" s="222"/>
      <c r="E338" s="222"/>
      <c r="F338" s="222"/>
      <c r="J338" s="222"/>
      <c r="M338" s="357"/>
      <c r="P338" s="357"/>
      <c r="R338" s="366"/>
      <c r="S338" s="358"/>
    </row>
    <row r="339" spans="3:19" x14ac:dyDescent="0.25">
      <c r="C339" s="222"/>
      <c r="D339" s="222"/>
      <c r="E339" s="222"/>
      <c r="F339" s="222"/>
      <c r="J339" s="222"/>
      <c r="M339" s="357"/>
      <c r="P339" s="357"/>
      <c r="R339" s="366"/>
      <c r="S339" s="358"/>
    </row>
    <row r="340" spans="3:19" x14ac:dyDescent="0.25">
      <c r="C340" s="222"/>
      <c r="D340" s="222"/>
      <c r="E340" s="222"/>
      <c r="F340" s="222"/>
      <c r="J340" s="222"/>
      <c r="M340" s="357"/>
      <c r="P340" s="357"/>
      <c r="R340" s="366"/>
      <c r="S340" s="358"/>
    </row>
    <row r="341" spans="3:19" x14ac:dyDescent="0.25">
      <c r="C341" s="222"/>
      <c r="D341" s="222"/>
      <c r="E341" s="222"/>
      <c r="F341" s="222"/>
      <c r="J341" s="222"/>
      <c r="M341" s="357"/>
      <c r="P341" s="357"/>
      <c r="R341" s="366"/>
      <c r="S341" s="358"/>
    </row>
    <row r="342" spans="3:19" x14ac:dyDescent="0.25">
      <c r="C342" s="222"/>
      <c r="D342" s="222"/>
      <c r="E342" s="222"/>
      <c r="F342" s="222"/>
      <c r="J342" s="222"/>
      <c r="M342" s="357"/>
      <c r="P342" s="357"/>
      <c r="R342" s="366"/>
      <c r="S342" s="358"/>
    </row>
    <row r="343" spans="3:19" x14ac:dyDescent="0.25">
      <c r="C343" s="222"/>
      <c r="D343" s="222"/>
      <c r="E343" s="222"/>
      <c r="F343" s="222"/>
      <c r="J343" s="222"/>
      <c r="M343" s="357"/>
      <c r="P343" s="357"/>
      <c r="R343" s="366"/>
      <c r="S343" s="358"/>
    </row>
    <row r="344" spans="3:19" x14ac:dyDescent="0.25">
      <c r="C344" s="222"/>
      <c r="D344" s="222"/>
      <c r="E344" s="222"/>
      <c r="F344" s="222"/>
      <c r="J344" s="222"/>
      <c r="M344" s="357"/>
      <c r="P344" s="357"/>
      <c r="R344" s="366"/>
      <c r="S344" s="358"/>
    </row>
    <row r="345" spans="3:19" x14ac:dyDescent="0.25">
      <c r="C345" s="222"/>
      <c r="D345" s="222"/>
      <c r="E345" s="222"/>
      <c r="F345" s="222"/>
      <c r="J345" s="222"/>
      <c r="M345" s="357"/>
      <c r="P345" s="357"/>
      <c r="R345" s="366"/>
      <c r="S345" s="358"/>
    </row>
    <row r="346" spans="3:19" x14ac:dyDescent="0.25">
      <c r="C346" s="222"/>
      <c r="D346" s="222"/>
      <c r="E346" s="222"/>
      <c r="F346" s="222"/>
      <c r="J346" s="222"/>
      <c r="M346" s="357"/>
      <c r="P346" s="357"/>
      <c r="R346" s="366"/>
      <c r="S346" s="358"/>
    </row>
    <row r="347" spans="3:19" x14ac:dyDescent="0.25">
      <c r="C347" s="222"/>
      <c r="D347" s="222"/>
      <c r="E347" s="222"/>
      <c r="F347" s="222"/>
      <c r="J347" s="222"/>
      <c r="M347" s="357"/>
      <c r="P347" s="357"/>
      <c r="R347" s="366"/>
      <c r="S347" s="358"/>
    </row>
    <row r="348" spans="3:19" x14ac:dyDescent="0.25">
      <c r="C348" s="222"/>
      <c r="D348" s="222"/>
      <c r="E348" s="222"/>
      <c r="F348" s="222"/>
      <c r="J348" s="222"/>
      <c r="M348" s="357"/>
      <c r="P348" s="357"/>
      <c r="R348" s="366"/>
      <c r="S348" s="358"/>
    </row>
    <row r="349" spans="3:19" x14ac:dyDescent="0.25">
      <c r="C349" s="222"/>
      <c r="D349" s="222"/>
      <c r="E349" s="222"/>
      <c r="F349" s="222"/>
      <c r="J349" s="222"/>
      <c r="M349" s="357"/>
      <c r="P349" s="357"/>
      <c r="R349" s="366"/>
      <c r="S349" s="358"/>
    </row>
    <row r="350" spans="3:19" x14ac:dyDescent="0.25">
      <c r="C350" s="222"/>
      <c r="D350" s="222"/>
      <c r="E350" s="222"/>
      <c r="F350" s="222"/>
      <c r="J350" s="222"/>
      <c r="M350" s="357"/>
      <c r="P350" s="357"/>
      <c r="R350" s="366"/>
      <c r="S350" s="358"/>
    </row>
    <row r="351" spans="3:19" x14ac:dyDescent="0.25">
      <c r="C351" s="222"/>
      <c r="D351" s="222"/>
      <c r="E351" s="222"/>
      <c r="F351" s="222"/>
      <c r="J351" s="222"/>
      <c r="M351" s="357"/>
      <c r="P351" s="357"/>
      <c r="R351" s="366"/>
      <c r="S351" s="358"/>
    </row>
    <row r="352" spans="3:19" x14ac:dyDescent="0.25">
      <c r="C352" s="222"/>
      <c r="D352" s="222"/>
      <c r="E352" s="222"/>
      <c r="F352" s="222"/>
      <c r="J352" s="222"/>
      <c r="M352" s="357"/>
      <c r="P352" s="357"/>
      <c r="R352" s="366"/>
      <c r="S352" s="358"/>
    </row>
    <row r="353" spans="3:19" x14ac:dyDescent="0.25">
      <c r="C353" s="222"/>
      <c r="D353" s="222"/>
      <c r="E353" s="222"/>
      <c r="F353" s="222"/>
      <c r="J353" s="222"/>
      <c r="M353" s="357"/>
      <c r="P353" s="357"/>
      <c r="R353" s="366"/>
      <c r="S353" s="358"/>
    </row>
    <row r="354" spans="3:19" x14ac:dyDescent="0.25">
      <c r="C354" s="222"/>
      <c r="D354" s="222"/>
      <c r="E354" s="222"/>
      <c r="F354" s="222"/>
      <c r="J354" s="222"/>
      <c r="M354" s="357"/>
      <c r="P354" s="357"/>
      <c r="R354" s="366"/>
      <c r="S354" s="358"/>
    </row>
    <row r="355" spans="3:19" x14ac:dyDescent="0.25">
      <c r="C355" s="222"/>
      <c r="D355" s="222"/>
      <c r="E355" s="222"/>
      <c r="F355" s="222"/>
      <c r="J355" s="222"/>
      <c r="M355" s="357"/>
      <c r="P355" s="357"/>
      <c r="R355" s="366"/>
      <c r="S355" s="358"/>
    </row>
    <row r="356" spans="3:19" x14ac:dyDescent="0.25">
      <c r="C356" s="222"/>
      <c r="D356" s="222"/>
      <c r="E356" s="222"/>
      <c r="F356" s="222"/>
      <c r="J356" s="222"/>
      <c r="M356" s="357"/>
      <c r="P356" s="357"/>
      <c r="R356" s="366"/>
      <c r="S356" s="358"/>
    </row>
    <row r="357" spans="3:19" x14ac:dyDescent="0.25">
      <c r="C357" s="222"/>
      <c r="D357" s="222"/>
      <c r="E357" s="222"/>
      <c r="F357" s="222"/>
      <c r="J357" s="222"/>
      <c r="M357" s="357"/>
      <c r="P357" s="357"/>
      <c r="R357" s="366"/>
      <c r="S357" s="358"/>
    </row>
    <row r="358" spans="3:19" x14ac:dyDescent="0.25">
      <c r="C358" s="222"/>
      <c r="D358" s="222"/>
      <c r="E358" s="222"/>
      <c r="F358" s="222"/>
      <c r="J358" s="222"/>
      <c r="M358" s="357"/>
      <c r="P358" s="357"/>
      <c r="R358" s="366"/>
      <c r="S358" s="358"/>
    </row>
    <row r="359" spans="3:19" x14ac:dyDescent="0.25">
      <c r="C359" s="222"/>
      <c r="D359" s="222"/>
      <c r="E359" s="222"/>
      <c r="F359" s="222"/>
      <c r="J359" s="222"/>
      <c r="M359" s="357"/>
      <c r="P359" s="357"/>
      <c r="R359" s="366"/>
      <c r="S359" s="358"/>
    </row>
    <row r="360" spans="3:19" x14ac:dyDescent="0.25">
      <c r="C360" s="222"/>
      <c r="D360" s="222"/>
      <c r="E360" s="222"/>
      <c r="F360" s="222"/>
      <c r="J360" s="222"/>
      <c r="M360" s="357"/>
      <c r="P360" s="357"/>
      <c r="R360" s="366"/>
      <c r="S360" s="358"/>
    </row>
    <row r="361" spans="3:19" x14ac:dyDescent="0.25">
      <c r="C361" s="222"/>
      <c r="D361" s="222"/>
      <c r="E361" s="222"/>
      <c r="F361" s="222"/>
      <c r="J361" s="222"/>
      <c r="M361" s="357"/>
      <c r="P361" s="357"/>
      <c r="R361" s="366"/>
      <c r="S361" s="358"/>
    </row>
    <row r="362" spans="3:19" x14ac:dyDescent="0.25">
      <c r="C362" s="222"/>
      <c r="D362" s="222"/>
      <c r="E362" s="222"/>
      <c r="F362" s="222"/>
      <c r="J362" s="222"/>
      <c r="M362" s="357"/>
      <c r="P362" s="357"/>
      <c r="R362" s="366"/>
      <c r="S362" s="358"/>
    </row>
    <row r="363" spans="3:19" x14ac:dyDescent="0.25">
      <c r="C363" s="222"/>
      <c r="D363" s="222"/>
      <c r="E363" s="222"/>
      <c r="F363" s="222"/>
      <c r="J363" s="222"/>
      <c r="M363" s="357"/>
      <c r="P363" s="357"/>
      <c r="R363" s="366"/>
      <c r="S363" s="358"/>
    </row>
    <row r="364" spans="3:19" x14ac:dyDescent="0.25">
      <c r="C364" s="222"/>
      <c r="D364" s="222"/>
      <c r="E364" s="222"/>
      <c r="F364" s="222"/>
      <c r="J364" s="222"/>
      <c r="M364" s="357"/>
      <c r="P364" s="357"/>
      <c r="R364" s="366"/>
      <c r="S364" s="358"/>
    </row>
    <row r="365" spans="3:19" x14ac:dyDescent="0.25">
      <c r="C365" s="222"/>
      <c r="D365" s="222"/>
      <c r="E365" s="222"/>
      <c r="F365" s="222"/>
      <c r="J365" s="222"/>
      <c r="M365" s="357"/>
      <c r="P365" s="357"/>
      <c r="R365" s="366"/>
      <c r="S365" s="358"/>
    </row>
    <row r="366" spans="3:19" x14ac:dyDescent="0.25">
      <c r="C366" s="222"/>
      <c r="D366" s="222"/>
      <c r="E366" s="222"/>
      <c r="F366" s="222"/>
      <c r="J366" s="222"/>
      <c r="M366" s="357"/>
      <c r="P366" s="357"/>
      <c r="R366" s="366"/>
      <c r="S366" s="358"/>
    </row>
    <row r="367" spans="3:19" x14ac:dyDescent="0.25">
      <c r="C367" s="222"/>
      <c r="D367" s="222"/>
      <c r="E367" s="222"/>
      <c r="F367" s="222"/>
      <c r="J367" s="222"/>
      <c r="M367" s="357"/>
      <c r="P367" s="357"/>
      <c r="R367" s="366"/>
      <c r="S367" s="358"/>
    </row>
    <row r="368" spans="3:19" x14ac:dyDescent="0.25">
      <c r="C368" s="222"/>
      <c r="D368" s="222"/>
      <c r="E368" s="222"/>
      <c r="F368" s="222"/>
      <c r="J368" s="222"/>
      <c r="M368" s="357"/>
      <c r="P368" s="357"/>
      <c r="R368" s="366"/>
      <c r="S368" s="358"/>
    </row>
    <row r="369" spans="3:19" x14ac:dyDescent="0.25">
      <c r="C369" s="222"/>
      <c r="D369" s="222"/>
      <c r="E369" s="222"/>
      <c r="F369" s="222"/>
      <c r="J369" s="222"/>
      <c r="M369" s="357"/>
      <c r="P369" s="357"/>
      <c r="R369" s="366"/>
      <c r="S369" s="358"/>
    </row>
    <row r="370" spans="3:19" x14ac:dyDescent="0.25">
      <c r="C370" s="222"/>
      <c r="D370" s="222"/>
      <c r="E370" s="222"/>
      <c r="F370" s="222"/>
      <c r="J370" s="222"/>
      <c r="M370" s="357"/>
      <c r="P370" s="357"/>
      <c r="R370" s="366"/>
      <c r="S370" s="358"/>
    </row>
    <row r="371" spans="3:19" x14ac:dyDescent="0.25">
      <c r="C371" s="222"/>
      <c r="D371" s="222"/>
      <c r="E371" s="222"/>
      <c r="F371" s="222"/>
      <c r="J371" s="222"/>
      <c r="M371" s="357"/>
      <c r="P371" s="357"/>
      <c r="R371" s="366"/>
      <c r="S371" s="358"/>
    </row>
    <row r="372" spans="3:19" x14ac:dyDescent="0.25">
      <c r="C372" s="222"/>
      <c r="D372" s="222"/>
      <c r="E372" s="222"/>
      <c r="F372" s="222"/>
      <c r="J372" s="222"/>
      <c r="M372" s="357"/>
      <c r="P372" s="357"/>
      <c r="R372" s="366"/>
      <c r="S372" s="358"/>
    </row>
    <row r="373" spans="3:19" x14ac:dyDescent="0.25">
      <c r="C373" s="222"/>
      <c r="D373" s="222"/>
      <c r="E373" s="222"/>
      <c r="F373" s="222"/>
      <c r="J373" s="222"/>
      <c r="M373" s="357"/>
      <c r="P373" s="357"/>
      <c r="R373" s="366"/>
      <c r="S373" s="358"/>
    </row>
    <row r="374" spans="3:19" x14ac:dyDescent="0.25">
      <c r="C374" s="222"/>
      <c r="D374" s="222"/>
      <c r="E374" s="222"/>
      <c r="F374" s="222"/>
      <c r="J374" s="222"/>
      <c r="M374" s="357"/>
      <c r="P374" s="357"/>
      <c r="R374" s="366"/>
      <c r="S374" s="358"/>
    </row>
    <row r="375" spans="3:19" x14ac:dyDescent="0.25">
      <c r="C375" s="222"/>
      <c r="D375" s="222"/>
      <c r="E375" s="222"/>
      <c r="F375" s="222"/>
      <c r="J375" s="222"/>
      <c r="M375" s="357"/>
      <c r="P375" s="357"/>
      <c r="R375" s="366"/>
      <c r="S375" s="358"/>
    </row>
    <row r="376" spans="3:19" x14ac:dyDescent="0.25">
      <c r="C376" s="222"/>
      <c r="D376" s="222"/>
      <c r="E376" s="222"/>
      <c r="F376" s="222"/>
      <c r="J376" s="222"/>
      <c r="M376" s="357"/>
      <c r="P376" s="357"/>
      <c r="R376" s="366"/>
      <c r="S376" s="358"/>
    </row>
    <row r="377" spans="3:19" x14ac:dyDescent="0.25">
      <c r="C377" s="222"/>
      <c r="D377" s="222"/>
      <c r="E377" s="222"/>
      <c r="F377" s="222"/>
      <c r="J377" s="222"/>
      <c r="M377" s="357"/>
      <c r="P377" s="357"/>
      <c r="R377" s="366"/>
      <c r="S377" s="358"/>
    </row>
    <row r="378" spans="3:19" x14ac:dyDescent="0.25">
      <c r="C378" s="222"/>
      <c r="D378" s="222"/>
      <c r="E378" s="222"/>
      <c r="F378" s="222"/>
      <c r="J378" s="222"/>
      <c r="M378" s="357"/>
      <c r="P378" s="357"/>
      <c r="R378" s="366"/>
      <c r="S378" s="358"/>
    </row>
    <row r="379" spans="3:19" x14ac:dyDescent="0.25">
      <c r="C379" s="222"/>
      <c r="D379" s="222"/>
      <c r="E379" s="222"/>
      <c r="F379" s="222"/>
      <c r="J379" s="222"/>
      <c r="M379" s="357"/>
      <c r="P379" s="357"/>
      <c r="R379" s="366"/>
      <c r="S379" s="358"/>
    </row>
    <row r="380" spans="3:19" x14ac:dyDescent="0.25">
      <c r="C380" s="222"/>
      <c r="D380" s="222"/>
      <c r="E380" s="222"/>
      <c r="F380" s="222"/>
      <c r="J380" s="222"/>
      <c r="M380" s="357"/>
      <c r="P380" s="357"/>
      <c r="R380" s="366"/>
      <c r="S380" s="358"/>
    </row>
    <row r="381" spans="3:19" x14ac:dyDescent="0.25">
      <c r="C381" s="222"/>
      <c r="D381" s="222"/>
      <c r="E381" s="222"/>
      <c r="F381" s="222"/>
      <c r="J381" s="222"/>
      <c r="M381" s="357"/>
      <c r="P381" s="357"/>
      <c r="R381" s="366"/>
      <c r="S381" s="358"/>
    </row>
    <row r="382" spans="3:19" x14ac:dyDescent="0.25">
      <c r="C382" s="222"/>
      <c r="D382" s="222"/>
      <c r="E382" s="222"/>
      <c r="F382" s="222"/>
      <c r="J382" s="222"/>
      <c r="M382" s="357"/>
      <c r="P382" s="357"/>
      <c r="R382" s="366"/>
      <c r="S382" s="358"/>
    </row>
    <row r="383" spans="3:19" x14ac:dyDescent="0.25">
      <c r="C383" s="222"/>
      <c r="D383" s="222"/>
      <c r="E383" s="222"/>
      <c r="F383" s="222"/>
      <c r="J383" s="222"/>
      <c r="M383" s="357"/>
      <c r="P383" s="357"/>
      <c r="R383" s="366"/>
      <c r="S383" s="358"/>
    </row>
    <row r="384" spans="3:19" x14ac:dyDescent="0.25">
      <c r="C384" s="222"/>
      <c r="D384" s="222"/>
      <c r="E384" s="222"/>
      <c r="F384" s="222"/>
      <c r="J384" s="222"/>
      <c r="M384" s="357"/>
      <c r="P384" s="357"/>
      <c r="R384" s="366"/>
      <c r="S384" s="358"/>
    </row>
    <row r="385" spans="3:19" x14ac:dyDescent="0.25">
      <c r="C385" s="222"/>
      <c r="D385" s="222"/>
      <c r="E385" s="222"/>
      <c r="F385" s="222"/>
      <c r="J385" s="222"/>
      <c r="M385" s="357"/>
      <c r="P385" s="357"/>
      <c r="R385" s="366"/>
      <c r="S385" s="358"/>
    </row>
    <row r="386" spans="3:19" x14ac:dyDescent="0.25">
      <c r="C386" s="222"/>
      <c r="D386" s="222"/>
      <c r="E386" s="222"/>
      <c r="F386" s="222"/>
      <c r="J386" s="222"/>
      <c r="M386" s="357"/>
      <c r="P386" s="357"/>
      <c r="R386" s="366"/>
      <c r="S386" s="358"/>
    </row>
    <row r="387" spans="3:19" x14ac:dyDescent="0.25">
      <c r="C387" s="222"/>
      <c r="D387" s="222"/>
      <c r="E387" s="222"/>
      <c r="F387" s="222"/>
      <c r="J387" s="222"/>
      <c r="M387" s="357"/>
      <c r="P387" s="357"/>
      <c r="R387" s="366"/>
      <c r="S387" s="358"/>
    </row>
    <row r="388" spans="3:19" x14ac:dyDescent="0.25">
      <c r="C388" s="222"/>
      <c r="D388" s="222"/>
      <c r="E388" s="222"/>
      <c r="F388" s="222"/>
      <c r="J388" s="222"/>
      <c r="M388" s="357"/>
      <c r="P388" s="357"/>
      <c r="R388" s="366"/>
      <c r="S388" s="358"/>
    </row>
    <row r="389" spans="3:19" x14ac:dyDescent="0.25">
      <c r="C389" s="222"/>
      <c r="D389" s="222"/>
      <c r="E389" s="222"/>
      <c r="F389" s="222"/>
      <c r="J389" s="222"/>
      <c r="M389" s="357"/>
      <c r="P389" s="357"/>
      <c r="R389" s="366"/>
      <c r="S389" s="358"/>
    </row>
    <row r="390" spans="3:19" x14ac:dyDescent="0.25">
      <c r="C390" s="222"/>
      <c r="D390" s="222"/>
      <c r="E390" s="222"/>
      <c r="F390" s="222"/>
      <c r="J390" s="222"/>
      <c r="M390" s="357"/>
      <c r="P390" s="357"/>
      <c r="R390" s="366"/>
      <c r="S390" s="358"/>
    </row>
    <row r="391" spans="3:19" x14ac:dyDescent="0.25">
      <c r="C391" s="222"/>
      <c r="D391" s="222"/>
      <c r="E391" s="222"/>
      <c r="F391" s="222"/>
      <c r="J391" s="222"/>
      <c r="M391" s="357"/>
      <c r="P391" s="357"/>
      <c r="R391" s="366"/>
      <c r="S391" s="358"/>
    </row>
    <row r="392" spans="3:19" x14ac:dyDescent="0.25">
      <c r="C392" s="222"/>
      <c r="D392" s="222"/>
      <c r="E392" s="222"/>
      <c r="F392" s="222"/>
      <c r="J392" s="222"/>
      <c r="M392" s="357"/>
      <c r="P392" s="357"/>
      <c r="R392" s="366"/>
      <c r="S392" s="358"/>
    </row>
    <row r="393" spans="3:19" x14ac:dyDescent="0.25">
      <c r="C393" s="222"/>
      <c r="D393" s="222"/>
      <c r="E393" s="222"/>
      <c r="F393" s="222"/>
      <c r="J393" s="222"/>
      <c r="M393" s="357"/>
      <c r="P393" s="357"/>
      <c r="R393" s="366"/>
      <c r="S393" s="358"/>
    </row>
    <row r="394" spans="3:19" x14ac:dyDescent="0.25">
      <c r="C394" s="222"/>
      <c r="D394" s="222"/>
      <c r="E394" s="222"/>
      <c r="F394" s="222"/>
      <c r="J394" s="222"/>
      <c r="M394" s="357"/>
      <c r="P394" s="357"/>
      <c r="R394" s="366"/>
      <c r="S394" s="358"/>
    </row>
    <row r="395" spans="3:19" x14ac:dyDescent="0.25">
      <c r="C395" s="222"/>
      <c r="D395" s="222"/>
      <c r="E395" s="222"/>
      <c r="F395" s="222"/>
      <c r="J395" s="222"/>
      <c r="M395" s="357"/>
      <c r="P395" s="357"/>
      <c r="R395" s="366"/>
      <c r="S395" s="358"/>
    </row>
    <row r="396" spans="3:19" x14ac:dyDescent="0.25">
      <c r="C396" s="222"/>
      <c r="D396" s="222"/>
      <c r="E396" s="222"/>
      <c r="F396" s="222"/>
      <c r="J396" s="222"/>
      <c r="M396" s="357"/>
      <c r="P396" s="357"/>
      <c r="R396" s="366"/>
      <c r="S396" s="358"/>
    </row>
    <row r="397" spans="3:19" x14ac:dyDescent="0.25">
      <c r="C397" s="222"/>
      <c r="D397" s="222"/>
      <c r="E397" s="222"/>
      <c r="F397" s="222"/>
      <c r="J397" s="222"/>
      <c r="M397" s="357"/>
      <c r="P397" s="357"/>
      <c r="R397" s="366"/>
      <c r="S397" s="358"/>
    </row>
    <row r="398" spans="3:19" x14ac:dyDescent="0.25">
      <c r="C398" s="222"/>
      <c r="D398" s="222"/>
      <c r="E398" s="222"/>
      <c r="F398" s="222"/>
      <c r="J398" s="222"/>
      <c r="M398" s="357"/>
      <c r="P398" s="357"/>
      <c r="R398" s="366"/>
      <c r="S398" s="358"/>
    </row>
    <row r="399" spans="3:19" x14ac:dyDescent="0.25">
      <c r="C399" s="222"/>
      <c r="D399" s="222"/>
      <c r="E399" s="222"/>
      <c r="F399" s="222"/>
      <c r="J399" s="222"/>
      <c r="M399" s="357"/>
      <c r="P399" s="357"/>
      <c r="R399" s="366"/>
      <c r="S399" s="358"/>
    </row>
    <row r="400" spans="3:19" x14ac:dyDescent="0.25">
      <c r="C400" s="222"/>
      <c r="D400" s="222"/>
      <c r="E400" s="222"/>
      <c r="F400" s="222"/>
      <c r="J400" s="222"/>
      <c r="M400" s="357"/>
      <c r="P400" s="357"/>
      <c r="R400" s="366"/>
      <c r="S400" s="358"/>
    </row>
    <row r="401" spans="3:19" x14ac:dyDescent="0.25">
      <c r="C401" s="222"/>
      <c r="D401" s="222"/>
      <c r="E401" s="222"/>
      <c r="F401" s="222"/>
      <c r="J401" s="222"/>
      <c r="M401" s="357"/>
      <c r="P401" s="357"/>
      <c r="R401" s="366"/>
      <c r="S401" s="358"/>
    </row>
    <row r="402" spans="3:19" x14ac:dyDescent="0.25">
      <c r="C402" s="222"/>
      <c r="D402" s="222"/>
      <c r="E402" s="222"/>
      <c r="F402" s="222"/>
      <c r="J402" s="222"/>
      <c r="M402" s="357"/>
      <c r="P402" s="357"/>
      <c r="R402" s="366"/>
      <c r="S402" s="358"/>
    </row>
    <row r="403" spans="3:19" x14ac:dyDescent="0.25">
      <c r="C403" s="222"/>
      <c r="D403" s="222"/>
      <c r="E403" s="222"/>
      <c r="F403" s="222"/>
      <c r="J403" s="222"/>
      <c r="M403" s="357"/>
      <c r="P403" s="357"/>
      <c r="R403" s="366"/>
      <c r="S403" s="358"/>
    </row>
    <row r="404" spans="3:19" x14ac:dyDescent="0.25">
      <c r="C404" s="222"/>
      <c r="D404" s="222"/>
      <c r="E404" s="222"/>
      <c r="F404" s="222"/>
      <c r="J404" s="222"/>
      <c r="M404" s="357"/>
      <c r="P404" s="357"/>
      <c r="R404" s="366"/>
      <c r="S404" s="358"/>
    </row>
    <row r="405" spans="3:19" x14ac:dyDescent="0.25">
      <c r="C405" s="222"/>
      <c r="D405" s="222"/>
      <c r="E405" s="222"/>
      <c r="F405" s="222"/>
      <c r="J405" s="222"/>
      <c r="M405" s="357"/>
      <c r="P405" s="357"/>
      <c r="R405" s="366"/>
      <c r="S405" s="358"/>
    </row>
    <row r="406" spans="3:19" x14ac:dyDescent="0.25">
      <c r="C406" s="222"/>
      <c r="D406" s="222"/>
      <c r="E406" s="222"/>
      <c r="F406" s="222"/>
      <c r="J406" s="222"/>
      <c r="M406" s="357"/>
      <c r="P406" s="357"/>
      <c r="R406" s="366"/>
      <c r="S406" s="358"/>
    </row>
    <row r="407" spans="3:19" x14ac:dyDescent="0.25">
      <c r="C407" s="222"/>
      <c r="D407" s="222"/>
      <c r="E407" s="222"/>
      <c r="F407" s="222"/>
      <c r="J407" s="222"/>
      <c r="M407" s="357"/>
      <c r="P407" s="357"/>
      <c r="R407" s="366"/>
      <c r="S407" s="358"/>
    </row>
    <row r="408" spans="3:19" x14ac:dyDescent="0.25">
      <c r="C408" s="222"/>
      <c r="D408" s="222"/>
      <c r="E408" s="222"/>
      <c r="F408" s="222"/>
      <c r="J408" s="222"/>
      <c r="M408" s="357"/>
      <c r="P408" s="357"/>
      <c r="R408" s="366"/>
      <c r="S408" s="358"/>
    </row>
    <row r="409" spans="3:19" x14ac:dyDescent="0.25">
      <c r="C409" s="222"/>
      <c r="D409" s="222"/>
      <c r="E409" s="222"/>
      <c r="F409" s="222"/>
      <c r="J409" s="222"/>
      <c r="M409" s="357"/>
      <c r="P409" s="357"/>
      <c r="R409" s="366"/>
      <c r="S409" s="358"/>
    </row>
    <row r="410" spans="3:19" x14ac:dyDescent="0.25">
      <c r="C410" s="222"/>
      <c r="D410" s="222"/>
      <c r="E410" s="222"/>
      <c r="F410" s="222"/>
      <c r="J410" s="222"/>
      <c r="M410" s="357"/>
      <c r="P410" s="357"/>
      <c r="R410" s="366"/>
      <c r="S410" s="358"/>
    </row>
  </sheetData>
  <mergeCells count="43">
    <mergeCell ref="B1:AU1"/>
    <mergeCell ref="B2:AU2"/>
    <mergeCell ref="B3:AU3"/>
    <mergeCell ref="B4:AU4"/>
    <mergeCell ref="B6:I6"/>
    <mergeCell ref="J6:L6"/>
    <mergeCell ref="M6:O6"/>
    <mergeCell ref="P6:R6"/>
    <mergeCell ref="S6:U6"/>
    <mergeCell ref="V6:X6"/>
    <mergeCell ref="AQ6:AS6"/>
    <mergeCell ref="AT6:AU6"/>
    <mergeCell ref="AE6:AG6"/>
    <mergeCell ref="AH6:AJ6"/>
    <mergeCell ref="AK6:AM6"/>
    <mergeCell ref="AN6:AP6"/>
    <mergeCell ref="Y6:AA6"/>
    <mergeCell ref="AB6:AD6"/>
    <mergeCell ref="B7:B8"/>
    <mergeCell ref="C7:C8"/>
    <mergeCell ref="G7:G8"/>
    <mergeCell ref="H7:I8"/>
    <mergeCell ref="J7:L7"/>
    <mergeCell ref="I19:I23"/>
    <mergeCell ref="V7:X7"/>
    <mergeCell ref="Y7:AA7"/>
    <mergeCell ref="AB7:AD7"/>
    <mergeCell ref="AE7:AG7"/>
    <mergeCell ref="M7:O7"/>
    <mergeCell ref="P7:R7"/>
    <mergeCell ref="S7:U7"/>
    <mergeCell ref="AN7:AP7"/>
    <mergeCell ref="AQ7:AS7"/>
    <mergeCell ref="AT7:AT8"/>
    <mergeCell ref="AU7:AU8"/>
    <mergeCell ref="I14:I18"/>
    <mergeCell ref="AH7:AJ7"/>
    <mergeCell ref="AK7:AM7"/>
    <mergeCell ref="I24:I28"/>
    <mergeCell ref="I29:I32"/>
    <mergeCell ref="P33:R33"/>
    <mergeCell ref="B34:J34"/>
    <mergeCell ref="AT36:AU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84E9F-642D-4D80-93DC-9BBC8DD8180E}">
  <sheetPr>
    <tabColor rgb="FF7030A0"/>
  </sheetPr>
  <dimension ref="A1:AA145"/>
  <sheetViews>
    <sheetView zoomScale="175" zoomScaleNormal="175" workbookViewId="0">
      <pane xSplit="1" ySplit="2" topLeftCell="X135" activePane="bottomRight" state="frozen"/>
      <selection pane="topRight" activeCell="B1" sqref="B1"/>
      <selection pane="bottomLeft" activeCell="A3" sqref="A3"/>
      <selection pane="bottomRight" activeCell="A11" sqref="A11"/>
    </sheetView>
  </sheetViews>
  <sheetFormatPr baseColWidth="10" defaultColWidth="11.42578125" defaultRowHeight="12.75" x14ac:dyDescent="0.25"/>
  <cols>
    <col min="1" max="1" width="54.140625" style="601" bestFit="1" customWidth="1"/>
    <col min="2" max="3" width="17.7109375" style="1132" customWidth="1"/>
    <col min="4" max="4" width="17.7109375" style="1133" customWidth="1"/>
    <col min="5" max="5" width="17.7109375" style="1132" customWidth="1"/>
    <col min="6" max="6" width="17.7109375" style="1133" customWidth="1"/>
    <col min="7" max="7" width="17.7109375" style="1132" customWidth="1"/>
    <col min="8" max="8" width="17.7109375" style="1133" customWidth="1"/>
    <col min="9" max="9" width="17.7109375" style="1132" customWidth="1"/>
    <col min="10" max="10" width="17.7109375" style="1133" customWidth="1"/>
    <col min="11" max="11" width="16.28515625" style="1132" customWidth="1"/>
    <col min="12" max="12" width="13.7109375" style="1133" customWidth="1"/>
    <col min="13" max="13" width="18.28515625" style="1092" customWidth="1"/>
    <col min="14" max="14" width="13.7109375" style="1133" customWidth="1"/>
    <col min="15" max="15" width="18.28515625" style="1092" customWidth="1"/>
    <col min="16" max="16" width="13.7109375" style="1133" customWidth="1"/>
    <col min="17" max="17" width="20.7109375" style="1092" customWidth="1"/>
    <col min="18" max="18" width="20.140625" style="1092" customWidth="1"/>
    <col min="19" max="19" width="21.5703125" style="1092" customWidth="1"/>
    <col min="20" max="20" width="24.85546875" style="1092" customWidth="1"/>
    <col min="21" max="21" width="19.140625" style="1092" customWidth="1"/>
    <col min="22" max="22" width="24.7109375" style="1092" customWidth="1"/>
    <col min="23" max="23" width="26.28515625" style="1092" bestFit="1" customWidth="1"/>
    <col min="24" max="24" width="20.5703125" style="1092" bestFit="1" customWidth="1"/>
    <col min="25" max="25" width="18.42578125" style="1195" bestFit="1" customWidth="1"/>
    <col min="26" max="26" width="23" style="42" bestFit="1" customWidth="1"/>
    <col min="27" max="28" width="14.28515625" style="42" customWidth="1"/>
    <col min="29" max="263" width="11.42578125" style="42"/>
    <col min="264" max="264" width="49.5703125" style="42" customWidth="1"/>
    <col min="265" max="265" width="18.5703125" style="42" bestFit="1" customWidth="1"/>
    <col min="266" max="269" width="17.28515625" style="42" bestFit="1" customWidth="1"/>
    <col min="270" max="270" width="1" style="42" customWidth="1"/>
    <col min="271" max="271" width="17.28515625" style="42" bestFit="1" customWidth="1"/>
    <col min="272" max="272" width="0.85546875" style="42" customWidth="1"/>
    <col min="273" max="273" width="18.28515625" style="42" customWidth="1"/>
    <col min="274" max="277" width="17.28515625" style="42" bestFit="1" customWidth="1"/>
    <col min="278" max="278" width="10.85546875" style="42" customWidth="1"/>
    <col min="279" max="280" width="14.28515625" style="42" customWidth="1"/>
    <col min="281" max="281" width="10.85546875" style="42" customWidth="1"/>
    <col min="282" max="282" width="45.42578125" style="42" customWidth="1"/>
    <col min="283" max="284" width="14.28515625" style="42" customWidth="1"/>
    <col min="285" max="519" width="11.42578125" style="42"/>
    <col min="520" max="520" width="49.5703125" style="42" customWidth="1"/>
    <col min="521" max="521" width="18.5703125" style="42" bestFit="1" customWidth="1"/>
    <col min="522" max="525" width="17.28515625" style="42" bestFit="1" customWidth="1"/>
    <col min="526" max="526" width="1" style="42" customWidth="1"/>
    <col min="527" max="527" width="17.28515625" style="42" bestFit="1" customWidth="1"/>
    <col min="528" max="528" width="0.85546875" style="42" customWidth="1"/>
    <col min="529" max="529" width="18.28515625" style="42" customWidth="1"/>
    <col min="530" max="533" width="17.28515625" style="42" bestFit="1" customWidth="1"/>
    <col min="534" max="534" width="10.85546875" style="42" customWidth="1"/>
    <col min="535" max="536" width="14.28515625" style="42" customWidth="1"/>
    <col min="537" max="537" width="10.85546875" style="42" customWidth="1"/>
    <col min="538" max="538" width="45.42578125" style="42" customWidth="1"/>
    <col min="539" max="540" width="14.28515625" style="42" customWidth="1"/>
    <col min="541" max="775" width="11.42578125" style="42"/>
    <col min="776" max="776" width="49.5703125" style="42" customWidth="1"/>
    <col min="777" max="777" width="18.5703125" style="42" bestFit="1" customWidth="1"/>
    <col min="778" max="781" width="17.28515625" style="42" bestFit="1" customWidth="1"/>
    <col min="782" max="782" width="1" style="42" customWidth="1"/>
    <col min="783" max="783" width="17.28515625" style="42" bestFit="1" customWidth="1"/>
    <col min="784" max="784" width="0.85546875" style="42" customWidth="1"/>
    <col min="785" max="785" width="18.28515625" style="42" customWidth="1"/>
    <col min="786" max="789" width="17.28515625" style="42" bestFit="1" customWidth="1"/>
    <col min="790" max="790" width="10.85546875" style="42" customWidth="1"/>
    <col min="791" max="792" width="14.28515625" style="42" customWidth="1"/>
    <col min="793" max="793" width="10.85546875" style="42" customWidth="1"/>
    <col min="794" max="794" width="45.42578125" style="42" customWidth="1"/>
    <col min="795" max="796" width="14.28515625" style="42" customWidth="1"/>
    <col min="797" max="1031" width="11.42578125" style="42"/>
    <col min="1032" max="1032" width="49.5703125" style="42" customWidth="1"/>
    <col min="1033" max="1033" width="18.5703125" style="42" bestFit="1" customWidth="1"/>
    <col min="1034" max="1037" width="17.28515625" style="42" bestFit="1" customWidth="1"/>
    <col min="1038" max="1038" width="1" style="42" customWidth="1"/>
    <col min="1039" max="1039" width="17.28515625" style="42" bestFit="1" customWidth="1"/>
    <col min="1040" max="1040" width="0.85546875" style="42" customWidth="1"/>
    <col min="1041" max="1041" width="18.28515625" style="42" customWidth="1"/>
    <col min="1042" max="1045" width="17.28515625" style="42" bestFit="1" customWidth="1"/>
    <col min="1046" max="1046" width="10.85546875" style="42" customWidth="1"/>
    <col min="1047" max="1048" width="14.28515625" style="42" customWidth="1"/>
    <col min="1049" max="1049" width="10.85546875" style="42" customWidth="1"/>
    <col min="1050" max="1050" width="45.42578125" style="42" customWidth="1"/>
    <col min="1051" max="1052" width="14.28515625" style="42" customWidth="1"/>
    <col min="1053" max="1287" width="11.42578125" style="42"/>
    <col min="1288" max="1288" width="49.5703125" style="42" customWidth="1"/>
    <col min="1289" max="1289" width="18.5703125" style="42" bestFit="1" customWidth="1"/>
    <col min="1290" max="1293" width="17.28515625" style="42" bestFit="1" customWidth="1"/>
    <col min="1294" max="1294" width="1" style="42" customWidth="1"/>
    <col min="1295" max="1295" width="17.28515625" style="42" bestFit="1" customWidth="1"/>
    <col min="1296" max="1296" width="0.85546875" style="42" customWidth="1"/>
    <col min="1297" max="1297" width="18.28515625" style="42" customWidth="1"/>
    <col min="1298" max="1301" width="17.28515625" style="42" bestFit="1" customWidth="1"/>
    <col min="1302" max="1302" width="10.85546875" style="42" customWidth="1"/>
    <col min="1303" max="1304" width="14.28515625" style="42" customWidth="1"/>
    <col min="1305" max="1305" width="10.85546875" style="42" customWidth="1"/>
    <col min="1306" max="1306" width="45.42578125" style="42" customWidth="1"/>
    <col min="1307" max="1308" width="14.28515625" style="42" customWidth="1"/>
    <col min="1309" max="1543" width="11.42578125" style="42"/>
    <col min="1544" max="1544" width="49.5703125" style="42" customWidth="1"/>
    <col min="1545" max="1545" width="18.5703125" style="42" bestFit="1" customWidth="1"/>
    <col min="1546" max="1549" width="17.28515625" style="42" bestFit="1" customWidth="1"/>
    <col min="1550" max="1550" width="1" style="42" customWidth="1"/>
    <col min="1551" max="1551" width="17.28515625" style="42" bestFit="1" customWidth="1"/>
    <col min="1552" max="1552" width="0.85546875" style="42" customWidth="1"/>
    <col min="1553" max="1553" width="18.28515625" style="42" customWidth="1"/>
    <col min="1554" max="1557" width="17.28515625" style="42" bestFit="1" customWidth="1"/>
    <col min="1558" max="1558" width="10.85546875" style="42" customWidth="1"/>
    <col min="1559" max="1560" width="14.28515625" style="42" customWidth="1"/>
    <col min="1561" max="1561" width="10.85546875" style="42" customWidth="1"/>
    <col min="1562" max="1562" width="45.42578125" style="42" customWidth="1"/>
    <col min="1563" max="1564" width="14.28515625" style="42" customWidth="1"/>
    <col min="1565" max="1799" width="11.42578125" style="42"/>
    <col min="1800" max="1800" width="49.5703125" style="42" customWidth="1"/>
    <col min="1801" max="1801" width="18.5703125" style="42" bestFit="1" customWidth="1"/>
    <col min="1802" max="1805" width="17.28515625" style="42" bestFit="1" customWidth="1"/>
    <col min="1806" max="1806" width="1" style="42" customWidth="1"/>
    <col min="1807" max="1807" width="17.28515625" style="42" bestFit="1" customWidth="1"/>
    <col min="1808" max="1808" width="0.85546875" style="42" customWidth="1"/>
    <col min="1809" max="1809" width="18.28515625" style="42" customWidth="1"/>
    <col min="1810" max="1813" width="17.28515625" style="42" bestFit="1" customWidth="1"/>
    <col min="1814" max="1814" width="10.85546875" style="42" customWidth="1"/>
    <col min="1815" max="1816" width="14.28515625" style="42" customWidth="1"/>
    <col min="1817" max="1817" width="10.85546875" style="42" customWidth="1"/>
    <col min="1818" max="1818" width="45.42578125" style="42" customWidth="1"/>
    <col min="1819" max="1820" width="14.28515625" style="42" customWidth="1"/>
    <col min="1821" max="2055" width="11.42578125" style="42"/>
    <col min="2056" max="2056" width="49.5703125" style="42" customWidth="1"/>
    <col min="2057" max="2057" width="18.5703125" style="42" bestFit="1" customWidth="1"/>
    <col min="2058" max="2061" width="17.28515625" style="42" bestFit="1" customWidth="1"/>
    <col min="2062" max="2062" width="1" style="42" customWidth="1"/>
    <col min="2063" max="2063" width="17.28515625" style="42" bestFit="1" customWidth="1"/>
    <col min="2064" max="2064" width="0.85546875" style="42" customWidth="1"/>
    <col min="2065" max="2065" width="18.28515625" style="42" customWidth="1"/>
    <col min="2066" max="2069" width="17.28515625" style="42" bestFit="1" customWidth="1"/>
    <col min="2070" max="2070" width="10.85546875" style="42" customWidth="1"/>
    <col min="2071" max="2072" width="14.28515625" style="42" customWidth="1"/>
    <col min="2073" max="2073" width="10.85546875" style="42" customWidth="1"/>
    <col min="2074" max="2074" width="45.42578125" style="42" customWidth="1"/>
    <col min="2075" max="2076" width="14.28515625" style="42" customWidth="1"/>
    <col min="2077" max="2311" width="11.42578125" style="42"/>
    <col min="2312" max="2312" width="49.5703125" style="42" customWidth="1"/>
    <col min="2313" max="2313" width="18.5703125" style="42" bestFit="1" customWidth="1"/>
    <col min="2314" max="2317" width="17.28515625" style="42" bestFit="1" customWidth="1"/>
    <col min="2318" max="2318" width="1" style="42" customWidth="1"/>
    <col min="2319" max="2319" width="17.28515625" style="42" bestFit="1" customWidth="1"/>
    <col min="2320" max="2320" width="0.85546875" style="42" customWidth="1"/>
    <col min="2321" max="2321" width="18.28515625" style="42" customWidth="1"/>
    <col min="2322" max="2325" width="17.28515625" style="42" bestFit="1" customWidth="1"/>
    <col min="2326" max="2326" width="10.85546875" style="42" customWidth="1"/>
    <col min="2327" max="2328" width="14.28515625" style="42" customWidth="1"/>
    <col min="2329" max="2329" width="10.85546875" style="42" customWidth="1"/>
    <col min="2330" max="2330" width="45.42578125" style="42" customWidth="1"/>
    <col min="2331" max="2332" width="14.28515625" style="42" customWidth="1"/>
    <col min="2333" max="2567" width="11.42578125" style="42"/>
    <col min="2568" max="2568" width="49.5703125" style="42" customWidth="1"/>
    <col min="2569" max="2569" width="18.5703125" style="42" bestFit="1" customWidth="1"/>
    <col min="2570" max="2573" width="17.28515625" style="42" bestFit="1" customWidth="1"/>
    <col min="2574" max="2574" width="1" style="42" customWidth="1"/>
    <col min="2575" max="2575" width="17.28515625" style="42" bestFit="1" customWidth="1"/>
    <col min="2576" max="2576" width="0.85546875" style="42" customWidth="1"/>
    <col min="2577" max="2577" width="18.28515625" style="42" customWidth="1"/>
    <col min="2578" max="2581" width="17.28515625" style="42" bestFit="1" customWidth="1"/>
    <col min="2582" max="2582" width="10.85546875" style="42" customWidth="1"/>
    <col min="2583" max="2584" width="14.28515625" style="42" customWidth="1"/>
    <col min="2585" max="2585" width="10.85546875" style="42" customWidth="1"/>
    <col min="2586" max="2586" width="45.42578125" style="42" customWidth="1"/>
    <col min="2587" max="2588" width="14.28515625" style="42" customWidth="1"/>
    <col min="2589" max="2823" width="11.42578125" style="42"/>
    <col min="2824" max="2824" width="49.5703125" style="42" customWidth="1"/>
    <col min="2825" max="2825" width="18.5703125" style="42" bestFit="1" customWidth="1"/>
    <col min="2826" max="2829" width="17.28515625" style="42" bestFit="1" customWidth="1"/>
    <col min="2830" max="2830" width="1" style="42" customWidth="1"/>
    <col min="2831" max="2831" width="17.28515625" style="42" bestFit="1" customWidth="1"/>
    <col min="2832" max="2832" width="0.85546875" style="42" customWidth="1"/>
    <col min="2833" max="2833" width="18.28515625" style="42" customWidth="1"/>
    <col min="2834" max="2837" width="17.28515625" style="42" bestFit="1" customWidth="1"/>
    <col min="2838" max="2838" width="10.85546875" style="42" customWidth="1"/>
    <col min="2839" max="2840" width="14.28515625" style="42" customWidth="1"/>
    <col min="2841" max="2841" width="10.85546875" style="42" customWidth="1"/>
    <col min="2842" max="2842" width="45.42578125" style="42" customWidth="1"/>
    <col min="2843" max="2844" width="14.28515625" style="42" customWidth="1"/>
    <col min="2845" max="3079" width="11.42578125" style="42"/>
    <col min="3080" max="3080" width="49.5703125" style="42" customWidth="1"/>
    <col min="3081" max="3081" width="18.5703125" style="42" bestFit="1" customWidth="1"/>
    <col min="3082" max="3085" width="17.28515625" style="42" bestFit="1" customWidth="1"/>
    <col min="3086" max="3086" width="1" style="42" customWidth="1"/>
    <col min="3087" max="3087" width="17.28515625" style="42" bestFit="1" customWidth="1"/>
    <col min="3088" max="3088" width="0.85546875" style="42" customWidth="1"/>
    <col min="3089" max="3089" width="18.28515625" style="42" customWidth="1"/>
    <col min="3090" max="3093" width="17.28515625" style="42" bestFit="1" customWidth="1"/>
    <col min="3094" max="3094" width="10.85546875" style="42" customWidth="1"/>
    <col min="3095" max="3096" width="14.28515625" style="42" customWidth="1"/>
    <col min="3097" max="3097" width="10.85546875" style="42" customWidth="1"/>
    <col min="3098" max="3098" width="45.42578125" style="42" customWidth="1"/>
    <col min="3099" max="3100" width="14.28515625" style="42" customWidth="1"/>
    <col min="3101" max="3335" width="11.42578125" style="42"/>
    <col min="3336" max="3336" width="49.5703125" style="42" customWidth="1"/>
    <col min="3337" max="3337" width="18.5703125" style="42" bestFit="1" customWidth="1"/>
    <col min="3338" max="3341" width="17.28515625" style="42" bestFit="1" customWidth="1"/>
    <col min="3342" max="3342" width="1" style="42" customWidth="1"/>
    <col min="3343" max="3343" width="17.28515625" style="42" bestFit="1" customWidth="1"/>
    <col min="3344" max="3344" width="0.85546875" style="42" customWidth="1"/>
    <col min="3345" max="3345" width="18.28515625" style="42" customWidth="1"/>
    <col min="3346" max="3349" width="17.28515625" style="42" bestFit="1" customWidth="1"/>
    <col min="3350" max="3350" width="10.85546875" style="42" customWidth="1"/>
    <col min="3351" max="3352" width="14.28515625" style="42" customWidth="1"/>
    <col min="3353" max="3353" width="10.85546875" style="42" customWidth="1"/>
    <col min="3354" max="3354" width="45.42578125" style="42" customWidth="1"/>
    <col min="3355" max="3356" width="14.28515625" style="42" customWidth="1"/>
    <col min="3357" max="3591" width="11.42578125" style="42"/>
    <col min="3592" max="3592" width="49.5703125" style="42" customWidth="1"/>
    <col min="3593" max="3593" width="18.5703125" style="42" bestFit="1" customWidth="1"/>
    <col min="3594" max="3597" width="17.28515625" style="42" bestFit="1" customWidth="1"/>
    <col min="3598" max="3598" width="1" style="42" customWidth="1"/>
    <col min="3599" max="3599" width="17.28515625" style="42" bestFit="1" customWidth="1"/>
    <col min="3600" max="3600" width="0.85546875" style="42" customWidth="1"/>
    <col min="3601" max="3601" width="18.28515625" style="42" customWidth="1"/>
    <col min="3602" max="3605" width="17.28515625" style="42" bestFit="1" customWidth="1"/>
    <col min="3606" max="3606" width="10.85546875" style="42" customWidth="1"/>
    <col min="3607" max="3608" width="14.28515625" style="42" customWidth="1"/>
    <col min="3609" max="3609" width="10.85546875" style="42" customWidth="1"/>
    <col min="3610" max="3610" width="45.42578125" style="42" customWidth="1"/>
    <col min="3611" max="3612" width="14.28515625" style="42" customWidth="1"/>
    <col min="3613" max="3847" width="11.42578125" style="42"/>
    <col min="3848" max="3848" width="49.5703125" style="42" customWidth="1"/>
    <col min="3849" max="3849" width="18.5703125" style="42" bestFit="1" customWidth="1"/>
    <col min="3850" max="3853" width="17.28515625" style="42" bestFit="1" customWidth="1"/>
    <col min="3854" max="3854" width="1" style="42" customWidth="1"/>
    <col min="3855" max="3855" width="17.28515625" style="42" bestFit="1" customWidth="1"/>
    <col min="3856" max="3856" width="0.85546875" style="42" customWidth="1"/>
    <col min="3857" max="3857" width="18.28515625" style="42" customWidth="1"/>
    <col min="3858" max="3861" width="17.28515625" style="42" bestFit="1" customWidth="1"/>
    <col min="3862" max="3862" width="10.85546875" style="42" customWidth="1"/>
    <col min="3863" max="3864" width="14.28515625" style="42" customWidth="1"/>
    <col min="3865" max="3865" width="10.85546875" style="42" customWidth="1"/>
    <col min="3866" max="3866" width="45.42578125" style="42" customWidth="1"/>
    <col min="3867" max="3868" width="14.28515625" style="42" customWidth="1"/>
    <col min="3869" max="4103" width="11.42578125" style="42"/>
    <col min="4104" max="4104" width="49.5703125" style="42" customWidth="1"/>
    <col min="4105" max="4105" width="18.5703125" style="42" bestFit="1" customWidth="1"/>
    <col min="4106" max="4109" width="17.28515625" style="42" bestFit="1" customWidth="1"/>
    <col min="4110" max="4110" width="1" style="42" customWidth="1"/>
    <col min="4111" max="4111" width="17.28515625" style="42" bestFit="1" customWidth="1"/>
    <col min="4112" max="4112" width="0.85546875" style="42" customWidth="1"/>
    <col min="4113" max="4113" width="18.28515625" style="42" customWidth="1"/>
    <col min="4114" max="4117" width="17.28515625" style="42" bestFit="1" customWidth="1"/>
    <col min="4118" max="4118" width="10.85546875" style="42" customWidth="1"/>
    <col min="4119" max="4120" width="14.28515625" style="42" customWidth="1"/>
    <col min="4121" max="4121" width="10.85546875" style="42" customWidth="1"/>
    <col min="4122" max="4122" width="45.42578125" style="42" customWidth="1"/>
    <col min="4123" max="4124" width="14.28515625" style="42" customWidth="1"/>
    <col min="4125" max="4359" width="11.42578125" style="42"/>
    <col min="4360" max="4360" width="49.5703125" style="42" customWidth="1"/>
    <col min="4361" max="4361" width="18.5703125" style="42" bestFit="1" customWidth="1"/>
    <col min="4362" max="4365" width="17.28515625" style="42" bestFit="1" customWidth="1"/>
    <col min="4366" max="4366" width="1" style="42" customWidth="1"/>
    <col min="4367" max="4367" width="17.28515625" style="42" bestFit="1" customWidth="1"/>
    <col min="4368" max="4368" width="0.85546875" style="42" customWidth="1"/>
    <col min="4369" max="4369" width="18.28515625" style="42" customWidth="1"/>
    <col min="4370" max="4373" width="17.28515625" style="42" bestFit="1" customWidth="1"/>
    <col min="4374" max="4374" width="10.85546875" style="42" customWidth="1"/>
    <col min="4375" max="4376" width="14.28515625" style="42" customWidth="1"/>
    <col min="4377" max="4377" width="10.85546875" style="42" customWidth="1"/>
    <col min="4378" max="4378" width="45.42578125" style="42" customWidth="1"/>
    <col min="4379" max="4380" width="14.28515625" style="42" customWidth="1"/>
    <col min="4381" max="4615" width="11.42578125" style="42"/>
    <col min="4616" max="4616" width="49.5703125" style="42" customWidth="1"/>
    <col min="4617" max="4617" width="18.5703125" style="42" bestFit="1" customWidth="1"/>
    <col min="4618" max="4621" width="17.28515625" style="42" bestFit="1" customWidth="1"/>
    <col min="4622" max="4622" width="1" style="42" customWidth="1"/>
    <col min="4623" max="4623" width="17.28515625" style="42" bestFit="1" customWidth="1"/>
    <col min="4624" max="4624" width="0.85546875" style="42" customWidth="1"/>
    <col min="4625" max="4625" width="18.28515625" style="42" customWidth="1"/>
    <col min="4626" max="4629" width="17.28515625" style="42" bestFit="1" customWidth="1"/>
    <col min="4630" max="4630" width="10.85546875" style="42" customWidth="1"/>
    <col min="4631" max="4632" width="14.28515625" style="42" customWidth="1"/>
    <col min="4633" max="4633" width="10.85546875" style="42" customWidth="1"/>
    <col min="4634" max="4634" width="45.42578125" style="42" customWidth="1"/>
    <col min="4635" max="4636" width="14.28515625" style="42" customWidth="1"/>
    <col min="4637" max="4871" width="11.42578125" style="42"/>
    <col min="4872" max="4872" width="49.5703125" style="42" customWidth="1"/>
    <col min="4873" max="4873" width="18.5703125" style="42" bestFit="1" customWidth="1"/>
    <col min="4874" max="4877" width="17.28515625" style="42" bestFit="1" customWidth="1"/>
    <col min="4878" max="4878" width="1" style="42" customWidth="1"/>
    <col min="4879" max="4879" width="17.28515625" style="42" bestFit="1" customWidth="1"/>
    <col min="4880" max="4880" width="0.85546875" style="42" customWidth="1"/>
    <col min="4881" max="4881" width="18.28515625" style="42" customWidth="1"/>
    <col min="4882" max="4885" width="17.28515625" style="42" bestFit="1" customWidth="1"/>
    <col min="4886" max="4886" width="10.85546875" style="42" customWidth="1"/>
    <col min="4887" max="4888" width="14.28515625" style="42" customWidth="1"/>
    <col min="4889" max="4889" width="10.85546875" style="42" customWidth="1"/>
    <col min="4890" max="4890" width="45.42578125" style="42" customWidth="1"/>
    <col min="4891" max="4892" width="14.28515625" style="42" customWidth="1"/>
    <col min="4893" max="5127" width="11.42578125" style="42"/>
    <col min="5128" max="5128" width="49.5703125" style="42" customWidth="1"/>
    <col min="5129" max="5129" width="18.5703125" style="42" bestFit="1" customWidth="1"/>
    <col min="5130" max="5133" width="17.28515625" style="42" bestFit="1" customWidth="1"/>
    <col min="5134" max="5134" width="1" style="42" customWidth="1"/>
    <col min="5135" max="5135" width="17.28515625" style="42" bestFit="1" customWidth="1"/>
    <col min="5136" max="5136" width="0.85546875" style="42" customWidth="1"/>
    <col min="5137" max="5137" width="18.28515625" style="42" customWidth="1"/>
    <col min="5138" max="5141" width="17.28515625" style="42" bestFit="1" customWidth="1"/>
    <col min="5142" max="5142" width="10.85546875" style="42" customWidth="1"/>
    <col min="5143" max="5144" width="14.28515625" style="42" customWidth="1"/>
    <col min="5145" max="5145" width="10.85546875" style="42" customWidth="1"/>
    <col min="5146" max="5146" width="45.42578125" style="42" customWidth="1"/>
    <col min="5147" max="5148" width="14.28515625" style="42" customWidth="1"/>
    <col min="5149" max="5383" width="11.42578125" style="42"/>
    <col min="5384" max="5384" width="49.5703125" style="42" customWidth="1"/>
    <col min="5385" max="5385" width="18.5703125" style="42" bestFit="1" customWidth="1"/>
    <col min="5386" max="5389" width="17.28515625" style="42" bestFit="1" customWidth="1"/>
    <col min="5390" max="5390" width="1" style="42" customWidth="1"/>
    <col min="5391" max="5391" width="17.28515625" style="42" bestFit="1" customWidth="1"/>
    <col min="5392" max="5392" width="0.85546875" style="42" customWidth="1"/>
    <col min="5393" max="5393" width="18.28515625" style="42" customWidth="1"/>
    <col min="5394" max="5397" width="17.28515625" style="42" bestFit="1" customWidth="1"/>
    <col min="5398" max="5398" width="10.85546875" style="42" customWidth="1"/>
    <col min="5399" max="5400" width="14.28515625" style="42" customWidth="1"/>
    <col min="5401" max="5401" width="10.85546875" style="42" customWidth="1"/>
    <col min="5402" max="5402" width="45.42578125" style="42" customWidth="1"/>
    <col min="5403" max="5404" width="14.28515625" style="42" customWidth="1"/>
    <col min="5405" max="5639" width="11.42578125" style="42"/>
    <col min="5640" max="5640" width="49.5703125" style="42" customWidth="1"/>
    <col min="5641" max="5641" width="18.5703125" style="42" bestFit="1" customWidth="1"/>
    <col min="5642" max="5645" width="17.28515625" style="42" bestFit="1" customWidth="1"/>
    <col min="5646" max="5646" width="1" style="42" customWidth="1"/>
    <col min="5647" max="5647" width="17.28515625" style="42" bestFit="1" customWidth="1"/>
    <col min="5648" max="5648" width="0.85546875" style="42" customWidth="1"/>
    <col min="5649" max="5649" width="18.28515625" style="42" customWidth="1"/>
    <col min="5650" max="5653" width="17.28515625" style="42" bestFit="1" customWidth="1"/>
    <col min="5654" max="5654" width="10.85546875" style="42" customWidth="1"/>
    <col min="5655" max="5656" width="14.28515625" style="42" customWidth="1"/>
    <col min="5657" max="5657" width="10.85546875" style="42" customWidth="1"/>
    <col min="5658" max="5658" width="45.42578125" style="42" customWidth="1"/>
    <col min="5659" max="5660" width="14.28515625" style="42" customWidth="1"/>
    <col min="5661" max="5895" width="11.42578125" style="42"/>
    <col min="5896" max="5896" width="49.5703125" style="42" customWidth="1"/>
    <col min="5897" max="5897" width="18.5703125" style="42" bestFit="1" customWidth="1"/>
    <col min="5898" max="5901" width="17.28515625" style="42" bestFit="1" customWidth="1"/>
    <col min="5902" max="5902" width="1" style="42" customWidth="1"/>
    <col min="5903" max="5903" width="17.28515625" style="42" bestFit="1" customWidth="1"/>
    <col min="5904" max="5904" width="0.85546875" style="42" customWidth="1"/>
    <col min="5905" max="5905" width="18.28515625" style="42" customWidth="1"/>
    <col min="5906" max="5909" width="17.28515625" style="42" bestFit="1" customWidth="1"/>
    <col min="5910" max="5910" width="10.85546875" style="42" customWidth="1"/>
    <col min="5911" max="5912" width="14.28515625" style="42" customWidth="1"/>
    <col min="5913" max="5913" width="10.85546875" style="42" customWidth="1"/>
    <col min="5914" max="5914" width="45.42578125" style="42" customWidth="1"/>
    <col min="5915" max="5916" width="14.28515625" style="42" customWidth="1"/>
    <col min="5917" max="6151" width="11.42578125" style="42"/>
    <col min="6152" max="6152" width="49.5703125" style="42" customWidth="1"/>
    <col min="6153" max="6153" width="18.5703125" style="42" bestFit="1" customWidth="1"/>
    <col min="6154" max="6157" width="17.28515625" style="42" bestFit="1" customWidth="1"/>
    <col min="6158" max="6158" width="1" style="42" customWidth="1"/>
    <col min="6159" max="6159" width="17.28515625" style="42" bestFit="1" customWidth="1"/>
    <col min="6160" max="6160" width="0.85546875" style="42" customWidth="1"/>
    <col min="6161" max="6161" width="18.28515625" style="42" customWidth="1"/>
    <col min="6162" max="6165" width="17.28515625" style="42" bestFit="1" customWidth="1"/>
    <col min="6166" max="6166" width="10.85546875" style="42" customWidth="1"/>
    <col min="6167" max="6168" width="14.28515625" style="42" customWidth="1"/>
    <col min="6169" max="6169" width="10.85546875" style="42" customWidth="1"/>
    <col min="6170" max="6170" width="45.42578125" style="42" customWidth="1"/>
    <col min="6171" max="6172" width="14.28515625" style="42" customWidth="1"/>
    <col min="6173" max="6407" width="11.42578125" style="42"/>
    <col min="6408" max="6408" width="49.5703125" style="42" customWidth="1"/>
    <col min="6409" max="6409" width="18.5703125" style="42" bestFit="1" customWidth="1"/>
    <col min="6410" max="6413" width="17.28515625" style="42" bestFit="1" customWidth="1"/>
    <col min="6414" max="6414" width="1" style="42" customWidth="1"/>
    <col min="6415" max="6415" width="17.28515625" style="42" bestFit="1" customWidth="1"/>
    <col min="6416" max="6416" width="0.85546875" style="42" customWidth="1"/>
    <col min="6417" max="6417" width="18.28515625" style="42" customWidth="1"/>
    <col min="6418" max="6421" width="17.28515625" style="42" bestFit="1" customWidth="1"/>
    <col min="6422" max="6422" width="10.85546875" style="42" customWidth="1"/>
    <col min="6423" max="6424" width="14.28515625" style="42" customWidth="1"/>
    <col min="6425" max="6425" width="10.85546875" style="42" customWidth="1"/>
    <col min="6426" max="6426" width="45.42578125" style="42" customWidth="1"/>
    <col min="6427" max="6428" width="14.28515625" style="42" customWidth="1"/>
    <col min="6429" max="6663" width="11.42578125" style="42"/>
    <col min="6664" max="6664" width="49.5703125" style="42" customWidth="1"/>
    <col min="6665" max="6665" width="18.5703125" style="42" bestFit="1" customWidth="1"/>
    <col min="6666" max="6669" width="17.28515625" style="42" bestFit="1" customWidth="1"/>
    <col min="6670" max="6670" width="1" style="42" customWidth="1"/>
    <col min="6671" max="6671" width="17.28515625" style="42" bestFit="1" customWidth="1"/>
    <col min="6672" max="6672" width="0.85546875" style="42" customWidth="1"/>
    <col min="6673" max="6673" width="18.28515625" style="42" customWidth="1"/>
    <col min="6674" max="6677" width="17.28515625" style="42" bestFit="1" customWidth="1"/>
    <col min="6678" max="6678" width="10.85546875" style="42" customWidth="1"/>
    <col min="6679" max="6680" width="14.28515625" style="42" customWidth="1"/>
    <col min="6681" max="6681" width="10.85546875" style="42" customWidth="1"/>
    <col min="6682" max="6682" width="45.42578125" style="42" customWidth="1"/>
    <col min="6683" max="6684" width="14.28515625" style="42" customWidth="1"/>
    <col min="6685" max="6919" width="11.42578125" style="42"/>
    <col min="6920" max="6920" width="49.5703125" style="42" customWidth="1"/>
    <col min="6921" max="6921" width="18.5703125" style="42" bestFit="1" customWidth="1"/>
    <col min="6922" max="6925" width="17.28515625" style="42" bestFit="1" customWidth="1"/>
    <col min="6926" max="6926" width="1" style="42" customWidth="1"/>
    <col min="6927" max="6927" width="17.28515625" style="42" bestFit="1" customWidth="1"/>
    <col min="6928" max="6928" width="0.85546875" style="42" customWidth="1"/>
    <col min="6929" max="6929" width="18.28515625" style="42" customWidth="1"/>
    <col min="6930" max="6933" width="17.28515625" style="42" bestFit="1" customWidth="1"/>
    <col min="6934" max="6934" width="10.85546875" style="42" customWidth="1"/>
    <col min="6935" max="6936" width="14.28515625" style="42" customWidth="1"/>
    <col min="6937" max="6937" width="10.85546875" style="42" customWidth="1"/>
    <col min="6938" max="6938" width="45.42578125" style="42" customWidth="1"/>
    <col min="6939" max="6940" width="14.28515625" style="42" customWidth="1"/>
    <col min="6941" max="7175" width="11.42578125" style="42"/>
    <col min="7176" max="7176" width="49.5703125" style="42" customWidth="1"/>
    <col min="7177" max="7177" width="18.5703125" style="42" bestFit="1" customWidth="1"/>
    <col min="7178" max="7181" width="17.28515625" style="42" bestFit="1" customWidth="1"/>
    <col min="7182" max="7182" width="1" style="42" customWidth="1"/>
    <col min="7183" max="7183" width="17.28515625" style="42" bestFit="1" customWidth="1"/>
    <col min="7184" max="7184" width="0.85546875" style="42" customWidth="1"/>
    <col min="7185" max="7185" width="18.28515625" style="42" customWidth="1"/>
    <col min="7186" max="7189" width="17.28515625" style="42" bestFit="1" customWidth="1"/>
    <col min="7190" max="7190" width="10.85546875" style="42" customWidth="1"/>
    <col min="7191" max="7192" width="14.28515625" style="42" customWidth="1"/>
    <col min="7193" max="7193" width="10.85546875" style="42" customWidth="1"/>
    <col min="7194" max="7194" width="45.42578125" style="42" customWidth="1"/>
    <col min="7195" max="7196" width="14.28515625" style="42" customWidth="1"/>
    <col min="7197" max="7431" width="11.42578125" style="42"/>
    <col min="7432" max="7432" width="49.5703125" style="42" customWidth="1"/>
    <col min="7433" max="7433" width="18.5703125" style="42" bestFit="1" customWidth="1"/>
    <col min="7434" max="7437" width="17.28515625" style="42" bestFit="1" customWidth="1"/>
    <col min="7438" max="7438" width="1" style="42" customWidth="1"/>
    <col min="7439" max="7439" width="17.28515625" style="42" bestFit="1" customWidth="1"/>
    <col min="7440" max="7440" width="0.85546875" style="42" customWidth="1"/>
    <col min="7441" max="7441" width="18.28515625" style="42" customWidth="1"/>
    <col min="7442" max="7445" width="17.28515625" style="42" bestFit="1" customWidth="1"/>
    <col min="7446" max="7446" width="10.85546875" style="42" customWidth="1"/>
    <col min="7447" max="7448" width="14.28515625" style="42" customWidth="1"/>
    <col min="7449" max="7449" width="10.85546875" style="42" customWidth="1"/>
    <col min="7450" max="7450" width="45.42578125" style="42" customWidth="1"/>
    <col min="7451" max="7452" width="14.28515625" style="42" customWidth="1"/>
    <col min="7453" max="7687" width="11.42578125" style="42"/>
    <col min="7688" max="7688" width="49.5703125" style="42" customWidth="1"/>
    <col min="7689" max="7689" width="18.5703125" style="42" bestFit="1" customWidth="1"/>
    <col min="7690" max="7693" width="17.28515625" style="42" bestFit="1" customWidth="1"/>
    <col min="7694" max="7694" width="1" style="42" customWidth="1"/>
    <col min="7695" max="7695" width="17.28515625" style="42" bestFit="1" customWidth="1"/>
    <col min="7696" max="7696" width="0.85546875" style="42" customWidth="1"/>
    <col min="7697" max="7697" width="18.28515625" style="42" customWidth="1"/>
    <col min="7698" max="7701" width="17.28515625" style="42" bestFit="1" customWidth="1"/>
    <col min="7702" max="7702" width="10.85546875" style="42" customWidth="1"/>
    <col min="7703" max="7704" width="14.28515625" style="42" customWidth="1"/>
    <col min="7705" max="7705" width="10.85546875" style="42" customWidth="1"/>
    <col min="7706" max="7706" width="45.42578125" style="42" customWidth="1"/>
    <col min="7707" max="7708" width="14.28515625" style="42" customWidth="1"/>
    <col min="7709" max="7943" width="11.42578125" style="42"/>
    <col min="7944" max="7944" width="49.5703125" style="42" customWidth="1"/>
    <col min="7945" max="7945" width="18.5703125" style="42" bestFit="1" customWidth="1"/>
    <col min="7946" max="7949" width="17.28515625" style="42" bestFit="1" customWidth="1"/>
    <col min="7950" max="7950" width="1" style="42" customWidth="1"/>
    <col min="7951" max="7951" width="17.28515625" style="42" bestFit="1" customWidth="1"/>
    <col min="7952" max="7952" width="0.85546875" style="42" customWidth="1"/>
    <col min="7953" max="7953" width="18.28515625" style="42" customWidth="1"/>
    <col min="7954" max="7957" width="17.28515625" style="42" bestFit="1" customWidth="1"/>
    <col min="7958" max="7958" width="10.85546875" style="42" customWidth="1"/>
    <col min="7959" max="7960" width="14.28515625" style="42" customWidth="1"/>
    <col min="7961" max="7961" width="10.85546875" style="42" customWidth="1"/>
    <col min="7962" max="7962" width="45.42578125" style="42" customWidth="1"/>
    <col min="7963" max="7964" width="14.28515625" style="42" customWidth="1"/>
    <col min="7965" max="8199" width="11.42578125" style="42"/>
    <col min="8200" max="8200" width="49.5703125" style="42" customWidth="1"/>
    <col min="8201" max="8201" width="18.5703125" style="42" bestFit="1" customWidth="1"/>
    <col min="8202" max="8205" width="17.28515625" style="42" bestFit="1" customWidth="1"/>
    <col min="8206" max="8206" width="1" style="42" customWidth="1"/>
    <col min="8207" max="8207" width="17.28515625" style="42" bestFit="1" customWidth="1"/>
    <col min="8208" max="8208" width="0.85546875" style="42" customWidth="1"/>
    <col min="8209" max="8209" width="18.28515625" style="42" customWidth="1"/>
    <col min="8210" max="8213" width="17.28515625" style="42" bestFit="1" customWidth="1"/>
    <col min="8214" max="8214" width="10.85546875" style="42" customWidth="1"/>
    <col min="8215" max="8216" width="14.28515625" style="42" customWidth="1"/>
    <col min="8217" max="8217" width="10.85546875" style="42" customWidth="1"/>
    <col min="8218" max="8218" width="45.42578125" style="42" customWidth="1"/>
    <col min="8219" max="8220" width="14.28515625" style="42" customWidth="1"/>
    <col min="8221" max="8455" width="11.42578125" style="42"/>
    <col min="8456" max="8456" width="49.5703125" style="42" customWidth="1"/>
    <col min="8457" max="8457" width="18.5703125" style="42" bestFit="1" customWidth="1"/>
    <col min="8458" max="8461" width="17.28515625" style="42" bestFit="1" customWidth="1"/>
    <col min="8462" max="8462" width="1" style="42" customWidth="1"/>
    <col min="8463" max="8463" width="17.28515625" style="42" bestFit="1" customWidth="1"/>
    <col min="8464" max="8464" width="0.85546875" style="42" customWidth="1"/>
    <col min="8465" max="8465" width="18.28515625" style="42" customWidth="1"/>
    <col min="8466" max="8469" width="17.28515625" style="42" bestFit="1" customWidth="1"/>
    <col min="8470" max="8470" width="10.85546875" style="42" customWidth="1"/>
    <col min="8471" max="8472" width="14.28515625" style="42" customWidth="1"/>
    <col min="8473" max="8473" width="10.85546875" style="42" customWidth="1"/>
    <col min="8474" max="8474" width="45.42578125" style="42" customWidth="1"/>
    <col min="8475" max="8476" width="14.28515625" style="42" customWidth="1"/>
    <col min="8477" max="8711" width="11.42578125" style="42"/>
    <col min="8712" max="8712" width="49.5703125" style="42" customWidth="1"/>
    <col min="8713" max="8713" width="18.5703125" style="42" bestFit="1" customWidth="1"/>
    <col min="8714" max="8717" width="17.28515625" style="42" bestFit="1" customWidth="1"/>
    <col min="8718" max="8718" width="1" style="42" customWidth="1"/>
    <col min="8719" max="8719" width="17.28515625" style="42" bestFit="1" customWidth="1"/>
    <col min="8720" max="8720" width="0.85546875" style="42" customWidth="1"/>
    <col min="8721" max="8721" width="18.28515625" style="42" customWidth="1"/>
    <col min="8722" max="8725" width="17.28515625" style="42" bestFit="1" customWidth="1"/>
    <col min="8726" max="8726" width="10.85546875" style="42" customWidth="1"/>
    <col min="8727" max="8728" width="14.28515625" style="42" customWidth="1"/>
    <col min="8729" max="8729" width="10.85546875" style="42" customWidth="1"/>
    <col min="8730" max="8730" width="45.42578125" style="42" customWidth="1"/>
    <col min="8731" max="8732" width="14.28515625" style="42" customWidth="1"/>
    <col min="8733" max="8967" width="11.42578125" style="42"/>
    <col min="8968" max="8968" width="49.5703125" style="42" customWidth="1"/>
    <col min="8969" max="8969" width="18.5703125" style="42" bestFit="1" customWidth="1"/>
    <col min="8970" max="8973" width="17.28515625" style="42" bestFit="1" customWidth="1"/>
    <col min="8974" max="8974" width="1" style="42" customWidth="1"/>
    <col min="8975" max="8975" width="17.28515625" style="42" bestFit="1" customWidth="1"/>
    <col min="8976" max="8976" width="0.85546875" style="42" customWidth="1"/>
    <col min="8977" max="8977" width="18.28515625" style="42" customWidth="1"/>
    <col min="8978" max="8981" width="17.28515625" style="42" bestFit="1" customWidth="1"/>
    <col min="8982" max="8982" width="10.85546875" style="42" customWidth="1"/>
    <col min="8983" max="8984" width="14.28515625" style="42" customWidth="1"/>
    <col min="8985" max="8985" width="10.85546875" style="42" customWidth="1"/>
    <col min="8986" max="8986" width="45.42578125" style="42" customWidth="1"/>
    <col min="8987" max="8988" width="14.28515625" style="42" customWidth="1"/>
    <col min="8989" max="9223" width="11.42578125" style="42"/>
    <col min="9224" max="9224" width="49.5703125" style="42" customWidth="1"/>
    <col min="9225" max="9225" width="18.5703125" style="42" bestFit="1" customWidth="1"/>
    <col min="9226" max="9229" width="17.28515625" style="42" bestFit="1" customWidth="1"/>
    <col min="9230" max="9230" width="1" style="42" customWidth="1"/>
    <col min="9231" max="9231" width="17.28515625" style="42" bestFit="1" customWidth="1"/>
    <col min="9232" max="9232" width="0.85546875" style="42" customWidth="1"/>
    <col min="9233" max="9233" width="18.28515625" style="42" customWidth="1"/>
    <col min="9234" max="9237" width="17.28515625" style="42" bestFit="1" customWidth="1"/>
    <col min="9238" max="9238" width="10.85546875" style="42" customWidth="1"/>
    <col min="9239" max="9240" width="14.28515625" style="42" customWidth="1"/>
    <col min="9241" max="9241" width="10.85546875" style="42" customWidth="1"/>
    <col min="9242" max="9242" width="45.42578125" style="42" customWidth="1"/>
    <col min="9243" max="9244" width="14.28515625" style="42" customWidth="1"/>
    <col min="9245" max="9479" width="11.42578125" style="42"/>
    <col min="9480" max="9480" width="49.5703125" style="42" customWidth="1"/>
    <col min="9481" max="9481" width="18.5703125" style="42" bestFit="1" customWidth="1"/>
    <col min="9482" max="9485" width="17.28515625" style="42" bestFit="1" customWidth="1"/>
    <col min="9486" max="9486" width="1" style="42" customWidth="1"/>
    <col min="9487" max="9487" width="17.28515625" style="42" bestFit="1" customWidth="1"/>
    <col min="9488" max="9488" width="0.85546875" style="42" customWidth="1"/>
    <col min="9489" max="9489" width="18.28515625" style="42" customWidth="1"/>
    <col min="9490" max="9493" width="17.28515625" style="42" bestFit="1" customWidth="1"/>
    <col min="9494" max="9494" width="10.85546875" style="42" customWidth="1"/>
    <col min="9495" max="9496" width="14.28515625" style="42" customWidth="1"/>
    <col min="9497" max="9497" width="10.85546875" style="42" customWidth="1"/>
    <col min="9498" max="9498" width="45.42578125" style="42" customWidth="1"/>
    <col min="9499" max="9500" width="14.28515625" style="42" customWidth="1"/>
    <col min="9501" max="9735" width="11.42578125" style="42"/>
    <col min="9736" max="9736" width="49.5703125" style="42" customWidth="1"/>
    <col min="9737" max="9737" width="18.5703125" style="42" bestFit="1" customWidth="1"/>
    <col min="9738" max="9741" width="17.28515625" style="42" bestFit="1" customWidth="1"/>
    <col min="9742" max="9742" width="1" style="42" customWidth="1"/>
    <col min="9743" max="9743" width="17.28515625" style="42" bestFit="1" customWidth="1"/>
    <col min="9744" max="9744" width="0.85546875" style="42" customWidth="1"/>
    <col min="9745" max="9745" width="18.28515625" style="42" customWidth="1"/>
    <col min="9746" max="9749" width="17.28515625" style="42" bestFit="1" customWidth="1"/>
    <col min="9750" max="9750" width="10.85546875" style="42" customWidth="1"/>
    <col min="9751" max="9752" width="14.28515625" style="42" customWidth="1"/>
    <col min="9753" max="9753" width="10.85546875" style="42" customWidth="1"/>
    <col min="9754" max="9754" width="45.42578125" style="42" customWidth="1"/>
    <col min="9755" max="9756" width="14.28515625" style="42" customWidth="1"/>
    <col min="9757" max="9991" width="11.42578125" style="42"/>
    <col min="9992" max="9992" width="49.5703125" style="42" customWidth="1"/>
    <col min="9993" max="9993" width="18.5703125" style="42" bestFit="1" customWidth="1"/>
    <col min="9994" max="9997" width="17.28515625" style="42" bestFit="1" customWidth="1"/>
    <col min="9998" max="9998" width="1" style="42" customWidth="1"/>
    <col min="9999" max="9999" width="17.28515625" style="42" bestFit="1" customWidth="1"/>
    <col min="10000" max="10000" width="0.85546875" style="42" customWidth="1"/>
    <col min="10001" max="10001" width="18.28515625" style="42" customWidth="1"/>
    <col min="10002" max="10005" width="17.28515625" style="42" bestFit="1" customWidth="1"/>
    <col min="10006" max="10006" width="10.85546875" style="42" customWidth="1"/>
    <col min="10007" max="10008" width="14.28515625" style="42" customWidth="1"/>
    <col min="10009" max="10009" width="10.85546875" style="42" customWidth="1"/>
    <col min="10010" max="10010" width="45.42578125" style="42" customWidth="1"/>
    <col min="10011" max="10012" width="14.28515625" style="42" customWidth="1"/>
    <col min="10013" max="10247" width="11.42578125" style="42"/>
    <col min="10248" max="10248" width="49.5703125" style="42" customWidth="1"/>
    <col min="10249" max="10249" width="18.5703125" style="42" bestFit="1" customWidth="1"/>
    <col min="10250" max="10253" width="17.28515625" style="42" bestFit="1" customWidth="1"/>
    <col min="10254" max="10254" width="1" style="42" customWidth="1"/>
    <col min="10255" max="10255" width="17.28515625" style="42" bestFit="1" customWidth="1"/>
    <col min="10256" max="10256" width="0.85546875" style="42" customWidth="1"/>
    <col min="10257" max="10257" width="18.28515625" style="42" customWidth="1"/>
    <col min="10258" max="10261" width="17.28515625" style="42" bestFit="1" customWidth="1"/>
    <col min="10262" max="10262" width="10.85546875" style="42" customWidth="1"/>
    <col min="10263" max="10264" width="14.28515625" style="42" customWidth="1"/>
    <col min="10265" max="10265" width="10.85546875" style="42" customWidth="1"/>
    <col min="10266" max="10266" width="45.42578125" style="42" customWidth="1"/>
    <col min="10267" max="10268" width="14.28515625" style="42" customWidth="1"/>
    <col min="10269" max="10503" width="11.42578125" style="42"/>
    <col min="10504" max="10504" width="49.5703125" style="42" customWidth="1"/>
    <col min="10505" max="10505" width="18.5703125" style="42" bestFit="1" customWidth="1"/>
    <col min="10506" max="10509" width="17.28515625" style="42" bestFit="1" customWidth="1"/>
    <col min="10510" max="10510" width="1" style="42" customWidth="1"/>
    <col min="10511" max="10511" width="17.28515625" style="42" bestFit="1" customWidth="1"/>
    <col min="10512" max="10512" width="0.85546875" style="42" customWidth="1"/>
    <col min="10513" max="10513" width="18.28515625" style="42" customWidth="1"/>
    <col min="10514" max="10517" width="17.28515625" style="42" bestFit="1" customWidth="1"/>
    <col min="10518" max="10518" width="10.85546875" style="42" customWidth="1"/>
    <col min="10519" max="10520" width="14.28515625" style="42" customWidth="1"/>
    <col min="10521" max="10521" width="10.85546875" style="42" customWidth="1"/>
    <col min="10522" max="10522" width="45.42578125" style="42" customWidth="1"/>
    <col min="10523" max="10524" width="14.28515625" style="42" customWidth="1"/>
    <col min="10525" max="10759" width="11.42578125" style="42"/>
    <col min="10760" max="10760" width="49.5703125" style="42" customWidth="1"/>
    <col min="10761" max="10761" width="18.5703125" style="42" bestFit="1" customWidth="1"/>
    <col min="10762" max="10765" width="17.28515625" style="42" bestFit="1" customWidth="1"/>
    <col min="10766" max="10766" width="1" style="42" customWidth="1"/>
    <col min="10767" max="10767" width="17.28515625" style="42" bestFit="1" customWidth="1"/>
    <col min="10768" max="10768" width="0.85546875" style="42" customWidth="1"/>
    <col min="10769" max="10769" width="18.28515625" style="42" customWidth="1"/>
    <col min="10770" max="10773" width="17.28515625" style="42" bestFit="1" customWidth="1"/>
    <col min="10774" max="10774" width="10.85546875" style="42" customWidth="1"/>
    <col min="10775" max="10776" width="14.28515625" style="42" customWidth="1"/>
    <col min="10777" max="10777" width="10.85546875" style="42" customWidth="1"/>
    <col min="10778" max="10778" width="45.42578125" style="42" customWidth="1"/>
    <col min="10779" max="10780" width="14.28515625" style="42" customWidth="1"/>
    <col min="10781" max="11015" width="11.42578125" style="42"/>
    <col min="11016" max="11016" width="49.5703125" style="42" customWidth="1"/>
    <col min="11017" max="11017" width="18.5703125" style="42" bestFit="1" customWidth="1"/>
    <col min="11018" max="11021" width="17.28515625" style="42" bestFit="1" customWidth="1"/>
    <col min="11022" max="11022" width="1" style="42" customWidth="1"/>
    <col min="11023" max="11023" width="17.28515625" style="42" bestFit="1" customWidth="1"/>
    <col min="11024" max="11024" width="0.85546875" style="42" customWidth="1"/>
    <col min="11025" max="11025" width="18.28515625" style="42" customWidth="1"/>
    <col min="11026" max="11029" width="17.28515625" style="42" bestFit="1" customWidth="1"/>
    <col min="11030" max="11030" width="10.85546875" style="42" customWidth="1"/>
    <col min="11031" max="11032" width="14.28515625" style="42" customWidth="1"/>
    <col min="11033" max="11033" width="10.85546875" style="42" customWidth="1"/>
    <col min="11034" max="11034" width="45.42578125" style="42" customWidth="1"/>
    <col min="11035" max="11036" width="14.28515625" style="42" customWidth="1"/>
    <col min="11037" max="11271" width="11.42578125" style="42"/>
    <col min="11272" max="11272" width="49.5703125" style="42" customWidth="1"/>
    <col min="11273" max="11273" width="18.5703125" style="42" bestFit="1" customWidth="1"/>
    <col min="11274" max="11277" width="17.28515625" style="42" bestFit="1" customWidth="1"/>
    <col min="11278" max="11278" width="1" style="42" customWidth="1"/>
    <col min="11279" max="11279" width="17.28515625" style="42" bestFit="1" customWidth="1"/>
    <col min="11280" max="11280" width="0.85546875" style="42" customWidth="1"/>
    <col min="11281" max="11281" width="18.28515625" style="42" customWidth="1"/>
    <col min="11282" max="11285" width="17.28515625" style="42" bestFit="1" customWidth="1"/>
    <col min="11286" max="11286" width="10.85546875" style="42" customWidth="1"/>
    <col min="11287" max="11288" width="14.28515625" style="42" customWidth="1"/>
    <col min="11289" max="11289" width="10.85546875" style="42" customWidth="1"/>
    <col min="11290" max="11290" width="45.42578125" style="42" customWidth="1"/>
    <col min="11291" max="11292" width="14.28515625" style="42" customWidth="1"/>
    <col min="11293" max="11527" width="11.42578125" style="42"/>
    <col min="11528" max="11528" width="49.5703125" style="42" customWidth="1"/>
    <col min="11529" max="11529" width="18.5703125" style="42" bestFit="1" customWidth="1"/>
    <col min="11530" max="11533" width="17.28515625" style="42" bestFit="1" customWidth="1"/>
    <col min="11534" max="11534" width="1" style="42" customWidth="1"/>
    <col min="11535" max="11535" width="17.28515625" style="42" bestFit="1" customWidth="1"/>
    <col min="11536" max="11536" width="0.85546875" style="42" customWidth="1"/>
    <col min="11537" max="11537" width="18.28515625" style="42" customWidth="1"/>
    <col min="11538" max="11541" width="17.28515625" style="42" bestFit="1" customWidth="1"/>
    <col min="11542" max="11542" width="10.85546875" style="42" customWidth="1"/>
    <col min="11543" max="11544" width="14.28515625" style="42" customWidth="1"/>
    <col min="11545" max="11545" width="10.85546875" style="42" customWidth="1"/>
    <col min="11546" max="11546" width="45.42578125" style="42" customWidth="1"/>
    <col min="11547" max="11548" width="14.28515625" style="42" customWidth="1"/>
    <col min="11549" max="11783" width="11.42578125" style="42"/>
    <col min="11784" max="11784" width="49.5703125" style="42" customWidth="1"/>
    <col min="11785" max="11785" width="18.5703125" style="42" bestFit="1" customWidth="1"/>
    <col min="11786" max="11789" width="17.28515625" style="42" bestFit="1" customWidth="1"/>
    <col min="11790" max="11790" width="1" style="42" customWidth="1"/>
    <col min="11791" max="11791" width="17.28515625" style="42" bestFit="1" customWidth="1"/>
    <col min="11792" max="11792" width="0.85546875" style="42" customWidth="1"/>
    <col min="11793" max="11793" width="18.28515625" style="42" customWidth="1"/>
    <col min="11794" max="11797" width="17.28515625" style="42" bestFit="1" customWidth="1"/>
    <col min="11798" max="11798" width="10.85546875" style="42" customWidth="1"/>
    <col min="11799" max="11800" width="14.28515625" style="42" customWidth="1"/>
    <col min="11801" max="11801" width="10.85546875" style="42" customWidth="1"/>
    <col min="11802" max="11802" width="45.42578125" style="42" customWidth="1"/>
    <col min="11803" max="11804" width="14.28515625" style="42" customWidth="1"/>
    <col min="11805" max="12039" width="11.42578125" style="42"/>
    <col min="12040" max="12040" width="49.5703125" style="42" customWidth="1"/>
    <col min="12041" max="12041" width="18.5703125" style="42" bestFit="1" customWidth="1"/>
    <col min="12042" max="12045" width="17.28515625" style="42" bestFit="1" customWidth="1"/>
    <col min="12046" max="12046" width="1" style="42" customWidth="1"/>
    <col min="12047" max="12047" width="17.28515625" style="42" bestFit="1" customWidth="1"/>
    <col min="12048" max="12048" width="0.85546875" style="42" customWidth="1"/>
    <col min="12049" max="12049" width="18.28515625" style="42" customWidth="1"/>
    <col min="12050" max="12053" width="17.28515625" style="42" bestFit="1" customWidth="1"/>
    <col min="12054" max="12054" width="10.85546875" style="42" customWidth="1"/>
    <col min="12055" max="12056" width="14.28515625" style="42" customWidth="1"/>
    <col min="12057" max="12057" width="10.85546875" style="42" customWidth="1"/>
    <col min="12058" max="12058" width="45.42578125" style="42" customWidth="1"/>
    <col min="12059" max="12060" width="14.28515625" style="42" customWidth="1"/>
    <col min="12061" max="12295" width="11.42578125" style="42"/>
    <col min="12296" max="12296" width="49.5703125" style="42" customWidth="1"/>
    <col min="12297" max="12297" width="18.5703125" style="42" bestFit="1" customWidth="1"/>
    <col min="12298" max="12301" width="17.28515625" style="42" bestFit="1" customWidth="1"/>
    <col min="12302" max="12302" width="1" style="42" customWidth="1"/>
    <col min="12303" max="12303" width="17.28515625" style="42" bestFit="1" customWidth="1"/>
    <col min="12304" max="12304" width="0.85546875" style="42" customWidth="1"/>
    <col min="12305" max="12305" width="18.28515625" style="42" customWidth="1"/>
    <col min="12306" max="12309" width="17.28515625" style="42" bestFit="1" customWidth="1"/>
    <col min="12310" max="12310" width="10.85546875" style="42" customWidth="1"/>
    <col min="12311" max="12312" width="14.28515625" style="42" customWidth="1"/>
    <col min="12313" max="12313" width="10.85546875" style="42" customWidth="1"/>
    <col min="12314" max="12314" width="45.42578125" style="42" customWidth="1"/>
    <col min="12315" max="12316" width="14.28515625" style="42" customWidth="1"/>
    <col min="12317" max="12551" width="11.42578125" style="42"/>
    <col min="12552" max="12552" width="49.5703125" style="42" customWidth="1"/>
    <col min="12553" max="12553" width="18.5703125" style="42" bestFit="1" customWidth="1"/>
    <col min="12554" max="12557" width="17.28515625" style="42" bestFit="1" customWidth="1"/>
    <col min="12558" max="12558" width="1" style="42" customWidth="1"/>
    <col min="12559" max="12559" width="17.28515625" style="42" bestFit="1" customWidth="1"/>
    <col min="12560" max="12560" width="0.85546875" style="42" customWidth="1"/>
    <col min="12561" max="12561" width="18.28515625" style="42" customWidth="1"/>
    <col min="12562" max="12565" width="17.28515625" style="42" bestFit="1" customWidth="1"/>
    <col min="12566" max="12566" width="10.85546875" style="42" customWidth="1"/>
    <col min="12567" max="12568" width="14.28515625" style="42" customWidth="1"/>
    <col min="12569" max="12569" width="10.85546875" style="42" customWidth="1"/>
    <col min="12570" max="12570" width="45.42578125" style="42" customWidth="1"/>
    <col min="12571" max="12572" width="14.28515625" style="42" customWidth="1"/>
    <col min="12573" max="12807" width="11.42578125" style="42"/>
    <col min="12808" max="12808" width="49.5703125" style="42" customWidth="1"/>
    <col min="12809" max="12809" width="18.5703125" style="42" bestFit="1" customWidth="1"/>
    <col min="12810" max="12813" width="17.28515625" style="42" bestFit="1" customWidth="1"/>
    <col min="12814" max="12814" width="1" style="42" customWidth="1"/>
    <col min="12815" max="12815" width="17.28515625" style="42" bestFit="1" customWidth="1"/>
    <col min="12816" max="12816" width="0.85546875" style="42" customWidth="1"/>
    <col min="12817" max="12817" width="18.28515625" style="42" customWidth="1"/>
    <col min="12818" max="12821" width="17.28515625" style="42" bestFit="1" customWidth="1"/>
    <col min="12822" max="12822" width="10.85546875" style="42" customWidth="1"/>
    <col min="12823" max="12824" width="14.28515625" style="42" customWidth="1"/>
    <col min="12825" max="12825" width="10.85546875" style="42" customWidth="1"/>
    <col min="12826" max="12826" width="45.42578125" style="42" customWidth="1"/>
    <col min="12827" max="12828" width="14.28515625" style="42" customWidth="1"/>
    <col min="12829" max="13063" width="11.42578125" style="42"/>
    <col min="13064" max="13064" width="49.5703125" style="42" customWidth="1"/>
    <col min="13065" max="13065" width="18.5703125" style="42" bestFit="1" customWidth="1"/>
    <col min="13066" max="13069" width="17.28515625" style="42" bestFit="1" customWidth="1"/>
    <col min="13070" max="13070" width="1" style="42" customWidth="1"/>
    <col min="13071" max="13071" width="17.28515625" style="42" bestFit="1" customWidth="1"/>
    <col min="13072" max="13072" width="0.85546875" style="42" customWidth="1"/>
    <col min="13073" max="13073" width="18.28515625" style="42" customWidth="1"/>
    <col min="13074" max="13077" width="17.28515625" style="42" bestFit="1" customWidth="1"/>
    <col min="13078" max="13078" width="10.85546875" style="42" customWidth="1"/>
    <col min="13079" max="13080" width="14.28515625" style="42" customWidth="1"/>
    <col min="13081" max="13081" width="10.85546875" style="42" customWidth="1"/>
    <col min="13082" max="13082" width="45.42578125" style="42" customWidth="1"/>
    <col min="13083" max="13084" width="14.28515625" style="42" customWidth="1"/>
    <col min="13085" max="13319" width="11.42578125" style="42"/>
    <col min="13320" max="13320" width="49.5703125" style="42" customWidth="1"/>
    <col min="13321" max="13321" width="18.5703125" style="42" bestFit="1" customWidth="1"/>
    <col min="13322" max="13325" width="17.28515625" style="42" bestFit="1" customWidth="1"/>
    <col min="13326" max="13326" width="1" style="42" customWidth="1"/>
    <col min="13327" max="13327" width="17.28515625" style="42" bestFit="1" customWidth="1"/>
    <col min="13328" max="13328" width="0.85546875" style="42" customWidth="1"/>
    <col min="13329" max="13329" width="18.28515625" style="42" customWidth="1"/>
    <col min="13330" max="13333" width="17.28515625" style="42" bestFit="1" customWidth="1"/>
    <col min="13334" max="13334" width="10.85546875" style="42" customWidth="1"/>
    <col min="13335" max="13336" width="14.28515625" style="42" customWidth="1"/>
    <col min="13337" max="13337" width="10.85546875" style="42" customWidth="1"/>
    <col min="13338" max="13338" width="45.42578125" style="42" customWidth="1"/>
    <col min="13339" max="13340" width="14.28515625" style="42" customWidth="1"/>
    <col min="13341" max="13575" width="11.42578125" style="42"/>
    <col min="13576" max="13576" width="49.5703125" style="42" customWidth="1"/>
    <col min="13577" max="13577" width="18.5703125" style="42" bestFit="1" customWidth="1"/>
    <col min="13578" max="13581" width="17.28515625" style="42" bestFit="1" customWidth="1"/>
    <col min="13582" max="13582" width="1" style="42" customWidth="1"/>
    <col min="13583" max="13583" width="17.28515625" style="42" bestFit="1" customWidth="1"/>
    <col min="13584" max="13584" width="0.85546875" style="42" customWidth="1"/>
    <col min="13585" max="13585" width="18.28515625" style="42" customWidth="1"/>
    <col min="13586" max="13589" width="17.28515625" style="42" bestFit="1" customWidth="1"/>
    <col min="13590" max="13590" width="10.85546875" style="42" customWidth="1"/>
    <col min="13591" max="13592" width="14.28515625" style="42" customWidth="1"/>
    <col min="13593" max="13593" width="10.85546875" style="42" customWidth="1"/>
    <col min="13594" max="13594" width="45.42578125" style="42" customWidth="1"/>
    <col min="13595" max="13596" width="14.28515625" style="42" customWidth="1"/>
    <col min="13597" max="13831" width="11.42578125" style="42"/>
    <col min="13832" max="13832" width="49.5703125" style="42" customWidth="1"/>
    <col min="13833" max="13833" width="18.5703125" style="42" bestFit="1" customWidth="1"/>
    <col min="13834" max="13837" width="17.28515625" style="42" bestFit="1" customWidth="1"/>
    <col min="13838" max="13838" width="1" style="42" customWidth="1"/>
    <col min="13839" max="13839" width="17.28515625" style="42" bestFit="1" customWidth="1"/>
    <col min="13840" max="13840" width="0.85546875" style="42" customWidth="1"/>
    <col min="13841" max="13841" width="18.28515625" style="42" customWidth="1"/>
    <col min="13842" max="13845" width="17.28515625" style="42" bestFit="1" customWidth="1"/>
    <col min="13846" max="13846" width="10.85546875" style="42" customWidth="1"/>
    <col min="13847" max="13848" width="14.28515625" style="42" customWidth="1"/>
    <col min="13849" max="13849" width="10.85546875" style="42" customWidth="1"/>
    <col min="13850" max="13850" width="45.42578125" style="42" customWidth="1"/>
    <col min="13851" max="13852" width="14.28515625" style="42" customWidth="1"/>
    <col min="13853" max="14087" width="11.42578125" style="42"/>
    <col min="14088" max="14088" width="49.5703125" style="42" customWidth="1"/>
    <col min="14089" max="14089" width="18.5703125" style="42" bestFit="1" customWidth="1"/>
    <col min="14090" max="14093" width="17.28515625" style="42" bestFit="1" customWidth="1"/>
    <col min="14094" max="14094" width="1" style="42" customWidth="1"/>
    <col min="14095" max="14095" width="17.28515625" style="42" bestFit="1" customWidth="1"/>
    <col min="14096" max="14096" width="0.85546875" style="42" customWidth="1"/>
    <col min="14097" max="14097" width="18.28515625" style="42" customWidth="1"/>
    <col min="14098" max="14101" width="17.28515625" style="42" bestFit="1" customWidth="1"/>
    <col min="14102" max="14102" width="10.85546875" style="42" customWidth="1"/>
    <col min="14103" max="14104" width="14.28515625" style="42" customWidth="1"/>
    <col min="14105" max="14105" width="10.85546875" style="42" customWidth="1"/>
    <col min="14106" max="14106" width="45.42578125" style="42" customWidth="1"/>
    <col min="14107" max="14108" width="14.28515625" style="42" customWidth="1"/>
    <col min="14109" max="14343" width="11.42578125" style="42"/>
    <col min="14344" max="14344" width="49.5703125" style="42" customWidth="1"/>
    <col min="14345" max="14345" width="18.5703125" style="42" bestFit="1" customWidth="1"/>
    <col min="14346" max="14349" width="17.28515625" style="42" bestFit="1" customWidth="1"/>
    <col min="14350" max="14350" width="1" style="42" customWidth="1"/>
    <col min="14351" max="14351" width="17.28515625" style="42" bestFit="1" customWidth="1"/>
    <col min="14352" max="14352" width="0.85546875" style="42" customWidth="1"/>
    <col min="14353" max="14353" width="18.28515625" style="42" customWidth="1"/>
    <col min="14354" max="14357" width="17.28515625" style="42" bestFit="1" customWidth="1"/>
    <col min="14358" max="14358" width="10.85546875" style="42" customWidth="1"/>
    <col min="14359" max="14360" width="14.28515625" style="42" customWidth="1"/>
    <col min="14361" max="14361" width="10.85546875" style="42" customWidth="1"/>
    <col min="14362" max="14362" width="45.42578125" style="42" customWidth="1"/>
    <col min="14363" max="14364" width="14.28515625" style="42" customWidth="1"/>
    <col min="14365" max="14599" width="11.42578125" style="42"/>
    <col min="14600" max="14600" width="49.5703125" style="42" customWidth="1"/>
    <col min="14601" max="14601" width="18.5703125" style="42" bestFit="1" customWidth="1"/>
    <col min="14602" max="14605" width="17.28515625" style="42" bestFit="1" customWidth="1"/>
    <col min="14606" max="14606" width="1" style="42" customWidth="1"/>
    <col min="14607" max="14607" width="17.28515625" style="42" bestFit="1" customWidth="1"/>
    <col min="14608" max="14608" width="0.85546875" style="42" customWidth="1"/>
    <col min="14609" max="14609" width="18.28515625" style="42" customWidth="1"/>
    <col min="14610" max="14613" width="17.28515625" style="42" bestFit="1" customWidth="1"/>
    <col min="14614" max="14614" width="10.85546875" style="42" customWidth="1"/>
    <col min="14615" max="14616" width="14.28515625" style="42" customWidth="1"/>
    <col min="14617" max="14617" width="10.85546875" style="42" customWidth="1"/>
    <col min="14618" max="14618" width="45.42578125" style="42" customWidth="1"/>
    <col min="14619" max="14620" width="14.28515625" style="42" customWidth="1"/>
    <col min="14621" max="14855" width="11.42578125" style="42"/>
    <col min="14856" max="14856" width="49.5703125" style="42" customWidth="1"/>
    <col min="14857" max="14857" width="18.5703125" style="42" bestFit="1" customWidth="1"/>
    <col min="14858" max="14861" width="17.28515625" style="42" bestFit="1" customWidth="1"/>
    <col min="14862" max="14862" width="1" style="42" customWidth="1"/>
    <col min="14863" max="14863" width="17.28515625" style="42" bestFit="1" customWidth="1"/>
    <col min="14864" max="14864" width="0.85546875" style="42" customWidth="1"/>
    <col min="14865" max="14865" width="18.28515625" style="42" customWidth="1"/>
    <col min="14866" max="14869" width="17.28515625" style="42" bestFit="1" customWidth="1"/>
    <col min="14870" max="14870" width="10.85546875" style="42" customWidth="1"/>
    <col min="14871" max="14872" width="14.28515625" style="42" customWidth="1"/>
    <col min="14873" max="14873" width="10.85546875" style="42" customWidth="1"/>
    <col min="14874" max="14874" width="45.42578125" style="42" customWidth="1"/>
    <col min="14875" max="14876" width="14.28515625" style="42" customWidth="1"/>
    <col min="14877" max="15111" width="11.42578125" style="42"/>
    <col min="15112" max="15112" width="49.5703125" style="42" customWidth="1"/>
    <col min="15113" max="15113" width="18.5703125" style="42" bestFit="1" customWidth="1"/>
    <col min="15114" max="15117" width="17.28515625" style="42" bestFit="1" customWidth="1"/>
    <col min="15118" max="15118" width="1" style="42" customWidth="1"/>
    <col min="15119" max="15119" width="17.28515625" style="42" bestFit="1" customWidth="1"/>
    <col min="15120" max="15120" width="0.85546875" style="42" customWidth="1"/>
    <col min="15121" max="15121" width="18.28515625" style="42" customWidth="1"/>
    <col min="15122" max="15125" width="17.28515625" style="42" bestFit="1" customWidth="1"/>
    <col min="15126" max="15126" width="10.85546875" style="42" customWidth="1"/>
    <col min="15127" max="15128" width="14.28515625" style="42" customWidth="1"/>
    <col min="15129" max="15129" width="10.85546875" style="42" customWidth="1"/>
    <col min="15130" max="15130" width="45.42578125" style="42" customWidth="1"/>
    <col min="15131" max="15132" width="14.28515625" style="42" customWidth="1"/>
    <col min="15133" max="15367" width="11.42578125" style="42"/>
    <col min="15368" max="15368" width="49.5703125" style="42" customWidth="1"/>
    <col min="15369" max="15369" width="18.5703125" style="42" bestFit="1" customWidth="1"/>
    <col min="15370" max="15373" width="17.28515625" style="42" bestFit="1" customWidth="1"/>
    <col min="15374" max="15374" width="1" style="42" customWidth="1"/>
    <col min="15375" max="15375" width="17.28515625" style="42" bestFit="1" customWidth="1"/>
    <col min="15376" max="15376" width="0.85546875" style="42" customWidth="1"/>
    <col min="15377" max="15377" width="18.28515625" style="42" customWidth="1"/>
    <col min="15378" max="15381" width="17.28515625" style="42" bestFit="1" customWidth="1"/>
    <col min="15382" max="15382" width="10.85546875" style="42" customWidth="1"/>
    <col min="15383" max="15384" width="14.28515625" style="42" customWidth="1"/>
    <col min="15385" max="15385" width="10.85546875" style="42" customWidth="1"/>
    <col min="15386" max="15386" width="45.42578125" style="42" customWidth="1"/>
    <col min="15387" max="15388" width="14.28515625" style="42" customWidth="1"/>
    <col min="15389" max="15623" width="11.42578125" style="42"/>
    <col min="15624" max="15624" width="49.5703125" style="42" customWidth="1"/>
    <col min="15625" max="15625" width="18.5703125" style="42" bestFit="1" customWidth="1"/>
    <col min="15626" max="15629" width="17.28515625" style="42" bestFit="1" customWidth="1"/>
    <col min="15630" max="15630" width="1" style="42" customWidth="1"/>
    <col min="15631" max="15631" width="17.28515625" style="42" bestFit="1" customWidth="1"/>
    <col min="15632" max="15632" width="0.85546875" style="42" customWidth="1"/>
    <col min="15633" max="15633" width="18.28515625" style="42" customWidth="1"/>
    <col min="15634" max="15637" width="17.28515625" style="42" bestFit="1" customWidth="1"/>
    <col min="15638" max="15638" width="10.85546875" style="42" customWidth="1"/>
    <col min="15639" max="15640" width="14.28515625" style="42" customWidth="1"/>
    <col min="15641" max="15641" width="10.85546875" style="42" customWidth="1"/>
    <col min="15642" max="15642" width="45.42578125" style="42" customWidth="1"/>
    <col min="15643" max="15644" width="14.28515625" style="42" customWidth="1"/>
    <col min="15645" max="15879" width="11.42578125" style="42"/>
    <col min="15880" max="15880" width="49.5703125" style="42" customWidth="1"/>
    <col min="15881" max="15881" width="18.5703125" style="42" bestFit="1" customWidth="1"/>
    <col min="15882" max="15885" width="17.28515625" style="42" bestFit="1" customWidth="1"/>
    <col min="15886" max="15886" width="1" style="42" customWidth="1"/>
    <col min="15887" max="15887" width="17.28515625" style="42" bestFit="1" customWidth="1"/>
    <col min="15888" max="15888" width="0.85546875" style="42" customWidth="1"/>
    <col min="15889" max="15889" width="18.28515625" style="42" customWidth="1"/>
    <col min="15890" max="15893" width="17.28515625" style="42" bestFit="1" customWidth="1"/>
    <col min="15894" max="15894" width="10.85546875" style="42" customWidth="1"/>
    <col min="15895" max="15896" width="14.28515625" style="42" customWidth="1"/>
    <col min="15897" max="15897" width="10.85546875" style="42" customWidth="1"/>
    <col min="15898" max="15898" width="45.42578125" style="42" customWidth="1"/>
    <col min="15899" max="15900" width="14.28515625" style="42" customWidth="1"/>
    <col min="15901" max="16135" width="11.42578125" style="42"/>
    <col min="16136" max="16136" width="49.5703125" style="42" customWidth="1"/>
    <col min="16137" max="16137" width="18.5703125" style="42" bestFit="1" customWidth="1"/>
    <col min="16138" max="16141" width="17.28515625" style="42" bestFit="1" customWidth="1"/>
    <col min="16142" max="16142" width="1" style="42" customWidth="1"/>
    <col min="16143" max="16143" width="17.28515625" style="42" bestFit="1" customWidth="1"/>
    <col min="16144" max="16144" width="0.85546875" style="42" customWidth="1"/>
    <col min="16145" max="16145" width="18.28515625" style="42" customWidth="1"/>
    <col min="16146" max="16149" width="17.28515625" style="42" bestFit="1" customWidth="1"/>
    <col min="16150" max="16150" width="10.85546875" style="42" customWidth="1"/>
    <col min="16151" max="16152" width="14.28515625" style="42" customWidth="1"/>
    <col min="16153" max="16153" width="10.85546875" style="42" customWidth="1"/>
    <col min="16154" max="16154" width="45.42578125" style="42" customWidth="1"/>
    <col min="16155" max="16156" width="14.28515625" style="42" customWidth="1"/>
    <col min="16157" max="16384" width="11.42578125" style="42"/>
  </cols>
  <sheetData>
    <row r="1" spans="1:27" x14ac:dyDescent="0.25">
      <c r="A1" s="650"/>
      <c r="B1" s="1100"/>
      <c r="C1" s="1100"/>
      <c r="D1" s="1101"/>
      <c r="E1" s="1100"/>
      <c r="F1" s="1101"/>
      <c r="G1" s="1100"/>
      <c r="H1" s="1101"/>
      <c r="I1" s="1100"/>
      <c r="J1" s="1101"/>
      <c r="K1" s="1100"/>
      <c r="L1" s="1101"/>
      <c r="M1" s="1081"/>
      <c r="N1" s="1101"/>
      <c r="O1" s="1081"/>
      <c r="P1" s="1101"/>
      <c r="Q1" s="1081"/>
      <c r="R1" s="1081"/>
      <c r="S1" s="1081"/>
      <c r="T1" s="1081"/>
      <c r="U1" s="1081"/>
      <c r="V1" s="1081"/>
      <c r="W1" s="1081"/>
      <c r="X1" s="1081"/>
    </row>
    <row r="2" spans="1:27" s="44" customFormat="1" ht="38.25" x14ac:dyDescent="0.25">
      <c r="A2" s="1135" t="s">
        <v>946</v>
      </c>
      <c r="B2" s="753" t="s">
        <v>1000</v>
      </c>
      <c r="C2" s="753" t="s">
        <v>1001</v>
      </c>
      <c r="D2" s="754" t="s">
        <v>1002</v>
      </c>
      <c r="E2" s="753" t="s">
        <v>1003</v>
      </c>
      <c r="F2" s="754" t="s">
        <v>1004</v>
      </c>
      <c r="G2" s="753" t="s">
        <v>1005</v>
      </c>
      <c r="H2" s="754" t="s">
        <v>1006</v>
      </c>
      <c r="I2" s="753" t="s">
        <v>1007</v>
      </c>
      <c r="J2" s="754" t="s">
        <v>1008</v>
      </c>
      <c r="K2" s="753" t="s">
        <v>1009</v>
      </c>
      <c r="L2" s="754" t="s">
        <v>1010</v>
      </c>
      <c r="M2" s="1181" t="s">
        <v>1011</v>
      </c>
      <c r="N2" s="754" t="s">
        <v>1012</v>
      </c>
      <c r="O2" s="1181" t="s">
        <v>1013</v>
      </c>
      <c r="P2" s="754" t="s">
        <v>1014</v>
      </c>
      <c r="Q2" s="1181" t="s">
        <v>1015</v>
      </c>
      <c r="R2" s="1181" t="s">
        <v>1016</v>
      </c>
      <c r="S2" s="1181" t="s">
        <v>1017</v>
      </c>
      <c r="T2" s="1181" t="s">
        <v>1018</v>
      </c>
      <c r="U2" s="1181" t="s">
        <v>1019</v>
      </c>
      <c r="V2" s="754" t="s">
        <v>3216</v>
      </c>
      <c r="W2" s="754" t="s">
        <v>3217</v>
      </c>
      <c r="X2" s="1181" t="s">
        <v>1020</v>
      </c>
      <c r="Y2" s="1196" t="s">
        <v>1020</v>
      </c>
    </row>
    <row r="3" spans="1:27" x14ac:dyDescent="0.25">
      <c r="A3" s="1141" t="s">
        <v>1023</v>
      </c>
      <c r="B3" s="898">
        <v>8853239996</v>
      </c>
      <c r="C3" s="898">
        <v>9951188398</v>
      </c>
      <c r="D3" s="1111">
        <f t="shared" ref="D3:D47" si="0">+(C3-B3)/B3</f>
        <v>0.12401656370956467</v>
      </c>
      <c r="E3" s="898">
        <v>11766990269.299999</v>
      </c>
      <c r="F3" s="1111">
        <f t="shared" ref="F3:F42" si="1">+(E3-C3)/C3</f>
        <v>0.182470856612959</v>
      </c>
      <c r="G3" s="898">
        <v>12835717964.42</v>
      </c>
      <c r="H3" s="1111">
        <f t="shared" ref="H3:H42" si="2">+(G3-E3)/E3</f>
        <v>9.0824218484169605E-2</v>
      </c>
      <c r="I3" s="898">
        <v>14906182505</v>
      </c>
      <c r="J3" s="1111">
        <f t="shared" ref="J3:J42" si="3">+(I3-G3)/G3</f>
        <v>0.16130492632505866</v>
      </c>
      <c r="K3" s="898">
        <v>15384016828.440001</v>
      </c>
      <c r="L3" s="1111">
        <f t="shared" ref="L3:L42" si="4">+(K3-I3)/I3</f>
        <v>3.2056116532835952E-2</v>
      </c>
      <c r="M3" s="1088">
        <v>19215877903.310001</v>
      </c>
      <c r="N3" s="1111">
        <f t="shared" ref="N3:N46" si="5">+(M3-K3)/K3</f>
        <v>0.24908066063644357</v>
      </c>
      <c r="O3" s="1088">
        <f>+'Ingresos 2022'!AE6</f>
        <v>22061486676.990002</v>
      </c>
      <c r="P3" s="1111">
        <f t="shared" ref="P3:P4" si="6">+(O3-M3)/M3</f>
        <v>0.14808632673450919</v>
      </c>
      <c r="Q3" s="1088">
        <f>+'Ingresos 2023'!I6</f>
        <v>21958559206</v>
      </c>
      <c r="R3" s="1088">
        <f>+'Ingresos 2023'!J6</f>
        <v>27958559206</v>
      </c>
      <c r="S3" s="1088">
        <f>+'Ingresos 2023'!K6</f>
        <v>23421086954.529999</v>
      </c>
      <c r="T3" s="1088">
        <f>+'Recaudo Julio Dic 2022'!E2</f>
        <v>7309281887.7399998</v>
      </c>
      <c r="U3" s="1088">
        <f>+S3+T3</f>
        <v>30730368842.269997</v>
      </c>
      <c r="V3" s="1111">
        <f>+(U3-O3)/O3</f>
        <v>0.39294188520493439</v>
      </c>
      <c r="W3" s="1111">
        <f>+(V3+P3+N3)/3</f>
        <v>0.26336962419196236</v>
      </c>
      <c r="X3" s="1088">
        <f>+U3*W3+U3</f>
        <v>38823814535.539032</v>
      </c>
      <c r="Y3" s="1201">
        <f>+U3*1.1-1000000000</f>
        <v>32803405726.496998</v>
      </c>
    </row>
    <row r="4" spans="1:27" x14ac:dyDescent="0.25">
      <c r="A4" s="1141" t="s">
        <v>1025</v>
      </c>
      <c r="B4" s="1113">
        <v>8542748119.4099998</v>
      </c>
      <c r="C4" s="1113">
        <v>8361470980.4200001</v>
      </c>
      <c r="D4" s="1114">
        <f t="shared" si="0"/>
        <v>-2.1220002797240331E-2</v>
      </c>
      <c r="E4" s="1113">
        <v>9668053966.2199993</v>
      </c>
      <c r="F4" s="1114">
        <f t="shared" si="1"/>
        <v>0.15626233576120946</v>
      </c>
      <c r="G4" s="1113">
        <v>8929674312</v>
      </c>
      <c r="H4" s="1114">
        <f t="shared" si="2"/>
        <v>-7.6373141564981345E-2</v>
      </c>
      <c r="I4" s="1113">
        <v>9909819056</v>
      </c>
      <c r="J4" s="1114">
        <f t="shared" si="3"/>
        <v>0.10976265312194512</v>
      </c>
      <c r="K4" s="1113">
        <v>9901321094.3799992</v>
      </c>
      <c r="L4" s="1114">
        <f t="shared" si="4"/>
        <v>-8.5752944347209476E-4</v>
      </c>
      <c r="M4" s="1090">
        <v>13746652714.610001</v>
      </c>
      <c r="N4" s="1114">
        <f t="shared" si="5"/>
        <v>0.38836551037746025</v>
      </c>
      <c r="O4" s="1090">
        <f>+'Ingresos 2022'!AE12+'Ingresos 2022'!AE18</f>
        <v>13925339252.370001</v>
      </c>
      <c r="P4" s="1114">
        <f t="shared" si="6"/>
        <v>1.2998548917300531E-2</v>
      </c>
      <c r="Q4" s="1090">
        <f>+'Ingresos 2023'!I12+'Ingresos 2023'!I18</f>
        <v>12960000000</v>
      </c>
      <c r="R4" s="1090">
        <f>+'Ingresos 2023'!J12+'Ingresos 2023'!J18</f>
        <v>20720000000</v>
      </c>
      <c r="S4" s="1090">
        <f>+'Ingresos 2023'!K12+'Ingresos 2023'!K18</f>
        <v>9100084968.4400005</v>
      </c>
      <c r="T4" s="1088">
        <f>+'Recaudo Julio Dic 2022'!E5+'Recaudo Julio Dic 2022'!E10+'Recaudo Julio Dic 2022'!E3+'Recaudo Julio Dic 2022'!E8</f>
        <v>10372414986.08</v>
      </c>
      <c r="U4" s="1088">
        <f t="shared" ref="U4:U50" si="7">+S4+T4</f>
        <v>19472499954.52</v>
      </c>
      <c r="V4" s="1111">
        <f t="shared" ref="V4:V49" si="8">+(U4-O4)/O4</f>
        <v>0.39835013004842301</v>
      </c>
      <c r="W4" s="1111">
        <f t="shared" ref="W4:W50" si="9">+(V4+P4+N4)/3</f>
        <v>0.26657139644772793</v>
      </c>
      <c r="X4" s="1088">
        <v>17616651042.660511</v>
      </c>
      <c r="Y4" s="1201">
        <f>+Z4*0.6</f>
        <v>17264812461.007198</v>
      </c>
      <c r="Z4" s="42">
        <f>1000000000+27774687435.012</f>
        <v>28774687435.012001</v>
      </c>
      <c r="AA4" s="42">
        <f>+Z4*0.1</f>
        <v>2877468743.5012002</v>
      </c>
    </row>
    <row r="5" spans="1:27" x14ac:dyDescent="0.25">
      <c r="A5" s="1141" t="s">
        <v>1027</v>
      </c>
      <c r="B5" s="898">
        <v>591238313.05999994</v>
      </c>
      <c r="C5" s="898">
        <v>677957105.70000005</v>
      </c>
      <c r="D5" s="1111">
        <f t="shared" si="0"/>
        <v>0.14667316160750854</v>
      </c>
      <c r="E5" s="898">
        <v>783896267.51999998</v>
      </c>
      <c r="F5" s="1111">
        <f t="shared" si="1"/>
        <v>0.15626233714390572</v>
      </c>
      <c r="G5" s="898">
        <v>1927072572</v>
      </c>
      <c r="H5" s="1111">
        <f t="shared" si="2"/>
        <v>1.4583259952195569</v>
      </c>
      <c r="I5" s="898">
        <v>2138593170</v>
      </c>
      <c r="J5" s="1111">
        <f t="shared" si="3"/>
        <v>0.10976265298637648</v>
      </c>
      <c r="K5" s="898">
        <v>2136759265.45</v>
      </c>
      <c r="L5" s="1111">
        <f t="shared" si="4"/>
        <v>-8.5752847980897291E-4</v>
      </c>
      <c r="M5" s="1088">
        <v>2765843038.6799998</v>
      </c>
      <c r="N5" s="1111">
        <f t="shared" si="5"/>
        <v>0.29441022365124281</v>
      </c>
      <c r="O5" s="1088">
        <f>+'Ingresos 2022'!AE10+'Ingresos 2022'!AE16</f>
        <v>4641779751.3800001</v>
      </c>
      <c r="P5" s="1111">
        <f t="shared" ref="P5:P10" si="10">+(O5-M5)/M5</f>
        <v>0.67825132752120743</v>
      </c>
      <c r="Q5" s="1088">
        <f>+'Ingresos 2023'!I10+'Ingresos 2023'!I16</f>
        <v>4320000000</v>
      </c>
      <c r="R5" s="1088">
        <f>+'Ingresos 2023'!J10+'Ingresos 2023'!J16</f>
        <v>0</v>
      </c>
      <c r="S5" s="1088">
        <f>+'Ingresos 2023'!K10+'Ingresos 2023'!K16</f>
        <v>0</v>
      </c>
      <c r="T5" s="1088"/>
      <c r="U5" s="1088">
        <f t="shared" si="7"/>
        <v>0</v>
      </c>
      <c r="V5" s="1111">
        <f t="shared" si="8"/>
        <v>-1</v>
      </c>
      <c r="W5" s="1111">
        <f t="shared" si="9"/>
        <v>-9.112816275849922E-3</v>
      </c>
      <c r="X5" s="1088">
        <f>+X4/7*2</f>
        <v>5033328869.3315744</v>
      </c>
      <c r="Y5" s="1201">
        <f>+Z4*0.2</f>
        <v>5754937487.0024004</v>
      </c>
    </row>
    <row r="6" spans="1:27" x14ac:dyDescent="0.25">
      <c r="A6" s="1141" t="s">
        <v>1028</v>
      </c>
      <c r="B6" s="898">
        <v>422313080.75999999</v>
      </c>
      <c r="C6" s="898">
        <v>451971404.01999998</v>
      </c>
      <c r="D6" s="1111">
        <f t="shared" si="0"/>
        <v>7.0228284680707728E-2</v>
      </c>
      <c r="E6" s="898">
        <v>522597511.70999998</v>
      </c>
      <c r="F6" s="1111">
        <f t="shared" si="1"/>
        <v>0.15626233664746356</v>
      </c>
      <c r="G6" s="898">
        <v>542837344</v>
      </c>
      <c r="H6" s="1111">
        <f t="shared" si="2"/>
        <v>3.8729293263898124E-2</v>
      </c>
      <c r="I6" s="898">
        <v>602420611</v>
      </c>
      <c r="J6" s="1111">
        <f t="shared" si="3"/>
        <v>0.1097626529541048</v>
      </c>
      <c r="K6" s="898">
        <v>601904017</v>
      </c>
      <c r="L6" s="1111">
        <f t="shared" si="4"/>
        <v>-8.5753042071795918E-4</v>
      </c>
      <c r="M6" s="1088">
        <v>825624787.67000008</v>
      </c>
      <c r="N6" s="1111">
        <f t="shared" si="5"/>
        <v>0.37168844923990607</v>
      </c>
      <c r="O6" s="1088">
        <f>+'Ingresos 2022'!AE13+'Ingresos 2022'!AE19</f>
        <v>928355950.77999997</v>
      </c>
      <c r="P6" s="1111">
        <f t="shared" si="10"/>
        <v>0.12442839004376072</v>
      </c>
      <c r="Q6" s="1088">
        <f>+'Ingresos 2023'!I13+'Ingresos 2023'!I19</f>
        <v>864000000</v>
      </c>
      <c r="R6" s="1088">
        <f>+'Ingresos 2023'!J13+'Ingresos 2023'!J19</f>
        <v>1036000000</v>
      </c>
      <c r="S6" s="1088">
        <f>+'Ingresos 2023'!K13+'Ingresos 2023'!K19</f>
        <v>455004248.40999997</v>
      </c>
      <c r="T6" s="1088">
        <f>+'Recaudo Julio Dic 2022'!E6+'Recaudo Julio Dic 2022'!E11</f>
        <v>518620749.85999995</v>
      </c>
      <c r="U6" s="1088">
        <f t="shared" si="7"/>
        <v>973624998.26999998</v>
      </c>
      <c r="V6" s="1111">
        <f t="shared" si="8"/>
        <v>4.8762597419626796E-2</v>
      </c>
      <c r="W6" s="1111">
        <f t="shared" si="9"/>
        <v>0.18162647890109787</v>
      </c>
      <c r="X6" s="1088">
        <f t="shared" ref="X6:X67" si="11">+U6*W6+U6</f>
        <v>1150461078.4758675</v>
      </c>
      <c r="Y6" s="1201">
        <f>+Z4*0.04</f>
        <v>1150987497.40048</v>
      </c>
    </row>
    <row r="7" spans="1:27" x14ac:dyDescent="0.25">
      <c r="A7" s="1141" t="s">
        <v>1029</v>
      </c>
      <c r="B7" s="898">
        <v>633469621.13999999</v>
      </c>
      <c r="C7" s="898">
        <v>677957107.36000001</v>
      </c>
      <c r="D7" s="1111">
        <f t="shared" si="0"/>
        <v>7.0228286780255986E-2</v>
      </c>
      <c r="E7" s="898">
        <v>783896267.52999997</v>
      </c>
      <c r="F7" s="1111">
        <f t="shared" si="1"/>
        <v>0.15626233432751008</v>
      </c>
      <c r="G7" s="898">
        <v>814256016</v>
      </c>
      <c r="H7" s="1111">
        <f t="shared" si="2"/>
        <v>3.8729293310276094E-2</v>
      </c>
      <c r="I7" s="898">
        <v>903630917</v>
      </c>
      <c r="J7" s="1111">
        <f t="shared" si="3"/>
        <v>0.10976265356816228</v>
      </c>
      <c r="K7" s="898">
        <v>902856025</v>
      </c>
      <c r="L7" s="1111">
        <f t="shared" si="4"/>
        <v>-8.5753152688997688E-4</v>
      </c>
      <c r="M7" s="1088">
        <v>1238437181.47</v>
      </c>
      <c r="N7" s="1111">
        <f t="shared" si="5"/>
        <v>0.37168844996077866</v>
      </c>
      <c r="O7" s="1088">
        <f>+'Ingresos 2022'!AE14+'Ingresos 2022'!AE20</f>
        <v>1392533922.48</v>
      </c>
      <c r="P7" s="1111">
        <f t="shared" si="10"/>
        <v>0.12442838709597709</v>
      </c>
      <c r="Q7" s="1088">
        <f>+'Ingresos 2023'!I14+'Ingresos 2023'!I20</f>
        <v>1296000000</v>
      </c>
      <c r="R7" s="1088">
        <f>+'Ingresos 2023'!J14+'Ingresos 2023'!J20</f>
        <v>1554000000</v>
      </c>
      <c r="S7" s="1088">
        <f>+'Ingresos 2023'!K14+'Ingresos 2023'!K20</f>
        <v>682506372.64999998</v>
      </c>
      <c r="T7" s="1088">
        <f>+'Recaudo Julio Dic 2022'!E7+'Recaudo Julio Dic 2022'!E12</f>
        <v>777931121.13</v>
      </c>
      <c r="U7" s="1088">
        <f t="shared" si="7"/>
        <v>1460437493.78</v>
      </c>
      <c r="V7" s="1111">
        <f t="shared" si="8"/>
        <v>4.8762597595517605E-2</v>
      </c>
      <c r="W7" s="1111">
        <f t="shared" si="9"/>
        <v>0.18162647821742448</v>
      </c>
      <c r="X7" s="1088">
        <f t="shared" si="11"/>
        <v>1725691612.4319432</v>
      </c>
      <c r="Y7" s="1201">
        <f>+Z4*0.06</f>
        <v>1726481246.1007199</v>
      </c>
    </row>
    <row r="8" spans="1:27" ht="25.5" x14ac:dyDescent="0.25">
      <c r="A8" s="1141" t="s">
        <v>1030</v>
      </c>
      <c r="B8" s="898">
        <v>368057884.63</v>
      </c>
      <c r="C8" s="898">
        <v>1129928511.5</v>
      </c>
      <c r="D8" s="1111">
        <f t="shared" si="0"/>
        <v>2.0699750193801467</v>
      </c>
      <c r="E8" s="898">
        <v>1306493779.22</v>
      </c>
      <c r="F8" s="1111">
        <f t="shared" si="1"/>
        <v>0.1562623351149946</v>
      </c>
      <c r="G8" s="898">
        <v>1357093361</v>
      </c>
      <c r="H8" s="1111">
        <f t="shared" si="2"/>
        <v>3.8729294073033257E-2</v>
      </c>
      <c r="I8" s="898">
        <v>1506051529</v>
      </c>
      <c r="J8" s="1111">
        <f t="shared" si="3"/>
        <v>0.10976265324165858</v>
      </c>
      <c r="K8" s="898">
        <v>1504760043</v>
      </c>
      <c r="L8" s="1111">
        <f t="shared" si="4"/>
        <v>-8.5753108385177971E-4</v>
      </c>
      <c r="M8" s="1088">
        <v>2064061969.1600001</v>
      </c>
      <c r="N8" s="1111">
        <f t="shared" si="5"/>
        <v>0.37168844877415452</v>
      </c>
      <c r="O8" s="1088">
        <f>+'Ingresos 2022'!AE11+'Ingresos 2022'!AE17</f>
        <v>2320889875.5599999</v>
      </c>
      <c r="P8" s="1111">
        <f t="shared" si="10"/>
        <v>0.12442838937850287</v>
      </c>
      <c r="Q8" s="1088">
        <f>+'Ingresos 2023'!I11+'Ingresos 2023'!I17</f>
        <v>2160000000</v>
      </c>
      <c r="R8" s="1088">
        <f>+'Ingresos 2023'!J11+'Ingresos 2023'!J17</f>
        <v>2590000000</v>
      </c>
      <c r="S8" s="1088">
        <f>+'Ingresos 2023'!K11+'Ingresos 2023'!K17</f>
        <v>1137510620.98</v>
      </c>
      <c r="T8" s="1088">
        <f>+'Recaudo Julio Dic 2022'!E9+'Recaudo Julio Dic 2022'!E4</f>
        <v>1296551873.3700001</v>
      </c>
      <c r="U8" s="1088">
        <f t="shared" si="7"/>
        <v>2434062494.3500004</v>
      </c>
      <c r="V8" s="1111">
        <f t="shared" si="8"/>
        <v>4.8762597476837796E-2</v>
      </c>
      <c r="W8" s="1111">
        <f t="shared" si="9"/>
        <v>0.18162647854316508</v>
      </c>
      <c r="X8" s="1088">
        <f t="shared" si="11"/>
        <v>2876152693.7527838</v>
      </c>
      <c r="Y8" s="1201">
        <f>+Z4*0.1</f>
        <v>2877468743.5012002</v>
      </c>
    </row>
    <row r="9" spans="1:27" x14ac:dyDescent="0.25">
      <c r="A9" s="1141" t="s">
        <v>1033</v>
      </c>
      <c r="B9" s="898">
        <v>818895042</v>
      </c>
      <c r="C9" s="898">
        <v>690710961.39999998</v>
      </c>
      <c r="D9" s="1111">
        <f t="shared" si="0"/>
        <v>-0.15653297922885706</v>
      </c>
      <c r="E9" s="898">
        <v>710935239</v>
      </c>
      <c r="F9" s="1111">
        <f t="shared" si="1"/>
        <v>2.9280377365095662E-2</v>
      </c>
      <c r="G9" s="898">
        <v>645603667.20000005</v>
      </c>
      <c r="H9" s="1111">
        <f t="shared" si="2"/>
        <v>-9.1895250391435382E-2</v>
      </c>
      <c r="I9" s="898">
        <v>695202442</v>
      </c>
      <c r="J9" s="1111">
        <f t="shared" si="3"/>
        <v>7.6825422964387935E-2</v>
      </c>
      <c r="K9" s="898">
        <v>1011455996</v>
      </c>
      <c r="L9" s="1111">
        <f t="shared" si="4"/>
        <v>0.45490857755071007</v>
      </c>
      <c r="M9" s="1088">
        <v>0</v>
      </c>
      <c r="N9" s="1111">
        <f t="shared" si="5"/>
        <v>-1</v>
      </c>
      <c r="O9" s="1088">
        <f>+'Ingresos 2022'!AE25</f>
        <v>1011853570.6</v>
      </c>
      <c r="P9" s="1111"/>
      <c r="Q9" s="1088">
        <f>+'Ingresos 2023'!I25</f>
        <v>2577372402</v>
      </c>
      <c r="R9" s="1088">
        <f>+'Ingresos 2023'!J24+'Ingresos 2023'!J25</f>
        <v>2615737305.1199999</v>
      </c>
      <c r="S9" s="1088">
        <f>+'Ingresos 2023'!K24+'Ingresos 2023'!K25</f>
        <v>341372361.04000002</v>
      </c>
      <c r="T9" s="1088">
        <f>+'Recaudo Julio Dic 2022'!E15</f>
        <v>637714830.60000002</v>
      </c>
      <c r="U9" s="1088">
        <f t="shared" si="7"/>
        <v>979087191.6400001</v>
      </c>
      <c r="V9" s="1111">
        <f t="shared" si="8"/>
        <v>-3.2382530350286161E-2</v>
      </c>
      <c r="W9" s="1111">
        <f t="shared" si="9"/>
        <v>-0.34412751011676207</v>
      </c>
      <c r="X9" s="1088">
        <f t="shared" si="11"/>
        <v>642156354.19371378</v>
      </c>
      <c r="Y9" s="1201">
        <f>+U9*1.2</f>
        <v>1174904629.9680002</v>
      </c>
    </row>
    <row r="10" spans="1:27" x14ac:dyDescent="0.25">
      <c r="A10" s="1141" t="s">
        <v>1034</v>
      </c>
      <c r="B10" s="1116">
        <v>1769153000</v>
      </c>
      <c r="C10" s="1116">
        <v>1890871088</v>
      </c>
      <c r="D10" s="1117">
        <f t="shared" si="0"/>
        <v>6.8800204391593039E-2</v>
      </c>
      <c r="E10" s="1116">
        <v>2807003000</v>
      </c>
      <c r="F10" s="1117">
        <f t="shared" si="1"/>
        <v>0.48450257546060699</v>
      </c>
      <c r="G10" s="1116">
        <v>2378697000</v>
      </c>
      <c r="H10" s="1117">
        <f t="shared" si="2"/>
        <v>-0.15258480308001096</v>
      </c>
      <c r="I10" s="1116">
        <v>3823238126</v>
      </c>
      <c r="J10" s="1117">
        <f t="shared" si="3"/>
        <v>0.60728252736687349</v>
      </c>
      <c r="K10" s="1116">
        <v>4153375000</v>
      </c>
      <c r="L10" s="1117">
        <f t="shared" si="4"/>
        <v>8.6350068481190909E-2</v>
      </c>
      <c r="M10" s="1091">
        <v>2985922449.3200002</v>
      </c>
      <c r="N10" s="1117">
        <f t="shared" si="5"/>
        <v>-0.28108527418785922</v>
      </c>
      <c r="O10" s="1091">
        <f>+'Ingresos 2022'!AE27</f>
        <v>2953314500</v>
      </c>
      <c r="P10" s="1117">
        <f t="shared" si="10"/>
        <v>-1.0920561358660253E-2</v>
      </c>
      <c r="Q10" s="1091">
        <f>+'Ingresos 2023'!I27</f>
        <v>767298056</v>
      </c>
      <c r="R10" s="1091">
        <f>+'Ingresos 2023'!J26+'Ingresos 2023'!J27</f>
        <v>896166676.88</v>
      </c>
      <c r="S10" s="1091">
        <f>+'Ingresos 2023'!K26+'Ingresos 2023'!K27</f>
        <v>1257466918.5</v>
      </c>
      <c r="T10" s="1088">
        <f>+'Recaudo Julio Dic 2022'!E17</f>
        <v>1698381500</v>
      </c>
      <c r="U10" s="1088">
        <f t="shared" si="7"/>
        <v>2955848418.5</v>
      </c>
      <c r="V10" s="1111">
        <f t="shared" si="8"/>
        <v>8.579914194712416E-4</v>
      </c>
      <c r="W10" s="1111">
        <f t="shared" si="9"/>
        <v>-9.704928137568275E-2</v>
      </c>
      <c r="X10" s="1088">
        <f t="shared" si="11"/>
        <v>2668985453.6291265</v>
      </c>
      <c r="Y10" s="1201">
        <f>+U10*1.2</f>
        <v>3547018102.1999998</v>
      </c>
    </row>
    <row r="11" spans="1:27" x14ac:dyDescent="0.25">
      <c r="A11" s="1141" t="s">
        <v>1035</v>
      </c>
      <c r="B11" s="1116"/>
      <c r="C11" s="1116"/>
      <c r="D11" s="1117"/>
      <c r="E11" s="1116"/>
      <c r="F11" s="1117"/>
      <c r="G11" s="1116"/>
      <c r="H11" s="1117"/>
      <c r="I11" s="1116"/>
      <c r="J11" s="1117"/>
      <c r="K11" s="1116">
        <v>0</v>
      </c>
      <c r="L11" s="1117"/>
      <c r="M11" s="1091">
        <v>3439875818</v>
      </c>
      <c r="N11" s="1117"/>
      <c r="O11" s="1091"/>
      <c r="P11" s="1117"/>
      <c r="Q11" s="1091"/>
      <c r="R11" s="1091"/>
      <c r="S11" s="1091"/>
      <c r="T11" s="1088"/>
      <c r="U11" s="1088">
        <f t="shared" si="7"/>
        <v>0</v>
      </c>
      <c r="V11" s="1111"/>
      <c r="W11" s="1111">
        <f t="shared" si="9"/>
        <v>0</v>
      </c>
      <c r="X11" s="1088">
        <f t="shared" si="11"/>
        <v>0</v>
      </c>
      <c r="Y11" s="1201"/>
    </row>
    <row r="12" spans="1:27" x14ac:dyDescent="0.25">
      <c r="A12" s="1141" t="s">
        <v>1036</v>
      </c>
      <c r="B12" s="1116"/>
      <c r="C12" s="1116"/>
      <c r="D12" s="1117"/>
      <c r="E12" s="1116"/>
      <c r="F12" s="1117"/>
      <c r="G12" s="1116"/>
      <c r="H12" s="1117"/>
      <c r="I12" s="1116"/>
      <c r="J12" s="1117"/>
      <c r="K12" s="1116">
        <v>0</v>
      </c>
      <c r="L12" s="1117"/>
      <c r="M12" s="1091"/>
      <c r="N12" s="1117"/>
      <c r="O12" s="1091"/>
      <c r="P12" s="1117"/>
      <c r="Q12" s="1091">
        <f>+'Ingresos 2023'!I26+'Ingresos 2023'!I24</f>
        <v>167233524</v>
      </c>
      <c r="R12" s="1091">
        <f>+[2]MX8!H24+[2]MX8!H26</f>
        <v>265988797</v>
      </c>
      <c r="S12" s="1091">
        <f>+[2]MX8!I24+[2]MX8!I26</f>
        <v>130026009.40000001</v>
      </c>
      <c r="T12" s="1088">
        <f>+'Recaudo Julio Dic 2022'!E14+'Recaudo Julio Dic 2022'!E16</f>
        <v>119524761.53</v>
      </c>
      <c r="U12" s="1088">
        <f t="shared" si="7"/>
        <v>249550770.93000001</v>
      </c>
      <c r="V12" s="1111"/>
      <c r="W12" s="1111">
        <f t="shared" si="9"/>
        <v>0</v>
      </c>
      <c r="X12" s="1088">
        <f t="shared" si="11"/>
        <v>249550770.93000001</v>
      </c>
      <c r="Y12" s="1201">
        <f>+U12*1.2</f>
        <v>299460925.116</v>
      </c>
    </row>
    <row r="13" spans="1:27" x14ac:dyDescent="0.25">
      <c r="A13" s="1141" t="s">
        <v>259</v>
      </c>
      <c r="B13" s="1116"/>
      <c r="C13" s="1116"/>
      <c r="D13" s="1117"/>
      <c r="E13" s="1116"/>
      <c r="F13" s="1117"/>
      <c r="G13" s="1116"/>
      <c r="H13" s="1117"/>
      <c r="I13" s="1116"/>
      <c r="J13" s="1117"/>
      <c r="K13" s="1116">
        <v>0</v>
      </c>
      <c r="L13" s="1117"/>
      <c r="M13" s="1091">
        <v>353329093.94</v>
      </c>
      <c r="N13" s="1117"/>
      <c r="O13" s="1091">
        <f>+'Ingresos 2022'!AE24+'Ingresos 2022'!AE26</f>
        <v>202272168.53</v>
      </c>
      <c r="P13" s="1117"/>
      <c r="Q13" s="1091"/>
      <c r="R13" s="1091"/>
      <c r="S13" s="1091"/>
      <c r="T13" s="1088"/>
      <c r="U13" s="1088">
        <f t="shared" si="7"/>
        <v>0</v>
      </c>
      <c r="V13" s="1111">
        <f t="shared" si="8"/>
        <v>-1</v>
      </c>
      <c r="W13" s="1111">
        <f t="shared" si="9"/>
        <v>-0.33333333333333331</v>
      </c>
      <c r="X13" s="1088">
        <f t="shared" si="11"/>
        <v>0</v>
      </c>
      <c r="Y13" s="1201"/>
    </row>
    <row r="14" spans="1:27" x14ac:dyDescent="0.25">
      <c r="A14" s="1141" t="s">
        <v>1038</v>
      </c>
      <c r="B14" s="1116">
        <v>13974970000</v>
      </c>
      <c r="C14" s="1116">
        <v>15690084000</v>
      </c>
      <c r="D14" s="1117">
        <f t="shared" si="0"/>
        <v>0.12272756220585805</v>
      </c>
      <c r="E14" s="1116">
        <v>16221634000</v>
      </c>
      <c r="F14" s="1117">
        <f t="shared" si="1"/>
        <v>3.3878085037658177E-2</v>
      </c>
      <c r="G14" s="1116">
        <v>14697388000</v>
      </c>
      <c r="H14" s="1117">
        <f t="shared" si="2"/>
        <v>-9.3963777015311778E-2</v>
      </c>
      <c r="I14" s="1116">
        <v>15833930416</v>
      </c>
      <c r="J14" s="1117">
        <f t="shared" si="3"/>
        <v>7.7329551073973143E-2</v>
      </c>
      <c r="K14" s="1116">
        <v>13000396867</v>
      </c>
      <c r="L14" s="1117">
        <f t="shared" si="4"/>
        <v>-0.17895326520677063</v>
      </c>
      <c r="M14" s="1091">
        <v>17001730000</v>
      </c>
      <c r="N14" s="1117">
        <f t="shared" si="5"/>
        <v>0.30778546023905778</v>
      </c>
      <c r="O14" s="1091">
        <f>+'Ingresos 2022'!AE29</f>
        <v>17223480024</v>
      </c>
      <c r="P14" s="1117">
        <f t="shared" ref="P14:P15" si="12">+(O14-M14)/M14</f>
        <v>1.3042791762955887E-2</v>
      </c>
      <c r="Q14" s="1091">
        <f>+'Ingresos 2023'!I29</f>
        <v>18965700746</v>
      </c>
      <c r="R14" s="1091">
        <f>+'Ingresos 2023'!J29</f>
        <v>19965700746</v>
      </c>
      <c r="S14" s="1091">
        <f>+'Ingresos 2023'!K29</f>
        <v>9992064976</v>
      </c>
      <c r="T14" s="1088">
        <f>+'Recaudo Julio Dic 2022'!E18</f>
        <v>8010408024</v>
      </c>
      <c r="U14" s="1088">
        <f t="shared" si="7"/>
        <v>18002473000</v>
      </c>
      <c r="V14" s="1111">
        <f t="shared" si="8"/>
        <v>4.5228547013409302E-2</v>
      </c>
      <c r="W14" s="1111">
        <f t="shared" si="9"/>
        <v>0.12201893300514099</v>
      </c>
      <c r="X14" s="1088">
        <f t="shared" si="11"/>
        <v>20199115546.91386</v>
      </c>
      <c r="Y14" s="1201">
        <f>+U14*1.15</f>
        <v>20702843950</v>
      </c>
    </row>
    <row r="15" spans="1:27" x14ac:dyDescent="0.25">
      <c r="A15" s="1141" t="s">
        <v>1039</v>
      </c>
      <c r="B15" s="1116">
        <v>322781000</v>
      </c>
      <c r="C15" s="1116">
        <v>265437000</v>
      </c>
      <c r="D15" s="1117">
        <f t="shared" si="0"/>
        <v>-0.17765605782248645</v>
      </c>
      <c r="E15" s="1116">
        <v>439883001</v>
      </c>
      <c r="F15" s="1117">
        <f t="shared" si="1"/>
        <v>0.65720303122774892</v>
      </c>
      <c r="G15" s="1116">
        <v>567402000</v>
      </c>
      <c r="H15" s="1117">
        <f t="shared" si="2"/>
        <v>0.28989299134112256</v>
      </c>
      <c r="I15" s="1116">
        <v>800380428</v>
      </c>
      <c r="J15" s="1117">
        <f t="shared" si="3"/>
        <v>0.41060558122812396</v>
      </c>
      <c r="K15" s="1116">
        <v>147726000</v>
      </c>
      <c r="L15" s="1117">
        <f t="shared" si="4"/>
        <v>-0.81543026936685659</v>
      </c>
      <c r="M15" s="1091">
        <v>255965000</v>
      </c>
      <c r="N15" s="1117">
        <f t="shared" si="5"/>
        <v>0.73270108173239645</v>
      </c>
      <c r="O15" s="1091">
        <f>+'Ingresos 2022'!AE30</f>
        <v>643989000</v>
      </c>
      <c r="P15" s="1117">
        <f t="shared" si="12"/>
        <v>1.5159260055085657</v>
      </c>
      <c r="Q15" s="1091">
        <f>+'Ingresos 2023'!I30</f>
        <v>291188487</v>
      </c>
      <c r="R15" s="1091">
        <f>+'Ingresos 2023'!J30</f>
        <v>291188487</v>
      </c>
      <c r="S15" s="1091">
        <f>+'Ingresos 2023'!K30</f>
        <v>309050000</v>
      </c>
      <c r="T15" s="1088">
        <f>+'Recaudo Julio Dic 2022'!E19</f>
        <v>537925000</v>
      </c>
      <c r="U15" s="1088">
        <f t="shared" si="7"/>
        <v>846975000</v>
      </c>
      <c r="V15" s="1111">
        <f t="shared" si="8"/>
        <v>0.31520103604254107</v>
      </c>
      <c r="W15" s="1111">
        <f t="shared" si="9"/>
        <v>0.85460937442783447</v>
      </c>
      <c r="X15" s="1088">
        <f t="shared" si="11"/>
        <v>1570807774.9060149</v>
      </c>
      <c r="Y15" s="1201">
        <f>+U15*1.1</f>
        <v>931672500.00000012</v>
      </c>
    </row>
    <row r="16" spans="1:27" x14ac:dyDescent="0.25">
      <c r="A16" s="1141" t="s">
        <v>1041</v>
      </c>
      <c r="B16" s="1116">
        <v>6964307000</v>
      </c>
      <c r="C16" s="1116">
        <v>7267520000</v>
      </c>
      <c r="D16" s="1117">
        <f t="shared" si="0"/>
        <v>4.353814385264751E-2</v>
      </c>
      <c r="E16" s="1116">
        <v>15285292000</v>
      </c>
      <c r="F16" s="1117">
        <f t="shared" si="1"/>
        <v>1.1032335652327065</v>
      </c>
      <c r="G16" s="1116">
        <v>16281139560</v>
      </c>
      <c r="H16" s="1117">
        <f t="shared" si="2"/>
        <v>6.5150705658746977E-2</v>
      </c>
      <c r="I16" s="1116">
        <v>8127488794</v>
      </c>
      <c r="J16" s="1117">
        <f t="shared" si="3"/>
        <v>-0.50080344412943534</v>
      </c>
      <c r="K16" s="1116">
        <v>0</v>
      </c>
      <c r="L16" s="1117">
        <f t="shared" si="4"/>
        <v>-1</v>
      </c>
      <c r="M16" s="1091"/>
      <c r="N16" s="1117"/>
      <c r="O16" s="1091"/>
      <c r="P16" s="1117"/>
      <c r="Q16" s="1091"/>
      <c r="R16" s="1091"/>
      <c r="S16" s="1091"/>
      <c r="T16" s="1088"/>
      <c r="U16" s="1088">
        <f t="shared" si="7"/>
        <v>0</v>
      </c>
      <c r="V16" s="1111"/>
      <c r="W16" s="1111">
        <f t="shared" si="9"/>
        <v>0</v>
      </c>
      <c r="X16" s="1088">
        <f t="shared" si="11"/>
        <v>0</v>
      </c>
      <c r="Y16" s="1201"/>
    </row>
    <row r="17" spans="1:27" x14ac:dyDescent="0.25">
      <c r="A17" s="1141" t="s">
        <v>1042</v>
      </c>
      <c r="B17" s="1116">
        <v>1152466000</v>
      </c>
      <c r="C17" s="1116">
        <v>1539548000</v>
      </c>
      <c r="D17" s="1117">
        <f t="shared" si="0"/>
        <v>0.33587281533685159</v>
      </c>
      <c r="E17" s="1116">
        <v>2498283000</v>
      </c>
      <c r="F17" s="1117">
        <f t="shared" si="1"/>
        <v>0.6227379724438602</v>
      </c>
      <c r="G17" s="1116">
        <v>2196394200</v>
      </c>
      <c r="H17" s="1117">
        <f t="shared" si="2"/>
        <v>-0.12083851188996603</v>
      </c>
      <c r="I17" s="1116">
        <v>7084515917</v>
      </c>
      <c r="J17" s="1117">
        <f t="shared" si="3"/>
        <v>2.2255211368706038</v>
      </c>
      <c r="K17" s="1116">
        <v>10458008676.07</v>
      </c>
      <c r="L17" s="1117">
        <f t="shared" si="4"/>
        <v>0.47617830189003718</v>
      </c>
      <c r="M17" s="1091">
        <v>10520777126</v>
      </c>
      <c r="N17" s="1117">
        <f t="shared" si="5"/>
        <v>6.0019504548343879E-3</v>
      </c>
      <c r="O17" s="1091">
        <f>+'Ingresos 2022'!AE33</f>
        <v>11137550708</v>
      </c>
      <c r="P17" s="1117">
        <f t="shared" ref="P17" si="13">+(O17-M17)/M17</f>
        <v>5.8624336834944182E-2</v>
      </c>
      <c r="Q17" s="1091">
        <f>+'Ingresos 2023'!I33</f>
        <v>12138258784</v>
      </c>
      <c r="R17" s="1091">
        <f>+'Ingresos 2023'!J33</f>
        <v>12597062694</v>
      </c>
      <c r="S17" s="1091">
        <f>+'Ingresos 2023'!K33</f>
        <v>5623122650</v>
      </c>
      <c r="T17" s="1088">
        <f>+'Recaudo Julio Dic 2022'!E20</f>
        <v>6071220185</v>
      </c>
      <c r="U17" s="1088">
        <f t="shared" si="7"/>
        <v>11694342835</v>
      </c>
      <c r="V17" s="1111">
        <f t="shared" si="8"/>
        <v>4.999233149170413E-2</v>
      </c>
      <c r="W17" s="1111">
        <f t="shared" si="9"/>
        <v>3.8206206260494237E-2</v>
      </c>
      <c r="X17" s="1088">
        <f t="shared" si="11"/>
        <v>12141139309.434942</v>
      </c>
      <c r="Y17" s="1201">
        <f>+(O17*1.1362)*1.12</f>
        <v>14173023328.161156</v>
      </c>
    </row>
    <row r="18" spans="1:27" x14ac:dyDescent="0.25">
      <c r="A18" s="1141" t="s">
        <v>1043</v>
      </c>
      <c r="B18" s="898"/>
      <c r="C18" s="898"/>
      <c r="D18" s="1111"/>
      <c r="E18" s="898">
        <v>0</v>
      </c>
      <c r="F18" s="1111"/>
      <c r="G18" s="898">
        <v>0</v>
      </c>
      <c r="H18" s="1111"/>
      <c r="I18" s="898">
        <v>0</v>
      </c>
      <c r="J18" s="1111"/>
      <c r="K18" s="898">
        <v>0</v>
      </c>
      <c r="L18" s="1111"/>
      <c r="M18" s="1088"/>
      <c r="N18" s="1111"/>
      <c r="O18" s="1088"/>
      <c r="P18" s="1111"/>
      <c r="Q18" s="1088"/>
      <c r="R18" s="1088"/>
      <c r="S18" s="1088"/>
      <c r="T18" s="1088"/>
      <c r="U18" s="1088">
        <f t="shared" si="7"/>
        <v>0</v>
      </c>
      <c r="V18" s="1111"/>
      <c r="W18" s="1111">
        <f t="shared" si="9"/>
        <v>0</v>
      </c>
      <c r="X18" s="1088">
        <f t="shared" si="11"/>
        <v>0</v>
      </c>
      <c r="Y18" s="1201"/>
    </row>
    <row r="19" spans="1:27" x14ac:dyDescent="0.25">
      <c r="A19" s="1141" t="s">
        <v>1045</v>
      </c>
      <c r="B19" s="898">
        <v>610335310</v>
      </c>
      <c r="C19" s="898">
        <v>615511700</v>
      </c>
      <c r="D19" s="1111">
        <f t="shared" si="0"/>
        <v>8.4812232148259621E-3</v>
      </c>
      <c r="E19" s="898">
        <v>537403800</v>
      </c>
      <c r="F19" s="1111">
        <f t="shared" si="1"/>
        <v>-0.12689913124315916</v>
      </c>
      <c r="G19" s="898">
        <v>565645500</v>
      </c>
      <c r="H19" s="1111">
        <f t="shared" si="2"/>
        <v>5.2552103278763564E-2</v>
      </c>
      <c r="I19" s="898">
        <v>647439300</v>
      </c>
      <c r="J19" s="1111">
        <f t="shared" si="3"/>
        <v>0.14460258235944598</v>
      </c>
      <c r="K19" s="898">
        <v>562423800</v>
      </c>
      <c r="L19" s="1111">
        <f t="shared" si="4"/>
        <v>-0.13131037921238331</v>
      </c>
      <c r="M19" s="1088">
        <v>660196800</v>
      </c>
      <c r="N19" s="1111">
        <f t="shared" si="5"/>
        <v>0.17384221649226081</v>
      </c>
      <c r="O19" s="1088">
        <f>+'Ingresos 2022'!AE21</f>
        <v>633596100</v>
      </c>
      <c r="P19" s="1111">
        <f t="shared" ref="P19:P35" si="14">+(O19-M19)/M19</f>
        <v>-4.0292076544448566E-2</v>
      </c>
      <c r="Q19" s="1088">
        <f>+'Ingresos 2023'!I21</f>
        <v>693652915</v>
      </c>
      <c r="R19" s="1088">
        <f>+'Ingresos 2023'!J21</f>
        <v>693652915</v>
      </c>
      <c r="S19" s="1088">
        <f>+'Ingresos 2023'!K21</f>
        <v>295483700</v>
      </c>
      <c r="T19" s="1088">
        <f>+'Recaudo Julio Dic 2022'!E13</f>
        <v>314986300</v>
      </c>
      <c r="U19" s="1088">
        <f t="shared" si="7"/>
        <v>610470000</v>
      </c>
      <c r="V19" s="1111">
        <f t="shared" si="8"/>
        <v>-3.6499751182180573E-2</v>
      </c>
      <c r="W19" s="1111">
        <f t="shared" si="9"/>
        <v>3.2350129588543892E-2</v>
      </c>
      <c r="X19" s="1088">
        <f t="shared" si="11"/>
        <v>630218783.60991836</v>
      </c>
      <c r="Y19" s="1201">
        <f>+R19*1.1</f>
        <v>763018206.50000012</v>
      </c>
    </row>
    <row r="20" spans="1:27" x14ac:dyDescent="0.25">
      <c r="A20" s="1141" t="s">
        <v>1047</v>
      </c>
      <c r="B20" s="898">
        <v>5986710600</v>
      </c>
      <c r="C20" s="898">
        <v>6704117400</v>
      </c>
      <c r="D20" s="1111">
        <f t="shared" si="0"/>
        <v>0.11983321859586799</v>
      </c>
      <c r="E20" s="898">
        <v>6713558000</v>
      </c>
      <c r="F20" s="1111">
        <f t="shared" si="1"/>
        <v>1.4081793973357327E-3</v>
      </c>
      <c r="G20" s="898">
        <v>6992548550</v>
      </c>
      <c r="H20" s="1111">
        <f t="shared" si="2"/>
        <v>4.1556288036835309E-2</v>
      </c>
      <c r="I20" s="898">
        <v>7173915300</v>
      </c>
      <c r="J20" s="1111">
        <f t="shared" si="3"/>
        <v>2.5937145620533446E-2</v>
      </c>
      <c r="K20" s="898">
        <v>6045453100</v>
      </c>
      <c r="L20" s="1111">
        <f t="shared" si="4"/>
        <v>-0.1573007420369181</v>
      </c>
      <c r="M20" s="1088">
        <v>7980125400</v>
      </c>
      <c r="N20" s="1111">
        <f t="shared" si="5"/>
        <v>0.32002105847120044</v>
      </c>
      <c r="O20" s="1088">
        <f>+'Ingresos 2022'!AE34</f>
        <v>9426916500</v>
      </c>
      <c r="P20" s="1111">
        <f t="shared" si="14"/>
        <v>0.1812992938682392</v>
      </c>
      <c r="Q20" s="1088">
        <f>+'Ingresos 2023'!I34</f>
        <v>8999529162</v>
      </c>
      <c r="R20" s="1088">
        <f>+'Ingresos 2023'!J34</f>
        <v>10499529162</v>
      </c>
      <c r="S20" s="1088">
        <f>+'Ingresos 2023'!K34</f>
        <v>5230513800</v>
      </c>
      <c r="T20" s="1088">
        <f>+'Recaudo Julio Dic 2022'!E21</f>
        <v>4765658850</v>
      </c>
      <c r="U20" s="1088">
        <f t="shared" si="7"/>
        <v>9996172650</v>
      </c>
      <c r="V20" s="1111">
        <f t="shared" si="8"/>
        <v>6.0386251432268438E-2</v>
      </c>
      <c r="W20" s="1111">
        <f t="shared" si="9"/>
        <v>0.18723553459056938</v>
      </c>
      <c r="X20" s="1088">
        <f t="shared" si="11"/>
        <v>11867811379.982378</v>
      </c>
      <c r="Y20" s="1201">
        <f>+X20</f>
        <v>11867811379.982378</v>
      </c>
    </row>
    <row r="21" spans="1:27" x14ac:dyDescent="0.25">
      <c r="A21" s="1141" t="s">
        <v>1050</v>
      </c>
      <c r="B21" s="898">
        <v>0</v>
      </c>
      <c r="C21" s="898">
        <v>6798050496.8699999</v>
      </c>
      <c r="D21" s="1111"/>
      <c r="E21" s="898">
        <v>6599997931.1999998</v>
      </c>
      <c r="F21" s="1111">
        <f t="shared" si="1"/>
        <v>-2.9133729701064835E-2</v>
      </c>
      <c r="G21" s="898">
        <v>6893063450.0299997</v>
      </c>
      <c r="H21" s="1111">
        <f t="shared" si="2"/>
        <v>4.4403880407992077E-2</v>
      </c>
      <c r="I21" s="898">
        <v>6497976030</v>
      </c>
      <c r="J21" s="1111">
        <f t="shared" si="3"/>
        <v>-5.7316666659767979E-2</v>
      </c>
      <c r="K21" s="898">
        <v>4230867815.1900001</v>
      </c>
      <c r="L21" s="1111">
        <f t="shared" si="4"/>
        <v>-0.34889451797654597</v>
      </c>
      <c r="M21" s="1088">
        <v>5472692270</v>
      </c>
      <c r="N21" s="1111">
        <f t="shared" si="5"/>
        <v>0.29351530443742591</v>
      </c>
      <c r="O21" s="1088">
        <f>+'Ingresos 2022'!AE41</f>
        <v>5784402299.9899998</v>
      </c>
      <c r="P21" s="1111">
        <f t="shared" si="14"/>
        <v>5.6957346514570198E-2</v>
      </c>
      <c r="Q21" s="1088">
        <f>+'Ingresos 2023'!I41</f>
        <v>5264872080</v>
      </c>
      <c r="R21" s="1088">
        <f>+'Ingresos 2023'!J41</f>
        <v>5264872080</v>
      </c>
      <c r="S21" s="1088">
        <f>+'Ingresos 2023'!K41</f>
        <v>3115718574.5</v>
      </c>
      <c r="T21" s="1088">
        <f>+'Recaudo Julio Dic 2022'!E25</f>
        <v>3318305849.9899998</v>
      </c>
      <c r="U21" s="1088">
        <f t="shared" si="7"/>
        <v>6434024424.4899998</v>
      </c>
      <c r="V21" s="1111">
        <f t="shared" si="8"/>
        <v>0.11230583400140116</v>
      </c>
      <c r="W21" s="1111">
        <f t="shared" si="9"/>
        <v>0.15425949498446576</v>
      </c>
      <c r="X21" s="1088">
        <f t="shared" si="11"/>
        <v>7426533782.9295454</v>
      </c>
      <c r="Y21" s="1201">
        <f>+O21*1.3</f>
        <v>7519722989.9869995</v>
      </c>
      <c r="Z21" s="42">
        <f>+Y21+Y22+Y23</f>
        <v>15039445980</v>
      </c>
      <c r="AA21" s="42">
        <f>+Z21*0.5</f>
        <v>7519722990</v>
      </c>
    </row>
    <row r="22" spans="1:27" x14ac:dyDescent="0.25">
      <c r="A22" s="1141" t="s">
        <v>1051</v>
      </c>
      <c r="B22" s="898">
        <v>0</v>
      </c>
      <c r="C22" s="898">
        <v>2091707845.1900001</v>
      </c>
      <c r="D22" s="1111"/>
      <c r="E22" s="898">
        <v>2030768594.23</v>
      </c>
      <c r="F22" s="1111">
        <f t="shared" si="1"/>
        <v>-2.9133729693720505E-2</v>
      </c>
      <c r="G22" s="898">
        <v>2120942599.99</v>
      </c>
      <c r="H22" s="1111">
        <f t="shared" si="2"/>
        <v>4.4403880391005839E-2</v>
      </c>
      <c r="I22" s="898">
        <v>1999377240</v>
      </c>
      <c r="J22" s="1111">
        <f t="shared" si="3"/>
        <v>-5.7316666651220628E-2</v>
      </c>
      <c r="K22" s="898">
        <v>1301805481.5999999</v>
      </c>
      <c r="L22" s="1111">
        <f t="shared" si="4"/>
        <v>-0.34889451797500709</v>
      </c>
      <c r="M22" s="1088">
        <v>1753681400</v>
      </c>
      <c r="N22" s="1111">
        <f t="shared" si="5"/>
        <v>0.34711477619883463</v>
      </c>
      <c r="O22" s="1088">
        <f>+'Ingresos 2022'!AE42</f>
        <v>2315471970</v>
      </c>
      <c r="P22" s="1111">
        <f t="shared" si="14"/>
        <v>0.3203492778106673</v>
      </c>
      <c r="Q22" s="1088">
        <f>+'Ingresos 2023'!I42</f>
        <v>2105948832</v>
      </c>
      <c r="R22" s="1088">
        <f>+'Ingresos 2023'!J42</f>
        <v>2105948832</v>
      </c>
      <c r="S22" s="1088">
        <f>+'Ingresos 2023'!K42</f>
        <v>1246321064.8</v>
      </c>
      <c r="T22" s="1088">
        <f>+'Recaudo Julio Dic 2022'!E26</f>
        <v>1329033390</v>
      </c>
      <c r="U22" s="1088">
        <f t="shared" si="7"/>
        <v>2575354454.8000002</v>
      </c>
      <c r="V22" s="1111">
        <f t="shared" si="8"/>
        <v>0.11223737024983299</v>
      </c>
      <c r="W22" s="1111">
        <f t="shared" si="9"/>
        <v>0.25990047475311168</v>
      </c>
      <c r="X22" s="1088">
        <f t="shared" si="11"/>
        <v>3244690300.2600613</v>
      </c>
      <c r="Y22" s="1201">
        <f t="shared" ref="Y22:Y30" si="15">+O22*1.3</f>
        <v>3010113561</v>
      </c>
    </row>
    <row r="23" spans="1:27" x14ac:dyDescent="0.25">
      <c r="A23" s="1141" t="s">
        <v>1052</v>
      </c>
      <c r="B23" s="898">
        <v>0</v>
      </c>
      <c r="C23" s="898">
        <v>1568780883.9400001</v>
      </c>
      <c r="D23" s="1111"/>
      <c r="E23" s="898">
        <v>1523076445.6500001</v>
      </c>
      <c r="F23" s="1111">
        <f t="shared" si="1"/>
        <v>-2.913372973745898E-2</v>
      </c>
      <c r="G23" s="898">
        <v>1590706950.03</v>
      </c>
      <c r="H23" s="1111">
        <f t="shared" si="2"/>
        <v>4.4403880431055677E-2</v>
      </c>
      <c r="I23" s="898">
        <v>1499532930</v>
      </c>
      <c r="J23" s="1111">
        <f t="shared" si="3"/>
        <v>-5.7316666673443824E-2</v>
      </c>
      <c r="K23" s="898">
        <v>976354111.21000004</v>
      </c>
      <c r="L23" s="1111">
        <f t="shared" si="4"/>
        <v>-0.34889451796833831</v>
      </c>
      <c r="M23" s="1088">
        <v>1542033330</v>
      </c>
      <c r="N23" s="1111">
        <f t="shared" si="5"/>
        <v>0.57937915382867711</v>
      </c>
      <c r="O23" s="1088">
        <f>+'Ingresos 2022'!AE43</f>
        <v>3468930330.0100002</v>
      </c>
      <c r="P23" s="1111">
        <f t="shared" si="14"/>
        <v>1.2495819399766153</v>
      </c>
      <c r="Q23" s="1088">
        <f>+'Ingresos 2023'!I43</f>
        <v>3158923248</v>
      </c>
      <c r="R23" s="1088">
        <f>+'Ingresos 2023'!J43</f>
        <v>3158923248</v>
      </c>
      <c r="S23" s="1088">
        <f>+'Ingresos 2023'!K43</f>
        <v>1869387209.7</v>
      </c>
      <c r="T23" s="1088">
        <f>+'Recaudo Julio Dic 2022'!E27</f>
        <v>1989272460.01</v>
      </c>
      <c r="U23" s="1088">
        <f t="shared" si="7"/>
        <v>3858659669.71</v>
      </c>
      <c r="V23" s="1111">
        <f t="shared" si="8"/>
        <v>0.11234856356970314</v>
      </c>
      <c r="W23" s="1111">
        <f t="shared" si="9"/>
        <v>0.64710321912499857</v>
      </c>
      <c r="X23" s="1088">
        <f t="shared" si="11"/>
        <v>6355610763.4871445</v>
      </c>
      <c r="Y23" s="1201">
        <f t="shared" si="15"/>
        <v>4509609429.0130005</v>
      </c>
    </row>
    <row r="24" spans="1:27" x14ac:dyDescent="0.25">
      <c r="A24" s="1141" t="s">
        <v>1054</v>
      </c>
      <c r="B24" s="898">
        <v>0</v>
      </c>
      <c r="C24" s="898">
        <v>319857024.24000001</v>
      </c>
      <c r="D24" s="1111"/>
      <c r="E24" s="898">
        <v>295848910.00999999</v>
      </c>
      <c r="F24" s="1111">
        <f t="shared" si="1"/>
        <v>-7.5058893225949247E-2</v>
      </c>
      <c r="G24" s="898">
        <v>365878980.06</v>
      </c>
      <c r="H24" s="1111">
        <f t="shared" si="2"/>
        <v>0.23670889998422817</v>
      </c>
      <c r="I24" s="898">
        <v>349215520</v>
      </c>
      <c r="J24" s="1111">
        <f t="shared" si="3"/>
        <v>-4.5543638656878799E-2</v>
      </c>
      <c r="K24" s="898">
        <v>322645002.11000001</v>
      </c>
      <c r="L24" s="1111">
        <f t="shared" si="4"/>
        <v>-7.6086303065797264E-2</v>
      </c>
      <c r="M24" s="1088">
        <v>357904740</v>
      </c>
      <c r="N24" s="1111">
        <f t="shared" si="5"/>
        <v>0.1092833847089279</v>
      </c>
      <c r="O24" s="1088">
        <f>+'Ingresos 2022'!AE45</f>
        <v>487203300</v>
      </c>
      <c r="P24" s="1111">
        <f t="shared" si="14"/>
        <v>0.36126529087041431</v>
      </c>
      <c r="Q24" s="1088">
        <f>+'Ingresos 2023'!I48</f>
        <v>499094296</v>
      </c>
      <c r="R24" s="1088">
        <f>+'Ingresos 2023'!J48</f>
        <v>499094296</v>
      </c>
      <c r="S24" s="1088">
        <f>+'Ingresos 2023'!K48</f>
        <v>290312883.56</v>
      </c>
      <c r="T24" s="1088">
        <f>+'Recaudo Julio Dic 2022'!E28</f>
        <v>282749359.99000001</v>
      </c>
      <c r="U24" s="1088">
        <f t="shared" si="7"/>
        <v>573062243.54999995</v>
      </c>
      <c r="V24" s="1111">
        <f t="shared" si="8"/>
        <v>0.1762281650185866</v>
      </c>
      <c r="W24" s="1111">
        <f t="shared" si="9"/>
        <v>0.21559228019930962</v>
      </c>
      <c r="X24" s="1088">
        <f t="shared" si="11"/>
        <v>696610039.3330766</v>
      </c>
      <c r="Y24" s="1201">
        <f t="shared" si="15"/>
        <v>633364290</v>
      </c>
    </row>
    <row r="25" spans="1:27" x14ac:dyDescent="0.25">
      <c r="A25" s="1141" t="s">
        <v>1055</v>
      </c>
      <c r="B25" s="898">
        <v>0</v>
      </c>
      <c r="C25" s="898">
        <v>159928512.06</v>
      </c>
      <c r="D25" s="1111"/>
      <c r="E25" s="898">
        <v>147924455</v>
      </c>
      <c r="F25" s="1111">
        <f t="shared" si="1"/>
        <v>-7.5058892910205205E-2</v>
      </c>
      <c r="G25" s="898">
        <v>182939489.97</v>
      </c>
      <c r="H25" s="1111">
        <f t="shared" si="2"/>
        <v>0.23670889962041772</v>
      </c>
      <c r="I25" s="898">
        <v>174607760</v>
      </c>
      <c r="J25" s="1111">
        <f t="shared" si="3"/>
        <v>-4.554363834383876E-2</v>
      </c>
      <c r="K25" s="898">
        <v>161322501.40000001</v>
      </c>
      <c r="L25" s="1111">
        <f t="shared" si="4"/>
        <v>-7.6086301089940064E-2</v>
      </c>
      <c r="M25" s="1088">
        <v>178952369.99000001</v>
      </c>
      <c r="N25" s="1111">
        <f t="shared" si="5"/>
        <v>0.10928338227465646</v>
      </c>
      <c r="O25" s="1088">
        <f>+'Ingresos 2022'!AE46</f>
        <v>243601650</v>
      </c>
      <c r="P25" s="1111">
        <f t="shared" si="14"/>
        <v>0.3612652909464828</v>
      </c>
      <c r="Q25" s="1088">
        <f>+'Ingresos 2023'!I49</f>
        <v>249547148</v>
      </c>
      <c r="R25" s="1088">
        <f>+'Ingresos 2023'!J49</f>
        <v>249547148</v>
      </c>
      <c r="S25" s="1088">
        <f>+'Ingresos 2023'!K49</f>
        <v>145156441.75999999</v>
      </c>
      <c r="T25" s="1088">
        <f>+'Recaudo Julio Dic 2022'!E29</f>
        <v>141374680.00999999</v>
      </c>
      <c r="U25" s="1088">
        <f t="shared" si="7"/>
        <v>286531121.76999998</v>
      </c>
      <c r="V25" s="1111">
        <f t="shared" si="8"/>
        <v>0.17622816499806129</v>
      </c>
      <c r="W25" s="1111">
        <f t="shared" si="9"/>
        <v>0.21559227940640022</v>
      </c>
      <c r="X25" s="1088">
        <f t="shared" si="11"/>
        <v>348305019.43326712</v>
      </c>
      <c r="Y25" s="1201">
        <f t="shared" si="15"/>
        <v>316682145</v>
      </c>
    </row>
    <row r="26" spans="1:27" x14ac:dyDescent="0.25">
      <c r="A26" s="1141" t="s">
        <v>1056</v>
      </c>
      <c r="B26" s="898">
        <v>0</v>
      </c>
      <c r="C26" s="898">
        <v>159928512.06</v>
      </c>
      <c r="D26" s="1111"/>
      <c r="E26" s="898">
        <v>147924455</v>
      </c>
      <c r="F26" s="1111">
        <f t="shared" si="1"/>
        <v>-7.5058892910205205E-2</v>
      </c>
      <c r="G26" s="898">
        <v>182939489.97</v>
      </c>
      <c r="H26" s="1111">
        <f t="shared" si="2"/>
        <v>0.23670889962041772</v>
      </c>
      <c r="I26" s="898">
        <v>174607760</v>
      </c>
      <c r="J26" s="1111">
        <f t="shared" si="3"/>
        <v>-4.554363834383876E-2</v>
      </c>
      <c r="K26" s="898">
        <v>161322501.40000001</v>
      </c>
      <c r="L26" s="1111">
        <f t="shared" si="4"/>
        <v>-7.6086301089940064E-2</v>
      </c>
      <c r="M26" s="1088">
        <v>178952369.99000001</v>
      </c>
      <c r="N26" s="1111">
        <f t="shared" si="5"/>
        <v>0.10928338227465646</v>
      </c>
      <c r="O26" s="1088">
        <f>+'Ingresos 2022'!AE47</f>
        <v>243704770</v>
      </c>
      <c r="P26" s="1111">
        <f t="shared" si="14"/>
        <v>0.36184153366406047</v>
      </c>
      <c r="Q26" s="1088">
        <f>+'Ingresos 2023'!I50</f>
        <v>249547148</v>
      </c>
      <c r="R26" s="1088">
        <f>+'Ingresos 2023'!J50</f>
        <v>249547148</v>
      </c>
      <c r="S26" s="1088">
        <f>+'Ingresos 2023'!K50</f>
        <v>145162281.75999999</v>
      </c>
      <c r="T26" s="1088">
        <f>+'Recaudo Julio Dic 2022'!E30</f>
        <v>141477800.00999999</v>
      </c>
      <c r="U26" s="1088">
        <f t="shared" si="7"/>
        <v>286640081.76999998</v>
      </c>
      <c r="V26" s="1111">
        <f t="shared" si="8"/>
        <v>0.17617756012736221</v>
      </c>
      <c r="W26" s="1111">
        <f t="shared" si="9"/>
        <v>0.21576749202202639</v>
      </c>
      <c r="X26" s="1088">
        <f t="shared" si="11"/>
        <v>348487693.32650143</v>
      </c>
      <c r="Y26" s="1201">
        <f t="shared" si="15"/>
        <v>316816201</v>
      </c>
    </row>
    <row r="27" spans="1:27" x14ac:dyDescent="0.25">
      <c r="A27" s="1141" t="s">
        <v>1057</v>
      </c>
      <c r="B27" s="898">
        <v>0</v>
      </c>
      <c r="C27" s="898">
        <v>799642560.58000004</v>
      </c>
      <c r="D27" s="1111"/>
      <c r="E27" s="898">
        <v>739622275</v>
      </c>
      <c r="F27" s="1111">
        <f t="shared" si="1"/>
        <v>-7.5058893234079341E-2</v>
      </c>
      <c r="G27" s="898">
        <v>914697450.01999998</v>
      </c>
      <c r="H27" s="1111">
        <f t="shared" si="2"/>
        <v>0.23670889985026475</v>
      </c>
      <c r="I27" s="898">
        <v>873038800</v>
      </c>
      <c r="J27" s="1111">
        <f t="shared" si="3"/>
        <v>-4.5543638521228093E-2</v>
      </c>
      <c r="K27" s="898">
        <v>806612506.39999998</v>
      </c>
      <c r="L27" s="1111">
        <f t="shared" si="4"/>
        <v>-7.6086301777194804E-2</v>
      </c>
      <c r="M27" s="1088">
        <v>894761850.03999996</v>
      </c>
      <c r="N27" s="1111">
        <f t="shared" si="5"/>
        <v>0.10928338321137639</v>
      </c>
      <c r="O27" s="1088">
        <f>+'Ingresos 2022'!AE48</f>
        <v>1217905130</v>
      </c>
      <c r="P27" s="1111">
        <f t="shared" si="14"/>
        <v>0.36115004226605557</v>
      </c>
      <c r="Q27" s="1088">
        <f>+'Ingresos 2023'!I51</f>
        <v>1247735740</v>
      </c>
      <c r="R27" s="1088">
        <f>+'Ingresos 2023'!J51</f>
        <v>1247735740</v>
      </c>
      <c r="S27" s="1088">
        <f>+'Ingresos 2023'!K51</f>
        <v>725776368.86000001</v>
      </c>
      <c r="T27" s="1088">
        <f>+'Recaudo Julio Dic 2022'!E31</f>
        <v>706770279.98000002</v>
      </c>
      <c r="U27" s="1088">
        <f t="shared" si="7"/>
        <v>1432546648.8400002</v>
      </c>
      <c r="V27" s="1111">
        <f t="shared" si="8"/>
        <v>0.17623829110564643</v>
      </c>
      <c r="W27" s="1111">
        <f t="shared" si="9"/>
        <v>0.21555723886102615</v>
      </c>
      <c r="X27" s="1088">
        <f t="shared" si="11"/>
        <v>1741342449.0035667</v>
      </c>
      <c r="Y27" s="1201">
        <f t="shared" si="15"/>
        <v>1583276669</v>
      </c>
    </row>
    <row r="28" spans="1:27" x14ac:dyDescent="0.25">
      <c r="A28" s="1141" t="s">
        <v>1058</v>
      </c>
      <c r="B28" s="898">
        <v>0</v>
      </c>
      <c r="C28" s="898">
        <v>159928512.06</v>
      </c>
      <c r="D28" s="1111"/>
      <c r="E28" s="898">
        <v>147924454.99000001</v>
      </c>
      <c r="F28" s="1111">
        <f t="shared" si="1"/>
        <v>-7.5058892972733091E-2</v>
      </c>
      <c r="G28" s="898">
        <v>182939489.97999999</v>
      </c>
      <c r="H28" s="1111">
        <f t="shared" si="2"/>
        <v>0.23670889977162374</v>
      </c>
      <c r="I28" s="898">
        <v>174607760</v>
      </c>
      <c r="J28" s="1111">
        <f t="shared" si="3"/>
        <v>-4.5543638396012047E-2</v>
      </c>
      <c r="K28" s="898">
        <v>161322501.40000001</v>
      </c>
      <c r="L28" s="1111">
        <f t="shared" si="4"/>
        <v>-7.6086301089940064E-2</v>
      </c>
      <c r="M28" s="1088">
        <v>178952369.97999999</v>
      </c>
      <c r="N28" s="1111">
        <f t="shared" si="5"/>
        <v>0.10928338221266871</v>
      </c>
      <c r="O28" s="1088">
        <f>+'Ingresos 2022'!AE49</f>
        <v>243601650</v>
      </c>
      <c r="P28" s="1111">
        <f t="shared" si="14"/>
        <v>0.36126529102255156</v>
      </c>
      <c r="Q28" s="1088">
        <f>+'Ingresos 2023'!I52</f>
        <v>249547148</v>
      </c>
      <c r="R28" s="1088">
        <f>+'Ingresos 2023'!J52</f>
        <v>249547148</v>
      </c>
      <c r="S28" s="1088">
        <f>+'Ingresos 2023'!K52</f>
        <v>145156441.75</v>
      </c>
      <c r="T28" s="1088">
        <f>+'Recaudo Julio Dic 2022'!E32</f>
        <v>141374680.00999999</v>
      </c>
      <c r="U28" s="1088">
        <f t="shared" si="7"/>
        <v>286531121.75999999</v>
      </c>
      <c r="V28" s="1111">
        <f t="shared" si="8"/>
        <v>0.17622816495701071</v>
      </c>
      <c r="W28" s="1111">
        <f t="shared" si="9"/>
        <v>0.21559227939741035</v>
      </c>
      <c r="X28" s="1088">
        <f t="shared" si="11"/>
        <v>348305019.41853529</v>
      </c>
      <c r="Y28" s="1201">
        <f t="shared" si="15"/>
        <v>316682145</v>
      </c>
    </row>
    <row r="29" spans="1:27" x14ac:dyDescent="0.25">
      <c r="A29" s="1141" t="s">
        <v>1060</v>
      </c>
      <c r="B29" s="898">
        <v>0</v>
      </c>
      <c r="C29" s="898">
        <v>3126809089.6199999</v>
      </c>
      <c r="D29" s="1111"/>
      <c r="E29" s="898">
        <v>2863200720</v>
      </c>
      <c r="F29" s="1111">
        <f t="shared" si="1"/>
        <v>-8.4305872876951418E-2</v>
      </c>
      <c r="G29" s="898">
        <v>3563308639.25</v>
      </c>
      <c r="H29" s="1111">
        <f t="shared" si="2"/>
        <v>0.24451932914085045</v>
      </c>
      <c r="I29" s="898">
        <v>3313541760</v>
      </c>
      <c r="J29" s="1111">
        <f t="shared" si="3"/>
        <v>-7.0094090783719074E-2</v>
      </c>
      <c r="K29" s="898">
        <v>3304163831.8299999</v>
      </c>
      <c r="L29" s="1111">
        <f t="shared" si="4"/>
        <v>-2.8301825808285802E-3</v>
      </c>
      <c r="M29" s="1088">
        <v>3422079359.2399998</v>
      </c>
      <c r="N29" s="1111">
        <f t="shared" si="5"/>
        <v>3.5686949380077417E-2</v>
      </c>
      <c r="O29" s="1088">
        <f>+'Ingresos 2022'!AE38</f>
        <v>4613921360.6999998</v>
      </c>
      <c r="P29" s="1111">
        <f t="shared" si="14"/>
        <v>0.34828005909386417</v>
      </c>
      <c r="Q29" s="1088">
        <f>+'Ingresos 2023'!I38</f>
        <v>4406063424</v>
      </c>
      <c r="R29" s="1088">
        <f>+'Ingresos 2023'!J38</f>
        <v>4406063424</v>
      </c>
      <c r="S29" s="1088">
        <f>+'Ingresos 2023'!K38</f>
        <v>2747129048.9299998</v>
      </c>
      <c r="T29" s="1088">
        <f>+'Recaudo Julio Dic 2022'!E23</f>
        <v>2754964640</v>
      </c>
      <c r="U29" s="1088">
        <f t="shared" si="7"/>
        <v>5502093688.9300003</v>
      </c>
      <c r="V29" s="1111">
        <f t="shared" si="8"/>
        <v>0.19249836717963734</v>
      </c>
      <c r="W29" s="1111">
        <f t="shared" si="9"/>
        <v>0.19215512521785963</v>
      </c>
      <c r="X29" s="1088">
        <f t="shared" si="11"/>
        <v>6559349190.6867399</v>
      </c>
      <c r="Y29" s="1201">
        <f t="shared" si="15"/>
        <v>5998097768.9099998</v>
      </c>
    </row>
    <row r="30" spans="1:27" x14ac:dyDescent="0.25">
      <c r="A30" s="1141" t="s">
        <v>1061</v>
      </c>
      <c r="B30" s="898">
        <v>0</v>
      </c>
      <c r="C30" s="898">
        <v>781702272.38</v>
      </c>
      <c r="D30" s="1111"/>
      <c r="E30" s="898">
        <v>715800180</v>
      </c>
      <c r="F30" s="1111">
        <f t="shared" si="1"/>
        <v>-8.4305872847666177E-2</v>
      </c>
      <c r="G30" s="898">
        <v>890827159.75</v>
      </c>
      <c r="H30" s="1111">
        <f t="shared" si="2"/>
        <v>0.24451932905353557</v>
      </c>
      <c r="I30" s="898">
        <v>828385440</v>
      </c>
      <c r="J30" s="1111">
        <f t="shared" si="3"/>
        <v>-7.0094090718477331E-2</v>
      </c>
      <c r="K30" s="898">
        <v>826040958</v>
      </c>
      <c r="L30" s="1111">
        <f t="shared" si="4"/>
        <v>-2.8301825295239374E-3</v>
      </c>
      <c r="M30" s="1088">
        <v>855519840.75999999</v>
      </c>
      <c r="N30" s="1111">
        <f t="shared" si="5"/>
        <v>3.5686950476855155E-2</v>
      </c>
      <c r="O30" s="1088">
        <f>+'Ingresos 2022'!AE39</f>
        <v>1152714539.3</v>
      </c>
      <c r="P30" s="1111">
        <f t="shared" si="14"/>
        <v>0.34738492829808298</v>
      </c>
      <c r="Q30" s="1088">
        <f>+'Ingresos 2023'!I39</f>
        <v>1101515856</v>
      </c>
      <c r="R30" s="1088">
        <f>+'Ingresos 2023'!J39</f>
        <v>1101515856</v>
      </c>
      <c r="S30" s="1088">
        <f>+'Ingresos 2023'!K39</f>
        <v>686782262.24000001</v>
      </c>
      <c r="T30" s="1088">
        <f>+'Recaudo Julio Dic 2022'!E24</f>
        <v>687975360</v>
      </c>
      <c r="U30" s="1088">
        <f t="shared" si="7"/>
        <v>1374757622.24</v>
      </c>
      <c r="V30" s="1111">
        <f t="shared" si="8"/>
        <v>0.19262625339560516</v>
      </c>
      <c r="W30" s="1111">
        <f t="shared" si="9"/>
        <v>0.19189937739018106</v>
      </c>
      <c r="X30" s="1088">
        <f t="shared" si="11"/>
        <v>1638572754.0102618</v>
      </c>
      <c r="Y30" s="1201">
        <f t="shared" si="15"/>
        <v>1498528901.0899999</v>
      </c>
    </row>
    <row r="31" spans="1:27" s="54" customFormat="1" x14ac:dyDescent="0.25">
      <c r="A31" s="751" t="s">
        <v>1062</v>
      </c>
      <c r="B31" s="887">
        <v>15422931239</v>
      </c>
      <c r="C31" s="887">
        <v>14148929209</v>
      </c>
      <c r="D31" s="1109">
        <f t="shared" si="0"/>
        <v>-8.2604403161600587E-2</v>
      </c>
      <c r="E31" s="887">
        <v>10219955337</v>
      </c>
      <c r="F31" s="1109">
        <f t="shared" si="1"/>
        <v>-0.27768701178466687</v>
      </c>
      <c r="G31" s="887">
        <v>9685315504</v>
      </c>
      <c r="H31" s="1109">
        <f t="shared" si="2"/>
        <v>-5.2313323822894511E-2</v>
      </c>
      <c r="I31" s="887">
        <v>9781893090</v>
      </c>
      <c r="J31" s="1109">
        <f t="shared" si="3"/>
        <v>9.971547747733546E-3</v>
      </c>
      <c r="K31" s="887">
        <v>8675577137.9899998</v>
      </c>
      <c r="L31" s="1109">
        <f t="shared" si="4"/>
        <v>-0.11309834832901453</v>
      </c>
      <c r="M31" s="1093">
        <v>10666478200</v>
      </c>
      <c r="N31" s="1111">
        <f t="shared" si="5"/>
        <v>0.22948341422634874</v>
      </c>
      <c r="O31" s="1093"/>
      <c r="P31" s="1109">
        <f t="shared" si="14"/>
        <v>-1</v>
      </c>
      <c r="Q31" s="1098">
        <f>+'Ingresos 2023'!I46</f>
        <v>11369530092</v>
      </c>
      <c r="R31" s="1098">
        <f>+'Ingresos 2023'!J46</f>
        <v>11369530092</v>
      </c>
      <c r="S31" s="1098">
        <f>+'Ingresos 2023'!K46</f>
        <v>7540860020.1000004</v>
      </c>
      <c r="T31" s="1088"/>
      <c r="U31" s="1088">
        <f t="shared" si="7"/>
        <v>7540860020.1000004</v>
      </c>
      <c r="V31" s="1111"/>
      <c r="W31" s="1111">
        <f t="shared" si="9"/>
        <v>-0.25683886192455041</v>
      </c>
      <c r="X31" s="1088">
        <f t="shared" si="11"/>
        <v>5604074114.6051741</v>
      </c>
      <c r="Y31" s="1195">
        <f>+R31*1.1</f>
        <v>12506483101.200001</v>
      </c>
    </row>
    <row r="32" spans="1:27" s="54" customFormat="1" x14ac:dyDescent="0.25">
      <c r="A32" s="751" t="s">
        <v>1064</v>
      </c>
      <c r="B32" s="887"/>
      <c r="C32" s="887"/>
      <c r="D32" s="1109"/>
      <c r="E32" s="887"/>
      <c r="F32" s="1109"/>
      <c r="G32" s="887"/>
      <c r="H32" s="1109"/>
      <c r="I32" s="887"/>
      <c r="J32" s="1109"/>
      <c r="K32" s="887"/>
      <c r="L32" s="1109"/>
      <c r="M32" s="1093"/>
      <c r="N32" s="1111"/>
      <c r="O32" s="1093"/>
      <c r="P32" s="1109"/>
      <c r="Q32" s="1088">
        <f>+'Ingresos 2023'!I35</f>
        <v>3750000000</v>
      </c>
      <c r="R32" s="1088">
        <f>+'Ingresos 2023'!J35</f>
        <v>3750000000</v>
      </c>
      <c r="S32" s="1088">
        <f>+'Ingresos 2023'!K35</f>
        <v>2082325780.6400001</v>
      </c>
      <c r="T32" s="1088"/>
      <c r="U32" s="1088">
        <f t="shared" si="7"/>
        <v>2082325780.6400001</v>
      </c>
      <c r="V32" s="1111"/>
      <c r="W32" s="1111">
        <f t="shared" si="9"/>
        <v>0</v>
      </c>
      <c r="X32" s="1088">
        <f t="shared" si="11"/>
        <v>2082325780.6400001</v>
      </c>
      <c r="Y32" s="1195">
        <f>+U32</f>
        <v>2082325780.6400001</v>
      </c>
    </row>
    <row r="33" spans="1:25" s="54" customFormat="1" x14ac:dyDescent="0.25">
      <c r="A33" s="1141" t="s">
        <v>1066</v>
      </c>
      <c r="B33" s="898">
        <v>1895949147</v>
      </c>
      <c r="C33" s="898">
        <v>2141958658</v>
      </c>
      <c r="D33" s="1111">
        <v>0.12975533198728773</v>
      </c>
      <c r="E33" s="898">
        <v>2318525351</v>
      </c>
      <c r="F33" s="1111">
        <v>8.2432353369912711E-2</v>
      </c>
      <c r="G33" s="898">
        <v>2514716632</v>
      </c>
      <c r="H33" s="1111">
        <v>8.4618993238689849E-2</v>
      </c>
      <c r="I33" s="898">
        <v>2591680073</v>
      </c>
      <c r="J33" s="1111">
        <v>3.0605214130543835E-2</v>
      </c>
      <c r="K33" s="898">
        <v>0</v>
      </c>
      <c r="L33" s="1111">
        <v>-1</v>
      </c>
      <c r="M33" s="1088">
        <v>2876730086</v>
      </c>
      <c r="N33" s="1111"/>
      <c r="O33" s="1088">
        <f>+'Ingresos 2022'!AE95</f>
        <v>2866923608</v>
      </c>
      <c r="P33" s="1109">
        <f t="shared" si="14"/>
        <v>-3.4088975005769797E-3</v>
      </c>
      <c r="Q33" s="1088">
        <f>+'Ingresos 2023'!I97</f>
        <v>2952931316</v>
      </c>
      <c r="R33" s="1088">
        <f>+'Ingresos 2023'!J97</f>
        <v>3701046884</v>
      </c>
      <c r="S33" s="1088">
        <f>+'Ingresos 2023'!K97</f>
        <v>1836298236</v>
      </c>
      <c r="T33" s="1088">
        <f>+'Recaudo Julio Dic 2022'!E53</f>
        <v>1439375253</v>
      </c>
      <c r="U33" s="1088">
        <f t="shared" si="7"/>
        <v>3275673489</v>
      </c>
      <c r="V33" s="1111">
        <f t="shared" si="8"/>
        <v>0.14257438874876363</v>
      </c>
      <c r="W33" s="1111">
        <f t="shared" si="9"/>
        <v>4.638849708272888E-2</v>
      </c>
      <c r="X33" s="1088">
        <f t="shared" si="11"/>
        <v>3427627059.088449</v>
      </c>
      <c r="Y33" s="1195">
        <v>4052617319</v>
      </c>
    </row>
    <row r="34" spans="1:25" s="54" customFormat="1" x14ac:dyDescent="0.25">
      <c r="A34" s="750" t="s">
        <v>961</v>
      </c>
      <c r="B34" s="887">
        <v>3812635261.73</v>
      </c>
      <c r="C34" s="887">
        <v>3551445354.8699999</v>
      </c>
      <c r="D34" s="1109">
        <v>-6.8506397525548796E-2</v>
      </c>
      <c r="E34" s="887">
        <v>1452461762.0999999</v>
      </c>
      <c r="F34" s="1109">
        <v>-0.59102235372753831</v>
      </c>
      <c r="G34" s="887">
        <v>2125937388.2</v>
      </c>
      <c r="H34" s="1109">
        <v>0.46367873060305204</v>
      </c>
      <c r="I34" s="887">
        <v>1471834403.8</v>
      </c>
      <c r="J34" s="1109">
        <v>-0.30767744526748242</v>
      </c>
      <c r="K34" s="887">
        <v>0</v>
      </c>
      <c r="L34" s="1109">
        <v>-1</v>
      </c>
      <c r="M34" s="1086">
        <v>1641312206.6300001</v>
      </c>
      <c r="N34" s="1111"/>
      <c r="O34" s="1086">
        <f>+'Ingresos 2022'!AE35</f>
        <v>3710887236.5700002</v>
      </c>
      <c r="P34" s="1109">
        <f t="shared" si="14"/>
        <v>1.2609270933220709</v>
      </c>
      <c r="Q34" s="1098">
        <v>3159539006</v>
      </c>
      <c r="R34" s="1098">
        <v>3159539006</v>
      </c>
      <c r="S34" s="1098">
        <v>1999944681.45</v>
      </c>
      <c r="T34" s="1088"/>
      <c r="U34" s="1088">
        <f t="shared" si="7"/>
        <v>1999944681.45</v>
      </c>
      <c r="V34" s="1111">
        <f t="shared" si="8"/>
        <v>-0.46106023871030816</v>
      </c>
      <c r="W34" s="1111">
        <f t="shared" si="9"/>
        <v>0.26662228487058753</v>
      </c>
      <c r="X34" s="1088">
        <f t="shared" si="11"/>
        <v>2533174502.0329785</v>
      </c>
      <c r="Y34" s="1195">
        <f>+M34*1.5</f>
        <v>2461968309.9450002</v>
      </c>
    </row>
    <row r="35" spans="1:25" x14ac:dyDescent="0.25">
      <c r="A35" s="1141" t="s">
        <v>1068</v>
      </c>
      <c r="B35" s="898">
        <v>578981062.78999996</v>
      </c>
      <c r="C35" s="898">
        <v>90545486.239999995</v>
      </c>
      <c r="D35" s="1111">
        <f t="shared" si="0"/>
        <v>-0.84361235270169554</v>
      </c>
      <c r="E35" s="898">
        <v>260275664.59999999</v>
      </c>
      <c r="F35" s="1111">
        <f t="shared" si="1"/>
        <v>1.8745294261285754</v>
      </c>
      <c r="G35" s="898">
        <v>230565301.97</v>
      </c>
      <c r="H35" s="1111">
        <f t="shared" si="2"/>
        <v>-0.11414959856373755</v>
      </c>
      <c r="I35" s="898">
        <v>365701944.88999999</v>
      </c>
      <c r="J35" s="1111">
        <f t="shared" si="3"/>
        <v>0.58611005977639818</v>
      </c>
      <c r="K35" s="898">
        <v>143745637.65000001</v>
      </c>
      <c r="L35" s="1111">
        <f t="shared" si="4"/>
        <v>-0.60693225819939933</v>
      </c>
      <c r="M35" s="1088">
        <v>176472032.95999998</v>
      </c>
      <c r="N35" s="1111">
        <f t="shared" si="5"/>
        <v>0.22766878943265081</v>
      </c>
      <c r="O35" s="1088"/>
      <c r="P35" s="1111">
        <f t="shared" si="14"/>
        <v>-1</v>
      </c>
      <c r="Q35" s="1098">
        <f>+'Ingresos 2023'!I90</f>
        <v>30000000</v>
      </c>
      <c r="R35" s="1098">
        <f>+'Ingresos 2023'!J90</f>
        <v>30000000</v>
      </c>
      <c r="S35" s="1098">
        <f>+'Ingresos 2023'!K90</f>
        <v>86645348.909999996</v>
      </c>
      <c r="T35" s="1088">
        <f>+'Recaudo Julio Dic 2022'!E50</f>
        <v>71663960.129999995</v>
      </c>
      <c r="U35" s="1088">
        <f t="shared" si="7"/>
        <v>158309309.03999999</v>
      </c>
      <c r="V35" s="1111"/>
      <c r="W35" s="1111">
        <f t="shared" si="9"/>
        <v>-0.25744373685578309</v>
      </c>
      <c r="X35" s="1088">
        <f t="shared" si="11"/>
        <v>117553568.94168539</v>
      </c>
      <c r="Y35" s="1195">
        <v>40000000</v>
      </c>
    </row>
    <row r="36" spans="1:25" x14ac:dyDescent="0.25">
      <c r="A36" s="1141" t="s">
        <v>1069</v>
      </c>
      <c r="B36" s="898">
        <v>162098133</v>
      </c>
      <c r="C36" s="898">
        <v>232799993</v>
      </c>
      <c r="D36" s="1111">
        <f t="shared" si="0"/>
        <v>0.43616702235552585</v>
      </c>
      <c r="E36" s="898">
        <v>164764687</v>
      </c>
      <c r="F36" s="1111">
        <f t="shared" si="1"/>
        <v>-0.29224788679439523</v>
      </c>
      <c r="G36" s="898">
        <v>127539819</v>
      </c>
      <c r="H36" s="1111">
        <f t="shared" si="2"/>
        <v>-0.22592746466359021</v>
      </c>
      <c r="I36" s="898">
        <v>155876324</v>
      </c>
      <c r="J36" s="1111">
        <f t="shared" si="3"/>
        <v>0.2221777106332572</v>
      </c>
      <c r="K36" s="898">
        <v>14580826</v>
      </c>
      <c r="L36" s="1111">
        <f t="shared" si="4"/>
        <v>-0.90645900784778577</v>
      </c>
      <c r="M36" s="1088"/>
      <c r="N36" s="1111"/>
      <c r="O36" s="1088">
        <f>+'Ingresos 2022'!AE89</f>
        <v>182063576.34999999</v>
      </c>
      <c r="P36" s="1111"/>
      <c r="Q36" s="1098">
        <f>+'Ingresos 2023'!I94</f>
        <v>220973692</v>
      </c>
      <c r="R36" s="1098">
        <f>+'Ingresos 2023'!J94</f>
        <v>220973692</v>
      </c>
      <c r="S36" s="1098">
        <f>+'Ingresos 2023'!K94</f>
        <v>52080033.5</v>
      </c>
      <c r="T36" s="1088">
        <f>+'Recaudo Julio Dic 2022'!E51</f>
        <v>109541333.34999999</v>
      </c>
      <c r="U36" s="1088">
        <f t="shared" si="7"/>
        <v>161621366.84999999</v>
      </c>
      <c r="V36" s="1111">
        <f t="shared" si="8"/>
        <v>-0.11228061048686525</v>
      </c>
      <c r="W36" s="1111">
        <f t="shared" si="9"/>
        <v>-3.7426870162288413E-2</v>
      </c>
      <c r="X36" s="1088">
        <f t="shared" si="11"/>
        <v>155572384.93745345</v>
      </c>
      <c r="Y36" s="1195">
        <v>250000000</v>
      </c>
    </row>
    <row r="37" spans="1:25" x14ac:dyDescent="0.25">
      <c r="A37" s="1141" t="s">
        <v>1070</v>
      </c>
      <c r="B37" s="898">
        <v>0</v>
      </c>
      <c r="C37" s="898">
        <v>162286351</v>
      </c>
      <c r="D37" s="1111"/>
      <c r="E37" s="898">
        <v>97053613</v>
      </c>
      <c r="F37" s="1111">
        <f t="shared" si="1"/>
        <v>-0.40196071695518004</v>
      </c>
      <c r="G37" s="898">
        <v>94828941</v>
      </c>
      <c r="H37" s="1111">
        <f t="shared" si="2"/>
        <v>-2.2922093585531947E-2</v>
      </c>
      <c r="I37" s="898">
        <v>114793540</v>
      </c>
      <c r="J37" s="1111">
        <f t="shared" si="3"/>
        <v>0.21053276341027577</v>
      </c>
      <c r="K37" s="898">
        <v>6649781</v>
      </c>
      <c r="L37" s="1111">
        <f t="shared" si="4"/>
        <v>-0.94207181867551082</v>
      </c>
      <c r="M37" s="1088"/>
      <c r="N37" s="1111"/>
      <c r="O37" s="1088"/>
      <c r="P37" s="1111"/>
      <c r="Q37" s="1098"/>
      <c r="R37" s="1098"/>
      <c r="S37" s="1098"/>
      <c r="T37" s="1088"/>
      <c r="U37" s="1088">
        <f t="shared" si="7"/>
        <v>0</v>
      </c>
      <c r="V37" s="1111"/>
      <c r="W37" s="1111">
        <f t="shared" si="9"/>
        <v>0</v>
      </c>
      <c r="X37" s="1088">
        <f t="shared" si="11"/>
        <v>0</v>
      </c>
    </row>
    <row r="38" spans="1:25" x14ac:dyDescent="0.25">
      <c r="A38" s="1141" t="s">
        <v>1071</v>
      </c>
      <c r="B38" s="1119">
        <v>0</v>
      </c>
      <c r="C38" s="1119">
        <v>514557468</v>
      </c>
      <c r="D38" s="1120"/>
      <c r="E38" s="1119">
        <v>948728685</v>
      </c>
      <c r="F38" s="1120">
        <f t="shared" si="1"/>
        <v>0.84377595118296878</v>
      </c>
      <c r="G38" s="1119">
        <v>508891370</v>
      </c>
      <c r="H38" s="1120">
        <f t="shared" si="2"/>
        <v>-0.46360705853433748</v>
      </c>
      <c r="I38" s="1119">
        <v>0</v>
      </c>
      <c r="J38" s="1120">
        <f t="shared" si="3"/>
        <v>-1</v>
      </c>
      <c r="K38" s="1119">
        <v>103197410</v>
      </c>
      <c r="L38" s="1120"/>
      <c r="M38" s="1094"/>
      <c r="N38" s="1120"/>
      <c r="O38" s="1094"/>
      <c r="P38" s="1120"/>
      <c r="Q38" s="1086"/>
      <c r="R38" s="1086"/>
      <c r="S38" s="1086"/>
      <c r="T38" s="1088"/>
      <c r="U38" s="1088">
        <f t="shared" si="7"/>
        <v>0</v>
      </c>
      <c r="V38" s="1111"/>
      <c r="W38" s="1111">
        <f t="shared" si="9"/>
        <v>0</v>
      </c>
      <c r="X38" s="1088">
        <f t="shared" si="11"/>
        <v>0</v>
      </c>
    </row>
    <row r="39" spans="1:25" x14ac:dyDescent="0.25">
      <c r="A39" s="1141" t="s">
        <v>1072</v>
      </c>
      <c r="B39" s="898">
        <v>219803300</v>
      </c>
      <c r="C39" s="898">
        <v>144447408</v>
      </c>
      <c r="D39" s="1111">
        <f t="shared" si="0"/>
        <v>-0.34283330596037459</v>
      </c>
      <c r="E39" s="898">
        <v>120948300</v>
      </c>
      <c r="F39" s="1111">
        <f t="shared" si="1"/>
        <v>-0.16268279455731044</v>
      </c>
      <c r="G39" s="898">
        <v>123854800</v>
      </c>
      <c r="H39" s="1111">
        <f t="shared" si="2"/>
        <v>2.4030928917562297E-2</v>
      </c>
      <c r="I39" s="898">
        <v>109477000</v>
      </c>
      <c r="J39" s="1111">
        <f t="shared" si="3"/>
        <v>-0.11608593288269813</v>
      </c>
      <c r="K39" s="898">
        <v>72086700</v>
      </c>
      <c r="L39" s="1111">
        <f t="shared" si="4"/>
        <v>-0.34153566502553045</v>
      </c>
      <c r="M39" s="1088">
        <v>0</v>
      </c>
      <c r="N39" s="1111">
        <f t="shared" si="5"/>
        <v>-1</v>
      </c>
      <c r="O39" s="1088">
        <f>+'Ingresos 2022'!AE85</f>
        <v>136595092.78</v>
      </c>
      <c r="P39" s="1111"/>
      <c r="Q39" s="1086"/>
      <c r="R39" s="1086"/>
      <c r="S39" s="1086"/>
      <c r="T39" s="1088"/>
      <c r="U39" s="1088">
        <f t="shared" si="7"/>
        <v>0</v>
      </c>
      <c r="V39" s="1111">
        <f t="shared" si="8"/>
        <v>-1</v>
      </c>
      <c r="W39" s="1111">
        <f t="shared" si="9"/>
        <v>-0.66666666666666663</v>
      </c>
      <c r="X39" s="1088">
        <f t="shared" si="11"/>
        <v>0</v>
      </c>
    </row>
    <row r="40" spans="1:25" x14ac:dyDescent="0.25">
      <c r="A40" s="1141" t="s">
        <v>346</v>
      </c>
      <c r="B40" s="898"/>
      <c r="C40" s="898"/>
      <c r="D40" s="1111"/>
      <c r="E40" s="898"/>
      <c r="F40" s="1111"/>
      <c r="G40" s="898"/>
      <c r="H40" s="1111"/>
      <c r="I40" s="898"/>
      <c r="J40" s="1111"/>
      <c r="K40" s="898"/>
      <c r="L40" s="1111"/>
      <c r="M40" s="1088">
        <v>1005288064</v>
      </c>
      <c r="N40" s="1111" t="e">
        <f t="shared" si="5"/>
        <v>#DIV/0!</v>
      </c>
      <c r="O40" s="1088"/>
      <c r="P40" s="1111">
        <f t="shared" ref="P40:P44" si="16">+(O40-M40)/M40</f>
        <v>-1</v>
      </c>
      <c r="Q40" s="1086"/>
      <c r="R40" s="1086"/>
      <c r="S40" s="1086"/>
      <c r="T40" s="1088"/>
      <c r="U40" s="1088">
        <f t="shared" si="7"/>
        <v>0</v>
      </c>
      <c r="V40" s="1111"/>
      <c r="W40" s="1111"/>
      <c r="X40" s="1088">
        <f t="shared" si="11"/>
        <v>0</v>
      </c>
    </row>
    <row r="41" spans="1:25" ht="25.5" x14ac:dyDescent="0.25">
      <c r="A41" s="1141" t="s">
        <v>1074</v>
      </c>
      <c r="B41" s="898">
        <v>19580046</v>
      </c>
      <c r="C41" s="898">
        <v>166920338</v>
      </c>
      <c r="D41" s="1111">
        <f t="shared" si="0"/>
        <v>7.5250227706308763</v>
      </c>
      <c r="E41" s="898">
        <v>122557632</v>
      </c>
      <c r="F41" s="1111">
        <f t="shared" si="1"/>
        <v>-0.26577172399447213</v>
      </c>
      <c r="G41" s="898">
        <v>176255892.97999999</v>
      </c>
      <c r="H41" s="1111">
        <f t="shared" si="2"/>
        <v>0.43814701788624627</v>
      </c>
      <c r="I41" s="898">
        <v>195298958</v>
      </c>
      <c r="J41" s="1111">
        <f t="shared" si="3"/>
        <v>0.10804214655200695</v>
      </c>
      <c r="K41" s="898">
        <v>24445612.66</v>
      </c>
      <c r="L41" s="1111">
        <f t="shared" si="4"/>
        <v>-0.87482978449890147</v>
      </c>
      <c r="M41" s="1088">
        <v>629122437.20000005</v>
      </c>
      <c r="N41" s="1111">
        <f t="shared" si="5"/>
        <v>24.735597055803144</v>
      </c>
      <c r="O41" s="1088">
        <f>+'Ingresos 2022'!AE82</f>
        <v>761110608.52999997</v>
      </c>
      <c r="P41" s="1111">
        <f t="shared" si="16"/>
        <v>0.20979727239968149</v>
      </c>
      <c r="Q41" s="1088">
        <f>+'Ingresos 2023'!I87</f>
        <v>720959245</v>
      </c>
      <c r="R41" s="1088">
        <f>+'Ingresos 2023'!J87</f>
        <v>720959245</v>
      </c>
      <c r="S41" s="1088">
        <f>+'Ingresos 2023'!K87</f>
        <v>373662312.19</v>
      </c>
      <c r="T41" s="1088">
        <f>+'Recaudo Julio Dic 2022'!E49</f>
        <v>496222496.51999998</v>
      </c>
      <c r="U41" s="1088">
        <f t="shared" si="7"/>
        <v>869884808.71000004</v>
      </c>
      <c r="V41" s="1111">
        <f t="shared" si="8"/>
        <v>0.14291510190625942</v>
      </c>
      <c r="W41" s="1111">
        <f t="shared" si="9"/>
        <v>8.3627698100363617</v>
      </c>
      <c r="X41" s="1088">
        <f t="shared" si="11"/>
        <v>8144531225.1992435</v>
      </c>
      <c r="Y41" s="1201">
        <f>+U41*1.7</f>
        <v>1478804174.8069999</v>
      </c>
    </row>
    <row r="42" spans="1:25" x14ac:dyDescent="0.25">
      <c r="A42" s="1141" t="s">
        <v>1075</v>
      </c>
      <c r="B42" s="898">
        <v>89801666</v>
      </c>
      <c r="C42" s="898">
        <v>856315159</v>
      </c>
      <c r="D42" s="1111">
        <f t="shared" si="0"/>
        <v>8.5356266441649318</v>
      </c>
      <c r="E42" s="898">
        <v>867893321</v>
      </c>
      <c r="F42" s="1111">
        <f t="shared" si="1"/>
        <v>1.3520912106146657E-2</v>
      </c>
      <c r="G42" s="898">
        <v>1173959729.6500001</v>
      </c>
      <c r="H42" s="1111">
        <f t="shared" si="2"/>
        <v>0.35265441183179713</v>
      </c>
      <c r="I42" s="898">
        <v>1226309958</v>
      </c>
      <c r="J42" s="1111">
        <f t="shared" si="3"/>
        <v>4.4592865519848285E-2</v>
      </c>
      <c r="K42" s="898">
        <v>230458777</v>
      </c>
      <c r="L42" s="1111">
        <f t="shared" si="4"/>
        <v>-0.81207134827816507</v>
      </c>
      <c r="M42" s="1088">
        <v>2509500558.7800002</v>
      </c>
      <c r="N42" s="1111">
        <f t="shared" si="5"/>
        <v>9.8891515933888705</v>
      </c>
      <c r="O42" s="1088">
        <f>+'Ingresos 2022'!AE74</f>
        <v>3426989614.9000001</v>
      </c>
      <c r="P42" s="1111">
        <f t="shared" si="16"/>
        <v>0.36560623702990502</v>
      </c>
      <c r="Q42" s="1088">
        <f>+'Ingresos 2023'!I79</f>
        <v>2625778591</v>
      </c>
      <c r="R42" s="1088">
        <f>+'Ingresos 2023'!J79</f>
        <v>2625778591</v>
      </c>
      <c r="S42" s="1088">
        <f>+'Ingresos 2023'!K79</f>
        <v>2031277927.0899999</v>
      </c>
      <c r="T42" s="1088">
        <f>+'Recaudo Julio Dic 2022'!E46</f>
        <v>2195330432.0899997</v>
      </c>
      <c r="U42" s="1088">
        <f t="shared" si="7"/>
        <v>4226608359.1799994</v>
      </c>
      <c r="V42" s="1111">
        <f t="shared" si="8"/>
        <v>0.23332978331868456</v>
      </c>
      <c r="W42" s="1111">
        <f t="shared" si="9"/>
        <v>3.4960292045791532</v>
      </c>
      <c r="X42" s="1088">
        <f t="shared" si="11"/>
        <v>19002954619.191654</v>
      </c>
      <c r="Y42" s="1201">
        <f>+U42*1.8</f>
        <v>7607895046.5239992</v>
      </c>
    </row>
    <row r="43" spans="1:25" x14ac:dyDescent="0.25">
      <c r="A43" s="1141" t="s">
        <v>352</v>
      </c>
      <c r="B43" s="898"/>
      <c r="C43" s="898"/>
      <c r="D43" s="1111"/>
      <c r="E43" s="898"/>
      <c r="F43" s="1111"/>
      <c r="G43" s="898"/>
      <c r="H43" s="1111"/>
      <c r="I43" s="898"/>
      <c r="J43" s="1111"/>
      <c r="K43" s="898"/>
      <c r="L43" s="1111"/>
      <c r="M43" s="1088">
        <v>43588821</v>
      </c>
      <c r="N43" s="1111" t="e">
        <f t="shared" si="5"/>
        <v>#DIV/0!</v>
      </c>
      <c r="O43" s="1088">
        <f>+'Ingresos 2022'!AE75+'Ingresos 2022'!AE76</f>
        <v>9861339</v>
      </c>
      <c r="P43" s="1111">
        <f t="shared" si="16"/>
        <v>-0.77376449342366938</v>
      </c>
      <c r="Q43" s="1088">
        <f>+'Ingresos 2023'!I74</f>
        <v>56000000</v>
      </c>
      <c r="R43" s="1088">
        <f>+'Ingresos 2023'!J74</f>
        <v>56000000</v>
      </c>
      <c r="S43" s="1088">
        <f>+'Ingresos 2023'!K74</f>
        <v>27947827.07</v>
      </c>
      <c r="T43" s="1088">
        <f>+'Recaudo Julio Dic 2022'!E42</f>
        <v>36754704.200000003</v>
      </c>
      <c r="U43" s="1088">
        <f t="shared" si="7"/>
        <v>64702531.270000003</v>
      </c>
      <c r="V43" s="1111">
        <f t="shared" si="8"/>
        <v>5.5612318235890683</v>
      </c>
      <c r="W43" s="1111"/>
      <c r="X43" s="1088">
        <f t="shared" si="11"/>
        <v>64702531.270000003</v>
      </c>
      <c r="Y43" s="1195">
        <f t="shared" ref="Y43:Y44" si="17">+U43*1.2</f>
        <v>77643037.524000004</v>
      </c>
    </row>
    <row r="44" spans="1:25" x14ac:dyDescent="0.25">
      <c r="A44" s="1141" t="s">
        <v>356</v>
      </c>
      <c r="B44" s="898"/>
      <c r="C44" s="898"/>
      <c r="D44" s="1111"/>
      <c r="E44" s="898"/>
      <c r="F44" s="1111"/>
      <c r="G44" s="898"/>
      <c r="H44" s="1111"/>
      <c r="I44" s="898"/>
      <c r="J44" s="1111"/>
      <c r="K44" s="898"/>
      <c r="L44" s="1111"/>
      <c r="M44" s="1088">
        <v>411203908</v>
      </c>
      <c r="N44" s="1111" t="e">
        <f t="shared" si="5"/>
        <v>#DIV/0!</v>
      </c>
      <c r="O44" s="1088">
        <f>+'Ingresos 2022'!AE71+'Ingresos 2022'!AE69+'Ingresos 2022'!AE72</f>
        <v>223126149.31999999</v>
      </c>
      <c r="P44" s="1111">
        <f t="shared" si="16"/>
        <v>-0.45738319850792858</v>
      </c>
      <c r="Q44" s="1088">
        <f>+'Ingresos 2023'!I76+'Ingresos 2023'!I75+'Ingresos 2023'!I77</f>
        <v>83000000</v>
      </c>
      <c r="R44" s="1088">
        <f>+'Ingresos 2023'!J76+'Ingresos 2023'!J75+'Ingresos 2023'!J77</f>
        <v>83000000</v>
      </c>
      <c r="S44" s="1088">
        <f>+'Ingresos 2023'!K76+'Ingresos 2023'!K75+'Ingresos 2023'!K77</f>
        <v>111685267</v>
      </c>
      <c r="T44" s="1088">
        <f>+'Recaudo Julio Dic 2022'!E44+'Recaudo Julio Dic 2022'!E47</f>
        <v>69184650.120000005</v>
      </c>
      <c r="U44" s="1088">
        <f t="shared" si="7"/>
        <v>180869917.12</v>
      </c>
      <c r="V44" s="1111">
        <f t="shared" si="8"/>
        <v>-0.18938269821255924</v>
      </c>
      <c r="W44" s="1111"/>
      <c r="X44" s="1088">
        <f t="shared" si="11"/>
        <v>180869917.12</v>
      </c>
      <c r="Y44" s="1195">
        <f t="shared" si="17"/>
        <v>217043900.544</v>
      </c>
    </row>
    <row r="45" spans="1:25" x14ac:dyDescent="0.25">
      <c r="A45" s="750" t="s">
        <v>1076</v>
      </c>
      <c r="B45" s="898"/>
      <c r="C45" s="898"/>
      <c r="D45" s="1111"/>
      <c r="E45" s="898"/>
      <c r="F45" s="1111"/>
      <c r="G45" s="898"/>
      <c r="H45" s="1111"/>
      <c r="I45" s="898"/>
      <c r="J45" s="1111"/>
      <c r="K45" s="898"/>
      <c r="L45" s="1111"/>
      <c r="M45" s="1088">
        <v>431798676.69999999</v>
      </c>
      <c r="N45" s="1111"/>
      <c r="O45" s="1088">
        <f>+'Ingresos 2022'!AE116</f>
        <v>645152974.37</v>
      </c>
      <c r="P45" s="1111"/>
      <c r="Q45" s="1088">
        <f>+'Ingresos 2023'!I114+'Ingresos 2023'!I115+'Ingresos 2023'!I116+'Ingresos 2023'!I119+'Ingresos 2023'!I120+'Ingresos 2023'!I121+'Ingresos 2023'!I122+'Ingresos 2023'!I123+'Ingresos 2023'!I124+'Ingresos 2023'!I125+'Ingresos 2023'!I126+'Ingresos 2023'!I127+'Ingresos 2023'!I128+'Ingresos 2023'!I129+'Ingresos 2023'!I130</f>
        <v>602729091</v>
      </c>
      <c r="R45" s="1088">
        <f>+'Ingresos 2023'!J114+'Ingresos 2023'!J115+'Ingresos 2023'!J116+'Ingresos 2023'!J119+'Ingresos 2023'!J120+'Ingresos 2023'!J121+'Ingresos 2023'!J122+'Ingresos 2023'!J123+'Ingresos 2023'!J124+'Ingresos 2023'!J125+'Ingresos 2023'!J126+'Ingresos 2023'!J127+'Ingresos 2023'!J128+'Ingresos 2023'!J129+'Ingresos 2023'!J130</f>
        <v>602729091</v>
      </c>
      <c r="S45" s="1088">
        <f>+'Ingresos 2023'!K114+'Ingresos 2023'!K115+'Ingresos 2023'!K116+'Ingresos 2023'!K119+'Ingresos 2023'!K120+'Ingresos 2023'!K121+'Ingresos 2023'!K122+'Ingresos 2023'!K123+'Ingresos 2023'!K124+'Ingresos 2023'!K125+'Ingresos 2023'!K126+'Ingresos 2023'!K127+'Ingresos 2023'!K128+'Ingresos 2023'!K129+'Ingresos 2023'!K130</f>
        <v>214221248.94999999</v>
      </c>
      <c r="T45" s="1088">
        <f>+'Recaudo Julio Dic 2022'!E62+'Recaudo Julio Dic 2022'!E64+'Recaudo Julio Dic 2022'!E65+'Recaudo Julio Dic 2022'!E66+'Recaudo Julio Dic 2022'!E67+'Recaudo Julio Dic 2022'!E68+'Recaudo Julio Dic 2022'!E70+'Recaudo Julio Dic 2022'!E71+'Recaudo Julio Dic 2022'!E73+'Recaudo Julio Dic 2022'!E76+'Recaudo Julio Dic 2022'!E77+'Recaudo Julio Dic 2022'!E78</f>
        <v>584197211.18000007</v>
      </c>
      <c r="U45" s="1088">
        <f t="shared" si="7"/>
        <v>798418460.13000011</v>
      </c>
      <c r="V45" s="1111">
        <f t="shared" si="8"/>
        <v>0.23756456507027002</v>
      </c>
      <c r="W45" s="1111">
        <f t="shared" si="9"/>
        <v>7.9188188356756672E-2</v>
      </c>
      <c r="X45" s="1088">
        <f t="shared" si="11"/>
        <v>861643771.53828621</v>
      </c>
      <c r="Y45" s="1195">
        <v>726529895</v>
      </c>
    </row>
    <row r="46" spans="1:25" s="54" customFormat="1" x14ac:dyDescent="0.25">
      <c r="A46" s="1141" t="s">
        <v>1077</v>
      </c>
      <c r="B46" s="898">
        <v>2564610</v>
      </c>
      <c r="C46" s="898">
        <v>0</v>
      </c>
      <c r="D46" s="1111">
        <f t="shared" si="0"/>
        <v>-1</v>
      </c>
      <c r="E46" s="898">
        <v>0</v>
      </c>
      <c r="F46" s="1111"/>
      <c r="G46" s="898">
        <v>0</v>
      </c>
      <c r="H46" s="1111"/>
      <c r="I46" s="898">
        <v>0</v>
      </c>
      <c r="J46" s="1111"/>
      <c r="K46" s="898">
        <v>0</v>
      </c>
      <c r="L46" s="1111"/>
      <c r="M46" s="1088">
        <v>5018916</v>
      </c>
      <c r="N46" s="1111" t="e">
        <f t="shared" si="5"/>
        <v>#DIV/0!</v>
      </c>
      <c r="O46" s="1088"/>
      <c r="P46" s="1111">
        <f t="shared" ref="P46" si="18">+(O46-M46)/M46</f>
        <v>-1</v>
      </c>
      <c r="Q46" s="1088"/>
      <c r="R46" s="1088"/>
      <c r="S46" s="1088"/>
      <c r="T46" s="1088"/>
      <c r="U46" s="1088">
        <f t="shared" si="7"/>
        <v>0</v>
      </c>
      <c r="V46" s="1111"/>
      <c r="W46" s="1111"/>
      <c r="X46" s="1088">
        <f t="shared" si="11"/>
        <v>0</v>
      </c>
      <c r="Y46" s="1195"/>
    </row>
    <row r="47" spans="1:25" s="652" customFormat="1" x14ac:dyDescent="0.25">
      <c r="A47" s="1141" t="s">
        <v>1078</v>
      </c>
      <c r="B47" s="898">
        <v>212332883</v>
      </c>
      <c r="C47" s="898">
        <v>0</v>
      </c>
      <c r="D47" s="1111">
        <f t="shared" si="0"/>
        <v>-1</v>
      </c>
      <c r="E47" s="898">
        <v>0</v>
      </c>
      <c r="F47" s="1111"/>
      <c r="G47" s="898">
        <v>0</v>
      </c>
      <c r="H47" s="1111"/>
      <c r="I47" s="898">
        <v>0</v>
      </c>
      <c r="J47" s="1111"/>
      <c r="K47" s="898">
        <v>0</v>
      </c>
      <c r="L47" s="1111"/>
      <c r="M47" s="1088"/>
      <c r="N47" s="1111"/>
      <c r="O47" s="1088"/>
      <c r="P47" s="1111"/>
      <c r="Q47" s="1088"/>
      <c r="R47" s="1088"/>
      <c r="S47" s="1088"/>
      <c r="T47" s="1088"/>
      <c r="U47" s="1088">
        <f t="shared" si="7"/>
        <v>0</v>
      </c>
      <c r="V47" s="1111"/>
      <c r="W47" s="1111">
        <f t="shared" si="9"/>
        <v>0</v>
      </c>
      <c r="X47" s="1088">
        <f t="shared" si="11"/>
        <v>0</v>
      </c>
      <c r="Y47" s="1197"/>
    </row>
    <row r="48" spans="1:25" s="54" customFormat="1" x14ac:dyDescent="0.25">
      <c r="A48" s="1141" t="s">
        <v>1080</v>
      </c>
      <c r="B48" s="898">
        <v>4957313901.6400003</v>
      </c>
      <c r="C48" s="898">
        <v>4859603059.3299999</v>
      </c>
      <c r="D48" s="1111">
        <f t="shared" ref="D48:D97" si="19">+(C48-B48)/B48</f>
        <v>-1.9710440825156401E-2</v>
      </c>
      <c r="E48" s="898">
        <v>4822042700.2799997</v>
      </c>
      <c r="F48" s="1111">
        <f t="shared" ref="F48:F97" si="20">+(E48-C48)/C48</f>
        <v>-7.7291002148596657E-3</v>
      </c>
      <c r="G48" s="898">
        <v>7598599257.4799995</v>
      </c>
      <c r="H48" s="1111">
        <f t="shared" ref="H48:H97" si="21">+(G48-E48)/E48</f>
        <v>0.57580505395333281</v>
      </c>
      <c r="I48" s="898">
        <v>8552032883.1999998</v>
      </c>
      <c r="J48" s="1111">
        <f t="shared" ref="J48:J97" si="22">+(I48-G48)/G48</f>
        <v>0.12547491891764762</v>
      </c>
      <c r="K48" s="898">
        <v>6217400066</v>
      </c>
      <c r="L48" s="1111">
        <f t="shared" ref="L48:L97" si="23">+(K48-I48)/I48</f>
        <v>-0.27299156225021748</v>
      </c>
      <c r="M48" s="1088">
        <v>11174444262.870001</v>
      </c>
      <c r="N48" s="1111">
        <f t="shared" ref="N48:N95" si="24">+(M48-K48)/K48</f>
        <v>0.79728570531880594</v>
      </c>
      <c r="O48" s="1088">
        <f>+'Ingresos 2022'!AE141+'Ingresos 2022'!AE145+'Ingresos 2022'!AE150+'Ingresos 2022'!AE153+'Ingresos 2022'!AE156</f>
        <v>14978942069.84</v>
      </c>
      <c r="P48" s="1111">
        <f t="shared" ref="P48" si="25">+(O48-M48)/M48</f>
        <v>0.34046416246501254</v>
      </c>
      <c r="Q48" s="1088">
        <f>++'Ingresos 2023'!I146+'Ingresos 2023'!I150+'Ingresos 2023'!I153</f>
        <v>11674094942.120001</v>
      </c>
      <c r="R48" s="1088">
        <f>++'Ingresos 2023'!J146+'Ingresos 2023'!J150+'Ingresos 2023'!J153</f>
        <v>16174094942.120001</v>
      </c>
      <c r="S48" s="1088">
        <f>++'Ingresos 2023'!K146+'Ingresos 2023'!K150+'Ingresos 2023'!K153</f>
        <v>6235716195.0700006</v>
      </c>
      <c r="T48" s="1088">
        <f>+'Recaudo Julio Dic 2022'!E81+'Recaudo Julio Dic 2022'!E84+'Recaudo Julio Dic 2022'!E86+'Recaudo Julio Dic 2022'!E89+'Recaudo Julio Dic 2022'!E91</f>
        <v>8775075267.2799988</v>
      </c>
      <c r="U48" s="1088">
        <f t="shared" si="7"/>
        <v>15010791462.349998</v>
      </c>
      <c r="V48" s="1111">
        <f t="shared" si="8"/>
        <v>2.1262778346761123E-3</v>
      </c>
      <c r="W48" s="1111">
        <f t="shared" si="9"/>
        <v>0.37995871520616492</v>
      </c>
      <c r="X48" s="1088">
        <f t="shared" si="11"/>
        <v>20714272500.612175</v>
      </c>
      <c r="Y48" s="1195">
        <f>+U48*1.12</f>
        <v>16812086437.832001</v>
      </c>
    </row>
    <row r="49" spans="1:25" s="54" customFormat="1" x14ac:dyDescent="0.25">
      <c r="A49" s="1141" t="s">
        <v>1081</v>
      </c>
      <c r="B49" s="898">
        <v>5159653245.3599997</v>
      </c>
      <c r="C49" s="898">
        <v>5057954204.2700005</v>
      </c>
      <c r="D49" s="1111">
        <f t="shared" si="19"/>
        <v>-1.9710441042032359E-2</v>
      </c>
      <c r="E49" s="898">
        <v>5018860769.6899996</v>
      </c>
      <c r="F49" s="1111">
        <f t="shared" si="20"/>
        <v>-7.7291001462602444E-3</v>
      </c>
      <c r="G49" s="898">
        <v>2313077275.3200002</v>
      </c>
      <c r="H49" s="1111">
        <f t="shared" si="21"/>
        <v>-0.53912304376140874</v>
      </c>
      <c r="I49" s="898">
        <v>2807462790.8000002</v>
      </c>
      <c r="J49" s="1111">
        <f t="shared" si="22"/>
        <v>0.21373497580689552</v>
      </c>
      <c r="K49" s="898">
        <v>1892737881</v>
      </c>
      <c r="L49" s="1111">
        <f t="shared" si="23"/>
        <v>-0.32581906794901627</v>
      </c>
      <c r="M49" s="1095"/>
      <c r="N49" s="1111"/>
      <c r="O49" s="1088">
        <f>+'Ingresos 2022'!AE139+'Ingresos 2022'!AE143+'Ingresos 2022'!AE151+'Ingresos 2022'!AE154+'Ingresos 2022'!AE158</f>
        <v>4559021756.3699999</v>
      </c>
      <c r="P49" s="1111"/>
      <c r="Q49" s="1088">
        <f>+'Ingresos 2023'!I147+'Ingresos 2023'!I151+'Ingresos 2023'!I155</f>
        <v>3552985418</v>
      </c>
      <c r="R49" s="1088">
        <f>+'Ingresos 2023'!J147+'Ingresos 2023'!J151+'Ingresos 2023'!J155</f>
        <v>4922550635</v>
      </c>
      <c r="S49" s="1088">
        <f>+'Ingresos 2023'!K147+'Ingresos 2023'!K151+'Ingresos 2023'!K155</f>
        <v>1897733725.53</v>
      </c>
      <c r="T49" s="1088">
        <f>+'Recaudo Julio Dic 2022'!E79+'Recaudo Julio Dic 2022'!E82+'Recaudo Julio Dic 2022'!E87+'Recaudo Julio Dic 2022'!E90+'Recaudo Julio Dic 2022'!E93</f>
        <v>2670859298.9300003</v>
      </c>
      <c r="U49" s="1088">
        <f t="shared" si="7"/>
        <v>4568593024.46</v>
      </c>
      <c r="V49" s="1111">
        <f t="shared" si="8"/>
        <v>2.0994126813777309E-3</v>
      </c>
      <c r="W49" s="1111">
        <f t="shared" si="9"/>
        <v>6.9980422712591025E-4</v>
      </c>
      <c r="X49" s="1088">
        <f t="shared" si="11"/>
        <v>4571790145.1705351</v>
      </c>
      <c r="Y49" s="1195">
        <f>+U49*1.12</f>
        <v>5116824187.3952007</v>
      </c>
    </row>
    <row r="50" spans="1:25" x14ac:dyDescent="0.25">
      <c r="A50" s="1141" t="s">
        <v>1082</v>
      </c>
      <c r="B50" s="898">
        <v>0</v>
      </c>
      <c r="C50" s="898">
        <v>0</v>
      </c>
      <c r="D50" s="1111"/>
      <c r="E50" s="898">
        <v>0</v>
      </c>
      <c r="F50" s="1111"/>
      <c r="G50" s="898">
        <v>33501573.48</v>
      </c>
      <c r="H50" s="1111"/>
      <c r="I50" s="898">
        <v>0</v>
      </c>
      <c r="J50" s="1111">
        <f t="shared" si="22"/>
        <v>-1</v>
      </c>
      <c r="K50" s="898">
        <v>0</v>
      </c>
      <c r="L50" s="1111"/>
      <c r="M50" s="1088"/>
      <c r="N50" s="1111"/>
      <c r="O50" s="1088"/>
      <c r="P50" s="1111"/>
      <c r="Q50" s="1088">
        <f>+'Ingresos 2023'!I145+'Ingresos 2023'!I149+'Ingresos 2023'!I154</f>
        <v>761798207</v>
      </c>
      <c r="R50" s="1088">
        <f>+'Ingresos 2023'!J145+'Ingresos 2023'!J149+'Ingresos 2023'!J154</f>
        <v>1055276468</v>
      </c>
      <c r="S50" s="1088">
        <f>+'Ingresos 2023'!K145+'Ingresos 2023'!K149+'Ingresos 2023'!K154</f>
        <v>409699451.57999998</v>
      </c>
      <c r="T50" s="1088">
        <f>+'Recaudo Julio Dic 2022'!E80+'Recaudo Julio Dic 2022'!E83+'Recaudo Julio Dic 2022'!E85+'Recaudo Julio Dic 2022'!E88+'Recaudo Julio Dic 2022'!E92</f>
        <v>616556516.86000001</v>
      </c>
      <c r="U50" s="1088">
        <f t="shared" si="7"/>
        <v>1026255968.4400001</v>
      </c>
      <c r="V50" s="1111"/>
      <c r="W50" s="1111">
        <f t="shared" si="9"/>
        <v>0</v>
      </c>
      <c r="X50" s="1088">
        <f t="shared" si="11"/>
        <v>1026255968.4400001</v>
      </c>
      <c r="Y50" s="1195">
        <f t="shared" ref="Y50" si="26">+U50*1.12</f>
        <v>1149406684.6528001</v>
      </c>
    </row>
    <row r="51" spans="1:25" x14ac:dyDescent="0.25">
      <c r="A51" s="1141" t="s">
        <v>1083</v>
      </c>
      <c r="B51" s="898">
        <v>0</v>
      </c>
      <c r="C51" s="898">
        <v>0</v>
      </c>
      <c r="D51" s="1111"/>
      <c r="E51" s="898">
        <v>0</v>
      </c>
      <c r="F51" s="1111"/>
      <c r="G51" s="898">
        <v>10196130.779999999</v>
      </c>
      <c r="H51" s="1111"/>
      <c r="I51" s="898">
        <v>0</v>
      </c>
      <c r="J51" s="1111">
        <f t="shared" si="22"/>
        <v>-1</v>
      </c>
      <c r="K51" s="898">
        <v>0</v>
      </c>
      <c r="L51" s="1111"/>
      <c r="M51" s="1088">
        <v>1989344899.1300001</v>
      </c>
      <c r="N51" s="1111" t="e">
        <f t="shared" si="24"/>
        <v>#DIV/0!</v>
      </c>
      <c r="O51" s="1088"/>
      <c r="P51" s="1111">
        <f t="shared" ref="P51:P52" si="27">+(O51-M51)/M51</f>
        <v>-1</v>
      </c>
      <c r="Q51" s="1088"/>
      <c r="R51" s="1088"/>
      <c r="S51" s="1088"/>
      <c r="T51" s="1088"/>
      <c r="U51" s="1088">
        <f t="shared" ref="U51:U100" si="28">+S51+T51</f>
        <v>0</v>
      </c>
      <c r="V51" s="1111"/>
      <c r="W51" s="1111"/>
      <c r="X51" s="1088">
        <f t="shared" si="11"/>
        <v>0</v>
      </c>
    </row>
    <row r="52" spans="1:25" x14ac:dyDescent="0.25">
      <c r="A52" s="1141" t="s">
        <v>1085</v>
      </c>
      <c r="B52" s="898">
        <v>456466373</v>
      </c>
      <c r="C52" s="898">
        <v>519662054</v>
      </c>
      <c r="D52" s="1111">
        <f t="shared" si="19"/>
        <v>0.13844542498205009</v>
      </c>
      <c r="E52" s="898">
        <v>553647274</v>
      </c>
      <c r="F52" s="1111">
        <f t="shared" si="20"/>
        <v>6.5398694667823484E-2</v>
      </c>
      <c r="G52" s="898">
        <v>514638803.17000002</v>
      </c>
      <c r="H52" s="1111">
        <f t="shared" si="21"/>
        <v>-7.0457261621051495E-2</v>
      </c>
      <c r="I52" s="898">
        <v>566653321</v>
      </c>
      <c r="J52" s="1111">
        <f t="shared" si="22"/>
        <v>0.10106994946670994</v>
      </c>
      <c r="K52" s="898">
        <v>518294753.54000002</v>
      </c>
      <c r="L52" s="1111">
        <f t="shared" si="23"/>
        <v>-8.5340658331727978E-2</v>
      </c>
      <c r="M52" s="1088">
        <v>561617414</v>
      </c>
      <c r="N52" s="1111">
        <f t="shared" si="24"/>
        <v>8.3586916834681987E-2</v>
      </c>
      <c r="O52" s="1088">
        <f>+'Ingresos 2022'!AE57</f>
        <v>580088420</v>
      </c>
      <c r="P52" s="1111">
        <f t="shared" si="27"/>
        <v>3.2888948133648864E-2</v>
      </c>
      <c r="Q52" s="1088">
        <f>+'Ingresos 2023'!I61+'Ingresos 2023'!I62+'Ingresos 2023'!I63+'Ingresos 2023'!I64+'Ingresos 2023'!I65+'Ingresos 2023'!I66+'Ingresos 2023'!I67+'Ingresos 2023'!I68+'Ingresos 2023'!I69</f>
        <v>612099454</v>
      </c>
      <c r="R52" s="1088">
        <f>+'Ingresos 2023'!J61+'Ingresos 2023'!J62+'Ingresos 2023'!J63+'Ingresos 2023'!J64+'Ingresos 2023'!J65+'Ingresos 2023'!J66+'Ingresos 2023'!J67+'Ingresos 2023'!J68+'Ingresos 2023'!J69</f>
        <v>612099454</v>
      </c>
      <c r="S52" s="1088">
        <f>+'Ingresos 2023'!K61+'Ingresos 2023'!K62+'Ingresos 2023'!K63+'Ingresos 2023'!K64+'Ingresos 2023'!K65+'Ingresos 2023'!K66+'Ingresos 2023'!K67+'Ingresos 2023'!K68+'Ingresos 2023'!K69</f>
        <v>342871813.25999999</v>
      </c>
      <c r="T52" s="1088">
        <f>+'Recaudo Julio Dic 2022'!E33+'Recaudo Julio Dic 2022'!E34+'Recaudo Julio Dic 2022'!E35+'Recaudo Julio Dic 2022'!E36+'Recaudo Julio Dic 2022'!E37+'Recaudo Julio Dic 2022'!E38+'Recaudo Julio Dic 2022'!E39+'Recaudo Julio Dic 2022'!E40+'Recaudo Julio Dic 2022'!E41</f>
        <v>250431058.28</v>
      </c>
      <c r="U52" s="1088">
        <f t="shared" si="28"/>
        <v>593302871.53999996</v>
      </c>
      <c r="V52" s="1111">
        <f t="shared" ref="V52:V100" si="29">+(U52-O52)/O52</f>
        <v>2.2780064356395808E-2</v>
      </c>
      <c r="W52" s="1111">
        <f t="shared" ref="W52:W101" si="30">+(V52+P52+N52)/3</f>
        <v>4.6418643108242223E-2</v>
      </c>
      <c r="X52" s="1088">
        <f t="shared" si="11"/>
        <v>620843185.78911054</v>
      </c>
      <c r="Y52" s="1195">
        <v>681192695</v>
      </c>
    </row>
    <row r="53" spans="1:25" x14ac:dyDescent="0.25">
      <c r="A53" s="1141" t="s">
        <v>1086</v>
      </c>
      <c r="B53" s="898"/>
      <c r="C53" s="898"/>
      <c r="D53" s="1111"/>
      <c r="E53" s="898"/>
      <c r="F53" s="1111"/>
      <c r="G53" s="898"/>
      <c r="H53" s="1111"/>
      <c r="I53" s="898"/>
      <c r="J53" s="1111"/>
      <c r="K53" s="898"/>
      <c r="L53" s="1111"/>
      <c r="M53" s="1088"/>
      <c r="N53" s="1111"/>
      <c r="O53" s="1088"/>
      <c r="P53" s="1111"/>
      <c r="Q53" s="1088"/>
      <c r="R53" s="1088"/>
      <c r="S53" s="1088"/>
      <c r="T53" s="1088"/>
      <c r="U53" s="1088">
        <f t="shared" si="28"/>
        <v>0</v>
      </c>
      <c r="V53" s="1111"/>
      <c r="W53" s="1111">
        <f t="shared" si="30"/>
        <v>0</v>
      </c>
      <c r="X53" s="1088">
        <f t="shared" si="11"/>
        <v>0</v>
      </c>
    </row>
    <row r="54" spans="1:25" s="54" customFormat="1" x14ac:dyDescent="0.25">
      <c r="A54" s="750" t="s">
        <v>1089</v>
      </c>
      <c r="B54" s="898">
        <v>0</v>
      </c>
      <c r="C54" s="898">
        <v>318519904</v>
      </c>
      <c r="D54" s="1111"/>
      <c r="E54" s="898">
        <v>368742584.51999998</v>
      </c>
      <c r="F54" s="1111">
        <f t="shared" si="20"/>
        <v>0.15767517159618377</v>
      </c>
      <c r="G54" s="898">
        <v>1235675250</v>
      </c>
      <c r="H54" s="1111">
        <f t="shared" si="21"/>
        <v>2.3510511177018096</v>
      </c>
      <c r="I54" s="898">
        <v>272414720.86000001</v>
      </c>
      <c r="J54" s="1111">
        <f t="shared" si="22"/>
        <v>-0.77954181662212618</v>
      </c>
      <c r="K54" s="898">
        <v>147570542.13999999</v>
      </c>
      <c r="L54" s="1111">
        <f t="shared" si="23"/>
        <v>-0.45828719654309807</v>
      </c>
      <c r="M54" s="1088">
        <v>4420597120.7200003</v>
      </c>
      <c r="N54" s="1111">
        <f t="shared" si="24"/>
        <v>28.955823544553937</v>
      </c>
      <c r="O54" s="1088">
        <f>+'Ingresos 2022'!AE111</f>
        <v>453382640</v>
      </c>
      <c r="P54" s="1111">
        <f t="shared" ref="P54:P56" si="31">+(O54-M54)/M54</f>
        <v>-0.89743859763312794</v>
      </c>
      <c r="Q54" s="1098">
        <f>+'Ingresos 2023'!I108</f>
        <v>250000000</v>
      </c>
      <c r="R54" s="1098">
        <f>+'Ingresos 2023'!J108</f>
        <v>592877095</v>
      </c>
      <c r="S54" s="1098">
        <f>+'Ingresos 2023'!K108</f>
        <v>0</v>
      </c>
      <c r="T54" s="1088"/>
      <c r="U54" s="1088">
        <f t="shared" si="28"/>
        <v>0</v>
      </c>
      <c r="V54" s="1111">
        <f t="shared" si="29"/>
        <v>-1</v>
      </c>
      <c r="W54" s="1111">
        <f t="shared" si="30"/>
        <v>9.0194616489736035</v>
      </c>
      <c r="X54" s="1088">
        <f t="shared" si="11"/>
        <v>0</v>
      </c>
      <c r="Y54" s="1195">
        <v>500000000</v>
      </c>
    </row>
    <row r="55" spans="1:25" x14ac:dyDescent="0.25">
      <c r="A55" s="1141" t="s">
        <v>1071</v>
      </c>
      <c r="B55" s="898">
        <v>0</v>
      </c>
      <c r="C55" s="898">
        <v>514557468</v>
      </c>
      <c r="D55" s="1111"/>
      <c r="E55" s="898">
        <v>948728685</v>
      </c>
      <c r="F55" s="1111">
        <f t="shared" si="20"/>
        <v>0.84377595118296878</v>
      </c>
      <c r="G55" s="898">
        <v>508891370</v>
      </c>
      <c r="H55" s="1111">
        <f t="shared" si="21"/>
        <v>-0.46360705853433748</v>
      </c>
      <c r="I55" s="898">
        <v>186428977</v>
      </c>
      <c r="J55" s="1111">
        <f t="shared" si="22"/>
        <v>-0.63365663481383072</v>
      </c>
      <c r="K55" s="898">
        <v>0</v>
      </c>
      <c r="L55" s="1111">
        <f t="shared" si="23"/>
        <v>-1</v>
      </c>
      <c r="M55" s="1088">
        <v>4998651</v>
      </c>
      <c r="N55" s="1111" t="e">
        <f t="shared" si="24"/>
        <v>#DIV/0!</v>
      </c>
      <c r="O55" s="1088"/>
      <c r="P55" s="1111">
        <f t="shared" si="31"/>
        <v>-1</v>
      </c>
      <c r="Q55" s="1088"/>
      <c r="R55" s="1088"/>
      <c r="S55" s="1088"/>
      <c r="T55" s="1088"/>
      <c r="U55" s="1088">
        <f t="shared" si="28"/>
        <v>0</v>
      </c>
      <c r="V55" s="1111"/>
      <c r="W55" s="1111"/>
      <c r="X55" s="1088">
        <f t="shared" si="11"/>
        <v>0</v>
      </c>
    </row>
    <row r="56" spans="1:25" s="54" customFormat="1" x14ac:dyDescent="0.25">
      <c r="A56" s="1141" t="s">
        <v>1090</v>
      </c>
      <c r="B56" s="898">
        <v>2287233345</v>
      </c>
      <c r="C56" s="898">
        <v>451574124.73097914</v>
      </c>
      <c r="D56" s="1111">
        <f t="shared" si="19"/>
        <v>-0.80256753176577211</v>
      </c>
      <c r="E56" s="898">
        <v>2269932364</v>
      </c>
      <c r="F56" s="1111">
        <f t="shared" si="20"/>
        <v>4.026710432871436</v>
      </c>
      <c r="G56" s="898">
        <v>618776355.79999995</v>
      </c>
      <c r="H56" s="1111">
        <f t="shared" si="21"/>
        <v>-0.72740317481988204</v>
      </c>
      <c r="I56" s="898">
        <v>857974331.57088304</v>
      </c>
      <c r="J56" s="1111">
        <f t="shared" si="22"/>
        <v>0.38656612123071543</v>
      </c>
      <c r="K56" s="898">
        <v>3056158641</v>
      </c>
      <c r="L56" s="1111">
        <f t="shared" si="23"/>
        <v>2.56206302279978</v>
      </c>
      <c r="M56" s="1088">
        <v>4652248940</v>
      </c>
      <c r="N56" s="1111">
        <f t="shared" si="24"/>
        <v>0.52225374612024267</v>
      </c>
      <c r="O56" s="1088">
        <f>+'Ingresos 2022'!AE98</f>
        <v>3186665345</v>
      </c>
      <c r="P56" s="1111">
        <f t="shared" si="31"/>
        <v>-0.31502690718007881</v>
      </c>
      <c r="Q56" s="1088">
        <f>+'Ingresos 2023'!I100</f>
        <v>3085293181</v>
      </c>
      <c r="R56" s="1088">
        <f>+'Ingresos 2023'!J100</f>
        <v>3085293181</v>
      </c>
      <c r="S56" s="1088">
        <f>+'Ingresos 2023'!K100</f>
        <v>1371626310</v>
      </c>
      <c r="T56" s="1088">
        <f>+'Recaudo Julio Dic 2022'!E54</f>
        <v>1361192294</v>
      </c>
      <c r="U56" s="1088">
        <f t="shared" si="28"/>
        <v>2732818604</v>
      </c>
      <c r="V56" s="1111">
        <f t="shared" si="29"/>
        <v>-0.14242058448719849</v>
      </c>
      <c r="W56" s="1111">
        <f t="shared" si="30"/>
        <v>2.1602084817655132E-2</v>
      </c>
      <c r="X56" s="1088">
        <f t="shared" si="11"/>
        <v>2791853183.2748737</v>
      </c>
      <c r="Y56" s="898">
        <f>+O56*1.12</f>
        <v>3569065186.4000006</v>
      </c>
    </row>
    <row r="57" spans="1:25" x14ac:dyDescent="0.25">
      <c r="A57" s="1141" t="s">
        <v>1091</v>
      </c>
      <c r="B57" s="898">
        <v>0</v>
      </c>
      <c r="C57" s="898">
        <v>1959371708.2690208</v>
      </c>
      <c r="D57" s="1111"/>
      <c r="E57" s="898">
        <v>0</v>
      </c>
      <c r="F57" s="1111">
        <f t="shared" si="20"/>
        <v>-1</v>
      </c>
      <c r="G57" s="898">
        <v>1710795075.2</v>
      </c>
      <c r="H57" s="1111"/>
      <c r="I57" s="898">
        <v>1477081621.4291172</v>
      </c>
      <c r="J57" s="1111">
        <f t="shared" si="22"/>
        <v>-0.13661101622212737</v>
      </c>
      <c r="K57" s="898">
        <v>0</v>
      </c>
      <c r="L57" s="1111">
        <f t="shared" si="23"/>
        <v>-1</v>
      </c>
      <c r="M57" s="1088"/>
      <c r="N57" s="1111"/>
      <c r="O57" s="1088"/>
      <c r="P57" s="1111"/>
      <c r="Q57" s="1088"/>
      <c r="R57" s="1088"/>
      <c r="S57" s="1088"/>
      <c r="T57" s="1088"/>
      <c r="U57" s="1088">
        <f t="shared" si="28"/>
        <v>0</v>
      </c>
      <c r="V57" s="1111"/>
      <c r="W57" s="1111">
        <f t="shared" si="30"/>
        <v>0</v>
      </c>
      <c r="X57" s="1088">
        <f t="shared" si="11"/>
        <v>0</v>
      </c>
    </row>
    <row r="58" spans="1:25" s="54" customFormat="1" x14ac:dyDescent="0.25">
      <c r="A58" s="1141" t="s">
        <v>1093</v>
      </c>
      <c r="B58" s="898">
        <v>223347944</v>
      </c>
      <c r="C58" s="898">
        <v>217969207</v>
      </c>
      <c r="D58" s="1111">
        <f t="shared" si="19"/>
        <v>-2.408232152788476E-2</v>
      </c>
      <c r="E58" s="898">
        <v>206677643</v>
      </c>
      <c r="F58" s="1111">
        <f t="shared" si="20"/>
        <v>-5.1803482498332894E-2</v>
      </c>
      <c r="G58" s="898">
        <v>176268649</v>
      </c>
      <c r="H58" s="1111">
        <f t="shared" si="21"/>
        <v>-0.14713247915257094</v>
      </c>
      <c r="I58" s="898">
        <v>173782366</v>
      </c>
      <c r="J58" s="1111">
        <f t="shared" si="22"/>
        <v>-1.4105077755489009E-2</v>
      </c>
      <c r="K58" s="898">
        <v>219198452</v>
      </c>
      <c r="L58" s="1111">
        <f t="shared" si="23"/>
        <v>0.26133886334589324</v>
      </c>
      <c r="M58" s="1088">
        <v>141163803</v>
      </c>
      <c r="N58" s="1111">
        <f t="shared" si="24"/>
        <v>-0.35600000040146268</v>
      </c>
      <c r="O58" s="1088">
        <f>+'Ingresos 2022'!AE99</f>
        <v>119068844</v>
      </c>
      <c r="P58" s="1111">
        <f t="shared" ref="P58" si="32">+(O58-M58)/M58</f>
        <v>-0.15652000392763576</v>
      </c>
      <c r="Q58" s="1088">
        <f>+'Ingresos 2023'!I101</f>
        <v>145398717</v>
      </c>
      <c r="R58" s="1088">
        <f>+'Ingresos 2023'!J101</f>
        <v>103859422</v>
      </c>
      <c r="S58" s="1088">
        <f>+'Ingresos 2023'!K101</f>
        <v>103859422</v>
      </c>
      <c r="T58" s="1088">
        <f>+'Recaudo Julio Dic 2022'!E55</f>
        <v>119068844</v>
      </c>
      <c r="U58" s="1088">
        <f t="shared" si="28"/>
        <v>222928266</v>
      </c>
      <c r="V58" s="1111">
        <f t="shared" si="29"/>
        <v>0.87226362926644352</v>
      </c>
      <c r="W58" s="1111">
        <f t="shared" si="30"/>
        <v>0.11991454164578169</v>
      </c>
      <c r="X58" s="1088">
        <f t="shared" si="11"/>
        <v>249660606.8372789</v>
      </c>
      <c r="Y58" s="1195">
        <f>+S58</f>
        <v>103859422</v>
      </c>
    </row>
    <row r="59" spans="1:25" x14ac:dyDescent="0.25">
      <c r="A59" s="1141" t="s">
        <v>1094</v>
      </c>
      <c r="B59" s="898">
        <v>223347944</v>
      </c>
      <c r="C59" s="898">
        <v>217969207.19999999</v>
      </c>
      <c r="D59" s="1111">
        <f t="shared" si="19"/>
        <v>-2.4082320632421009E-2</v>
      </c>
      <c r="E59" s="898">
        <v>206677643</v>
      </c>
      <c r="F59" s="1111">
        <f t="shared" si="20"/>
        <v>-5.1803483368360798E-2</v>
      </c>
      <c r="G59" s="898">
        <v>0</v>
      </c>
      <c r="H59" s="1111">
        <f t="shared" si="21"/>
        <v>-1</v>
      </c>
      <c r="I59" s="898">
        <v>0</v>
      </c>
      <c r="J59" s="1111"/>
      <c r="K59" s="898">
        <v>0</v>
      </c>
      <c r="L59" s="1111"/>
      <c r="M59" s="1088"/>
      <c r="N59" s="1111"/>
      <c r="O59" s="1088"/>
      <c r="P59" s="1111"/>
      <c r="Q59" s="1088"/>
      <c r="R59" s="1088"/>
      <c r="S59" s="1088"/>
      <c r="T59" s="1088"/>
      <c r="U59" s="1088">
        <f t="shared" si="28"/>
        <v>0</v>
      </c>
      <c r="V59" s="1111"/>
      <c r="W59" s="1111">
        <f t="shared" si="30"/>
        <v>0</v>
      </c>
      <c r="X59" s="1088">
        <f t="shared" si="11"/>
        <v>0</v>
      </c>
    </row>
    <row r="60" spans="1:25" s="54" customFormat="1" x14ac:dyDescent="0.25">
      <c r="A60" s="1140" t="s">
        <v>1095</v>
      </c>
      <c r="B60" s="890">
        <f>SUM(B61:B62)</f>
        <v>447062842</v>
      </c>
      <c r="C60" s="890">
        <f>SUM(C61:C62)</f>
        <v>446322998</v>
      </c>
      <c r="D60" s="1112">
        <f t="shared" si="19"/>
        <v>-1.6548993351587918E-3</v>
      </c>
      <c r="E60" s="890">
        <f>SUM(E61:E62)</f>
        <v>701872547.90999997</v>
      </c>
      <c r="F60" s="1112">
        <f t="shared" si="20"/>
        <v>0.57256639486455496</v>
      </c>
      <c r="G60" s="890">
        <f>SUM(G61:G62)</f>
        <v>656938202.41000009</v>
      </c>
      <c r="H60" s="1112">
        <f t="shared" si="21"/>
        <v>-6.4020662488942004E-2</v>
      </c>
      <c r="I60" s="890">
        <f>SUM(I61:I62)</f>
        <v>804729971</v>
      </c>
      <c r="J60" s="1112">
        <f t="shared" si="22"/>
        <v>0.224970580258266</v>
      </c>
      <c r="K60" s="890">
        <f>+K61</f>
        <v>422511777</v>
      </c>
      <c r="L60" s="1112">
        <f t="shared" si="23"/>
        <v>-0.47496453192247268</v>
      </c>
      <c r="M60" s="1089">
        <f>+M61</f>
        <v>0</v>
      </c>
      <c r="N60" s="1112"/>
      <c r="O60" s="1089">
        <f>+O61</f>
        <v>982222572.29000008</v>
      </c>
      <c r="P60" s="1112"/>
      <c r="Q60" s="1089"/>
      <c r="R60" s="1089"/>
      <c r="S60" s="1089"/>
      <c r="T60" s="1088">
        <f>+T61</f>
        <v>0</v>
      </c>
      <c r="U60" s="1088">
        <f t="shared" si="28"/>
        <v>0</v>
      </c>
      <c r="V60" s="1111">
        <f t="shared" si="29"/>
        <v>-1</v>
      </c>
      <c r="W60" s="1111">
        <f t="shared" si="30"/>
        <v>-0.33333333333333331</v>
      </c>
      <c r="X60" s="1088">
        <f t="shared" si="11"/>
        <v>0</v>
      </c>
      <c r="Y60" s="1195"/>
    </row>
    <row r="61" spans="1:25" x14ac:dyDescent="0.25">
      <c r="A61" s="1141" t="s">
        <v>1096</v>
      </c>
      <c r="B61" s="898">
        <v>447062842</v>
      </c>
      <c r="C61" s="898">
        <v>446322998</v>
      </c>
      <c r="D61" s="1111">
        <f t="shared" si="19"/>
        <v>-1.6548993351587918E-3</v>
      </c>
      <c r="E61" s="898">
        <v>701872547.90999997</v>
      </c>
      <c r="F61" s="1111">
        <f t="shared" si="20"/>
        <v>0.57256639486455496</v>
      </c>
      <c r="G61" s="898">
        <v>157789808.06</v>
      </c>
      <c r="H61" s="1111">
        <f t="shared" si="21"/>
        <v>-0.77518737763735246</v>
      </c>
      <c r="I61" s="898">
        <v>234634941.90000001</v>
      </c>
      <c r="J61" s="1111">
        <f t="shared" si="22"/>
        <v>0.48700948929971088</v>
      </c>
      <c r="K61" s="898">
        <v>422511777</v>
      </c>
      <c r="L61" s="1111">
        <f t="shared" si="23"/>
        <v>0.80071976312919313</v>
      </c>
      <c r="M61" s="1088"/>
      <c r="N61" s="1111"/>
      <c r="O61" s="1088">
        <f>+'Ingresos 2022'!AE140+'Ingresos 2022'!AE144+'Ingresos 2022'!AE149+'Ingresos 2022'!AE152+'Ingresos 2022'!AE157</f>
        <v>982222572.29000008</v>
      </c>
      <c r="P61" s="1111"/>
      <c r="Q61" s="1088"/>
      <c r="R61" s="1088"/>
      <c r="S61" s="1088"/>
      <c r="T61" s="1088"/>
      <c r="U61" s="1088">
        <f t="shared" si="28"/>
        <v>0</v>
      </c>
      <c r="V61" s="1111">
        <f t="shared" si="29"/>
        <v>-1</v>
      </c>
      <c r="W61" s="1111">
        <f t="shared" si="30"/>
        <v>-0.33333333333333331</v>
      </c>
      <c r="X61" s="1088">
        <f t="shared" si="11"/>
        <v>0</v>
      </c>
    </row>
    <row r="62" spans="1:25" x14ac:dyDescent="0.25">
      <c r="A62" s="1141" t="s">
        <v>1098</v>
      </c>
      <c r="B62" s="898">
        <v>0</v>
      </c>
      <c r="C62" s="898">
        <v>0</v>
      </c>
      <c r="D62" s="1111"/>
      <c r="E62" s="898">
        <v>0</v>
      </c>
      <c r="F62" s="1111"/>
      <c r="G62" s="898">
        <v>499148394.35000002</v>
      </c>
      <c r="H62" s="1111"/>
      <c r="I62" s="898">
        <v>570095029.10000002</v>
      </c>
      <c r="J62" s="1111">
        <f t="shared" si="22"/>
        <v>0.14213535604454458</v>
      </c>
      <c r="K62" s="898">
        <v>250769732</v>
      </c>
      <c r="L62" s="1111">
        <f t="shared" si="23"/>
        <v>-0.56012643647167704</v>
      </c>
      <c r="M62" s="1088">
        <v>669089493.05999994</v>
      </c>
      <c r="N62" s="1111">
        <f t="shared" si="24"/>
        <v>1.6681429521964795</v>
      </c>
      <c r="O62" s="1088"/>
      <c r="P62" s="1111">
        <f t="shared" ref="P62" si="33">+(O62-M62)/M62</f>
        <v>-1</v>
      </c>
      <c r="Q62" s="1088"/>
      <c r="R62" s="1088"/>
      <c r="S62" s="1088"/>
      <c r="T62" s="1088"/>
      <c r="U62" s="1088">
        <f t="shared" si="28"/>
        <v>0</v>
      </c>
      <c r="V62" s="1111"/>
      <c r="W62" s="1111">
        <f t="shared" si="30"/>
        <v>0.22271431739882649</v>
      </c>
      <c r="X62" s="1088">
        <f t="shared" si="11"/>
        <v>0</v>
      </c>
    </row>
    <row r="63" spans="1:25" ht="25.5" x14ac:dyDescent="0.25">
      <c r="A63" s="1141" t="s">
        <v>1101</v>
      </c>
      <c r="B63" s="898">
        <v>87690630035</v>
      </c>
      <c r="C63" s="898">
        <v>93842849807</v>
      </c>
      <c r="D63" s="1111">
        <f t="shared" si="19"/>
        <v>7.0158234346639564E-2</v>
      </c>
      <c r="E63" s="898">
        <v>104784789015</v>
      </c>
      <c r="F63" s="1111">
        <f t="shared" si="20"/>
        <v>0.11659853926541572</v>
      </c>
      <c r="G63" s="898">
        <v>112348234883</v>
      </c>
      <c r="H63" s="1111">
        <f t="shared" si="21"/>
        <v>7.2180761531306689E-2</v>
      </c>
      <c r="I63" s="898">
        <v>121574561361</v>
      </c>
      <c r="J63" s="1111">
        <f t="shared" si="22"/>
        <v>8.2122576181177576E-2</v>
      </c>
      <c r="K63" s="898">
        <v>129499737226</v>
      </c>
      <c r="L63" s="1111">
        <f t="shared" si="23"/>
        <v>6.5187780866979322E-2</v>
      </c>
      <c r="M63" s="1088">
        <v>137464911058</v>
      </c>
      <c r="N63" s="1111">
        <f t="shared" si="24"/>
        <v>6.1507258644852382E-2</v>
      </c>
      <c r="O63" s="1088">
        <f>+'Ingresos 2022'!AE234</f>
        <v>146126277465</v>
      </c>
      <c r="P63" s="1111">
        <f t="shared" ref="P63:P64" si="34">+(O63-M63)/M63</f>
        <v>6.3007834801897519E-2</v>
      </c>
      <c r="Q63" s="1088">
        <f>+'Ingresos 2023'!I237</f>
        <v>156853000000</v>
      </c>
      <c r="R63" s="1088">
        <f>+'Ingresos 2023'!J237</f>
        <v>156837827419</v>
      </c>
      <c r="S63" s="1088">
        <f>+'Ingresos 2023'!K237</f>
        <v>80482869270</v>
      </c>
      <c r="T63" s="1088">
        <f>+'Recaudo Julio Dic 2022'!E149</f>
        <v>81089829777</v>
      </c>
      <c r="U63" s="1088">
        <f t="shared" si="28"/>
        <v>161572699047</v>
      </c>
      <c r="V63" s="1111">
        <f t="shared" si="29"/>
        <v>0.10570598149740527</v>
      </c>
      <c r="W63" s="1111">
        <f t="shared" si="30"/>
        <v>7.6740358314718385E-2</v>
      </c>
      <c r="X63" s="1088">
        <f t="shared" si="11"/>
        <v>173971845865.74295</v>
      </c>
      <c r="Y63" s="1195">
        <v>173431997000</v>
      </c>
    </row>
    <row r="64" spans="1:25" ht="25.5" x14ac:dyDescent="0.25">
      <c r="A64" s="1141" t="s">
        <v>1102</v>
      </c>
      <c r="B64" s="898">
        <v>10919071675</v>
      </c>
      <c r="C64" s="898">
        <v>11873114014</v>
      </c>
      <c r="D64" s="1111">
        <f t="shared" si="19"/>
        <v>8.7373942345698535E-2</v>
      </c>
      <c r="E64" s="898">
        <v>13041415193</v>
      </c>
      <c r="F64" s="1111">
        <f t="shared" si="20"/>
        <v>9.8398884877414272E-2</v>
      </c>
      <c r="G64" s="898">
        <v>11304023703</v>
      </c>
      <c r="H64" s="1111">
        <f t="shared" si="21"/>
        <v>-0.1332210856174986</v>
      </c>
      <c r="I64" s="898">
        <v>15004128114</v>
      </c>
      <c r="J64" s="1111">
        <f t="shared" si="22"/>
        <v>0.32732631390520006</v>
      </c>
      <c r="K64" s="898">
        <v>15490716241</v>
      </c>
      <c r="L64" s="1111">
        <f t="shared" si="23"/>
        <v>3.2430283406203124E-2</v>
      </c>
      <c r="M64" s="1088">
        <v>28315024554</v>
      </c>
      <c r="N64" s="1111">
        <f t="shared" si="24"/>
        <v>0.82787058477369213</v>
      </c>
      <c r="O64" s="1088"/>
      <c r="P64" s="1111">
        <f t="shared" si="34"/>
        <v>-1</v>
      </c>
      <c r="Q64" s="1088">
        <f>+'Ingresos 2023'!I238</f>
        <v>29870000000</v>
      </c>
      <c r="R64" s="1088">
        <f>+'Ingresos 2023'!J238</f>
        <v>29870000000</v>
      </c>
      <c r="S64" s="1088">
        <f>+'Ingresos 2023'!K238</f>
        <v>11440508368</v>
      </c>
      <c r="T64" s="1088">
        <f>+'Recaudo Julio Dic 2022'!E150</f>
        <v>9487174915</v>
      </c>
      <c r="U64" s="1088">
        <f t="shared" si="28"/>
        <v>20927683283</v>
      </c>
      <c r="V64" s="1111"/>
      <c r="W64" s="1111">
        <f t="shared" si="30"/>
        <v>-5.7376471742102621E-2</v>
      </c>
      <c r="X64" s="1088">
        <f t="shared" si="11"/>
        <v>19726926654.485275</v>
      </c>
      <c r="Y64" s="1195">
        <f>+Q64*1.12</f>
        <v>33454400000.000004</v>
      </c>
    </row>
    <row r="65" spans="1:25" x14ac:dyDescent="0.25">
      <c r="A65" s="1141" t="s">
        <v>1103</v>
      </c>
      <c r="B65" s="898">
        <v>4872244561</v>
      </c>
      <c r="C65" s="898">
        <v>5172005441</v>
      </c>
      <c r="D65" s="1111">
        <f t="shared" si="19"/>
        <v>6.1524185875118674E-2</v>
      </c>
      <c r="E65" s="898">
        <v>5799474816</v>
      </c>
      <c r="F65" s="1111">
        <f t="shared" si="20"/>
        <v>0.12132032383915661</v>
      </c>
      <c r="G65" s="898">
        <v>6252280399</v>
      </c>
      <c r="H65" s="1111">
        <f t="shared" si="21"/>
        <v>7.8076997894838351E-2</v>
      </c>
      <c r="I65" s="898">
        <v>6820702500</v>
      </c>
      <c r="J65" s="1111">
        <f t="shared" si="22"/>
        <v>9.0914364795749464E-2</v>
      </c>
      <c r="K65" s="898">
        <v>7546055176</v>
      </c>
      <c r="L65" s="1111">
        <f t="shared" si="23"/>
        <v>0.1063457431254332</v>
      </c>
      <c r="M65" s="1088"/>
      <c r="N65" s="1111"/>
      <c r="O65" s="1088"/>
      <c r="P65" s="1111"/>
      <c r="Q65" s="1088"/>
      <c r="R65" s="1088"/>
      <c r="S65" s="1088"/>
      <c r="T65" s="1088"/>
      <c r="U65" s="1088">
        <f t="shared" si="28"/>
        <v>0</v>
      </c>
      <c r="V65" s="1111"/>
      <c r="W65" s="1111">
        <f t="shared" si="30"/>
        <v>0</v>
      </c>
      <c r="X65" s="1088">
        <f t="shared" si="11"/>
        <v>0</v>
      </c>
    </row>
    <row r="66" spans="1:25" ht="25.5" x14ac:dyDescent="0.25">
      <c r="A66" s="1141" t="s">
        <v>1104</v>
      </c>
      <c r="B66" s="898">
        <v>497850292</v>
      </c>
      <c r="C66" s="898">
        <v>331053944</v>
      </c>
      <c r="D66" s="1111">
        <f t="shared" si="19"/>
        <v>-0.33503314285492075</v>
      </c>
      <c r="E66" s="898">
        <v>1165770164</v>
      </c>
      <c r="F66" s="1111">
        <f t="shared" si="20"/>
        <v>2.5213903508124345</v>
      </c>
      <c r="G66" s="898">
        <v>0</v>
      </c>
      <c r="H66" s="1111">
        <f t="shared" si="21"/>
        <v>-1</v>
      </c>
      <c r="I66" s="898">
        <v>0</v>
      </c>
      <c r="J66" s="1111"/>
      <c r="K66" s="898">
        <v>0</v>
      </c>
      <c r="L66" s="1111"/>
      <c r="M66" s="1088"/>
      <c r="N66" s="1111"/>
      <c r="O66" s="1088">
        <f>+'Ingresos 2022'!AE235</f>
        <v>20731219763</v>
      </c>
      <c r="P66" s="1111"/>
      <c r="Q66" s="1088"/>
      <c r="R66" s="1088"/>
      <c r="S66" s="1088"/>
      <c r="T66" s="1088"/>
      <c r="U66" s="1088">
        <f t="shared" si="28"/>
        <v>0</v>
      </c>
      <c r="V66" s="1111">
        <f t="shared" si="29"/>
        <v>-1</v>
      </c>
      <c r="W66" s="1111">
        <f t="shared" si="30"/>
        <v>-0.33333333333333331</v>
      </c>
      <c r="X66" s="1088">
        <f t="shared" si="11"/>
        <v>0</v>
      </c>
    </row>
    <row r="67" spans="1:25" x14ac:dyDescent="0.25">
      <c r="A67" s="1141" t="s">
        <v>1105</v>
      </c>
      <c r="B67" s="898">
        <v>0</v>
      </c>
      <c r="C67" s="898">
        <v>2286422317</v>
      </c>
      <c r="D67" s="1111"/>
      <c r="E67" s="898">
        <v>1674921512</v>
      </c>
      <c r="F67" s="1111">
        <f t="shared" si="20"/>
        <v>-0.26744875627453912</v>
      </c>
      <c r="G67" s="898">
        <v>473723491</v>
      </c>
      <c r="H67" s="1111">
        <f t="shared" si="21"/>
        <v>-0.71716675222928294</v>
      </c>
      <c r="I67" s="898">
        <v>208780149</v>
      </c>
      <c r="J67" s="1111">
        <f t="shared" si="22"/>
        <v>-0.55927845469668713</v>
      </c>
      <c r="K67" s="898">
        <v>2132055875</v>
      </c>
      <c r="L67" s="1111">
        <f t="shared" si="23"/>
        <v>9.2119664403534838</v>
      </c>
      <c r="M67" s="1088"/>
      <c r="N67" s="1111"/>
      <c r="O67" s="1088"/>
      <c r="P67" s="1111"/>
      <c r="Q67" s="1088"/>
      <c r="R67" s="1088"/>
      <c r="S67" s="1088"/>
      <c r="T67" s="1088"/>
      <c r="U67" s="1088">
        <f t="shared" si="28"/>
        <v>0</v>
      </c>
      <c r="V67" s="1111"/>
      <c r="W67" s="1111">
        <f t="shared" si="30"/>
        <v>0</v>
      </c>
      <c r="X67" s="1088">
        <f t="shared" si="11"/>
        <v>0</v>
      </c>
      <c r="Y67" s="1195">
        <v>684320000</v>
      </c>
    </row>
    <row r="68" spans="1:25" x14ac:dyDescent="0.25">
      <c r="A68" s="1141" t="s">
        <v>1106</v>
      </c>
      <c r="B68" s="898">
        <v>0</v>
      </c>
      <c r="C68" s="898">
        <v>0</v>
      </c>
      <c r="D68" s="1111"/>
      <c r="E68" s="898">
        <v>0</v>
      </c>
      <c r="F68" s="1111"/>
      <c r="G68" s="898">
        <v>1398927989</v>
      </c>
      <c r="H68" s="1111"/>
      <c r="I68" s="898">
        <v>1066978976</v>
      </c>
      <c r="J68" s="1111">
        <f t="shared" si="22"/>
        <v>-0.23728813463607096</v>
      </c>
      <c r="K68" s="898"/>
      <c r="L68" s="1111">
        <f t="shared" si="23"/>
        <v>-1</v>
      </c>
      <c r="M68" s="1088">
        <v>1522780551</v>
      </c>
      <c r="N68" s="1111" t="e">
        <f t="shared" si="24"/>
        <v>#DIV/0!</v>
      </c>
      <c r="O68" s="1088"/>
      <c r="P68" s="1111">
        <f t="shared" ref="P68:P69" si="35">+(O68-M68)/M68</f>
        <v>-1</v>
      </c>
      <c r="R68" s="1088"/>
      <c r="S68" s="1088"/>
      <c r="T68" s="1088"/>
      <c r="U68" s="1088">
        <f t="shared" si="28"/>
        <v>0</v>
      </c>
      <c r="V68" s="1111"/>
      <c r="W68" s="1111"/>
      <c r="X68" s="1088">
        <f t="shared" ref="X68:X131" si="36">+U68*W68+U68</f>
        <v>0</v>
      </c>
      <c r="Y68" s="1195">
        <v>1559043000</v>
      </c>
    </row>
    <row r="69" spans="1:25" s="54" customFormat="1" x14ac:dyDescent="0.25">
      <c r="A69" s="1141" t="s">
        <v>1107</v>
      </c>
      <c r="B69" s="898">
        <v>1047079382</v>
      </c>
      <c r="C69" s="898">
        <v>900118982</v>
      </c>
      <c r="D69" s="1111">
        <f t="shared" si="19"/>
        <v>-0.14035268244829216</v>
      </c>
      <c r="E69" s="898">
        <v>6689359708</v>
      </c>
      <c r="F69" s="1111">
        <f t="shared" si="20"/>
        <v>6.4316394185318932</v>
      </c>
      <c r="G69" s="898">
        <v>6824682132</v>
      </c>
      <c r="H69" s="1111">
        <f t="shared" si="21"/>
        <v>2.0229503256965532E-2</v>
      </c>
      <c r="I69" s="898">
        <v>11854075866</v>
      </c>
      <c r="J69" s="1111">
        <f t="shared" si="22"/>
        <v>0.73694182919052909</v>
      </c>
      <c r="K69" s="898">
        <v>394351422</v>
      </c>
      <c r="L69" s="1111">
        <f t="shared" si="23"/>
        <v>-0.96673284139077564</v>
      </c>
      <c r="M69" s="1088">
        <v>10566387719</v>
      </c>
      <c r="N69" s="1111">
        <f t="shared" si="24"/>
        <v>25.794344154792981</v>
      </c>
      <c r="O69" s="1088"/>
      <c r="P69" s="1111">
        <f t="shared" si="35"/>
        <v>-1</v>
      </c>
      <c r="Q69" s="1088">
        <f>+'Ingresos 2023'!I245</f>
        <v>9236000000</v>
      </c>
      <c r="R69" s="1088">
        <f>+'Ingresos 2023'!J245</f>
        <v>9236000000</v>
      </c>
      <c r="S69" s="1088">
        <f>+'Ingresos 2023'!K245</f>
        <v>4140227694</v>
      </c>
      <c r="T69" s="1088">
        <f>+'Recaudo Julio Dic 2022'!E151</f>
        <v>3952676463</v>
      </c>
      <c r="U69" s="1088">
        <f t="shared" si="28"/>
        <v>8092904157</v>
      </c>
      <c r="V69" s="1111"/>
      <c r="W69" s="1111">
        <f t="shared" si="30"/>
        <v>8.264781384930993</v>
      </c>
      <c r="X69" s="1088">
        <f t="shared" si="36"/>
        <v>74978987783.80426</v>
      </c>
      <c r="Y69" s="1195">
        <v>9901550847</v>
      </c>
    </row>
    <row r="70" spans="1:25" x14ac:dyDescent="0.25">
      <c r="A70" s="1141" t="s">
        <v>1108</v>
      </c>
      <c r="B70" s="898">
        <v>358399623</v>
      </c>
      <c r="C70" s="898">
        <v>1007986508</v>
      </c>
      <c r="D70" s="1111">
        <f t="shared" si="19"/>
        <v>1.812465313335444</v>
      </c>
      <c r="E70" s="898">
        <v>865977334</v>
      </c>
      <c r="F70" s="1111">
        <f t="shared" si="20"/>
        <v>-0.14088400278468807</v>
      </c>
      <c r="G70" s="898">
        <v>0</v>
      </c>
      <c r="H70" s="1111">
        <f t="shared" si="21"/>
        <v>-1</v>
      </c>
      <c r="I70" s="898">
        <v>0</v>
      </c>
      <c r="J70" s="1111"/>
      <c r="K70" s="898">
        <v>0</v>
      </c>
      <c r="L70" s="1111"/>
      <c r="M70" s="1088"/>
      <c r="N70" s="1111"/>
      <c r="O70" s="1088"/>
      <c r="P70" s="1111"/>
      <c r="Q70" s="1088"/>
      <c r="R70" s="1088"/>
      <c r="S70" s="1088"/>
      <c r="T70" s="1088"/>
      <c r="U70" s="1088">
        <f t="shared" si="28"/>
        <v>0</v>
      </c>
      <c r="V70" s="1111"/>
      <c r="W70" s="1111">
        <f t="shared" si="30"/>
        <v>0</v>
      </c>
      <c r="X70" s="1088">
        <f t="shared" si="36"/>
        <v>0</v>
      </c>
    </row>
    <row r="71" spans="1:25" x14ac:dyDescent="0.25">
      <c r="A71" s="1141" t="s">
        <v>1109</v>
      </c>
      <c r="B71" s="898">
        <v>0</v>
      </c>
      <c r="C71" s="898">
        <v>0</v>
      </c>
      <c r="D71" s="1111"/>
      <c r="E71" s="898">
        <f>736918016.46+133472408</f>
        <v>870390424.46000004</v>
      </c>
      <c r="F71" s="1111"/>
      <c r="G71" s="898">
        <v>541130170</v>
      </c>
      <c r="H71" s="1111">
        <f t="shared" si="21"/>
        <v>-0.37829029962533972</v>
      </c>
      <c r="I71" s="898">
        <v>909383464.76999998</v>
      </c>
      <c r="J71" s="1111">
        <f t="shared" si="22"/>
        <v>0.68052626740438438</v>
      </c>
      <c r="K71" s="898">
        <v>1577225437.5699999</v>
      </c>
      <c r="L71" s="1111">
        <f t="shared" si="23"/>
        <v>0.73438983517135936</v>
      </c>
      <c r="M71" s="1088">
        <v>562401771.39999998</v>
      </c>
      <c r="N71" s="1111">
        <f t="shared" si="24"/>
        <v>-0.64342334456228323</v>
      </c>
      <c r="O71" s="1088"/>
      <c r="P71" s="1111">
        <f t="shared" ref="P71" si="37">+(O71-M71)/M71</f>
        <v>-1</v>
      </c>
      <c r="Q71" s="1088"/>
      <c r="R71" s="1088"/>
      <c r="S71" s="1088"/>
      <c r="T71" s="1088"/>
      <c r="U71" s="1088">
        <f t="shared" si="28"/>
        <v>0</v>
      </c>
      <c r="V71" s="1111"/>
      <c r="W71" s="1111">
        <f t="shared" si="30"/>
        <v>-0.54780778152076104</v>
      </c>
      <c r="X71" s="1088">
        <f t="shared" si="36"/>
        <v>0</v>
      </c>
    </row>
    <row r="72" spans="1:25" ht="25.5" x14ac:dyDescent="0.25">
      <c r="A72" s="1141" t="s">
        <v>1110</v>
      </c>
      <c r="B72" s="898"/>
      <c r="C72" s="898"/>
      <c r="D72" s="1111"/>
      <c r="E72" s="898"/>
      <c r="F72" s="1111"/>
      <c r="G72" s="898"/>
      <c r="H72" s="1111"/>
      <c r="I72" s="898"/>
      <c r="J72" s="1111"/>
      <c r="K72" s="898">
        <v>11808385933</v>
      </c>
      <c r="L72" s="1111"/>
      <c r="M72" s="1088"/>
      <c r="N72" s="1111"/>
      <c r="O72" s="1088">
        <f>+'Ingresos 2022'!AE242</f>
        <v>9333161322</v>
      </c>
      <c r="P72" s="1111"/>
      <c r="Q72" s="1088"/>
      <c r="R72" s="1088"/>
      <c r="S72" s="1088"/>
      <c r="T72" s="1088"/>
      <c r="U72" s="1088">
        <f t="shared" si="28"/>
        <v>0</v>
      </c>
      <c r="V72" s="1111">
        <f t="shared" si="29"/>
        <v>-1</v>
      </c>
      <c r="W72" s="1111">
        <f t="shared" si="30"/>
        <v>-0.33333333333333331</v>
      </c>
      <c r="X72" s="1088">
        <f t="shared" si="36"/>
        <v>0</v>
      </c>
    </row>
    <row r="73" spans="1:25" x14ac:dyDescent="0.25">
      <c r="A73" s="1141" t="s">
        <v>1111</v>
      </c>
      <c r="B73" s="898">
        <v>198879475.44999999</v>
      </c>
      <c r="C73" s="898">
        <v>235082680.68000001</v>
      </c>
      <c r="D73" s="1111">
        <f t="shared" si="19"/>
        <v>0.18203590465071301</v>
      </c>
      <c r="E73" s="898">
        <v>157562150.88999999</v>
      </c>
      <c r="F73" s="1111">
        <f t="shared" si="20"/>
        <v>-0.32975857500758537</v>
      </c>
      <c r="G73" s="898">
        <v>73380582.859999999</v>
      </c>
      <c r="H73" s="1111">
        <f t="shared" si="21"/>
        <v>-0.53427531646715254</v>
      </c>
      <c r="I73" s="898">
        <v>38632920.229999997</v>
      </c>
      <c r="J73" s="1111">
        <f t="shared" si="22"/>
        <v>-0.47352666435334451</v>
      </c>
      <c r="K73" s="898">
        <v>20045809.960000001</v>
      </c>
      <c r="L73" s="1111">
        <f t="shared" si="23"/>
        <v>-0.48112102733477463</v>
      </c>
      <c r="M73" s="1088">
        <v>5298684.09</v>
      </c>
      <c r="N73" s="1111">
        <f t="shared" si="24"/>
        <v>-0.73567123999613138</v>
      </c>
      <c r="O73" s="1088">
        <f>+'Ingresos 2022'!AE251</f>
        <v>234111300.41999999</v>
      </c>
      <c r="P73" s="1111">
        <f t="shared" ref="P73:P74" si="38">+(O73-M73)/M73</f>
        <v>43.182913425963463</v>
      </c>
      <c r="Q73" s="1088"/>
      <c r="R73" s="1088"/>
      <c r="S73" s="1088"/>
      <c r="T73" s="1088"/>
      <c r="U73" s="1088">
        <f t="shared" si="28"/>
        <v>0</v>
      </c>
      <c r="V73" s="1111">
        <f t="shared" si="29"/>
        <v>-1</v>
      </c>
      <c r="W73" s="1111">
        <f t="shared" si="30"/>
        <v>13.815747395322445</v>
      </c>
      <c r="X73" s="1088">
        <f t="shared" si="36"/>
        <v>0</v>
      </c>
    </row>
    <row r="74" spans="1:25" x14ac:dyDescent="0.25">
      <c r="A74" s="1141" t="s">
        <v>606</v>
      </c>
      <c r="B74" s="898">
        <v>24474611</v>
      </c>
      <c r="C74" s="898">
        <v>0</v>
      </c>
      <c r="D74" s="1111">
        <f t="shared" si="19"/>
        <v>-1</v>
      </c>
      <c r="E74" s="898">
        <v>0</v>
      </c>
      <c r="F74" s="1111"/>
      <c r="G74" s="898">
        <v>93678610</v>
      </c>
      <c r="H74" s="1111"/>
      <c r="I74" s="898">
        <v>21516737</v>
      </c>
      <c r="J74" s="1111">
        <f t="shared" si="22"/>
        <v>-0.77031323372539362</v>
      </c>
      <c r="K74" s="898">
        <v>20634024</v>
      </c>
      <c r="L74" s="1111">
        <f t="shared" si="23"/>
        <v>-4.1024482476130095E-2</v>
      </c>
      <c r="M74" s="1088">
        <v>253619883</v>
      </c>
      <c r="N74" s="1111">
        <f t="shared" si="24"/>
        <v>11.291343801868216</v>
      </c>
      <c r="O74" s="1088">
        <f>+'Ingresos 2022'!AE268</f>
        <v>23082837</v>
      </c>
      <c r="P74" s="1111">
        <f t="shared" si="38"/>
        <v>-0.90898648510140667</v>
      </c>
      <c r="Q74" s="1088">
        <f>+'Ingresos 2023'!I270</f>
        <v>80000000</v>
      </c>
      <c r="R74" s="1088">
        <f>+'Ingresos 2023'!J270</f>
        <v>80000000</v>
      </c>
      <c r="S74" s="1088">
        <f>+'Ingresos 2023'!K270</f>
        <v>118401854</v>
      </c>
      <c r="T74" s="1088">
        <f>+'Recaudo Julio Dic 2022'!E162+'Recaudo Julio Dic 2022'!E165+'Recaudo Julio Dic 2022'!E166</f>
        <v>18002872</v>
      </c>
      <c r="U74" s="1088">
        <f t="shared" si="28"/>
        <v>136404726</v>
      </c>
      <c r="V74" s="1111">
        <f t="shared" si="29"/>
        <v>4.909357069063911</v>
      </c>
      <c r="W74" s="1111">
        <f t="shared" si="30"/>
        <v>5.0972381286102397</v>
      </c>
      <c r="X74" s="1088">
        <f t="shared" si="36"/>
        <v>831692096.28983247</v>
      </c>
    </row>
    <row r="75" spans="1:25" s="54" customFormat="1" x14ac:dyDescent="0.25">
      <c r="A75" s="1141">
        <v>0</v>
      </c>
      <c r="B75" s="898">
        <v>0</v>
      </c>
      <c r="C75" s="898">
        <v>0</v>
      </c>
      <c r="D75" s="1111"/>
      <c r="E75" s="898">
        <v>0</v>
      </c>
      <c r="F75" s="1111"/>
      <c r="G75" s="898">
        <v>0</v>
      </c>
      <c r="H75" s="1111"/>
      <c r="I75" s="898">
        <v>0</v>
      </c>
      <c r="J75" s="1111"/>
      <c r="K75" s="898">
        <v>0</v>
      </c>
      <c r="L75" s="1111"/>
      <c r="M75" s="1088"/>
      <c r="N75" s="1111"/>
      <c r="O75" s="1088"/>
      <c r="P75" s="1111"/>
      <c r="Q75" s="1088"/>
      <c r="R75" s="1088"/>
      <c r="S75" s="1088"/>
      <c r="T75" s="1088"/>
      <c r="U75" s="1088">
        <f t="shared" si="28"/>
        <v>0</v>
      </c>
      <c r="V75" s="1111"/>
      <c r="W75" s="1111">
        <f t="shared" si="30"/>
        <v>0</v>
      </c>
      <c r="X75" s="1088">
        <f t="shared" si="36"/>
        <v>0</v>
      </c>
      <c r="Y75" s="1195"/>
    </row>
    <row r="76" spans="1:25" x14ac:dyDescent="0.2">
      <c r="A76" s="1141" t="s">
        <v>1112</v>
      </c>
      <c r="B76" s="898">
        <v>5881374.3399999999</v>
      </c>
      <c r="C76" s="898">
        <v>8053072.2999999998</v>
      </c>
      <c r="D76" s="1111">
        <f t="shared" si="19"/>
        <v>0.36925008245606755</v>
      </c>
      <c r="E76" s="898">
        <v>4959871</v>
      </c>
      <c r="F76" s="1111">
        <f t="shared" si="20"/>
        <v>-0.3841020153264984</v>
      </c>
      <c r="G76" s="898">
        <v>90796581.239999995</v>
      </c>
      <c r="H76" s="1111">
        <f t="shared" si="21"/>
        <v>17.306238456605019</v>
      </c>
      <c r="I76" s="898">
        <v>58528086.950000003</v>
      </c>
      <c r="J76" s="1111">
        <f t="shared" si="22"/>
        <v>-0.35539327416640948</v>
      </c>
      <c r="K76" s="898">
        <v>177233425.88</v>
      </c>
      <c r="L76" s="1111">
        <f t="shared" si="23"/>
        <v>2.0281773267492724</v>
      </c>
      <c r="M76" s="1088">
        <v>4410980.9400000004</v>
      </c>
      <c r="N76" s="1111">
        <f t="shared" si="24"/>
        <v>-0.97511202574740863</v>
      </c>
      <c r="O76" s="1088"/>
      <c r="P76" s="1111">
        <f t="shared" ref="P76" si="39">+(O76-M76)/M76</f>
        <v>-1</v>
      </c>
      <c r="Q76" s="1088">
        <f>+'Ingresos 2023'!I255</f>
        <v>10000000</v>
      </c>
      <c r="R76" s="1088">
        <f>+'Ingresos 2023'!J255</f>
        <v>0</v>
      </c>
      <c r="S76" s="1088">
        <f>+'Ingresos 2023'!K255</f>
        <v>0</v>
      </c>
      <c r="T76" s="1088">
        <f>+'Recaudo Julio Dic 2022'!E153</f>
        <v>0</v>
      </c>
      <c r="U76" s="1088">
        <f t="shared" si="28"/>
        <v>0</v>
      </c>
      <c r="V76" s="1111"/>
      <c r="W76" s="1111">
        <f t="shared" si="30"/>
        <v>-0.65837067524913617</v>
      </c>
      <c r="X76" s="1088">
        <f t="shared" si="36"/>
        <v>0</v>
      </c>
      <c r="Y76" s="1198">
        <v>10000000</v>
      </c>
    </row>
    <row r="77" spans="1:25" x14ac:dyDescent="0.2">
      <c r="A77" s="1141" t="s">
        <v>1113</v>
      </c>
      <c r="B77" s="898"/>
      <c r="C77" s="898"/>
      <c r="D77" s="1111"/>
      <c r="E77" s="898"/>
      <c r="F77" s="1111"/>
      <c r="G77" s="898"/>
      <c r="H77" s="1111"/>
      <c r="I77" s="898"/>
      <c r="J77" s="1111"/>
      <c r="K77" s="898"/>
      <c r="L77" s="1111"/>
      <c r="M77" s="1088"/>
      <c r="N77" s="1111"/>
      <c r="O77" s="1088"/>
      <c r="P77" s="1111"/>
      <c r="Q77" s="1088">
        <f>+'Ingresos 2023'!I254</f>
        <v>5000000</v>
      </c>
      <c r="R77" s="1088">
        <f>+'Ingresos 2023'!J254</f>
        <v>5000000</v>
      </c>
      <c r="S77" s="1088">
        <f>+'Ingresos 2023'!K254</f>
        <v>273855277.16000003</v>
      </c>
      <c r="T77" s="1088">
        <f>+'Recaudo Julio Dic 2022'!E152+'Recaudo Julio Dic 2022'!E153+'Recaudo Julio Dic 2022'!E154+'Recaudo Julio Dic 2022'!E155+'Recaudo Julio Dic 2022'!E157</f>
        <v>193284224.72</v>
      </c>
      <c r="U77" s="1088">
        <f t="shared" si="28"/>
        <v>467139501.88</v>
      </c>
      <c r="V77" s="1111"/>
      <c r="W77" s="1111">
        <f t="shared" si="30"/>
        <v>0</v>
      </c>
      <c r="X77" s="1088">
        <f t="shared" si="36"/>
        <v>467139501.88</v>
      </c>
      <c r="Y77" s="1198">
        <v>248000000</v>
      </c>
    </row>
    <row r="78" spans="1:25" x14ac:dyDescent="0.25">
      <c r="A78" s="1141" t="s">
        <v>1114</v>
      </c>
      <c r="B78" s="898">
        <v>2128283261.3399999</v>
      </c>
      <c r="C78" s="898">
        <v>6133536837.29</v>
      </c>
      <c r="D78" s="1111">
        <f t="shared" si="19"/>
        <v>1.8819175288858074</v>
      </c>
      <c r="E78" s="898">
        <v>3666040891.6500001</v>
      </c>
      <c r="F78" s="1111">
        <f t="shared" si="20"/>
        <v>-0.40229577340081996</v>
      </c>
      <c r="G78" s="898">
        <v>4490728943</v>
      </c>
      <c r="H78" s="1111">
        <f t="shared" si="21"/>
        <v>0.22495331495847742</v>
      </c>
      <c r="I78" s="898">
        <v>2272305201.3899999</v>
      </c>
      <c r="J78" s="1111">
        <f t="shared" si="22"/>
        <v>-0.49400081139789248</v>
      </c>
      <c r="K78" s="898">
        <v>1248334786.3299999</v>
      </c>
      <c r="L78" s="1111">
        <f t="shared" si="23"/>
        <v>-0.45063066987375788</v>
      </c>
      <c r="M78" s="1088">
        <v>3427374935.3200002</v>
      </c>
      <c r="N78" s="1111">
        <f t="shared" si="24"/>
        <v>1.7455575001608314</v>
      </c>
      <c r="O78" s="1088"/>
      <c r="P78" s="1111">
        <f t="shared" ref="P78" si="40">+(O78-M78)/M78</f>
        <v>-1</v>
      </c>
      <c r="Q78" s="1088"/>
      <c r="R78" s="1088"/>
      <c r="S78" s="1088"/>
      <c r="T78" s="1088"/>
      <c r="U78" s="1088">
        <f t="shared" si="28"/>
        <v>0</v>
      </c>
      <c r="V78" s="1111"/>
      <c r="W78" s="1111">
        <f t="shared" si="30"/>
        <v>0.24851916672027716</v>
      </c>
      <c r="X78" s="1088">
        <f t="shared" si="36"/>
        <v>0</v>
      </c>
    </row>
    <row r="79" spans="1:25" x14ac:dyDescent="0.25">
      <c r="A79" s="1141" t="s">
        <v>1115</v>
      </c>
      <c r="B79" s="898"/>
      <c r="C79" s="898"/>
      <c r="D79" s="1111"/>
      <c r="E79" s="898"/>
      <c r="F79" s="1111"/>
      <c r="G79" s="898"/>
      <c r="H79" s="1111"/>
      <c r="I79" s="898"/>
      <c r="J79" s="1111"/>
      <c r="K79" s="898">
        <v>1792012887.96</v>
      </c>
      <c r="L79" s="1111"/>
      <c r="M79" s="1088"/>
      <c r="N79" s="1111"/>
      <c r="O79" s="1088"/>
      <c r="P79" s="1111"/>
      <c r="Q79" s="1088"/>
      <c r="R79" s="1088"/>
      <c r="S79" s="1088"/>
      <c r="T79" s="1088"/>
      <c r="U79" s="1088">
        <f t="shared" si="28"/>
        <v>0</v>
      </c>
      <c r="V79" s="1111"/>
      <c r="W79" s="1111">
        <f t="shared" si="30"/>
        <v>0</v>
      </c>
      <c r="X79" s="1088">
        <f t="shared" si="36"/>
        <v>0</v>
      </c>
    </row>
    <row r="80" spans="1:25" x14ac:dyDescent="0.25">
      <c r="A80" s="1141" t="s">
        <v>1118</v>
      </c>
      <c r="B80" s="898">
        <v>3268453697</v>
      </c>
      <c r="C80" s="898">
        <v>2679025225</v>
      </c>
      <c r="D80" s="1111">
        <f t="shared" si="19"/>
        <v>-0.18033863307931083</v>
      </c>
      <c r="E80" s="898">
        <v>4023301690</v>
      </c>
      <c r="F80" s="1111">
        <f t="shared" si="20"/>
        <v>0.50177820367480863</v>
      </c>
      <c r="G80" s="898">
        <v>4015575201</v>
      </c>
      <c r="H80" s="1111">
        <f t="shared" si="21"/>
        <v>-1.9204349052929213E-3</v>
      </c>
      <c r="I80" s="898">
        <v>5489644949</v>
      </c>
      <c r="J80" s="1111">
        <f t="shared" si="22"/>
        <v>0.3670880693836619</v>
      </c>
      <c r="K80" s="898">
        <v>653194793</v>
      </c>
      <c r="L80" s="1111">
        <f t="shared" si="23"/>
        <v>-0.88101328973579851</v>
      </c>
      <c r="M80" s="1088">
        <v>0</v>
      </c>
      <c r="N80" s="1111">
        <f t="shared" si="24"/>
        <v>-1</v>
      </c>
      <c r="O80" s="1088">
        <v>0</v>
      </c>
      <c r="P80" s="1111">
        <v>0</v>
      </c>
      <c r="Q80" s="1088"/>
      <c r="R80" s="1088"/>
      <c r="S80" s="1088"/>
      <c r="T80" s="1088">
        <v>0</v>
      </c>
      <c r="U80" s="1088">
        <f t="shared" si="28"/>
        <v>0</v>
      </c>
      <c r="V80" s="1111"/>
      <c r="W80" s="1111">
        <f t="shared" si="30"/>
        <v>-0.33333333333333331</v>
      </c>
      <c r="X80" s="1088">
        <f t="shared" si="36"/>
        <v>0</v>
      </c>
    </row>
    <row r="81" spans="1:27" s="54" customFormat="1" x14ac:dyDescent="0.25">
      <c r="A81" s="1141" t="s">
        <v>1119</v>
      </c>
      <c r="B81" s="898">
        <v>3071600187</v>
      </c>
      <c r="C81" s="898">
        <v>3336122674</v>
      </c>
      <c r="D81" s="1111">
        <f t="shared" si="19"/>
        <v>8.6118788545314018E-2</v>
      </c>
      <c r="E81" s="898">
        <v>3766060273</v>
      </c>
      <c r="F81" s="1111">
        <f t="shared" si="20"/>
        <v>0.12887343812345672</v>
      </c>
      <c r="G81" s="898">
        <v>3649631270</v>
      </c>
      <c r="H81" s="1111">
        <f t="shared" si="21"/>
        <v>-3.0915331821615804E-2</v>
      </c>
      <c r="I81" s="898">
        <v>4170349428</v>
      </c>
      <c r="J81" s="1111">
        <f t="shared" si="22"/>
        <v>0.14267692253743761</v>
      </c>
      <c r="K81" s="898">
        <v>4088510241</v>
      </c>
      <c r="L81" s="1111">
        <f t="shared" si="23"/>
        <v>-1.9624059905034894E-2</v>
      </c>
      <c r="M81" s="1088">
        <v>4274847597</v>
      </c>
      <c r="N81" s="1111">
        <f t="shared" si="24"/>
        <v>4.5575856489581436E-2</v>
      </c>
      <c r="O81" s="1088">
        <f>+'Ingresos 2022'!AE323</f>
        <v>4619672480</v>
      </c>
      <c r="P81" s="1111">
        <f t="shared" ref="P81:P82" si="41">+(O81-M81)/M81</f>
        <v>8.0663666990605939E-2</v>
      </c>
      <c r="Q81" s="1088">
        <f>+'Ingresos 2023'!I322</f>
        <v>4758262654</v>
      </c>
      <c r="R81" s="1088">
        <f>+'Ingresos 2023'!J322</f>
        <v>4830048704</v>
      </c>
      <c r="S81" s="1088">
        <f>+'Ingresos 2023'!K322</f>
        <v>2449563763</v>
      </c>
      <c r="T81" s="1088">
        <f>+'Recaudo Julio Dic 2022'!E196</f>
        <v>2329798340</v>
      </c>
      <c r="U81" s="1088">
        <f t="shared" si="28"/>
        <v>4779362103</v>
      </c>
      <c r="V81" s="1111">
        <f t="shared" si="29"/>
        <v>3.4567304000737299E-2</v>
      </c>
      <c r="W81" s="1111">
        <f t="shared" si="30"/>
        <v>5.3602275826974889E-2</v>
      </c>
      <c r="X81" s="1088">
        <f t="shared" si="36"/>
        <v>5035546788.7219963</v>
      </c>
      <c r="Y81" s="1195">
        <f>+R81*1.12</f>
        <v>5409654548.4800005</v>
      </c>
    </row>
    <row r="82" spans="1:27" x14ac:dyDescent="0.25">
      <c r="A82" s="1141" t="s">
        <v>1120</v>
      </c>
      <c r="B82" s="898">
        <v>4240932615</v>
      </c>
      <c r="C82" s="898">
        <v>4368160593</v>
      </c>
      <c r="D82" s="1111">
        <f t="shared" si="19"/>
        <v>2.9999999893891263E-2</v>
      </c>
      <c r="E82" s="898">
        <v>3775114443</v>
      </c>
      <c r="F82" s="1111">
        <f t="shared" si="20"/>
        <v>-0.13576564720407933</v>
      </c>
      <c r="G82" s="898">
        <v>3775114443</v>
      </c>
      <c r="H82" s="1111">
        <f t="shared" si="21"/>
        <v>0</v>
      </c>
      <c r="I82" s="898">
        <v>3775114443</v>
      </c>
      <c r="J82" s="1111">
        <f t="shared" si="22"/>
        <v>0</v>
      </c>
      <c r="K82" s="898">
        <v>1496346983</v>
      </c>
      <c r="L82" s="1111">
        <f t="shared" si="23"/>
        <v>-0.60362870964757132</v>
      </c>
      <c r="M82" s="1088">
        <v>1724393294</v>
      </c>
      <c r="N82" s="1111">
        <f t="shared" si="24"/>
        <v>0.15240202545989295</v>
      </c>
      <c r="O82" s="1088">
        <f>+'Ingresos 2022'!AE324</f>
        <v>1609813922</v>
      </c>
      <c r="P82" s="1111">
        <f t="shared" si="41"/>
        <v>-6.6446194379598422E-2</v>
      </c>
      <c r="Q82" s="1088">
        <f>+'Ingresos 2023'!I323</f>
        <v>1809933809</v>
      </c>
      <c r="R82" s="1088">
        <f>+'Ingresos 2023'!J323</f>
        <v>1917938890</v>
      </c>
      <c r="S82" s="1088">
        <f>+'Ingresos 2023'!K323</f>
        <v>966823936</v>
      </c>
      <c r="T82" s="1088">
        <f>+'Recaudo Julio Dic 2022'!E197</f>
        <v>737016825</v>
      </c>
      <c r="U82" s="1088">
        <f t="shared" si="28"/>
        <v>1703840761</v>
      </c>
      <c r="V82" s="1111">
        <f t="shared" si="29"/>
        <v>5.8408513999669585E-2</v>
      </c>
      <c r="W82" s="1111">
        <f t="shared" si="30"/>
        <v>4.8121448359988044E-2</v>
      </c>
      <c r="X82" s="1088">
        <f t="shared" si="36"/>
        <v>1785832046.1941042</v>
      </c>
      <c r="Y82" s="1195">
        <f>+R82*1.12</f>
        <v>2148091556.8000002</v>
      </c>
    </row>
    <row r="83" spans="1:27" x14ac:dyDescent="0.25">
      <c r="A83" s="1141" t="s">
        <v>1122</v>
      </c>
      <c r="B83" s="898">
        <v>272945318.36000001</v>
      </c>
      <c r="C83" s="898">
        <v>216964466.78999999</v>
      </c>
      <c r="D83" s="1111">
        <f t="shared" si="19"/>
        <v>-0.20509914552249006</v>
      </c>
      <c r="E83" s="898">
        <v>377820579.46999997</v>
      </c>
      <c r="F83" s="1111">
        <f t="shared" si="20"/>
        <v>0.74139381005504779</v>
      </c>
      <c r="G83" s="898">
        <v>1108946309.4400001</v>
      </c>
      <c r="H83" s="1111">
        <f t="shared" si="21"/>
        <v>1.9351135689739565</v>
      </c>
      <c r="I83" s="898">
        <v>301206237.25000006</v>
      </c>
      <c r="J83" s="1111">
        <f t="shared" si="22"/>
        <v>-0.72838519350670428</v>
      </c>
      <c r="K83" s="898">
        <v>54947427.200000003</v>
      </c>
      <c r="L83" s="1111">
        <f t="shared" si="23"/>
        <v>-0.81757540049081445</v>
      </c>
      <c r="M83" s="1088">
        <v>73668570.230000004</v>
      </c>
      <c r="N83" s="1111">
        <f t="shared" si="24"/>
        <v>0.34071009297410743</v>
      </c>
      <c r="O83" s="1088"/>
      <c r="P83" s="1111">
        <f t="shared" ref="P83:P84" si="42">+(O83-M83)/M83</f>
        <v>-1</v>
      </c>
      <c r="Q83" s="1088"/>
      <c r="R83" s="1088"/>
      <c r="S83" s="1088"/>
      <c r="T83" s="1088"/>
      <c r="U83" s="1088">
        <f t="shared" si="28"/>
        <v>0</v>
      </c>
      <c r="V83" s="1111"/>
      <c r="W83" s="1111">
        <f t="shared" si="30"/>
        <v>-0.2197633023419642</v>
      </c>
      <c r="X83" s="1088">
        <f t="shared" si="36"/>
        <v>0</v>
      </c>
    </row>
    <row r="84" spans="1:27" x14ac:dyDescent="0.25">
      <c r="A84" s="1141" t="s">
        <v>1123</v>
      </c>
      <c r="B84" s="898"/>
      <c r="C84" s="898"/>
      <c r="D84" s="1111"/>
      <c r="E84" s="898"/>
      <c r="F84" s="1111"/>
      <c r="G84" s="898"/>
      <c r="H84" s="1111"/>
      <c r="I84" s="898"/>
      <c r="J84" s="1111"/>
      <c r="K84" s="898">
        <v>3573627166.1199999</v>
      </c>
      <c r="L84" s="1111"/>
      <c r="M84" s="1088">
        <v>6673865233.7300005</v>
      </c>
      <c r="N84" s="1111">
        <f t="shared" si="24"/>
        <v>0.8675326002113497</v>
      </c>
      <c r="O84" s="1088"/>
      <c r="P84" s="1111">
        <f t="shared" si="42"/>
        <v>-1</v>
      </c>
      <c r="Q84" s="1088"/>
      <c r="R84" s="1088"/>
      <c r="S84" s="1088"/>
      <c r="T84" s="1088"/>
      <c r="U84" s="1088">
        <f t="shared" si="28"/>
        <v>0</v>
      </c>
      <c r="V84" s="1111"/>
      <c r="W84" s="1111">
        <f t="shared" si="30"/>
        <v>-4.4155799929550099E-2</v>
      </c>
      <c r="X84" s="1088">
        <f t="shared" si="36"/>
        <v>0</v>
      </c>
    </row>
    <row r="85" spans="1:27" x14ac:dyDescent="0.25">
      <c r="A85" s="1141" t="s">
        <v>1124</v>
      </c>
      <c r="B85" s="898"/>
      <c r="C85" s="898"/>
      <c r="D85" s="1111"/>
      <c r="E85" s="898"/>
      <c r="F85" s="1111"/>
      <c r="G85" s="898"/>
      <c r="H85" s="1111"/>
      <c r="I85" s="898"/>
      <c r="J85" s="1111"/>
      <c r="K85" s="898">
        <v>51987321.829999998</v>
      </c>
      <c r="L85" s="1111"/>
      <c r="M85" s="1088"/>
      <c r="N85" s="1111"/>
      <c r="O85" s="1088"/>
      <c r="P85" s="1111"/>
      <c r="Q85" s="1088"/>
      <c r="R85" s="1088"/>
      <c r="S85" s="1088"/>
      <c r="T85" s="1088"/>
      <c r="U85" s="1088">
        <f t="shared" si="28"/>
        <v>0</v>
      </c>
      <c r="V85" s="1111"/>
      <c r="W85" s="1111">
        <f t="shared" si="30"/>
        <v>0</v>
      </c>
      <c r="X85" s="1088">
        <f t="shared" si="36"/>
        <v>0</v>
      </c>
    </row>
    <row r="86" spans="1:27" s="54" customFormat="1" x14ac:dyDescent="0.25">
      <c r="A86" s="1141" t="s">
        <v>606</v>
      </c>
      <c r="B86" s="898">
        <v>8291360</v>
      </c>
      <c r="C86" s="898">
        <v>6400000</v>
      </c>
      <c r="D86" s="1111">
        <f t="shared" si="19"/>
        <v>-0.22811215530383436</v>
      </c>
      <c r="E86" s="898">
        <v>29733926</v>
      </c>
      <c r="F86" s="1111">
        <f t="shared" si="20"/>
        <v>3.6459259374999999</v>
      </c>
      <c r="G86" s="898">
        <v>3209538</v>
      </c>
      <c r="H86" s="1111">
        <f t="shared" si="21"/>
        <v>-0.89205804843934833</v>
      </c>
      <c r="I86" s="898">
        <v>0</v>
      </c>
      <c r="J86" s="1111">
        <f t="shared" si="22"/>
        <v>-1</v>
      </c>
      <c r="K86" s="898">
        <v>4253150</v>
      </c>
      <c r="L86" s="1111"/>
      <c r="M86" s="1088">
        <v>0</v>
      </c>
      <c r="N86" s="1111">
        <f t="shared" si="24"/>
        <v>-1</v>
      </c>
      <c r="O86" s="1088">
        <v>0</v>
      </c>
      <c r="P86" s="1111"/>
      <c r="Q86" s="1088"/>
      <c r="R86" s="1088"/>
      <c r="S86" s="1088"/>
      <c r="T86" s="1088">
        <v>0</v>
      </c>
      <c r="U86" s="1088">
        <f t="shared" si="28"/>
        <v>0</v>
      </c>
      <c r="V86" s="1111"/>
      <c r="W86" s="1111">
        <f t="shared" si="30"/>
        <v>-0.33333333333333331</v>
      </c>
      <c r="X86" s="1088">
        <f t="shared" si="36"/>
        <v>0</v>
      </c>
      <c r="Y86" s="1195"/>
    </row>
    <row r="87" spans="1:27" s="54" customFormat="1" x14ac:dyDescent="0.25">
      <c r="A87" s="1141" t="s">
        <v>1126</v>
      </c>
      <c r="B87" s="898">
        <v>5789206170.0200005</v>
      </c>
      <c r="C87" s="898">
        <v>5672144131.0300007</v>
      </c>
      <c r="D87" s="1111">
        <f t="shared" si="19"/>
        <v>-2.0220741074349291E-2</v>
      </c>
      <c r="E87" s="898">
        <v>6027990334.6000004</v>
      </c>
      <c r="F87" s="1111">
        <f t="shared" si="20"/>
        <v>6.2735747778923559E-2</v>
      </c>
      <c r="G87" s="898">
        <v>7130051158.6499996</v>
      </c>
      <c r="H87" s="1111">
        <f t="shared" si="21"/>
        <v>0.18282392022500293</v>
      </c>
      <c r="I87" s="898">
        <v>7726424298.9000006</v>
      </c>
      <c r="J87" s="1111">
        <f t="shared" si="22"/>
        <v>8.3642196525686358E-2</v>
      </c>
      <c r="K87" s="898">
        <v>5002236005</v>
      </c>
      <c r="L87" s="1111">
        <f t="shared" si="23"/>
        <v>-0.35258072667428308</v>
      </c>
      <c r="M87" s="1088">
        <v>10032307360.9</v>
      </c>
      <c r="N87" s="1111">
        <f t="shared" si="24"/>
        <v>1.0055645816935019</v>
      </c>
      <c r="O87" s="1088">
        <f>+'Ingresos 2022'!AE363+'Ingresos 2022'!AE364+'Ingresos 2022'!AE365+'Ingresos 2022'!AE367+'Ingresos 2022'!AE368+'Ingresos 2022'!AE370+'Ingresos 2022'!AE375+'Ingresos 2022'!AE376+'Ingresos 2022'!AE377+'Ingresos 2022'!AE379+'Ingresos 2022'!AE380+'Ingresos 2022'!AE381</f>
        <v>12107285385.5</v>
      </c>
      <c r="P87" s="1111">
        <f t="shared" ref="P87:P95" si="43">+(O87-M87)/M87</f>
        <v>0.206829590637049</v>
      </c>
      <c r="Q87" s="1088">
        <f>+'Ingresos 2023'!I357+'Ingresos 2023'!I358+'Ingresos 2023'!I359+'Ingresos 2023'!I361+'Ingresos 2023'!I362+'Ingresos 2023'!I363+'Ingresos 2023'!I366+'Ingresos 2023'!I367+'Ingresos 2023'!I368+'Ingresos 2023'!I370+'Ingresos 2023'!I371+'Ingresos 2023'!I372+'Ingresos 2023'!I374+'Ingresos 2023'!I375+'Ingresos 2023'!I376</f>
        <v>9390032889.8799992</v>
      </c>
      <c r="R87" s="1088">
        <f>+'Ingresos 2023'!J357+'Ingresos 2023'!J358+'Ingresos 2023'!J359+'Ingresos 2023'!J361+'Ingresos 2023'!J362+'Ingresos 2023'!J363+'Ingresos 2023'!J366+'Ingresos 2023'!J367+'Ingresos 2023'!J368+'Ingresos 2023'!J370+'Ingresos 2023'!J371+'Ingresos 2023'!J372+'Ingresos 2023'!J374+'Ingresos 2023'!J375+'Ingresos 2023'!J376</f>
        <v>13009598106.879999</v>
      </c>
      <c r="S87" s="1088">
        <f>+'Ingresos 2023'!K357+'Ingresos 2023'!K358+'Ingresos 2023'!K359+'Ingresos 2023'!K361+'Ingresos 2023'!K362+'Ingresos 2023'!K363+'Ingresos 2023'!K366+'Ingresos 2023'!K367+'Ingresos 2023'!K368+'Ingresos 2023'!K370+'Ingresos 2023'!K371+'Ingresos 2023'!K372+'Ingresos 2023'!K374+'Ingresos 2023'!K375+'Ingresos 2023'!K376</f>
        <v>5285338265.3199997</v>
      </c>
      <c r="T87" s="1088">
        <f>+'Recaudo Julio Dic 2022'!E224+'Recaudo Julio Dic 2022'!E225+'Recaudo Julio Dic 2022'!E226+'Recaudo Julio Dic 2022'!E227+'Recaudo Julio Dic 2022'!E228+'Recaudo Julio Dic 2022'!E229+'Recaudo Julio Dic 2022'!E230+'Recaudo Julio Dic 2022'!E231+'Recaudo Julio Dic 2022'!E232+'Recaudo Julio Dic 2022'!E233+'Recaudo Julio Dic 2022'!E234+'Recaudo Julio Dic 2022'!E235+'Recaudo Julio Dic 2022'!E236+'Recaudo Julio Dic 2022'!E237+'Recaudo Julio Dic 2022'!E238+'Recaudo Julio Dic 2022'!E239+'Recaudo Julio Dic 2022'!E240+'Recaudo Julio Dic 2022'!E241</f>
        <v>7108496613.499999</v>
      </c>
      <c r="U87" s="1088">
        <f t="shared" si="28"/>
        <v>12393834878.82</v>
      </c>
      <c r="V87" s="1111">
        <f t="shared" si="29"/>
        <v>2.3667526137872229E-2</v>
      </c>
      <c r="W87" s="1111">
        <f t="shared" si="30"/>
        <v>0.41202056615614108</v>
      </c>
      <c r="X87" s="1088">
        <f t="shared" si="36"/>
        <v>17500349742.437145</v>
      </c>
      <c r="Y87" s="1195">
        <f>+U87*1.12</f>
        <v>13881095064.2784</v>
      </c>
    </row>
    <row r="88" spans="1:27" s="54" customFormat="1" x14ac:dyDescent="0.25">
      <c r="A88" s="1141" t="s">
        <v>1127</v>
      </c>
      <c r="B88" s="898">
        <v>2957581000</v>
      </c>
      <c r="C88" s="898">
        <v>3187608000</v>
      </c>
      <c r="D88" s="1111">
        <f t="shared" si="19"/>
        <v>7.7775384680926749E-2</v>
      </c>
      <c r="E88" s="898">
        <v>3328047000</v>
      </c>
      <c r="F88" s="1111">
        <f t="shared" si="20"/>
        <v>4.4057801335672393E-2</v>
      </c>
      <c r="G88" s="898">
        <v>3182829400</v>
      </c>
      <c r="H88" s="1111">
        <f t="shared" si="21"/>
        <v>-4.3634479921707839E-2</v>
      </c>
      <c r="I88" s="898">
        <v>3319978393</v>
      </c>
      <c r="J88" s="1111">
        <f t="shared" si="22"/>
        <v>4.3090274646828387E-2</v>
      </c>
      <c r="K88" s="898">
        <v>2619617298</v>
      </c>
      <c r="L88" s="1111">
        <f t="shared" si="23"/>
        <v>-0.21095350996159329</v>
      </c>
      <c r="M88" s="1088">
        <v>3455972404</v>
      </c>
      <c r="N88" s="1111">
        <f t="shared" si="24"/>
        <v>0.31926614114150653</v>
      </c>
      <c r="O88" s="1088">
        <f>+'Ingresos 2022'!AE303+'Ingresos 2022'!AE304+'Ingresos 2022'!AE305+'Ingresos 2022'!AE306+'Ingresos 2022'!AE307+'Ingresos 2022'!AE308</f>
        <v>3771566243</v>
      </c>
      <c r="P88" s="1111">
        <f t="shared" si="43"/>
        <v>9.1318390920808984E-2</v>
      </c>
      <c r="Q88" s="1088">
        <f>+'Ingresos 2023'!I302+'Ingresos 2023'!I303+'Ingresos 2023'!I304+'Ingresos 2023'!I305+'Ingresos 2023'!I306+'Ingresos 2023'!I307</f>
        <v>3851377846</v>
      </c>
      <c r="R88" s="1088">
        <f>+'Ingresos 2023'!J302+'Ingresos 2023'!J303+'Ingresos 2023'!J304+'Ingresos 2023'!J305+'Ingresos 2023'!J306+'Ingresos 2023'!J307</f>
        <v>4056197123</v>
      </c>
      <c r="S88" s="1088">
        <f>+'Ingresos 2023'!K302+'Ingresos 2023'!K303+'Ingresos 2023'!K304+'Ingresos 2023'!K305+'Ingresos 2023'!K306+'Ingresos 2023'!K307</f>
        <v>1847768371</v>
      </c>
      <c r="T88" s="1088">
        <f>+'Recaudo Julio Dic 2022'!E185+'Recaudo Julio Dic 2022'!E186+'Recaudo Julio Dic 2022'!E187+'Recaudo Julio Dic 2022'!E188+'Recaudo Julio Dic 2022'!E189+'Recaudo Julio Dic 2022'!E190</f>
        <v>1908202056</v>
      </c>
      <c r="U88" s="1088">
        <f t="shared" si="28"/>
        <v>3755970427</v>
      </c>
      <c r="V88" s="1111">
        <f t="shared" si="29"/>
        <v>-4.1351032953340604E-3</v>
      </c>
      <c r="W88" s="1111">
        <f t="shared" si="30"/>
        <v>0.13548314292232713</v>
      </c>
      <c r="X88" s="1088">
        <f t="shared" si="36"/>
        <v>4264841105.173275</v>
      </c>
      <c r="Y88" s="1195">
        <f>+U88*1.1</f>
        <v>4131567469.7000003</v>
      </c>
    </row>
    <row r="89" spans="1:27" s="54" customFormat="1" x14ac:dyDescent="0.25">
      <c r="A89" s="1141" t="s">
        <v>1128</v>
      </c>
      <c r="B89" s="898">
        <v>4627445394.1199999</v>
      </c>
      <c r="C89" s="898">
        <v>5032134083</v>
      </c>
      <c r="D89" s="1111">
        <f t="shared" si="19"/>
        <v>8.745401715474152E-2</v>
      </c>
      <c r="E89" s="898">
        <v>5297644865</v>
      </c>
      <c r="F89" s="1111">
        <f t="shared" si="20"/>
        <v>5.2763057903598393E-2</v>
      </c>
      <c r="G89" s="898">
        <v>5036484170</v>
      </c>
      <c r="H89" s="1111">
        <f t="shared" si="21"/>
        <v>-4.9297508922391688E-2</v>
      </c>
      <c r="I89" s="898">
        <v>6526968883</v>
      </c>
      <c r="J89" s="1111">
        <f t="shared" si="22"/>
        <v>0.29593753552887669</v>
      </c>
      <c r="K89" s="898">
        <v>1038735962</v>
      </c>
      <c r="L89" s="1111">
        <f t="shared" si="23"/>
        <v>-0.84085477031988476</v>
      </c>
      <c r="M89" s="1088">
        <v>5194747951</v>
      </c>
      <c r="N89" s="1111">
        <f t="shared" si="24"/>
        <v>4.001028308481728</v>
      </c>
      <c r="O89" s="1088">
        <f>+'Ingresos 2022'!AE345+'Ingresos 2022'!AE346+'Ingresos 2022'!AE347</f>
        <v>7254547188</v>
      </c>
      <c r="P89" s="1111">
        <f t="shared" si="43"/>
        <v>0.3965157225007393</v>
      </c>
      <c r="Q89" s="1088">
        <f>+'Ingresos 2023'!I341+'Ingresos 2023'!I342+'Ingresos 2023'!I343</f>
        <v>6362968704</v>
      </c>
      <c r="R89" s="1088">
        <f>+'Ingresos 2023'!J341+'Ingresos 2023'!J342+'Ingresos 2023'!J343</f>
        <v>6362968704</v>
      </c>
      <c r="S89" s="1088">
        <f>+'Ingresos 2023'!K341+'Ingresos 2023'!K342+'Ingresos 2023'!K343</f>
        <v>3664165920.8800001</v>
      </c>
      <c r="T89" s="1088">
        <f>+'Recaudo Julio Dic 2022'!E212+'Recaudo Julio Dic 2022'!E213+'Recaudo Julio Dic 2022'!E214</f>
        <v>3598564494</v>
      </c>
      <c r="U89" s="1088">
        <f t="shared" si="28"/>
        <v>7262730414.8800001</v>
      </c>
      <c r="V89" s="1111">
        <f t="shared" si="29"/>
        <v>1.1280134607899823E-3</v>
      </c>
      <c r="W89" s="1111">
        <f t="shared" si="30"/>
        <v>1.4662240148144192</v>
      </c>
      <c r="X89" s="1088">
        <f t="shared" si="36"/>
        <v>17911520162.300148</v>
      </c>
      <c r="Y89" s="1195">
        <v>6555522914</v>
      </c>
    </row>
    <row r="90" spans="1:27" s="54" customFormat="1" x14ac:dyDescent="0.25">
      <c r="A90" s="1141" t="s">
        <v>1129</v>
      </c>
      <c r="B90" s="898">
        <v>0</v>
      </c>
      <c r="C90" s="898">
        <v>41033484</v>
      </c>
      <c r="D90" s="1111"/>
      <c r="E90" s="898">
        <v>47527970</v>
      </c>
      <c r="F90" s="1111">
        <f t="shared" si="20"/>
        <v>0.15827283883571769</v>
      </c>
      <c r="G90" s="898">
        <v>59649303</v>
      </c>
      <c r="H90" s="1111">
        <f t="shared" si="21"/>
        <v>0.25503578208789479</v>
      </c>
      <c r="I90" s="898">
        <v>71070097</v>
      </c>
      <c r="J90" s="1111">
        <f t="shared" si="22"/>
        <v>0.19146567395766553</v>
      </c>
      <c r="K90" s="898">
        <v>90556978</v>
      </c>
      <c r="L90" s="1111">
        <f t="shared" si="23"/>
        <v>0.27419240753252383</v>
      </c>
      <c r="M90" s="1088">
        <v>417861126</v>
      </c>
      <c r="N90" s="1111">
        <f t="shared" si="24"/>
        <v>3.614344860315458</v>
      </c>
      <c r="O90" s="1088">
        <f>+'Ingresos 2022'!AE353+'Ingresos 2022'!AE354+'Ingresos 2022'!AE355+'Ingresos 2022'!AE356+'Ingresos 2022'!AE357+'Ingresos 2022'!AE358</f>
        <v>780933574</v>
      </c>
      <c r="P90" s="1111">
        <f t="shared" si="43"/>
        <v>0.86888304608646461</v>
      </c>
      <c r="Q90" s="1088">
        <f>+'Ingresos 2023'!I349+'Ingresos 2023'!I350+'Ingresos 2023'!I351+'Ingresos 2023'!I352</f>
        <v>928531053</v>
      </c>
      <c r="R90" s="1088">
        <f>+'Ingresos 2023'!J349+'Ingresos 2023'!J350+'Ingresos 2023'!J351+'Ingresos 2023'!J352</f>
        <v>928531053</v>
      </c>
      <c r="S90" s="1088">
        <f>+'Ingresos 2023'!K349+'Ingresos 2023'!K350+'Ingresos 2023'!K351+'Ingresos 2023'!K352</f>
        <v>516215527</v>
      </c>
      <c r="T90" s="1088">
        <f>+'Recaudo Julio Dic 2022'!E218+'Recaudo Julio Dic 2022'!E219+'Recaudo Julio Dic 2022'!E220+'Recaudo Julio Dic 2022'!E221+'Recaudo Julio Dic 2022'!E222+'Recaudo Julio Dic 2022'!E223</f>
        <v>411602202</v>
      </c>
      <c r="U90" s="1088">
        <f>+S90+T90</f>
        <v>927817729</v>
      </c>
      <c r="V90" s="1111">
        <f t="shared" si="29"/>
        <v>0.1880878987538574</v>
      </c>
      <c r="W90" s="1111">
        <f t="shared" si="30"/>
        <v>1.55710526838526</v>
      </c>
      <c r="X90" s="1088">
        <f t="shared" si="36"/>
        <v>2372527602.9271474</v>
      </c>
      <c r="Y90" s="1195">
        <f>+U90*1.12</f>
        <v>1039155856.4800001</v>
      </c>
    </row>
    <row r="91" spans="1:27" s="654" customFormat="1" ht="15" x14ac:dyDescent="0.25">
      <c r="A91" s="1141" t="s">
        <v>1130</v>
      </c>
      <c r="B91" s="898">
        <v>0</v>
      </c>
      <c r="C91" s="898">
        <v>118492987</v>
      </c>
      <c r="D91" s="1111"/>
      <c r="E91" s="898">
        <v>70127429</v>
      </c>
      <c r="F91" s="1111">
        <f t="shared" si="20"/>
        <v>-0.40817232500012851</v>
      </c>
      <c r="G91" s="898">
        <v>45202420</v>
      </c>
      <c r="H91" s="1111">
        <f t="shared" si="21"/>
        <v>-0.35542453723777612</v>
      </c>
      <c r="I91" s="898">
        <v>30401876</v>
      </c>
      <c r="J91" s="1111">
        <f t="shared" si="22"/>
        <v>-0.32742813327251064</v>
      </c>
      <c r="K91" s="898">
        <v>10457404</v>
      </c>
      <c r="L91" s="1111">
        <f t="shared" si="23"/>
        <v>-0.65602767408169149</v>
      </c>
      <c r="M91" s="1088">
        <v>24649009</v>
      </c>
      <c r="N91" s="1111">
        <f t="shared" si="24"/>
        <v>1.3570868066300201</v>
      </c>
      <c r="O91" s="1088">
        <f>+'Ingresos 2022'!AE351+'Ingresos 2022'!AE350+'Ingresos 2022'!AE349</f>
        <v>27241060</v>
      </c>
      <c r="P91" s="1111">
        <f t="shared" si="43"/>
        <v>0.10515842645032909</v>
      </c>
      <c r="Q91" s="1088">
        <f>+'Ingresos 2023'!I345+'Ingresos 2023'!I346+'Ingresos 2023'!I347</f>
        <v>31137815</v>
      </c>
      <c r="R91" s="1088">
        <f>+'Ingresos 2023'!J345+'Ingresos 2023'!J346+'Ingresos 2023'!J347</f>
        <v>31137815</v>
      </c>
      <c r="S91" s="1088">
        <f>+'Ingresos 2023'!K345+'Ingresos 2023'!K346+'Ingresos 2023'!K347</f>
        <v>15288457.5</v>
      </c>
      <c r="T91" s="1088">
        <f>+'Recaudo Julio Dic 2022'!E215+'Recaudo Julio Dic 2022'!E216+'Recaudo Julio Dic 2022'!E217</f>
        <v>13426000</v>
      </c>
      <c r="U91" s="1088">
        <f>+S91+T91</f>
        <v>28714457.5</v>
      </c>
      <c r="V91" s="1111">
        <f t="shared" si="29"/>
        <v>5.4087377657110261E-2</v>
      </c>
      <c r="W91" s="1111">
        <f t="shared" si="30"/>
        <v>0.50544420357915321</v>
      </c>
      <c r="X91" s="1088">
        <f t="shared" si="36"/>
        <v>43228013.602294944</v>
      </c>
      <c r="Y91" s="1195">
        <f>+U91*1.12</f>
        <v>32160192.400000002</v>
      </c>
      <c r="Z91" s="655"/>
      <c r="AA91" s="165"/>
    </row>
    <row r="92" spans="1:27" s="54" customFormat="1" x14ac:dyDescent="0.25">
      <c r="A92" s="1141" t="s">
        <v>1131</v>
      </c>
      <c r="B92" s="898">
        <v>0</v>
      </c>
      <c r="C92" s="898">
        <v>413847</v>
      </c>
      <c r="D92" s="1111"/>
      <c r="E92" s="898">
        <v>0</v>
      </c>
      <c r="F92" s="1111">
        <f t="shared" si="20"/>
        <v>-1</v>
      </c>
      <c r="G92" s="898">
        <v>0</v>
      </c>
      <c r="H92" s="1111"/>
      <c r="I92" s="898">
        <v>0</v>
      </c>
      <c r="J92" s="1111"/>
      <c r="K92" s="898">
        <v>1381314919</v>
      </c>
      <c r="L92" s="1111"/>
      <c r="M92" s="1088">
        <v>243153284</v>
      </c>
      <c r="N92" s="1111">
        <f t="shared" si="24"/>
        <v>-0.82396969680452714</v>
      </c>
      <c r="O92" s="1088"/>
      <c r="P92" s="1111">
        <f t="shared" si="43"/>
        <v>-1</v>
      </c>
      <c r="Q92" s="1088">
        <f>+'Ingresos 2023'!I290+'Ingresos 2023'!I291+'Ingresos 2023'!I292</f>
        <v>1219071964</v>
      </c>
      <c r="R92" s="1088">
        <f>+'Ingresos 2023'!J290+'Ingresos 2023'!J291+'Ingresos 2023'!J292</f>
        <v>1219071964</v>
      </c>
      <c r="S92" s="1088">
        <f>+'Ingresos 2023'!K290+'Ingresos 2023'!K291+'Ingresos 2023'!K292</f>
        <v>483706241</v>
      </c>
      <c r="T92" s="1088"/>
      <c r="U92" s="1088">
        <f t="shared" si="28"/>
        <v>483706241</v>
      </c>
      <c r="V92" s="1111"/>
      <c r="W92" s="1111">
        <f t="shared" si="30"/>
        <v>-0.60798989893484234</v>
      </c>
      <c r="X92" s="1088">
        <f t="shared" si="36"/>
        <v>189617732.42025751</v>
      </c>
      <c r="Y92" s="1195">
        <f t="shared" ref="Y92:Y94" si="44">+U92*1.12</f>
        <v>541750989.92000008</v>
      </c>
    </row>
    <row r="93" spans="1:27" s="54" customFormat="1" x14ac:dyDescent="0.25">
      <c r="A93" s="1141" t="s">
        <v>1132</v>
      </c>
      <c r="B93" s="898">
        <v>1043283322</v>
      </c>
      <c r="C93" s="898">
        <v>1041273320.97</v>
      </c>
      <c r="D93" s="1111">
        <f t="shared" si="19"/>
        <v>-1.9266109096297539E-3</v>
      </c>
      <c r="E93" s="898">
        <v>2029088019.1899998</v>
      </c>
      <c r="F93" s="1111">
        <f t="shared" si="20"/>
        <v>0.94866033569341734</v>
      </c>
      <c r="G93" s="898">
        <v>1703248316.7400002</v>
      </c>
      <c r="H93" s="1111">
        <f t="shared" si="21"/>
        <v>-0.16058431145834318</v>
      </c>
      <c r="I93" s="898">
        <v>2208629340.0999999</v>
      </c>
      <c r="J93" s="1111">
        <f t="shared" si="22"/>
        <v>0.29671599754009664</v>
      </c>
      <c r="K93" s="898">
        <v>3511597224</v>
      </c>
      <c r="L93" s="1111">
        <f t="shared" si="23"/>
        <v>0.5899441161281529</v>
      </c>
      <c r="M93" s="1088">
        <v>3741964532.7800002</v>
      </c>
      <c r="N93" s="1111">
        <f t="shared" si="24"/>
        <v>6.5601859804864743E-2</v>
      </c>
      <c r="O93" s="1088">
        <f>+'Ingresos 2022'!AE292+'Ingresos 2022'!AE296+'Ingresos 2022'!AE297+'Ingresos 2022'!AE298+'Ingresos 2022'!AE299+'Ingresos 2022'!AE300+'Ingresos 2022'!AE301</f>
        <v>3308221838.8699999</v>
      </c>
      <c r="P93" s="1111">
        <f t="shared" si="43"/>
        <v>-0.11591309594475549</v>
      </c>
      <c r="Q93" s="1088">
        <f>+'Ingresos 2023'!I295+'Ingresos 2023'!I296+'Ingresos 2023'!I297+'Ingresos 2023'!I298+'Ingresos 2023'!I299+'Ingresos 2023'!I300</f>
        <v>2062546782</v>
      </c>
      <c r="R93" s="1088">
        <f>+'Ingresos 2023'!J295+'Ingresos 2023'!J296+'Ingresos 2023'!J297+'Ingresos 2023'!J298+'Ingresos 2023'!J299+'Ingresos 2023'!J300</f>
        <v>2062546782</v>
      </c>
      <c r="S93" s="1088">
        <f>+'Ingresos 2023'!K295+'Ingresos 2023'!K296+'Ingresos 2023'!K297+'Ingresos 2023'!K298+'Ingresos 2023'!K299+'Ingresos 2023'!K300</f>
        <v>886015994.96000004</v>
      </c>
      <c r="T93" s="1088">
        <f>+'Recaudo Julio Dic 2022'!E179+'Recaudo Julio Dic 2022'!E180+'Recaudo Julio Dic 2022'!E181+'Recaudo Julio Dic 2022'!E182+'Recaudo Julio Dic 2022'!E183+'Recaudo Julio Dic 2022'!E184</f>
        <v>1404013904.8699999</v>
      </c>
      <c r="U93" s="1088">
        <f t="shared" si="28"/>
        <v>2290029899.8299999</v>
      </c>
      <c r="V93" s="1111">
        <f t="shared" si="29"/>
        <v>-0.30777619779808574</v>
      </c>
      <c r="W93" s="1111">
        <f t="shared" si="30"/>
        <v>-0.11936247797932549</v>
      </c>
      <c r="X93" s="1088">
        <f t="shared" si="36"/>
        <v>2016686256.3395445</v>
      </c>
      <c r="Y93" s="1195">
        <f>+U93*1.2</f>
        <v>2748035879.796</v>
      </c>
      <c r="Z93" s="654"/>
    </row>
    <row r="94" spans="1:27" s="54" customFormat="1" x14ac:dyDescent="0.25">
      <c r="A94" s="1141" t="s">
        <v>1133</v>
      </c>
      <c r="B94" s="898">
        <v>912762320.5</v>
      </c>
      <c r="C94" s="898">
        <v>597808425</v>
      </c>
      <c r="D94" s="1111">
        <f t="shared" si="19"/>
        <v>-0.34505575923365472</v>
      </c>
      <c r="E94" s="898">
        <v>642062850</v>
      </c>
      <c r="F94" s="1111">
        <f t="shared" si="20"/>
        <v>7.4027770685901592E-2</v>
      </c>
      <c r="G94" s="898">
        <v>563195220.63</v>
      </c>
      <c r="H94" s="1111">
        <f t="shared" si="21"/>
        <v>-0.1228347495420425</v>
      </c>
      <c r="I94" s="898">
        <v>708543122.5</v>
      </c>
      <c r="J94" s="1111">
        <f t="shared" si="22"/>
        <v>0.25807729992348177</v>
      </c>
      <c r="K94" s="898">
        <v>529115555</v>
      </c>
      <c r="L94" s="1111">
        <f t="shared" si="23"/>
        <v>-0.25323450585041846</v>
      </c>
      <c r="M94" s="1088">
        <v>722318852.79999995</v>
      </c>
      <c r="N94" s="1111">
        <f t="shared" si="24"/>
        <v>0.36514386313968777</v>
      </c>
      <c r="O94" s="1088">
        <f>+'Ingresos 2022'!AE286+'Ingresos 2022'!AE287+'Ingresos 2022'!AE288+'Ingresos 2022'!AE289</f>
        <v>836388860.5</v>
      </c>
      <c r="P94" s="1111">
        <f t="shared" si="43"/>
        <v>0.1579219582291374</v>
      </c>
      <c r="Q94" s="1088">
        <f>+'Ingresos 2023'!I284+'Ingresos 2023'!I285+'Ingresos 2023'!I286+'Ingresos 2023'!I287</f>
        <v>632179190</v>
      </c>
      <c r="R94" s="1088">
        <f>+'Ingresos 2023'!J284+'Ingresos 2023'!J285+'Ingresos 2023'!J286+'Ingresos 2023'!J287</f>
        <v>632179190</v>
      </c>
      <c r="S94" s="1088">
        <f>+'Ingresos 2023'!K284+'Ingresos 2023'!K285+'Ingresos 2023'!K286+'Ingresos 2023'!K287</f>
        <v>406134615.25</v>
      </c>
      <c r="T94" s="1088">
        <f>+'Recaudo Julio Dic 2022'!E173+'Recaudo Julio Dic 2022'!E174+'Recaudo Julio Dic 2022'!E175+'Recaudo Julio Dic 2022'!E176</f>
        <v>429318751</v>
      </c>
      <c r="U94" s="1088">
        <f t="shared" si="28"/>
        <v>835453366.25</v>
      </c>
      <c r="V94" s="1111">
        <f t="shared" si="29"/>
        <v>-1.1184920007671479E-3</v>
      </c>
      <c r="W94" s="1111">
        <f t="shared" si="30"/>
        <v>0.17398244312268604</v>
      </c>
      <c r="X94" s="1088">
        <f t="shared" si="36"/>
        <v>980807584.02524722</v>
      </c>
      <c r="Y94" s="1195">
        <f t="shared" si="44"/>
        <v>935707770.20000005</v>
      </c>
      <c r="Z94" s="654"/>
    </row>
    <row r="95" spans="1:27" s="54" customFormat="1" x14ac:dyDescent="0.25">
      <c r="A95" s="1141" t="s">
        <v>1134</v>
      </c>
      <c r="B95" s="898"/>
      <c r="C95" s="898"/>
      <c r="D95" s="1111"/>
      <c r="E95" s="898"/>
      <c r="F95" s="1111"/>
      <c r="G95" s="898"/>
      <c r="H95" s="1111"/>
      <c r="I95" s="898"/>
      <c r="J95" s="1111"/>
      <c r="K95" s="898">
        <v>4557301442</v>
      </c>
      <c r="L95" s="1111"/>
      <c r="M95" s="1088">
        <v>175275046</v>
      </c>
      <c r="N95" s="1111">
        <f t="shared" si="24"/>
        <v>-0.96153972954593947</v>
      </c>
      <c r="O95" s="1088">
        <f>+'Ingresos 2022'!AE338+'Ingresos 2022'!AE339+'Ingresos 2022'!AE340+'Ingresos 2022'!AE341+'Ingresos 2022'!AE342+'Ingresos 2022'!AE343</f>
        <v>2820682640</v>
      </c>
      <c r="P95" s="1111">
        <f t="shared" si="43"/>
        <v>15.092893451586942</v>
      </c>
      <c r="Q95" s="1088">
        <f>+'Ingresos 2023'!I276+'Ingresos 2023'!I277+'Ingresos 2023'!I278+'Ingresos 2023'!I279+'Ingresos 2023'!I280+'Ingresos 2023'!I281</f>
        <v>1237100665</v>
      </c>
      <c r="R95" s="1088">
        <f>+'Ingresos 2023'!J276+'Ingresos 2023'!J277+'Ingresos 2023'!J278+'Ingresos 2023'!J279+'Ingresos 2023'!J280+'Ingresos 2023'!J281</f>
        <v>1237100665</v>
      </c>
      <c r="S95" s="1088">
        <f>+'Ingresos 2023'!K276+'Ingresos 2023'!K277+'Ingresos 2023'!K278+'Ingresos 2023'!K279+'Ingresos 2023'!K280+'Ingresos 2023'!K281</f>
        <v>756720524.75</v>
      </c>
      <c r="T95" s="1088">
        <f>+'Recaudo Julio Dic 2022'!E167+'Recaudo Julio Dic 2022'!E168+'Recaudo Julio Dic 2022'!E169+'Recaudo Julio Dic 2022'!E170+'Recaudo Julio Dic 2022'!E171+'Recaudo Julio Dic 2022'!E172</f>
        <v>418146306</v>
      </c>
      <c r="U95" s="1088">
        <f t="shared" si="28"/>
        <v>1174866830.75</v>
      </c>
      <c r="V95" s="1111">
        <f t="shared" si="29"/>
        <v>-0.58348138351714751</v>
      </c>
      <c r="W95" s="1111">
        <f t="shared" si="30"/>
        <v>4.5159574461746184</v>
      </c>
      <c r="X95" s="1088">
        <f t="shared" si="36"/>
        <v>6480515443.3390379</v>
      </c>
      <c r="Y95" s="1195">
        <f>+U95*1.12</f>
        <v>1315850850.4400001</v>
      </c>
      <c r="Z95" s="654"/>
    </row>
    <row r="96" spans="1:27" s="54" customFormat="1" ht="25.5" x14ac:dyDescent="0.25">
      <c r="A96" s="1141" t="s">
        <v>1135</v>
      </c>
      <c r="B96" s="898"/>
      <c r="C96" s="898"/>
      <c r="D96" s="1111"/>
      <c r="E96" s="898"/>
      <c r="F96" s="1111"/>
      <c r="G96" s="898"/>
      <c r="H96" s="1111"/>
      <c r="I96" s="898"/>
      <c r="J96" s="1111"/>
      <c r="K96" s="898">
        <v>62326453</v>
      </c>
      <c r="L96" s="1111"/>
      <c r="M96" s="1088"/>
      <c r="N96" s="1111"/>
      <c r="O96" s="1088"/>
      <c r="P96" s="1111"/>
      <c r="Q96" s="1088"/>
      <c r="R96" s="1088"/>
      <c r="S96" s="1088"/>
      <c r="T96" s="1088"/>
      <c r="U96" s="1088">
        <f t="shared" si="28"/>
        <v>0</v>
      </c>
      <c r="V96" s="1111"/>
      <c r="W96" s="1111">
        <f t="shared" si="30"/>
        <v>0</v>
      </c>
      <c r="X96" s="1088">
        <f t="shared" si="36"/>
        <v>0</v>
      </c>
      <c r="Y96" s="1195"/>
      <c r="Z96" s="654"/>
    </row>
    <row r="97" spans="1:26" s="54" customFormat="1" x14ac:dyDescent="0.25">
      <c r="A97" s="1141" t="s">
        <v>1136</v>
      </c>
      <c r="B97" s="898">
        <v>47138056</v>
      </c>
      <c r="C97" s="898">
        <v>1816194200</v>
      </c>
      <c r="D97" s="1111">
        <f t="shared" si="19"/>
        <v>37.529255427928554</v>
      </c>
      <c r="E97" s="898">
        <v>1955694040</v>
      </c>
      <c r="F97" s="1111">
        <f t="shared" si="20"/>
        <v>7.6808878698103975E-2</v>
      </c>
      <c r="G97" s="898">
        <v>1783764309.4000001</v>
      </c>
      <c r="H97" s="1111">
        <f t="shared" si="21"/>
        <v>-8.791238664305584E-2</v>
      </c>
      <c r="I97" s="898">
        <v>2105691489</v>
      </c>
      <c r="J97" s="1111">
        <f t="shared" si="22"/>
        <v>0.1804762982999058</v>
      </c>
      <c r="K97" s="898">
        <v>0</v>
      </c>
      <c r="L97" s="1111">
        <f t="shared" si="23"/>
        <v>-1</v>
      </c>
      <c r="M97" s="1088"/>
      <c r="N97" s="1111"/>
      <c r="O97" s="1088"/>
      <c r="P97" s="1111"/>
      <c r="Q97" s="1088">
        <f>+'Ingresos 2023'!I334+'Ingresos 2023'!I337+'Ingresos 2023'!I339</f>
        <v>1627806780</v>
      </c>
      <c r="R97" s="1088">
        <f>+'Ingresos 2023'!J334+'Ingresos 2023'!J337+'Ingresos 2023'!J339</f>
        <v>1627806780</v>
      </c>
      <c r="S97" s="1088">
        <f>+'Ingresos 2023'!K334+'Ingresos 2023'!K337+'Ingresos 2023'!K339</f>
        <v>1112447279</v>
      </c>
      <c r="T97" s="1088">
        <f>+'Recaudo Julio Dic 2022'!E206+'Recaudo Julio Dic 2022'!E207+'Recaudo Julio Dic 2022'!E208+'Recaudo Julio Dic 2022'!E209+'Recaudo Julio Dic 2022'!E210+'Recaudo Julio Dic 2022'!E211</f>
        <v>1518931054</v>
      </c>
      <c r="U97" s="1088">
        <f t="shared" si="28"/>
        <v>2631378333</v>
      </c>
      <c r="V97" s="1111"/>
      <c r="W97" s="1111">
        <f t="shared" si="30"/>
        <v>0</v>
      </c>
      <c r="X97" s="1088">
        <f t="shared" si="36"/>
        <v>2631378333</v>
      </c>
      <c r="Y97" s="1195">
        <v>2710325520</v>
      </c>
      <c r="Z97" s="654"/>
    </row>
    <row r="98" spans="1:26" s="54" customFormat="1" x14ac:dyDescent="0.25">
      <c r="A98" s="1143" t="s">
        <v>1137</v>
      </c>
      <c r="B98" s="898">
        <v>0</v>
      </c>
      <c r="C98" s="898">
        <v>464640827</v>
      </c>
      <c r="D98" s="1111"/>
      <c r="E98" s="898">
        <v>0</v>
      </c>
      <c r="F98" s="1111">
        <f t="shared" ref="F98:F142" si="45">+(E98-C98)/C98</f>
        <v>-1</v>
      </c>
      <c r="G98" s="898">
        <v>0</v>
      </c>
      <c r="H98" s="1111"/>
      <c r="I98" s="898">
        <v>0</v>
      </c>
      <c r="J98" s="1111"/>
      <c r="K98" s="898">
        <v>0</v>
      </c>
      <c r="L98" s="1111"/>
      <c r="M98" s="1088">
        <v>2239045157</v>
      </c>
      <c r="N98" s="1111" t="e">
        <f t="shared" ref="N98:N140" si="46">+(M98-K98)/K98</f>
        <v>#DIV/0!</v>
      </c>
      <c r="O98" s="1088"/>
      <c r="P98" s="1111">
        <f t="shared" ref="P98:P100" si="47">+(O98-M98)/M98</f>
        <v>-1</v>
      </c>
      <c r="Q98" s="1088">
        <f>+'Ingresos 2023'!I335+'Ingresos 2023'!I336+'Ingresos 2023'!I338</f>
        <v>542602260</v>
      </c>
      <c r="R98" s="1088">
        <f>+'Ingresos 2023'!J335+'Ingresos 2023'!J336+'Ingresos 2023'!J338</f>
        <v>542602260</v>
      </c>
      <c r="S98" s="1088">
        <f>+'Ingresos 2023'!K335+'Ingresos 2023'!K336+'Ingresos 2023'!K338</f>
        <v>276417600</v>
      </c>
      <c r="T98" s="1088">
        <f>+'Recaudo Julio Dic 2022'!E173+'Recaudo Julio Dic 2022'!E174+'Recaudo Julio Dic 2022'!E175+'Recaudo Julio Dic 2022'!E176</f>
        <v>429318751</v>
      </c>
      <c r="U98" s="1088">
        <f t="shared" si="28"/>
        <v>705736351</v>
      </c>
      <c r="V98" s="1111"/>
      <c r="W98" s="1111"/>
      <c r="X98" s="1088">
        <f t="shared" si="36"/>
        <v>705736351</v>
      </c>
      <c r="Y98" s="1195"/>
      <c r="Z98" s="654"/>
    </row>
    <row r="99" spans="1:26" s="54" customFormat="1" x14ac:dyDescent="0.25">
      <c r="A99" s="1141" t="s">
        <v>1138</v>
      </c>
      <c r="B99" s="898">
        <v>684784985</v>
      </c>
      <c r="C99" s="898">
        <v>1064354210</v>
      </c>
      <c r="D99" s="1111">
        <f>+(C99-B99)/B99</f>
        <v>0.55428964319362228</v>
      </c>
      <c r="E99" s="898">
        <v>1239020388</v>
      </c>
      <c r="F99" s="1111">
        <f t="shared" si="45"/>
        <v>0.16410531039286255</v>
      </c>
      <c r="G99" s="898">
        <v>1078823905.21</v>
      </c>
      <c r="H99" s="1111">
        <f t="shared" ref="H99:H142" si="48">+(G99-E99)/E99</f>
        <v>-0.12929285453372213</v>
      </c>
      <c r="I99" s="898">
        <v>795058320.86000001</v>
      </c>
      <c r="J99" s="1111">
        <f t="shared" ref="J99:J142" si="49">+(I99-G99)/G99</f>
        <v>-0.26303234752177951</v>
      </c>
      <c r="K99" s="898">
        <v>728514356</v>
      </c>
      <c r="L99" s="1111">
        <f t="shared" ref="L99:L142" si="50">+(K99-I99)/I99</f>
        <v>-8.3696960479604343E-2</v>
      </c>
      <c r="M99" s="1088">
        <v>739661509</v>
      </c>
      <c r="N99" s="1111">
        <f t="shared" si="46"/>
        <v>1.5301212540552873E-2</v>
      </c>
      <c r="O99" s="1088">
        <f>+'Ingresos 2022'!AE278+'Ingresos 2022'!AE279+'Ingresos 2022'!AE280+'Ingresos 2022'!AE281+'Ingresos 2022'!AE282+'Ingresos 2022'!AE283</f>
        <v>860304830</v>
      </c>
      <c r="P99" s="1111">
        <f t="shared" si="47"/>
        <v>0.16310612291168985</v>
      </c>
      <c r="Q99" s="1088"/>
      <c r="R99" s="1088"/>
      <c r="S99" s="1088"/>
      <c r="T99" s="1088"/>
      <c r="U99" s="1088">
        <f t="shared" si="28"/>
        <v>0</v>
      </c>
      <c r="V99" s="1111">
        <f t="shared" si="29"/>
        <v>-1</v>
      </c>
      <c r="W99" s="1111">
        <f t="shared" si="30"/>
        <v>-0.2738642215159191</v>
      </c>
      <c r="X99" s="1088">
        <f t="shared" si="36"/>
        <v>0</v>
      </c>
      <c r="Y99" s="1195">
        <v>1496246629</v>
      </c>
      <c r="Z99" s="654"/>
    </row>
    <row r="100" spans="1:26" s="54" customFormat="1" x14ac:dyDescent="0.25">
      <c r="A100" s="1141" t="s">
        <v>1139</v>
      </c>
      <c r="B100" s="898">
        <v>602528086</v>
      </c>
      <c r="C100" s="898">
        <v>818609100</v>
      </c>
      <c r="D100" s="1111">
        <f>+(C100-B100)/B100</f>
        <v>0.35862396960529402</v>
      </c>
      <c r="E100" s="898">
        <v>812733409</v>
      </c>
      <c r="F100" s="1111">
        <f t="shared" si="45"/>
        <v>-7.1776517021371984E-3</v>
      </c>
      <c r="G100" s="898">
        <v>761346773.5</v>
      </c>
      <c r="H100" s="1111">
        <f t="shared" si="48"/>
        <v>-6.3226926481620746E-2</v>
      </c>
      <c r="I100" s="898">
        <v>909043192</v>
      </c>
      <c r="J100" s="1111">
        <f t="shared" si="49"/>
        <v>0.19399362240812071</v>
      </c>
      <c r="K100" s="898">
        <v>1006078654.36</v>
      </c>
      <c r="L100" s="1111">
        <f t="shared" si="50"/>
        <v>0.10674461149256373</v>
      </c>
      <c r="M100" s="1088">
        <v>871443943.11000001</v>
      </c>
      <c r="N100" s="1111">
        <f t="shared" si="46"/>
        <v>-0.13382125807613482</v>
      </c>
      <c r="O100" s="1088">
        <f>+'Ingresos 2022'!AE317+'Ingresos 2022'!AE318+'Ingresos 2022'!AE319</f>
        <v>385276117.66000003</v>
      </c>
      <c r="P100" s="1111">
        <f t="shared" si="47"/>
        <v>-0.55788766368031584</v>
      </c>
      <c r="Q100" s="1088">
        <f>+'Ingresos 2023'!I316+'Ingresos 2023'!I317+'Ingresos 2023'!I318</f>
        <v>399000000</v>
      </c>
      <c r="R100" s="1088">
        <f>+'Ingresos 2023'!J316+'Ingresos 2023'!J317+'Ingresos 2023'!J318</f>
        <v>399000000</v>
      </c>
      <c r="S100" s="1088">
        <f>+'Ingresos 2023'!K316+'Ingresos 2023'!K317+'Ingresos 2023'!K318</f>
        <v>170263193.19999999</v>
      </c>
      <c r="T100" s="1088">
        <f>+'Recaudo Julio Dic 2022'!E193+'Recaudo Julio Dic 2022'!E194+'Recaudo Julio Dic 2022'!E195</f>
        <v>211496652.34999999</v>
      </c>
      <c r="U100" s="1088">
        <f t="shared" si="28"/>
        <v>381759845.54999995</v>
      </c>
      <c r="V100" s="1111">
        <f t="shared" si="29"/>
        <v>-9.1266287963977233E-3</v>
      </c>
      <c r="W100" s="1111">
        <f t="shared" si="30"/>
        <v>-0.23361185018428277</v>
      </c>
      <c r="X100" s="1088">
        <f t="shared" si="36"/>
        <v>292576221.70499843</v>
      </c>
      <c r="Y100" s="1195">
        <v>300000000</v>
      </c>
      <c r="Z100" s="654"/>
    </row>
    <row r="101" spans="1:26" s="54" customFormat="1" x14ac:dyDescent="0.25">
      <c r="A101" s="1141" t="s">
        <v>1140</v>
      </c>
      <c r="B101" s="898">
        <v>0</v>
      </c>
      <c r="C101" s="898">
        <v>16600000</v>
      </c>
      <c r="D101" s="1111"/>
      <c r="E101" s="898">
        <v>39163732.329999998</v>
      </c>
      <c r="F101" s="1111">
        <f t="shared" si="45"/>
        <v>1.3592609837349396</v>
      </c>
      <c r="G101" s="898">
        <v>0</v>
      </c>
      <c r="H101" s="1111">
        <f t="shared" si="48"/>
        <v>-1</v>
      </c>
      <c r="I101" s="898">
        <v>0</v>
      </c>
      <c r="J101" s="1111"/>
      <c r="K101" s="898">
        <v>2310250113</v>
      </c>
      <c r="L101" s="1111"/>
      <c r="M101" s="1088"/>
      <c r="N101" s="1111"/>
      <c r="O101" s="1088"/>
      <c r="P101" s="1111"/>
      <c r="Q101" s="1088"/>
      <c r="R101" s="1088"/>
      <c r="S101" s="1088"/>
      <c r="T101" s="1088"/>
      <c r="U101" s="1088">
        <f t="shared" ref="U101:U143" si="51">+S101+T101</f>
        <v>0</v>
      </c>
      <c r="V101" s="1111"/>
      <c r="W101" s="1111">
        <f t="shared" si="30"/>
        <v>0</v>
      </c>
      <c r="X101" s="1088">
        <f t="shared" si="36"/>
        <v>0</v>
      </c>
      <c r="Y101" s="1195"/>
    </row>
    <row r="102" spans="1:26" s="54" customFormat="1" x14ac:dyDescent="0.25">
      <c r="A102" s="1141" t="s">
        <v>1141</v>
      </c>
      <c r="B102" s="898">
        <v>2843942000</v>
      </c>
      <c r="C102" s="898">
        <v>3086366000</v>
      </c>
      <c r="D102" s="1111">
        <f>+(C102-B102)/B102</f>
        <v>8.5242244743387874E-2</v>
      </c>
      <c r="E102" s="898">
        <v>3937884000</v>
      </c>
      <c r="F102" s="1111">
        <f t="shared" si="45"/>
        <v>0.27589663701583028</v>
      </c>
      <c r="G102" s="898">
        <v>3706252307</v>
      </c>
      <c r="H102" s="1111">
        <f t="shared" si="48"/>
        <v>-5.8821360151797258E-2</v>
      </c>
      <c r="I102" s="898">
        <v>7650487373</v>
      </c>
      <c r="J102" s="1111">
        <f t="shared" si="49"/>
        <v>1.064211159761175</v>
      </c>
      <c r="K102" s="898">
        <v>10190311043.93</v>
      </c>
      <c r="L102" s="1111">
        <f t="shared" si="50"/>
        <v>0.33198194403842984</v>
      </c>
      <c r="M102" s="1088">
        <v>5218324702</v>
      </c>
      <c r="N102" s="1111">
        <f t="shared" si="46"/>
        <v>-0.48791310888313194</v>
      </c>
      <c r="O102" s="1088">
        <f>+'Ingresos 2022'!AE311</f>
        <v>15980359997</v>
      </c>
      <c r="P102" s="1111">
        <f t="shared" ref="P102:P104" si="52">+(O102-M102)/M102</f>
        <v>2.0623544738171029</v>
      </c>
      <c r="Q102" s="1088">
        <f>+'Ingresos 2023'!I310</f>
        <v>13809428000</v>
      </c>
      <c r="R102" s="1088">
        <f>+'Ingresos 2023'!J310</f>
        <v>13809428000</v>
      </c>
      <c r="S102" s="1088">
        <f>+'Ingresos 2023'!K310</f>
        <v>5761705452</v>
      </c>
      <c r="T102" s="1088">
        <f>+'Recaudo Julio Dic 2022'!E191</f>
        <v>8117014878</v>
      </c>
      <c r="U102" s="1088">
        <f t="shared" si="51"/>
        <v>13878720330</v>
      </c>
      <c r="V102" s="1111">
        <f t="shared" ref="V102:V140" si="53">+(U102-O102)/O102</f>
        <v>-0.13151391253980146</v>
      </c>
      <c r="W102" s="1111">
        <f t="shared" ref="W102:W143" si="54">+(V102+P102+N102)/3</f>
        <v>0.48097581746472318</v>
      </c>
      <c r="X102" s="1088">
        <f t="shared" si="36"/>
        <v>20554049186.086021</v>
      </c>
      <c r="Y102" s="1195">
        <f>+U102*1.12</f>
        <v>15544166769.600002</v>
      </c>
    </row>
    <row r="103" spans="1:26" s="54" customFormat="1" x14ac:dyDescent="0.25">
      <c r="A103" s="1141" t="s">
        <v>1142</v>
      </c>
      <c r="B103" s="898">
        <v>0</v>
      </c>
      <c r="C103" s="898">
        <v>0</v>
      </c>
      <c r="D103" s="1111"/>
      <c r="E103" s="898">
        <v>0</v>
      </c>
      <c r="F103" s="1111"/>
      <c r="G103" s="898">
        <v>9241365080</v>
      </c>
      <c r="H103" s="1111"/>
      <c r="I103" s="898">
        <v>0</v>
      </c>
      <c r="J103" s="1111">
        <f t="shared" si="49"/>
        <v>-1</v>
      </c>
      <c r="K103" s="898">
        <v>413634233</v>
      </c>
      <c r="L103" s="1111"/>
      <c r="M103" s="1088">
        <v>16515214542</v>
      </c>
      <c r="N103" s="1111">
        <f t="shared" si="46"/>
        <v>38.92709796338351</v>
      </c>
      <c r="O103" s="1088">
        <f>+'Ingresos 2022'!AE313</f>
        <v>4816291965</v>
      </c>
      <c r="P103" s="1111">
        <f t="shared" si="52"/>
        <v>-0.70837242515066079</v>
      </c>
      <c r="Q103" s="1088">
        <f>+'Ingresos 2023'!I312</f>
        <v>4335092423</v>
      </c>
      <c r="R103" s="1088">
        <f>+'Ingresos 2023'!J312</f>
        <v>4335092423</v>
      </c>
      <c r="S103" s="1088">
        <f>+'Ingresos 2023'!K312</f>
        <v>2271452626</v>
      </c>
      <c r="T103" s="1088">
        <f>+'Recaudo Julio Dic 2022'!E192</f>
        <v>3316197980</v>
      </c>
      <c r="U103" s="1088">
        <f t="shared" si="51"/>
        <v>5587650606</v>
      </c>
      <c r="V103" s="1111">
        <f t="shared" si="53"/>
        <v>0.16015612147383593</v>
      </c>
      <c r="W103" s="1111">
        <f t="shared" si="54"/>
        <v>12.792960553235561</v>
      </c>
      <c r="X103" s="1088">
        <f t="shared" si="36"/>
        <v>77070244393.820786</v>
      </c>
      <c r="Y103" s="1195">
        <f>+U103*1.12</f>
        <v>6258168678.7200003</v>
      </c>
    </row>
    <row r="104" spans="1:26" s="54" customFormat="1" x14ac:dyDescent="0.25">
      <c r="A104" s="1141" t="s">
        <v>1143</v>
      </c>
      <c r="B104" s="898">
        <v>417748176.28000003</v>
      </c>
      <c r="C104" s="898">
        <v>719672899</v>
      </c>
      <c r="D104" s="1111">
        <f t="shared" ref="D104:D107" si="55">+(C104-B104)/B104</f>
        <v>0.72274336517421878</v>
      </c>
      <c r="E104" s="898">
        <v>736429255</v>
      </c>
      <c r="F104" s="1111">
        <f t="shared" si="45"/>
        <v>2.3283294429015312E-2</v>
      </c>
      <c r="G104" s="898">
        <v>656436513</v>
      </c>
      <c r="H104" s="1111">
        <f t="shared" si="48"/>
        <v>-0.10862243923212964</v>
      </c>
      <c r="I104" s="898">
        <v>785124839</v>
      </c>
      <c r="J104" s="1111">
        <f t="shared" si="49"/>
        <v>0.19604077995582186</v>
      </c>
      <c r="K104" s="898">
        <v>0</v>
      </c>
      <c r="L104" s="1111">
        <f t="shared" si="50"/>
        <v>-1</v>
      </c>
      <c r="M104" s="1088">
        <v>1734657224</v>
      </c>
      <c r="N104" s="1111" t="e">
        <f t="shared" si="46"/>
        <v>#DIV/0!</v>
      </c>
      <c r="O104" s="1088">
        <f>+'Ingresos 2022'!AE406+'Ingresos 2022'!AE405+'Ingresos 2022'!AE404</f>
        <v>1591682895</v>
      </c>
      <c r="P104" s="1111">
        <f t="shared" si="52"/>
        <v>-8.2422237097834847E-2</v>
      </c>
      <c r="Q104" s="1088">
        <f>+'Ingresos 2023'!I398+'Ingresos 2023'!I395+'Ingresos 2023'!I396+'Ingresos 2023'!I397</f>
        <v>636817959</v>
      </c>
      <c r="R104" s="1088">
        <f>+'Ingresos 2023'!J398+'Ingresos 2023'!J395+'Ingresos 2023'!J396+'Ingresos 2023'!J397</f>
        <v>636817959</v>
      </c>
      <c r="S104" s="1088">
        <f>+'Ingresos 2023'!K398+'Ingresos 2023'!K395+'Ingresos 2023'!K396+'Ingresos 2023'!K397</f>
        <v>1153761022</v>
      </c>
      <c r="T104" s="1088">
        <f>+'Recaudo Julio Dic 2022'!E254+'Recaudo Julio Dic 2022'!E255+'Recaudo Julio Dic 2022'!E256</f>
        <v>780330694</v>
      </c>
      <c r="U104" s="1088">
        <f t="shared" si="51"/>
        <v>1934091716</v>
      </c>
      <c r="V104" s="1111">
        <f t="shared" si="53"/>
        <v>0.21512376747631004</v>
      </c>
      <c r="W104" s="1111"/>
      <c r="X104" s="1088">
        <f t="shared" si="36"/>
        <v>1934091716</v>
      </c>
      <c r="Y104" s="1195">
        <f>+U104*1.12</f>
        <v>2166182721.9200001</v>
      </c>
    </row>
    <row r="105" spans="1:26" s="54" customFormat="1" x14ac:dyDescent="0.25">
      <c r="A105" s="1141" t="s">
        <v>1144</v>
      </c>
      <c r="B105" s="898">
        <v>166048524</v>
      </c>
      <c r="C105" s="898">
        <v>165741571.37</v>
      </c>
      <c r="D105" s="1111">
        <f t="shared" si="55"/>
        <v>-1.8485718668598055E-3</v>
      </c>
      <c r="E105" s="898">
        <v>3632811</v>
      </c>
      <c r="F105" s="1111">
        <f t="shared" si="45"/>
        <v>-0.97808147364616116</v>
      </c>
      <c r="G105" s="898">
        <v>0</v>
      </c>
      <c r="H105" s="1111">
        <f t="shared" si="48"/>
        <v>-1</v>
      </c>
      <c r="I105" s="898">
        <v>0</v>
      </c>
      <c r="J105" s="1111"/>
      <c r="K105" s="898">
        <v>0</v>
      </c>
      <c r="L105" s="1111"/>
      <c r="M105" s="1088"/>
      <c r="N105" s="1111"/>
      <c r="P105" s="1111"/>
      <c r="Q105" s="1088"/>
      <c r="R105" s="1088"/>
      <c r="S105" s="1088"/>
      <c r="T105" s="1088"/>
      <c r="U105" s="1088">
        <f t="shared" si="51"/>
        <v>0</v>
      </c>
      <c r="V105" s="1111"/>
      <c r="W105" s="1111">
        <f t="shared" si="54"/>
        <v>0</v>
      </c>
      <c r="X105" s="1088">
        <f t="shared" si="36"/>
        <v>0</v>
      </c>
      <c r="Y105" s="1195"/>
    </row>
    <row r="106" spans="1:26" s="54" customFormat="1" x14ac:dyDescent="0.25">
      <c r="A106" s="1141" t="s">
        <v>1145</v>
      </c>
      <c r="B106" s="898">
        <v>644863450</v>
      </c>
      <c r="C106" s="898">
        <v>632049200.63</v>
      </c>
      <c r="D106" s="1111">
        <f t="shared" si="55"/>
        <v>-1.9871260140421985E-2</v>
      </c>
      <c r="E106" s="898">
        <v>58652919</v>
      </c>
      <c r="F106" s="1111">
        <f t="shared" si="45"/>
        <v>-0.90720197266045544</v>
      </c>
      <c r="G106" s="898">
        <v>0</v>
      </c>
      <c r="H106" s="1111">
        <f t="shared" si="48"/>
        <v>-1</v>
      </c>
      <c r="I106" s="898">
        <v>0</v>
      </c>
      <c r="J106" s="1111"/>
      <c r="K106" s="898">
        <v>0</v>
      </c>
      <c r="L106" s="1111"/>
      <c r="M106" s="1088"/>
      <c r="N106" s="1111"/>
      <c r="O106" s="1088"/>
      <c r="P106" s="1111"/>
      <c r="Q106" s="1088"/>
      <c r="R106" s="1088"/>
      <c r="S106" s="1088"/>
      <c r="T106" s="1088"/>
      <c r="U106" s="1088">
        <f t="shared" si="51"/>
        <v>0</v>
      </c>
      <c r="V106" s="1111"/>
      <c r="W106" s="1111">
        <f t="shared" si="54"/>
        <v>0</v>
      </c>
      <c r="X106" s="1088">
        <f t="shared" si="36"/>
        <v>0</v>
      </c>
      <c r="Y106" s="1195"/>
    </row>
    <row r="107" spans="1:26" s="54" customFormat="1" x14ac:dyDescent="0.25">
      <c r="A107" s="1141" t="s">
        <v>1146</v>
      </c>
      <c r="B107" s="898">
        <v>6002766498.3300018</v>
      </c>
      <c r="C107" s="898">
        <v>2880224672</v>
      </c>
      <c r="D107" s="1111">
        <f t="shared" si="55"/>
        <v>-0.52018378979070867</v>
      </c>
      <c r="E107" s="898">
        <v>1679936750</v>
      </c>
      <c r="F107" s="1111">
        <f t="shared" si="45"/>
        <v>-0.41673412969083823</v>
      </c>
      <c r="G107" s="898">
        <v>1449982320</v>
      </c>
      <c r="H107" s="1111">
        <f t="shared" si="48"/>
        <v>-0.13688279037886397</v>
      </c>
      <c r="I107" s="898">
        <v>2597835657.9200001</v>
      </c>
      <c r="J107" s="1111">
        <f t="shared" si="49"/>
        <v>0.79163264412768841</v>
      </c>
      <c r="K107" s="898">
        <v>0</v>
      </c>
      <c r="L107" s="1111">
        <f t="shared" si="50"/>
        <v>-1</v>
      </c>
      <c r="M107" s="1088">
        <v>12033093302</v>
      </c>
      <c r="N107" s="1111" t="e">
        <f t="shared" si="46"/>
        <v>#DIV/0!</v>
      </c>
      <c r="O107" s="1088">
        <f>+'Ingresos 2022'!AE330+'Ingresos 2022'!AE329+'Ingresos 2022'!AE328+'Ingresos 2022'!AE327</f>
        <v>2459268701</v>
      </c>
      <c r="P107" s="1111">
        <f t="shared" ref="P107" si="56">+(O107-M107)/M107</f>
        <v>-0.79562456308792606</v>
      </c>
      <c r="Q107" s="1088">
        <f>+'Ingresos 2023'!I326+'Ingresos 2023'!I327+'Ingresos 2023'!I328+'Ingresos 2023'!I329+'Ingresos 2023'!I330</f>
        <v>2231975607</v>
      </c>
      <c r="R107" s="1088">
        <f>+'Ingresos 2023'!J326+'Ingresos 2023'!J327+'Ingresos 2023'!J328+'Ingresos 2023'!J329+'Ingresos 2023'!J330</f>
        <v>3963289433</v>
      </c>
      <c r="S107" s="1088">
        <f>+'Ingresos 2023'!K326+'Ingresos 2023'!K327+'Ingresos 2023'!K328+'Ingresos 2023'!K329+'Ingresos 2023'!K330</f>
        <v>3154758522</v>
      </c>
      <c r="T107" s="1088">
        <f>+'Recaudo Julio Dic 2022'!E198+'Recaudo Julio Dic 2022'!E199+'Recaudo Julio Dic 2022'!E200+'Recaudo Julio Dic 2022'!E201+'Recaudo Julio Dic 2022'!E205</f>
        <v>684191718</v>
      </c>
      <c r="U107" s="1088">
        <f t="shared" si="51"/>
        <v>3838950240</v>
      </c>
      <c r="V107" s="1111">
        <f t="shared" si="53"/>
        <v>0.56101292975386829</v>
      </c>
      <c r="W107" s="1111"/>
      <c r="X107" s="1088">
        <f t="shared" si="36"/>
        <v>3838950240</v>
      </c>
      <c r="Y107" s="1088">
        <f>+R107</f>
        <v>3963289433</v>
      </c>
    </row>
    <row r="108" spans="1:26" s="54" customFormat="1" x14ac:dyDescent="0.25">
      <c r="A108" s="1141" t="s">
        <v>1147</v>
      </c>
      <c r="B108" s="898"/>
      <c r="C108" s="898"/>
      <c r="D108" s="1111"/>
      <c r="E108" s="898"/>
      <c r="F108" s="1111"/>
      <c r="G108" s="898"/>
      <c r="H108" s="1111"/>
      <c r="I108" s="898"/>
      <c r="J108" s="1111"/>
      <c r="K108" s="898"/>
      <c r="L108" s="1111"/>
      <c r="M108" s="1088"/>
      <c r="N108" s="1111"/>
      <c r="O108" s="1088">
        <v>206989528.09</v>
      </c>
      <c r="P108" s="1111"/>
      <c r="Q108" s="1088">
        <f>+'Ingresos 2023'!I380+'Ingresos 2023'!I381+'Ingresos 2023'!I382+'Ingresos 2023'!I383+'Ingresos 2023'!I384</f>
        <v>7000000</v>
      </c>
      <c r="R108" s="1088">
        <f>+'Ingresos 2023'!J380+'Ingresos 2023'!J381+'Ingresos 2023'!J382+'Ingresos 2023'!J383+'Ingresos 2023'!J384</f>
        <v>7000000</v>
      </c>
      <c r="S108" s="1088">
        <f>+'Ingresos 2023'!K380+'Ingresos 2023'!K381+'Ingresos 2023'!K382+'Ingresos 2023'!K383+'Ingresos 2023'!K384</f>
        <v>174978888.22999999</v>
      </c>
      <c r="T108" s="1088">
        <f>+'Recaudo Julio Dic 2022'!E242+'Recaudo Julio Dic 2022'!E243+'Recaudo Julio Dic 2022'!E244+'Recaudo Julio Dic 2022'!E245+'Recaudo Julio Dic 2022'!E246+'Recaudo Julio Dic 2022'!E247+'Recaudo Julio Dic 2022'!E248+'Recaudo Julio Dic 2022'!E249+'Recaudo Julio Dic 2022'!E250+'Recaudo Julio Dic 2022'!E251+'Recaudo Julio Dic 2022'!E252+'Recaudo Julio Dic 2022'!E253</f>
        <v>173933477.46000004</v>
      </c>
      <c r="U108" s="1088">
        <f t="shared" si="51"/>
        <v>348912365.69000006</v>
      </c>
      <c r="V108" s="1111">
        <f t="shared" si="53"/>
        <v>0.68565225936594898</v>
      </c>
      <c r="W108" s="1111">
        <f t="shared" si="54"/>
        <v>0.228550753121983</v>
      </c>
      <c r="X108" s="1088">
        <f t="shared" si="36"/>
        <v>428656549.64202231</v>
      </c>
      <c r="Y108" s="1195">
        <v>7000000</v>
      </c>
    </row>
    <row r="109" spans="1:26" ht="25.5" x14ac:dyDescent="0.25">
      <c r="A109" s="752" t="s">
        <v>1156</v>
      </c>
      <c r="B109" s="898">
        <v>5132581247.0500002</v>
      </c>
      <c r="C109" s="898">
        <v>652748755.49000001</v>
      </c>
      <c r="D109" s="1111">
        <f>+(C109-B109)/B109</f>
        <v>-0.87282251871508643</v>
      </c>
      <c r="E109" s="898">
        <v>861037129.29999995</v>
      </c>
      <c r="F109" s="1111">
        <f t="shared" si="45"/>
        <v>0.31909424883337195</v>
      </c>
      <c r="G109" s="898">
        <v>904915252.80999994</v>
      </c>
      <c r="H109" s="1111">
        <f t="shared" si="48"/>
        <v>5.0959618368224983E-2</v>
      </c>
      <c r="I109" s="898">
        <v>1359031530.9100001</v>
      </c>
      <c r="J109" s="1111">
        <f t="shared" si="49"/>
        <v>0.50183293594604539</v>
      </c>
      <c r="K109" s="898">
        <v>2258764112.2399998</v>
      </c>
      <c r="L109" s="1111">
        <f t="shared" si="50"/>
        <v>0.66203951922112036</v>
      </c>
      <c r="M109" s="1088"/>
      <c r="N109" s="1111"/>
      <c r="O109" s="1088"/>
      <c r="P109" s="1111"/>
      <c r="Q109" s="1088"/>
      <c r="R109" s="1088"/>
      <c r="S109" s="1088"/>
      <c r="T109" s="1088"/>
      <c r="U109" s="1088">
        <f t="shared" si="51"/>
        <v>0</v>
      </c>
      <c r="V109" s="1111"/>
      <c r="W109" s="1111">
        <f t="shared" si="54"/>
        <v>0</v>
      </c>
      <c r="X109" s="1088">
        <f t="shared" si="36"/>
        <v>0</v>
      </c>
    </row>
    <row r="110" spans="1:26" x14ac:dyDescent="0.25">
      <c r="A110" s="752" t="s">
        <v>1157</v>
      </c>
      <c r="B110" s="898">
        <v>0</v>
      </c>
      <c r="C110" s="898">
        <v>459946134.55000001</v>
      </c>
      <c r="D110" s="1111"/>
      <c r="E110" s="898">
        <v>554208481.19000006</v>
      </c>
      <c r="F110" s="1111">
        <f t="shared" si="45"/>
        <v>0.20494214334951202</v>
      </c>
      <c r="G110" s="898">
        <v>481640007.06999999</v>
      </c>
      <c r="H110" s="1111">
        <f t="shared" si="48"/>
        <v>-0.13094074988563972</v>
      </c>
      <c r="I110" s="898">
        <v>724565975.5</v>
      </c>
      <c r="J110" s="1111">
        <f t="shared" si="49"/>
        <v>0.5043724874679979</v>
      </c>
      <c r="K110" s="898">
        <v>243148522.19</v>
      </c>
      <c r="L110" s="1111">
        <f t="shared" si="50"/>
        <v>-0.66442183263958687</v>
      </c>
      <c r="M110" s="1088"/>
      <c r="N110" s="1111"/>
      <c r="O110" s="1088"/>
      <c r="P110" s="1111"/>
      <c r="Q110" s="1088"/>
      <c r="R110" s="1088"/>
      <c r="S110" s="1088"/>
      <c r="T110" s="1088"/>
      <c r="U110" s="1088">
        <f t="shared" si="51"/>
        <v>0</v>
      </c>
      <c r="V110" s="1111"/>
      <c r="W110" s="1111">
        <f t="shared" si="54"/>
        <v>0</v>
      </c>
      <c r="X110" s="1088">
        <f t="shared" si="36"/>
        <v>0</v>
      </c>
    </row>
    <row r="111" spans="1:26" x14ac:dyDescent="0.25">
      <c r="A111" s="752" t="s">
        <v>1158</v>
      </c>
      <c r="B111" s="898">
        <v>0</v>
      </c>
      <c r="C111" s="898">
        <v>1361112632.4400001</v>
      </c>
      <c r="D111" s="1111"/>
      <c r="E111" s="898">
        <v>1487037414.6199999</v>
      </c>
      <c r="F111" s="1111">
        <f t="shared" si="45"/>
        <v>9.251606309336842E-2</v>
      </c>
      <c r="G111" s="898">
        <v>1423742945.45</v>
      </c>
      <c r="H111" s="1111">
        <f t="shared" si="48"/>
        <v>-4.256414031530889E-2</v>
      </c>
      <c r="I111" s="898">
        <v>1813347131.9300001</v>
      </c>
      <c r="J111" s="1111">
        <f t="shared" si="49"/>
        <v>0.27364784333091707</v>
      </c>
      <c r="K111" s="898">
        <v>777154501.54999995</v>
      </c>
      <c r="L111" s="1111">
        <f t="shared" si="50"/>
        <v>-0.57142541112751477</v>
      </c>
      <c r="M111" s="1088"/>
      <c r="N111" s="1111"/>
      <c r="O111" s="1088"/>
      <c r="P111" s="1111"/>
      <c r="Q111" s="1088"/>
      <c r="R111" s="1088"/>
      <c r="S111" s="1088"/>
      <c r="T111" s="1088"/>
      <c r="U111" s="1088">
        <f t="shared" si="51"/>
        <v>0</v>
      </c>
      <c r="V111" s="1111"/>
      <c r="W111" s="1111">
        <f t="shared" si="54"/>
        <v>0</v>
      </c>
      <c r="X111" s="1088">
        <f t="shared" si="36"/>
        <v>0</v>
      </c>
    </row>
    <row r="112" spans="1:26" s="54" customFormat="1" x14ac:dyDescent="0.25">
      <c r="A112" s="752" t="s">
        <v>1159</v>
      </c>
      <c r="B112" s="898">
        <v>16838327</v>
      </c>
      <c r="C112" s="898">
        <v>1431205240.8499999</v>
      </c>
      <c r="D112" s="1111">
        <f t="shared" ref="D112:D115" si="57">+(C112-B112)/B112</f>
        <v>83.99687889717309</v>
      </c>
      <c r="E112" s="898">
        <v>0</v>
      </c>
      <c r="F112" s="1111">
        <f t="shared" si="45"/>
        <v>-1</v>
      </c>
      <c r="G112" s="898">
        <v>0</v>
      </c>
      <c r="H112" s="1111"/>
      <c r="I112" s="898">
        <v>0</v>
      </c>
      <c r="J112" s="1111"/>
      <c r="K112" s="898">
        <f>+K113</f>
        <v>463984312.81999999</v>
      </c>
      <c r="L112" s="1111"/>
      <c r="M112" s="1098">
        <f>+M113</f>
        <v>0</v>
      </c>
      <c r="N112" s="1111"/>
      <c r="O112" s="1098">
        <f>+O113</f>
        <v>0</v>
      </c>
      <c r="P112" s="1111"/>
      <c r="Q112" s="1098"/>
      <c r="R112" s="1098"/>
      <c r="S112" s="1098"/>
      <c r="T112" s="1088">
        <f>+T113</f>
        <v>0</v>
      </c>
      <c r="U112" s="1088">
        <f t="shared" si="51"/>
        <v>0</v>
      </c>
      <c r="V112" s="1111"/>
      <c r="W112" s="1111">
        <f t="shared" si="54"/>
        <v>0</v>
      </c>
      <c r="X112" s="1088">
        <f t="shared" si="36"/>
        <v>0</v>
      </c>
      <c r="Y112" s="1195"/>
    </row>
    <row r="113" spans="1:25" x14ac:dyDescent="0.25">
      <c r="A113" s="752" t="s">
        <v>1160</v>
      </c>
      <c r="B113" s="898">
        <v>1003661411.41</v>
      </c>
      <c r="C113" s="898">
        <v>0</v>
      </c>
      <c r="D113" s="1111">
        <f t="shared" si="57"/>
        <v>-1</v>
      </c>
      <c r="E113" s="898">
        <v>540827181.17999995</v>
      </c>
      <c r="F113" s="1111"/>
      <c r="G113" s="898">
        <v>785370716.19000006</v>
      </c>
      <c r="H113" s="1111">
        <f t="shared" si="48"/>
        <v>0.45216576296414046</v>
      </c>
      <c r="I113" s="898">
        <v>791664559.63999999</v>
      </c>
      <c r="J113" s="1111">
        <f t="shared" si="49"/>
        <v>8.0138504279007212E-3</v>
      </c>
      <c r="K113" s="898">
        <v>463984312.81999999</v>
      </c>
      <c r="L113" s="1111">
        <f t="shared" si="50"/>
        <v>-0.41391299235247903</v>
      </c>
      <c r="M113" s="1088"/>
      <c r="N113" s="1111"/>
      <c r="O113" s="1088"/>
      <c r="P113" s="1111"/>
      <c r="Q113" s="1088">
        <f>+'Ingresos 2023'!I185</f>
        <v>175218474</v>
      </c>
      <c r="R113" s="1088">
        <f>+'Ingresos 2023'!J185</f>
        <v>175218474</v>
      </c>
      <c r="S113" s="1088">
        <f>+'Ingresos 2023'!K185</f>
        <v>0</v>
      </c>
      <c r="T113" s="1088"/>
      <c r="U113" s="1088">
        <f t="shared" si="51"/>
        <v>0</v>
      </c>
      <c r="V113" s="1111"/>
      <c r="W113" s="1111">
        <f t="shared" si="54"/>
        <v>0</v>
      </c>
      <c r="X113" s="1088">
        <f t="shared" si="36"/>
        <v>0</v>
      </c>
    </row>
    <row r="114" spans="1:25" s="54" customFormat="1" x14ac:dyDescent="0.25">
      <c r="A114" s="752" t="s">
        <v>606</v>
      </c>
      <c r="B114" s="898">
        <v>8947353002.9300003</v>
      </c>
      <c r="C114" s="898">
        <v>288578661.56999999</v>
      </c>
      <c r="D114" s="1111">
        <f t="shared" si="57"/>
        <v>-0.96774703518733429</v>
      </c>
      <c r="E114" s="898">
        <v>314586355.63999999</v>
      </c>
      <c r="F114" s="1111">
        <f t="shared" si="45"/>
        <v>9.0123413590271137E-2</v>
      </c>
      <c r="G114" s="898">
        <v>518340794.77999997</v>
      </c>
      <c r="H114" s="1111">
        <f t="shared" si="48"/>
        <v>0.64769000780557817</v>
      </c>
      <c r="I114" s="898">
        <v>389188180.72000003</v>
      </c>
      <c r="J114" s="1111">
        <f t="shared" si="49"/>
        <v>-0.24916544358584847</v>
      </c>
      <c r="K114" s="898">
        <v>822054598.65999997</v>
      </c>
      <c r="L114" s="1111">
        <f t="shared" si="50"/>
        <v>1.1122290947767093</v>
      </c>
      <c r="M114" s="1088"/>
      <c r="N114" s="1111"/>
      <c r="O114" s="1088">
        <f>+'Ingresos 2022'!AE223</f>
        <v>100405457.84</v>
      </c>
      <c r="P114" s="1111"/>
      <c r="Q114" s="1088"/>
      <c r="R114" s="1088"/>
      <c r="S114" s="1088"/>
      <c r="T114" s="1088"/>
      <c r="U114" s="1088">
        <f t="shared" si="51"/>
        <v>0</v>
      </c>
      <c r="V114" s="1111">
        <f t="shared" si="53"/>
        <v>-1</v>
      </c>
      <c r="W114" s="1111">
        <f t="shared" si="54"/>
        <v>-0.33333333333333331</v>
      </c>
      <c r="X114" s="1088">
        <f t="shared" si="36"/>
        <v>0</v>
      </c>
      <c r="Y114" s="1195"/>
    </row>
    <row r="115" spans="1:25" s="54" customFormat="1" x14ac:dyDescent="0.25">
      <c r="A115" s="752" t="s">
        <v>3218</v>
      </c>
      <c r="B115" s="1119">
        <v>391674231.25</v>
      </c>
      <c r="C115" s="1119">
        <v>463287974.17000002</v>
      </c>
      <c r="D115" s="1120">
        <f t="shared" si="57"/>
        <v>0.18284006760273694</v>
      </c>
      <c r="E115" s="1119">
        <v>817422371.61000001</v>
      </c>
      <c r="F115" s="1120">
        <f t="shared" si="45"/>
        <v>0.76439367560629379</v>
      </c>
      <c r="G115" s="1119">
        <v>388313126.95999998</v>
      </c>
      <c r="H115" s="1120">
        <f t="shared" si="48"/>
        <v>-0.5249541235393691</v>
      </c>
      <c r="I115" s="1119">
        <v>385612146.57999998</v>
      </c>
      <c r="J115" s="1120">
        <f t="shared" si="49"/>
        <v>-6.9556762119922424E-3</v>
      </c>
      <c r="K115" s="1119">
        <v>254989335.63999999</v>
      </c>
      <c r="L115" s="1120">
        <f t="shared" si="50"/>
        <v>-0.33874143254691458</v>
      </c>
      <c r="M115" s="1094">
        <v>305194983</v>
      </c>
      <c r="N115" s="1120">
        <f t="shared" si="46"/>
        <v>0.19689312587912125</v>
      </c>
      <c r="O115" s="1094">
        <f>+'Ingresos 2022'!AE178</f>
        <v>583326652.23000002</v>
      </c>
      <c r="P115" s="1120">
        <f t="shared" ref="P115" si="58">+(O115-M115)/M115</f>
        <v>0.91132451292621686</v>
      </c>
      <c r="Q115" s="1094">
        <f>+'Ingresos 2023'!I175</f>
        <v>412620217</v>
      </c>
      <c r="R115" s="1094">
        <f>+'Ingresos 2023'!J175</f>
        <v>1912620217</v>
      </c>
      <c r="S115" s="1094">
        <f>+'Ingresos 2023'!K175</f>
        <v>1210595693.8</v>
      </c>
      <c r="T115" s="1088">
        <f>+'Recaudo Julio Dic 2022'!E108</f>
        <v>451364701.05000001</v>
      </c>
      <c r="U115" s="1088">
        <f t="shared" si="51"/>
        <v>1661960394.8499999</v>
      </c>
      <c r="V115" s="1111">
        <f t="shared" si="53"/>
        <v>1.8491075943409923</v>
      </c>
      <c r="W115" s="1111">
        <f t="shared" si="54"/>
        <v>0.98577507771544337</v>
      </c>
      <c r="X115" s="1088">
        <f t="shared" si="36"/>
        <v>3300279532.2432475</v>
      </c>
      <c r="Y115" s="1195">
        <v>300000000</v>
      </c>
    </row>
    <row r="116" spans="1:25" s="54" customFormat="1" x14ac:dyDescent="0.25">
      <c r="A116" s="752" t="s">
        <v>1050</v>
      </c>
      <c r="B116" s="887">
        <v>0</v>
      </c>
      <c r="C116" s="887">
        <v>93819087.760000005</v>
      </c>
      <c r="D116" s="1109"/>
      <c r="E116" s="887">
        <v>69195431.610500008</v>
      </c>
      <c r="F116" s="1109">
        <f t="shared" si="45"/>
        <v>-0.26245891680902012</v>
      </c>
      <c r="G116" s="887">
        <v>12808894.51</v>
      </c>
      <c r="H116" s="1109">
        <f t="shared" si="48"/>
        <v>-0.8148881477884109</v>
      </c>
      <c r="I116" s="887">
        <v>15150697.939999999</v>
      </c>
      <c r="J116" s="1109">
        <f t="shared" si="49"/>
        <v>0.1828263499376731</v>
      </c>
      <c r="K116" s="887">
        <v>8564550.9399999995</v>
      </c>
      <c r="L116" s="1109">
        <f t="shared" si="50"/>
        <v>-0.43470914845524272</v>
      </c>
      <c r="M116" s="1088">
        <v>18961910.350000001</v>
      </c>
      <c r="N116" s="1109">
        <f t="shared" si="46"/>
        <v>1.2139993658558359</v>
      </c>
      <c r="O116" s="1088">
        <f>+'Ingresos 2022'!AE166</f>
        <v>69803152.939999998</v>
      </c>
      <c r="P116" s="1109">
        <f t="shared" ref="P116:P127" si="59">+(O116-M116)/M116</f>
        <v>2.6812299842984961</v>
      </c>
      <c r="Q116" s="1088">
        <f>+'Ingresos 2023'!I163</f>
        <v>1664967</v>
      </c>
      <c r="R116" s="1088">
        <f>+'Ingresos 2023'!J163</f>
        <v>1664967</v>
      </c>
      <c r="S116" s="1088">
        <f>+'Ingresos 2023'!K163</f>
        <v>106398191.16</v>
      </c>
      <c r="T116" s="1088">
        <f>++'Recaudo Julio Dic 2022'!E96</f>
        <v>53314638.090000004</v>
      </c>
      <c r="U116" s="1088">
        <f t="shared" si="51"/>
        <v>159712829.25</v>
      </c>
      <c r="V116" s="1111">
        <f t="shared" si="53"/>
        <v>1.2880460627227364</v>
      </c>
      <c r="W116" s="1111">
        <f t="shared" si="54"/>
        <v>1.7277584709590228</v>
      </c>
      <c r="X116" s="1088">
        <f t="shared" si="36"/>
        <v>435658022.90751952</v>
      </c>
      <c r="Y116" s="1195">
        <v>20000000</v>
      </c>
    </row>
    <row r="117" spans="1:25" s="54" customFormat="1" x14ac:dyDescent="0.25">
      <c r="A117" s="752" t="s">
        <v>1167</v>
      </c>
      <c r="B117" s="887">
        <v>0</v>
      </c>
      <c r="C117" s="887">
        <v>0</v>
      </c>
      <c r="D117" s="1109"/>
      <c r="E117" s="887">
        <v>21290902.034000002</v>
      </c>
      <c r="F117" s="1109"/>
      <c r="G117" s="887">
        <v>3941198.31</v>
      </c>
      <c r="H117" s="1109">
        <f t="shared" si="48"/>
        <v>-0.81488814782454044</v>
      </c>
      <c r="I117" s="887">
        <v>4661753.17</v>
      </c>
      <c r="J117" s="1109">
        <f t="shared" si="49"/>
        <v>0.1828263394338053</v>
      </c>
      <c r="K117" s="887">
        <v>2635246.46</v>
      </c>
      <c r="L117" s="1109">
        <f t="shared" si="50"/>
        <v>-0.43470913969475566</v>
      </c>
      <c r="M117" s="1088">
        <v>6320426.5999999996</v>
      </c>
      <c r="N117" s="1109">
        <f t="shared" si="46"/>
        <v>1.3984195390969236</v>
      </c>
      <c r="O117" s="1088">
        <f>+'Ingresos 2022'!AE167</f>
        <v>27921261.129999999</v>
      </c>
      <c r="P117" s="1109">
        <f t="shared" si="59"/>
        <v>3.4176228753293332</v>
      </c>
      <c r="Q117" s="1088">
        <f>+'Ingresos 2023'!I164</f>
        <v>481528</v>
      </c>
      <c r="R117" s="1088">
        <f>+'Ingresos 2023'!J164</f>
        <v>481528</v>
      </c>
      <c r="S117" s="1088">
        <f>+'Ingresos 2023'!K164</f>
        <v>42559276.439999998</v>
      </c>
      <c r="T117" s="1088">
        <f>++'Recaudo Julio Dic 2022'!E97</f>
        <v>21325855.219999999</v>
      </c>
      <c r="U117" s="1088">
        <f t="shared" si="51"/>
        <v>63885131.659999996</v>
      </c>
      <c r="V117" s="1111">
        <f t="shared" si="53"/>
        <v>1.2880460650596695</v>
      </c>
      <c r="W117" s="1111">
        <f t="shared" si="54"/>
        <v>2.0346961598286417</v>
      </c>
      <c r="X117" s="1088">
        <f t="shared" si="36"/>
        <v>193871963.71874917</v>
      </c>
      <c r="Y117" s="1195">
        <f>+Y116/8*2</f>
        <v>5000000</v>
      </c>
    </row>
    <row r="118" spans="1:25" s="54" customFormat="1" ht="25.5" x14ac:dyDescent="0.25">
      <c r="A118" s="752" t="s">
        <v>1168</v>
      </c>
      <c r="B118" s="887">
        <v>0</v>
      </c>
      <c r="C118" s="887">
        <v>0</v>
      </c>
      <c r="D118" s="1109"/>
      <c r="E118" s="887">
        <v>15968176.5255</v>
      </c>
      <c r="F118" s="1109"/>
      <c r="G118" s="887">
        <v>2955898.71</v>
      </c>
      <c r="H118" s="1109">
        <f t="shared" si="48"/>
        <v>-0.81488814923359287</v>
      </c>
      <c r="I118" s="887">
        <v>3496314.8799999999</v>
      </c>
      <c r="J118" s="1109">
        <f t="shared" si="49"/>
        <v>0.18282634928312544</v>
      </c>
      <c r="K118" s="887">
        <v>1976434.84</v>
      </c>
      <c r="L118" s="1109">
        <f t="shared" si="50"/>
        <v>-0.4347091415290375</v>
      </c>
      <c r="M118" s="1088">
        <v>6319796.04</v>
      </c>
      <c r="N118" s="1109">
        <f t="shared" si="46"/>
        <v>2.1975736877821888</v>
      </c>
      <c r="O118" s="1088"/>
      <c r="P118" s="1109">
        <f t="shared" si="59"/>
        <v>-1</v>
      </c>
      <c r="Q118" s="1088"/>
      <c r="R118" s="1088"/>
      <c r="S118" s="1088"/>
      <c r="T118" s="1088"/>
      <c r="U118" s="1088">
        <f t="shared" si="51"/>
        <v>0</v>
      </c>
      <c r="V118" s="1111"/>
      <c r="W118" s="1111">
        <f t="shared" si="54"/>
        <v>0.39919122926072959</v>
      </c>
      <c r="X118" s="1088">
        <f t="shared" si="36"/>
        <v>0</v>
      </c>
      <c r="Y118" s="1195">
        <v>0</v>
      </c>
    </row>
    <row r="119" spans="1:25" s="54" customFormat="1" x14ac:dyDescent="0.25">
      <c r="A119" s="752" t="s">
        <v>1054</v>
      </c>
      <c r="B119" s="887">
        <v>0</v>
      </c>
      <c r="C119" s="887">
        <v>5351954.2820000006</v>
      </c>
      <c r="D119" s="1109"/>
      <c r="E119" s="887">
        <v>10789578.84</v>
      </c>
      <c r="F119" s="1109">
        <f t="shared" si="45"/>
        <v>1.0160072884568783</v>
      </c>
      <c r="G119" s="887">
        <v>3779495.92</v>
      </c>
      <c r="H119" s="1109">
        <f t="shared" si="48"/>
        <v>-0.64970867018568446</v>
      </c>
      <c r="I119" s="887">
        <v>3976503.65</v>
      </c>
      <c r="J119" s="1109">
        <f t="shared" si="49"/>
        <v>5.2125398246229616E-2</v>
      </c>
      <c r="K119" s="887">
        <v>866603.49</v>
      </c>
      <c r="L119" s="1109">
        <f t="shared" si="50"/>
        <v>-0.78206898162912541</v>
      </c>
      <c r="M119" s="1088">
        <v>1723833.62</v>
      </c>
      <c r="N119" s="1109">
        <f t="shared" si="46"/>
        <v>0.98918379615572527</v>
      </c>
      <c r="O119" s="1088">
        <f>+'Ingresos 2022'!AE168</f>
        <v>4007801.64</v>
      </c>
      <c r="P119" s="1109">
        <f t="shared" si="59"/>
        <v>1.3249353032109907</v>
      </c>
      <c r="Q119" s="1088">
        <f>+'Ingresos 2023'!I165</f>
        <v>316121</v>
      </c>
      <c r="R119" s="1088">
        <f>+'Ingresos 2023'!J165</f>
        <v>316121</v>
      </c>
      <c r="S119" s="1088">
        <f>+'Ingresos 2023'!K165</f>
        <v>4769097.75</v>
      </c>
      <c r="T119" s="1088">
        <f>+'Recaudo Julio Dic 2022'!E98</f>
        <v>3076381.8200000003</v>
      </c>
      <c r="U119" s="1088">
        <f t="shared" si="51"/>
        <v>7845479.5700000003</v>
      </c>
      <c r="V119" s="1111">
        <f t="shared" si="53"/>
        <v>0.95755186376938561</v>
      </c>
      <c r="W119" s="1111">
        <f t="shared" si="54"/>
        <v>1.090556987712034</v>
      </c>
      <c r="X119" s="1088">
        <f t="shared" si="36"/>
        <v>16401422.137015505</v>
      </c>
      <c r="Y119" s="1195">
        <v>2000000</v>
      </c>
    </row>
    <row r="120" spans="1:25" s="54" customFormat="1" x14ac:dyDescent="0.25">
      <c r="A120" s="752" t="s">
        <v>1055</v>
      </c>
      <c r="B120" s="887">
        <v>0</v>
      </c>
      <c r="C120" s="887">
        <v>2675977.1410000003</v>
      </c>
      <c r="D120" s="1109"/>
      <c r="E120" s="887">
        <v>5394789.4199999999</v>
      </c>
      <c r="F120" s="1109">
        <f t="shared" si="45"/>
        <v>1.0160072884568783</v>
      </c>
      <c r="G120" s="887">
        <v>1889748</v>
      </c>
      <c r="H120" s="1109">
        <f t="shared" si="48"/>
        <v>-0.6497086627711226</v>
      </c>
      <c r="I120" s="887">
        <v>1988251.74</v>
      </c>
      <c r="J120" s="1109">
        <f t="shared" si="49"/>
        <v>5.2125330996513813E-2</v>
      </c>
      <c r="K120" s="887">
        <v>433301.69</v>
      </c>
      <c r="L120" s="1109">
        <f t="shared" si="50"/>
        <v>-0.78206899997482215</v>
      </c>
      <c r="M120" s="1088">
        <v>861916.82</v>
      </c>
      <c r="N120" s="1109">
        <f t="shared" si="46"/>
        <v>0.98918407172609912</v>
      </c>
      <c r="O120" s="1088">
        <f>+'Ingresos 2022'!AE169</f>
        <v>2003900.82</v>
      </c>
      <c r="P120" s="1109">
        <f t="shared" si="59"/>
        <v>1.3249352762369808</v>
      </c>
      <c r="Q120" s="1088">
        <f>+'Ingresos 2023'!I166</f>
        <v>158060</v>
      </c>
      <c r="R120" s="1088">
        <f>+'Ingresos 2023'!J166</f>
        <v>158060</v>
      </c>
      <c r="S120" s="1088">
        <f>+'Ingresos 2023'!K166</f>
        <v>2384548.91</v>
      </c>
      <c r="T120" s="1088">
        <f>+'Recaudo Julio Dic 2022'!E99</f>
        <v>1538190.9300000002</v>
      </c>
      <c r="U120" s="1088">
        <f t="shared" si="51"/>
        <v>3922739.8400000003</v>
      </c>
      <c r="V120" s="1111">
        <f t="shared" si="53"/>
        <v>0.95755189121585382</v>
      </c>
      <c r="W120" s="1111">
        <f t="shared" si="54"/>
        <v>1.0905570797263111</v>
      </c>
      <c r="X120" s="1088">
        <f t="shared" si="36"/>
        <v>8200711.5444364566</v>
      </c>
      <c r="Y120" s="1195">
        <v>1000000</v>
      </c>
    </row>
    <row r="121" spans="1:25" s="54" customFormat="1" x14ac:dyDescent="0.25">
      <c r="A121" s="752" t="s">
        <v>1056</v>
      </c>
      <c r="B121" s="887">
        <v>0</v>
      </c>
      <c r="C121" s="887">
        <v>2675977.1410000003</v>
      </c>
      <c r="D121" s="1109"/>
      <c r="E121" s="887">
        <v>5394789.4199999999</v>
      </c>
      <c r="F121" s="1109">
        <f t="shared" si="45"/>
        <v>1.0160072884568783</v>
      </c>
      <c r="G121" s="887">
        <v>1889748</v>
      </c>
      <c r="H121" s="1109">
        <f t="shared" si="48"/>
        <v>-0.6497086627711226</v>
      </c>
      <c r="I121" s="887">
        <v>1988251.74</v>
      </c>
      <c r="J121" s="1109">
        <f t="shared" si="49"/>
        <v>5.2125330996513813E-2</v>
      </c>
      <c r="K121" s="887">
        <v>433301.69</v>
      </c>
      <c r="L121" s="1109">
        <f t="shared" si="50"/>
        <v>-0.78206899997482215</v>
      </c>
      <c r="M121" s="1088">
        <v>861916.82</v>
      </c>
      <c r="N121" s="1109">
        <f t="shared" si="46"/>
        <v>0.98918407172609912</v>
      </c>
      <c r="O121" s="1088">
        <f>+'Ingresos 2022'!AE170</f>
        <v>2003900.82</v>
      </c>
      <c r="P121" s="1109">
        <f t="shared" si="59"/>
        <v>1.3249352762369808</v>
      </c>
      <c r="Q121" s="1088">
        <f>+'Ingresos 2023'!I167</f>
        <v>158060</v>
      </c>
      <c r="R121" s="1088">
        <f>+'Ingresos 2023'!J167</f>
        <v>158060</v>
      </c>
      <c r="S121" s="1088">
        <f>+'Ingresos 2023'!K167</f>
        <v>2384548.91</v>
      </c>
      <c r="T121" s="1088">
        <f>+'Recaudo Julio Dic 2022'!E100</f>
        <v>1538190.9300000002</v>
      </c>
      <c r="U121" s="1088">
        <f t="shared" si="51"/>
        <v>3922739.8400000003</v>
      </c>
      <c r="V121" s="1111">
        <f t="shared" si="53"/>
        <v>0.95755189121585382</v>
      </c>
      <c r="W121" s="1111">
        <f t="shared" si="54"/>
        <v>1.0905570797263111</v>
      </c>
      <c r="X121" s="1088">
        <f t="shared" si="36"/>
        <v>8200711.5444364566</v>
      </c>
      <c r="Y121" s="1195">
        <v>1000000</v>
      </c>
    </row>
    <row r="122" spans="1:25" s="54" customFormat="1" x14ac:dyDescent="0.25">
      <c r="A122" s="752" t="s">
        <v>1057</v>
      </c>
      <c r="B122" s="887">
        <v>0</v>
      </c>
      <c r="C122" s="887">
        <v>13379885.705</v>
      </c>
      <c r="D122" s="1109"/>
      <c r="E122" s="887">
        <v>26973947.010000002</v>
      </c>
      <c r="F122" s="1109">
        <f t="shared" si="45"/>
        <v>1.0160072817303638</v>
      </c>
      <c r="G122" s="887">
        <v>9448739.9900000002</v>
      </c>
      <c r="H122" s="1109">
        <f t="shared" si="48"/>
        <v>-0.64970866197308519</v>
      </c>
      <c r="I122" s="887">
        <v>9941258.9499999993</v>
      </c>
      <c r="J122" s="1109">
        <f t="shared" si="49"/>
        <v>5.2125358568576613E-2</v>
      </c>
      <c r="K122" s="887">
        <v>2166508.64</v>
      </c>
      <c r="L122" s="1109">
        <f t="shared" si="50"/>
        <v>-0.78206898634302235</v>
      </c>
      <c r="M122" s="1088">
        <v>4309584.01</v>
      </c>
      <c r="N122" s="1109">
        <f t="shared" si="46"/>
        <v>0.98918385573574241</v>
      </c>
      <c r="O122" s="1088">
        <f>+'Ingresos 2022'!AE171</f>
        <v>9231216.7200000007</v>
      </c>
      <c r="P122" s="1109">
        <f t="shared" si="59"/>
        <v>1.1420203663694217</v>
      </c>
      <c r="Q122" s="1088">
        <f>+'Ingresos 2023'!I168</f>
        <v>790301</v>
      </c>
      <c r="R122" s="1088">
        <f>+'Ingresos 2023'!J168</f>
        <v>790301</v>
      </c>
      <c r="S122" s="1088">
        <f>+'Ingresos 2023'!K168</f>
        <v>11922744.5</v>
      </c>
      <c r="T122" s="1088">
        <f>+'Recaudo Julio Dic 2022'!E101</f>
        <v>6902667.2299999995</v>
      </c>
      <c r="U122" s="1088">
        <f t="shared" si="51"/>
        <v>18825411.73</v>
      </c>
      <c r="V122" s="1111">
        <f t="shared" si="53"/>
        <v>1.0393207418924078</v>
      </c>
      <c r="W122" s="1111">
        <f t="shared" si="54"/>
        <v>1.0568416546658572</v>
      </c>
      <c r="X122" s="1088">
        <f t="shared" si="36"/>
        <v>38720891.012499243</v>
      </c>
      <c r="Y122" s="1195">
        <v>5000000</v>
      </c>
    </row>
    <row r="123" spans="1:25" s="54" customFormat="1" x14ac:dyDescent="0.25">
      <c r="A123" s="752" t="s">
        <v>1058</v>
      </c>
      <c r="B123" s="887">
        <v>0</v>
      </c>
      <c r="C123" s="887">
        <v>2675977.1410000003</v>
      </c>
      <c r="D123" s="1109"/>
      <c r="E123" s="887">
        <v>5394789.4199999999</v>
      </c>
      <c r="F123" s="1109">
        <f t="shared" si="45"/>
        <v>1.0160072884568783</v>
      </c>
      <c r="G123" s="887">
        <v>1889748</v>
      </c>
      <c r="H123" s="1109">
        <f t="shared" si="48"/>
        <v>-0.6497086627711226</v>
      </c>
      <c r="I123" s="887">
        <v>1988251.74</v>
      </c>
      <c r="J123" s="1109">
        <f t="shared" si="49"/>
        <v>5.2125330996513813E-2</v>
      </c>
      <c r="K123" s="887">
        <v>433301.69</v>
      </c>
      <c r="L123" s="1109">
        <f t="shared" si="50"/>
        <v>-0.78206899997482215</v>
      </c>
      <c r="M123" s="1088">
        <v>861916.82</v>
      </c>
      <c r="N123" s="1109">
        <f t="shared" si="46"/>
        <v>0.98918407172609912</v>
      </c>
      <c r="O123" s="1088">
        <f>+'Ingresos 2022'!AE172</f>
        <v>2792188.18</v>
      </c>
      <c r="P123" s="1109">
        <f t="shared" si="59"/>
        <v>2.2395100260370837</v>
      </c>
      <c r="Q123" s="1088">
        <f>+'Ingresos 2023'!I169</f>
        <v>158060</v>
      </c>
      <c r="R123" s="1088">
        <f>+'Ingresos 2023'!J169</f>
        <v>158060</v>
      </c>
      <c r="S123" s="1088">
        <f>+'Ingresos 2023'!K169</f>
        <v>2384548.7999999998</v>
      </c>
      <c r="T123" s="1088">
        <f>+'Recaudo Julio Dic 2022'!E102</f>
        <v>2326478.29</v>
      </c>
      <c r="U123" s="1088">
        <f t="shared" si="51"/>
        <v>4711027.09</v>
      </c>
      <c r="V123" s="1111">
        <f t="shared" si="53"/>
        <v>0.68721690169177618</v>
      </c>
      <c r="W123" s="1111">
        <f t="shared" si="54"/>
        <v>1.3053036664849864</v>
      </c>
      <c r="X123" s="1088">
        <f t="shared" si="36"/>
        <v>10860348.023487095</v>
      </c>
      <c r="Y123" s="1195">
        <v>1000000</v>
      </c>
    </row>
    <row r="124" spans="1:25" s="54" customFormat="1" x14ac:dyDescent="0.25">
      <c r="A124" s="752" t="s">
        <v>1060</v>
      </c>
      <c r="B124" s="887">
        <v>0</v>
      </c>
      <c r="C124" s="887">
        <v>38259325.719999999</v>
      </c>
      <c r="D124" s="1109"/>
      <c r="E124" s="887">
        <v>9739380.3760000002</v>
      </c>
      <c r="F124" s="1109">
        <f t="shared" si="45"/>
        <v>-0.7454377411855756</v>
      </c>
      <c r="G124" s="887">
        <v>3334722.42</v>
      </c>
      <c r="H124" s="1109">
        <f t="shared" si="48"/>
        <v>-0.6576042529135121</v>
      </c>
      <c r="I124" s="887">
        <v>2385270.66</v>
      </c>
      <c r="J124" s="1109">
        <f t="shared" si="49"/>
        <v>-0.28471687907385101</v>
      </c>
      <c r="K124" s="887">
        <v>3407490.18</v>
      </c>
      <c r="L124" s="1109">
        <f t="shared" si="50"/>
        <v>0.42855493807985712</v>
      </c>
      <c r="M124" s="1088">
        <v>14259553.98</v>
      </c>
      <c r="N124" s="1109">
        <f t="shared" si="46"/>
        <v>3.1847674466372196</v>
      </c>
      <c r="O124" s="1088">
        <f>+'Ingresos 2022'!AE173</f>
        <v>57150560.700000003</v>
      </c>
      <c r="P124" s="1109">
        <f t="shared" si="59"/>
        <v>3.0078785619913195</v>
      </c>
      <c r="Q124" s="1088">
        <f>+'Ingresos 2023'!I170</f>
        <v>1400016</v>
      </c>
      <c r="R124" s="1088">
        <f>+'Ingresos 2023'!J170</f>
        <v>1400016</v>
      </c>
      <c r="S124" s="1088">
        <f>+'Ingresos 2023'!K170</f>
        <v>54694030.969999999</v>
      </c>
      <c r="T124" s="1088">
        <f>+'Recaudo Julio Dic 2022'!E103</f>
        <v>43410720.629999995</v>
      </c>
      <c r="U124" s="1088">
        <f t="shared" si="51"/>
        <v>98104751.599999994</v>
      </c>
      <c r="V124" s="1111">
        <f t="shared" si="53"/>
        <v>0.71660173405787753</v>
      </c>
      <c r="W124" s="1111">
        <f t="shared" si="54"/>
        <v>2.303082580895472</v>
      </c>
      <c r="X124" s="1088">
        <f t="shared" si="36"/>
        <v>324048096.11303717</v>
      </c>
      <c r="Y124" s="1195">
        <v>20000000</v>
      </c>
    </row>
    <row r="125" spans="1:25" s="54" customFormat="1" x14ac:dyDescent="0.25">
      <c r="A125" s="752" t="s">
        <v>1169</v>
      </c>
      <c r="B125" s="887">
        <v>0</v>
      </c>
      <c r="C125" s="887">
        <v>0</v>
      </c>
      <c r="D125" s="1109"/>
      <c r="E125" s="887">
        <v>2434845.094</v>
      </c>
      <c r="F125" s="1109"/>
      <c r="G125" s="887">
        <v>833680.59</v>
      </c>
      <c r="H125" s="1109">
        <f t="shared" si="48"/>
        <v>-0.65760425907406828</v>
      </c>
      <c r="I125" s="887">
        <v>596317.63</v>
      </c>
      <c r="J125" s="1109">
        <f t="shared" si="49"/>
        <v>-0.28471690818662332</v>
      </c>
      <c r="K125" s="887">
        <v>851872.54</v>
      </c>
      <c r="L125" s="1109">
        <f t="shared" si="50"/>
        <v>0.42855501354202796</v>
      </c>
      <c r="M125" s="1088">
        <v>3564888.44</v>
      </c>
      <c r="N125" s="1109">
        <f t="shared" si="46"/>
        <v>3.1847674066357388</v>
      </c>
      <c r="O125" s="1088">
        <f>+'Ingresos 2022'!AE174</f>
        <v>14287640.15</v>
      </c>
      <c r="P125" s="1109">
        <f t="shared" si="59"/>
        <v>3.0078786168130414</v>
      </c>
      <c r="Q125" s="1088">
        <f>+'Ingresos 2023'!I171</f>
        <v>325004</v>
      </c>
      <c r="R125" s="1088">
        <f>+'Ingresos 2023'!J171</f>
        <v>325004</v>
      </c>
      <c r="S125" s="1088">
        <f>+'Ingresos 2023'!K171</f>
        <v>13673507.73</v>
      </c>
      <c r="T125" s="1088">
        <f>+'Recaudo Julio Dic 2022'!E104</f>
        <v>10852680.140000001</v>
      </c>
      <c r="U125" s="1088">
        <f t="shared" si="51"/>
        <v>24526187.870000001</v>
      </c>
      <c r="V125" s="1111">
        <f t="shared" si="53"/>
        <v>0.71660173496180901</v>
      </c>
      <c r="W125" s="1111">
        <f t="shared" si="54"/>
        <v>2.3030825861368629</v>
      </c>
      <c r="X125" s="1088">
        <f t="shared" si="36"/>
        <v>81012024.057718158</v>
      </c>
      <c r="Y125" s="1195">
        <v>5000000</v>
      </c>
    </row>
    <row r="126" spans="1:25" s="54" customFormat="1" x14ac:dyDescent="0.25">
      <c r="A126" s="752" t="s">
        <v>1166</v>
      </c>
      <c r="B126" s="887"/>
      <c r="C126" s="887"/>
      <c r="D126" s="1109"/>
      <c r="E126" s="887"/>
      <c r="F126" s="1109"/>
      <c r="G126" s="887"/>
      <c r="H126" s="1109"/>
      <c r="I126" s="887"/>
      <c r="J126" s="1109"/>
      <c r="K126" s="887"/>
      <c r="L126" s="1109"/>
      <c r="M126" s="1088">
        <v>559439006.14999998</v>
      </c>
      <c r="N126" s="1109" t="e">
        <f t="shared" si="46"/>
        <v>#DIV/0!</v>
      </c>
      <c r="O126" s="1088"/>
      <c r="P126" s="1109">
        <f t="shared" si="59"/>
        <v>-1</v>
      </c>
      <c r="Q126" s="1088"/>
      <c r="R126" s="1088"/>
      <c r="S126" s="1088"/>
      <c r="T126" s="1088"/>
      <c r="U126" s="1088">
        <f t="shared" si="51"/>
        <v>0</v>
      </c>
      <c r="V126" s="1111"/>
      <c r="W126" s="1111"/>
      <c r="X126" s="1088">
        <f t="shared" si="36"/>
        <v>0</v>
      </c>
      <c r="Y126" s="1195"/>
    </row>
    <row r="127" spans="1:25" s="54" customFormat="1" x14ac:dyDescent="0.25">
      <c r="A127" s="752" t="s">
        <v>1170</v>
      </c>
      <c r="B127" s="887">
        <v>0</v>
      </c>
      <c r="C127" s="887">
        <v>100062981.03</v>
      </c>
      <c r="D127" s="1109"/>
      <c r="E127" s="887">
        <v>222303814.28</v>
      </c>
      <c r="F127" s="1109">
        <f t="shared" si="45"/>
        <v>1.221638931717923</v>
      </c>
      <c r="G127" s="887">
        <v>139166344.66999999</v>
      </c>
      <c r="H127" s="1109">
        <f t="shared" si="48"/>
        <v>-0.37398130067748298</v>
      </c>
      <c r="I127" s="887">
        <v>71809525.689999998</v>
      </c>
      <c r="J127" s="1109">
        <f t="shared" si="49"/>
        <v>-0.48400221432646467</v>
      </c>
      <c r="K127" s="887">
        <v>9183334.4499999993</v>
      </c>
      <c r="L127" s="1109">
        <f t="shared" si="50"/>
        <v>-0.8721153724139018</v>
      </c>
      <c r="M127" s="1088">
        <v>29657891.350000001</v>
      </c>
      <c r="N127" s="1109">
        <f t="shared" si="46"/>
        <v>2.2295340555738994</v>
      </c>
      <c r="O127" s="1088">
        <f>+'Ingresos 2022'!AE176</f>
        <v>115442163.69</v>
      </c>
      <c r="P127" s="1109">
        <f t="shared" si="59"/>
        <v>2.8924602672401387</v>
      </c>
      <c r="Q127" s="1088">
        <f>+'Ingresos 2023'!I173</f>
        <v>2314305</v>
      </c>
      <c r="R127" s="1088">
        <f>+'Ingresos 2023'!J173</f>
        <v>2314305</v>
      </c>
      <c r="S127" s="1088">
        <f>+'Ingresos 2023'!K173</f>
        <v>126588081.90000001</v>
      </c>
      <c r="T127" s="1088">
        <f>+'Recaudo Julio Dic 2022'!E106</f>
        <v>85082810.650000006</v>
      </c>
      <c r="U127" s="1088">
        <f t="shared" si="51"/>
        <v>211670892.55000001</v>
      </c>
      <c r="V127" s="1111">
        <f t="shared" si="53"/>
        <v>0.83356657380751853</v>
      </c>
      <c r="W127" s="1111">
        <f t="shared" si="54"/>
        <v>1.985186965540519</v>
      </c>
      <c r="X127" s="1088">
        <f t="shared" si="36"/>
        <v>631877189.42458773</v>
      </c>
      <c r="Y127" s="1195">
        <v>30000000</v>
      </c>
    </row>
    <row r="128" spans="1:25" s="54" customFormat="1" x14ac:dyDescent="0.25">
      <c r="A128" s="752" t="s">
        <v>1171</v>
      </c>
      <c r="B128" s="887">
        <v>0</v>
      </c>
      <c r="C128" s="887">
        <v>648763.80000000005</v>
      </c>
      <c r="D128" s="1109"/>
      <c r="E128" s="887">
        <v>911017.83</v>
      </c>
      <c r="F128" s="1109">
        <f t="shared" si="45"/>
        <v>0.40423653415927319</v>
      </c>
      <c r="G128" s="887">
        <v>616829.43000000005</v>
      </c>
      <c r="H128" s="1109">
        <f t="shared" si="48"/>
        <v>-0.3229227687014643</v>
      </c>
      <c r="I128" s="887">
        <v>513341.79</v>
      </c>
      <c r="J128" s="1109">
        <f t="shared" si="49"/>
        <v>-0.16777351236305321</v>
      </c>
      <c r="K128" s="887">
        <v>1104368.04</v>
      </c>
      <c r="L128" s="1109">
        <f t="shared" si="50"/>
        <v>1.1513308706076706</v>
      </c>
      <c r="M128" s="1088"/>
      <c r="N128" s="1109"/>
      <c r="O128" s="1088"/>
      <c r="P128" s="1109"/>
      <c r="Q128" s="1088"/>
      <c r="R128" s="1088"/>
      <c r="S128" s="1088"/>
      <c r="T128" s="1088">
        <f>+'Recaudo Julio Dic 2022'!E110</f>
        <v>1375262.58</v>
      </c>
      <c r="U128" s="1088">
        <f t="shared" si="51"/>
        <v>1375262.58</v>
      </c>
      <c r="V128" s="1111"/>
      <c r="W128" s="1111">
        <f t="shared" si="54"/>
        <v>0</v>
      </c>
      <c r="X128" s="1088">
        <f t="shared" si="36"/>
        <v>1375262.58</v>
      </c>
      <c r="Y128" s="1195">
        <v>2000000</v>
      </c>
    </row>
    <row r="129" spans="1:25" s="654" customFormat="1" x14ac:dyDescent="0.25">
      <c r="A129" s="752" t="s">
        <v>1172</v>
      </c>
      <c r="B129" s="887">
        <v>0</v>
      </c>
      <c r="C129" s="887">
        <v>5201062.96</v>
      </c>
      <c r="D129" s="1109"/>
      <c r="E129" s="887">
        <v>12693804.279999999</v>
      </c>
      <c r="F129" s="1109">
        <f t="shared" si="45"/>
        <v>1.4406173079666007</v>
      </c>
      <c r="G129" s="887">
        <v>0</v>
      </c>
      <c r="H129" s="1109">
        <f t="shared" si="48"/>
        <v>-1</v>
      </c>
      <c r="I129" s="887">
        <v>2375500.21</v>
      </c>
      <c r="J129" s="1109"/>
      <c r="K129" s="887">
        <v>0</v>
      </c>
      <c r="L129" s="1109">
        <f t="shared" si="50"/>
        <v>-1</v>
      </c>
      <c r="M129" s="1088"/>
      <c r="N129" s="1109"/>
      <c r="O129" s="1088"/>
      <c r="P129" s="1109"/>
      <c r="Q129" s="1088"/>
      <c r="R129" s="1088"/>
      <c r="S129" s="1088"/>
      <c r="T129" s="1088"/>
      <c r="U129" s="1088">
        <f t="shared" si="51"/>
        <v>0</v>
      </c>
      <c r="V129" s="1111"/>
      <c r="W129" s="1111">
        <f t="shared" si="54"/>
        <v>0</v>
      </c>
      <c r="X129" s="1088">
        <f t="shared" si="36"/>
        <v>0</v>
      </c>
      <c r="Y129" s="1199"/>
    </row>
    <row r="130" spans="1:25" s="54" customFormat="1" x14ac:dyDescent="0.25">
      <c r="A130" s="752" t="s">
        <v>1173</v>
      </c>
      <c r="B130" s="887">
        <v>0</v>
      </c>
      <c r="C130" s="887">
        <v>4233144.68</v>
      </c>
      <c r="D130" s="1109"/>
      <c r="E130" s="887">
        <v>4139524.78</v>
      </c>
      <c r="F130" s="1109">
        <f t="shared" si="45"/>
        <v>-2.2115922576971765E-2</v>
      </c>
      <c r="G130" s="887">
        <v>5187876.97</v>
      </c>
      <c r="H130" s="1109">
        <f t="shared" si="48"/>
        <v>0.25325423707211148</v>
      </c>
      <c r="I130" s="887">
        <v>1672883.23</v>
      </c>
      <c r="J130" s="1109">
        <f t="shared" si="49"/>
        <v>-0.67753991860759177</v>
      </c>
      <c r="K130" s="887">
        <v>4976678.5599999996</v>
      </c>
      <c r="L130" s="1109">
        <f t="shared" si="50"/>
        <v>1.974910902777117</v>
      </c>
      <c r="M130" s="1088">
        <v>638010.12</v>
      </c>
      <c r="N130" s="1109">
        <f t="shared" si="46"/>
        <v>-0.87180001434531063</v>
      </c>
      <c r="O130" s="1088">
        <f>+'Ingresos 2022'!AE177</f>
        <v>18387856.039999999</v>
      </c>
      <c r="P130" s="1109">
        <f t="shared" ref="P130:P132" si="60">+(O130-M130)/M130</f>
        <v>27.820633816905598</v>
      </c>
      <c r="Q130" s="1088">
        <f>+'Ingresos 2023'!I174</f>
        <v>311522</v>
      </c>
      <c r="R130" s="1088">
        <f>+'Ingresos 2023'!J174</f>
        <v>311522</v>
      </c>
      <c r="S130" s="1088">
        <f>+'Ingresos 2023'!K174</f>
        <v>14346478.640000001</v>
      </c>
      <c r="T130" s="1088">
        <f>+'Recaudo Julio Dic 2022'!E107</f>
        <v>13324736.870000001</v>
      </c>
      <c r="U130" s="1088">
        <f t="shared" si="51"/>
        <v>27671215.510000002</v>
      </c>
      <c r="V130" s="1111">
        <f t="shared" si="53"/>
        <v>0.5048636148665433</v>
      </c>
      <c r="W130" s="1111">
        <f t="shared" si="54"/>
        <v>9.1512324724756109</v>
      </c>
      <c r="X130" s="1088">
        <f t="shared" si="36"/>
        <v>280896941.4379828</v>
      </c>
      <c r="Y130" s="1195">
        <v>7000000</v>
      </c>
    </row>
    <row r="131" spans="1:25" s="54" customFormat="1" x14ac:dyDescent="0.25">
      <c r="A131" s="752" t="s">
        <v>1174</v>
      </c>
      <c r="B131" s="887">
        <v>0</v>
      </c>
      <c r="C131" s="887">
        <v>29207171</v>
      </c>
      <c r="D131" s="1109"/>
      <c r="E131" s="887">
        <v>196980313</v>
      </c>
      <c r="F131" s="1109">
        <f t="shared" si="45"/>
        <v>5.7442448637014518</v>
      </c>
      <c r="G131" s="887">
        <v>23477839.699999999</v>
      </c>
      <c r="H131" s="1109">
        <f t="shared" si="48"/>
        <v>-0.88081123771998482</v>
      </c>
      <c r="I131" s="887">
        <v>48746536.670000002</v>
      </c>
      <c r="J131" s="1109">
        <f t="shared" si="49"/>
        <v>1.0762786224321994</v>
      </c>
      <c r="K131" s="887">
        <v>92368682.219999999</v>
      </c>
      <c r="L131" s="1109">
        <f t="shared" si="50"/>
        <v>0.8948768164866634</v>
      </c>
      <c r="M131" s="1088">
        <v>26459132.280000001</v>
      </c>
      <c r="N131" s="1109">
        <f t="shared" si="46"/>
        <v>-0.71354866558580199</v>
      </c>
      <c r="O131" s="1088">
        <f>+'Ingresos 2022'!AE175</f>
        <v>41693619.909999996</v>
      </c>
      <c r="P131" s="1109">
        <f t="shared" si="60"/>
        <v>0.57577427214102106</v>
      </c>
      <c r="Q131" s="1088">
        <f>+'Ingresos 2023'!I172</f>
        <v>39724450</v>
      </c>
      <c r="R131" s="1088">
        <f>+'Ingresos 2023'!J172</f>
        <v>39724450</v>
      </c>
      <c r="S131" s="1088">
        <f>+'Ingresos 2023'!K172</f>
        <v>316170519.5</v>
      </c>
      <c r="T131" s="1088">
        <f>+'Recaudo Julio Dic 2022'!E105</f>
        <v>37893871.93</v>
      </c>
      <c r="U131" s="1088">
        <f t="shared" si="51"/>
        <v>354064391.43000001</v>
      </c>
      <c r="V131" s="1111">
        <f t="shared" si="53"/>
        <v>7.4920520740171925</v>
      </c>
      <c r="W131" s="1111">
        <f t="shared" si="54"/>
        <v>2.4514258935241373</v>
      </c>
      <c r="X131" s="1088">
        <f t="shared" si="36"/>
        <v>1222027008.5563676</v>
      </c>
      <c r="Y131" s="1195">
        <v>10000000</v>
      </c>
    </row>
    <row r="132" spans="1:25" s="54" customFormat="1" x14ac:dyDescent="0.25">
      <c r="A132" s="752" t="s">
        <v>1175</v>
      </c>
      <c r="B132" s="898">
        <v>0</v>
      </c>
      <c r="C132" s="898">
        <v>187637.97</v>
      </c>
      <c r="D132" s="1111"/>
      <c r="E132" s="898">
        <v>292809.44</v>
      </c>
      <c r="F132" s="1111">
        <f t="shared" si="45"/>
        <v>0.56050206682581361</v>
      </c>
      <c r="G132" s="898">
        <v>2709.44</v>
      </c>
      <c r="H132" s="1111">
        <f t="shared" si="48"/>
        <v>-0.99074674641637239</v>
      </c>
      <c r="I132" s="898">
        <v>882.69</v>
      </c>
      <c r="J132" s="1111">
        <f t="shared" si="49"/>
        <v>-0.67421681233022324</v>
      </c>
      <c r="K132" s="898">
        <v>62.1</v>
      </c>
      <c r="L132" s="1111">
        <f t="shared" si="50"/>
        <v>-0.9296468748937905</v>
      </c>
      <c r="M132" s="1088">
        <v>84.09</v>
      </c>
      <c r="N132" s="1111">
        <f t="shared" si="46"/>
        <v>0.35410628019323676</v>
      </c>
      <c r="O132" s="1088"/>
      <c r="P132" s="1111">
        <f t="shared" si="60"/>
        <v>-1</v>
      </c>
      <c r="Q132" s="1088"/>
      <c r="R132" s="1088"/>
      <c r="S132" s="1088"/>
      <c r="T132" s="1088"/>
      <c r="U132" s="1088">
        <f t="shared" si="51"/>
        <v>0</v>
      </c>
      <c r="V132" s="1111"/>
      <c r="W132" s="1111">
        <f t="shared" si="54"/>
        <v>-0.21529790660225442</v>
      </c>
      <c r="X132" s="1088">
        <f t="shared" ref="X132:X143" si="61">+U132*W132+U132</f>
        <v>0</v>
      </c>
      <c r="Y132" s="1195"/>
    </row>
    <row r="133" spans="1:25" s="54" customFormat="1" x14ac:dyDescent="0.25">
      <c r="A133" s="752" t="s">
        <v>1176</v>
      </c>
      <c r="B133" s="898"/>
      <c r="C133" s="898"/>
      <c r="D133" s="1111"/>
      <c r="E133" s="898"/>
      <c r="F133" s="1111"/>
      <c r="G133" s="898"/>
      <c r="H133" s="1111"/>
      <c r="I133" s="898"/>
      <c r="J133" s="1111"/>
      <c r="K133" s="898">
        <v>1438981.93</v>
      </c>
      <c r="L133" s="1111"/>
      <c r="M133" s="1088"/>
      <c r="N133" s="1111"/>
      <c r="O133" s="1088"/>
      <c r="P133" s="1111"/>
      <c r="Q133" s="1088"/>
      <c r="R133" s="1088"/>
      <c r="S133" s="1088"/>
      <c r="T133" s="1088">
        <f>+'Recaudo Julio Dic 2022'!E113</f>
        <v>18180.14</v>
      </c>
      <c r="U133" s="1088">
        <f t="shared" si="51"/>
        <v>18180.14</v>
      </c>
      <c r="V133" s="1111"/>
      <c r="W133" s="1111">
        <f t="shared" si="54"/>
        <v>0</v>
      </c>
      <c r="X133" s="1088">
        <f t="shared" si="61"/>
        <v>18180.14</v>
      </c>
      <c r="Y133" s="1195"/>
    </row>
    <row r="134" spans="1:25" s="54" customFormat="1" x14ac:dyDescent="0.25">
      <c r="A134" s="752" t="s">
        <v>1177</v>
      </c>
      <c r="B134" s="898"/>
      <c r="C134" s="898"/>
      <c r="D134" s="1111"/>
      <c r="E134" s="898"/>
      <c r="F134" s="1111"/>
      <c r="G134" s="898"/>
      <c r="H134" s="1111"/>
      <c r="I134" s="898"/>
      <c r="J134" s="1111"/>
      <c r="K134" s="898">
        <v>2180426.91</v>
      </c>
      <c r="L134" s="1111"/>
      <c r="M134" s="1088">
        <v>2330959.13</v>
      </c>
      <c r="N134" s="1111">
        <f t="shared" si="46"/>
        <v>6.9037957342032497E-2</v>
      </c>
      <c r="O134" s="1088"/>
      <c r="P134" s="1111">
        <f t="shared" ref="P134" si="62">+(O134-M134)/M134</f>
        <v>-1</v>
      </c>
      <c r="Q134" s="1088"/>
      <c r="R134" s="1088"/>
      <c r="S134" s="1088"/>
      <c r="T134" s="1088"/>
      <c r="U134" s="1088">
        <f t="shared" si="51"/>
        <v>0</v>
      </c>
      <c r="V134" s="1111"/>
      <c r="W134" s="1111">
        <f t="shared" si="54"/>
        <v>-0.31032068088598913</v>
      </c>
      <c r="X134" s="1088">
        <f t="shared" si="61"/>
        <v>0</v>
      </c>
      <c r="Y134" s="1195"/>
    </row>
    <row r="135" spans="1:25" s="54" customFormat="1" x14ac:dyDescent="0.25">
      <c r="A135" s="752" t="s">
        <v>1178</v>
      </c>
      <c r="B135" s="898"/>
      <c r="C135" s="898"/>
      <c r="D135" s="1111"/>
      <c r="E135" s="898"/>
      <c r="F135" s="1111"/>
      <c r="G135" s="898"/>
      <c r="H135" s="1111"/>
      <c r="I135" s="898"/>
      <c r="J135" s="1111"/>
      <c r="K135" s="898">
        <v>11170164505.58</v>
      </c>
      <c r="L135" s="1111"/>
      <c r="M135" s="1088"/>
      <c r="N135" s="1111"/>
      <c r="O135" s="1088"/>
      <c r="P135" s="1111"/>
      <c r="Q135" s="1088"/>
      <c r="R135" s="1088"/>
      <c r="S135" s="1088"/>
      <c r="T135" s="1088"/>
      <c r="U135" s="1088">
        <f t="shared" si="51"/>
        <v>0</v>
      </c>
      <c r="V135" s="1111"/>
      <c r="W135" s="1111">
        <f t="shared" si="54"/>
        <v>0</v>
      </c>
      <c r="X135" s="1088">
        <f t="shared" si="61"/>
        <v>0</v>
      </c>
      <c r="Y135" s="1195"/>
    </row>
    <row r="136" spans="1:25" s="54" customFormat="1" x14ac:dyDescent="0.25">
      <c r="A136" s="752" t="s">
        <v>1179</v>
      </c>
      <c r="B136" s="898"/>
      <c r="C136" s="898"/>
      <c r="D136" s="1111"/>
      <c r="E136" s="898"/>
      <c r="F136" s="1111"/>
      <c r="G136" s="898"/>
      <c r="H136" s="1111"/>
      <c r="I136" s="898"/>
      <c r="J136" s="1111"/>
      <c r="K136" s="898">
        <v>26536575024.48</v>
      </c>
      <c r="L136" s="1111"/>
      <c r="M136" s="1088"/>
      <c r="N136" s="1111"/>
      <c r="O136" s="1088"/>
      <c r="P136" s="1111"/>
      <c r="Q136" s="1088"/>
      <c r="R136" s="1088"/>
      <c r="S136" s="1088"/>
      <c r="T136" s="1088"/>
      <c r="U136" s="1088">
        <f t="shared" si="51"/>
        <v>0</v>
      </c>
      <c r="V136" s="1111"/>
      <c r="W136" s="1111">
        <f t="shared" si="54"/>
        <v>0</v>
      </c>
      <c r="X136" s="1088">
        <f t="shared" si="61"/>
        <v>0</v>
      </c>
      <c r="Y136" s="1195"/>
    </row>
    <row r="137" spans="1:25" s="54" customFormat="1" x14ac:dyDescent="0.25">
      <c r="A137" s="752" t="s">
        <v>1180</v>
      </c>
      <c r="B137" s="898"/>
      <c r="C137" s="898"/>
      <c r="D137" s="1111"/>
      <c r="E137" s="898"/>
      <c r="F137" s="1111"/>
      <c r="G137" s="898"/>
      <c r="H137" s="1111"/>
      <c r="I137" s="898"/>
      <c r="J137" s="1111"/>
      <c r="K137" s="898"/>
      <c r="L137" s="1111"/>
      <c r="M137" s="1088">
        <v>140356392.34</v>
      </c>
      <c r="N137" s="1111" t="e">
        <f t="shared" si="46"/>
        <v>#DIV/0!</v>
      </c>
      <c r="O137" s="1088"/>
      <c r="P137" s="1111">
        <f t="shared" ref="P137:P138" si="63">+(O137-M137)/M137</f>
        <v>-1</v>
      </c>
      <c r="Q137" s="1088"/>
      <c r="R137" s="1088"/>
      <c r="S137" s="1088"/>
      <c r="T137" s="1088"/>
      <c r="U137" s="1088">
        <f t="shared" si="51"/>
        <v>0</v>
      </c>
      <c r="V137" s="1111"/>
      <c r="W137" s="1111"/>
      <c r="X137" s="1088">
        <f t="shared" si="61"/>
        <v>0</v>
      </c>
      <c r="Y137" s="1195"/>
    </row>
    <row r="138" spans="1:25" s="54" customFormat="1" x14ac:dyDescent="0.25">
      <c r="A138" s="752" t="s">
        <v>1181</v>
      </c>
      <c r="B138" s="898"/>
      <c r="C138" s="898"/>
      <c r="D138" s="1111"/>
      <c r="E138" s="898"/>
      <c r="F138" s="1111"/>
      <c r="G138" s="898"/>
      <c r="H138" s="1111"/>
      <c r="I138" s="898"/>
      <c r="J138" s="1111"/>
      <c r="K138" s="898"/>
      <c r="L138" s="1111"/>
      <c r="M138" s="1088">
        <v>38099344723.860008</v>
      </c>
      <c r="N138" s="1111" t="e">
        <f t="shared" si="46"/>
        <v>#DIV/0!</v>
      </c>
      <c r="O138" s="1088"/>
      <c r="P138" s="1111">
        <f t="shared" si="63"/>
        <v>-1</v>
      </c>
      <c r="Q138" s="1088"/>
      <c r="R138" s="1088"/>
      <c r="S138" s="1088"/>
      <c r="T138" s="1088"/>
      <c r="U138" s="1088">
        <f t="shared" si="51"/>
        <v>0</v>
      </c>
      <c r="V138" s="1111"/>
      <c r="W138" s="1111"/>
      <c r="X138" s="1088">
        <f t="shared" si="61"/>
        <v>0</v>
      </c>
      <c r="Y138" s="1195"/>
    </row>
    <row r="139" spans="1:25" s="654" customFormat="1" x14ac:dyDescent="0.25">
      <c r="A139" s="752" t="s">
        <v>1183</v>
      </c>
      <c r="B139" s="898">
        <v>0</v>
      </c>
      <c r="C139" s="898">
        <v>0</v>
      </c>
      <c r="D139" s="1111"/>
      <c r="E139" s="898">
        <v>4674563</v>
      </c>
      <c r="F139" s="1111"/>
      <c r="G139" s="898">
        <v>0</v>
      </c>
      <c r="H139" s="1111">
        <f t="shared" si="48"/>
        <v>-1</v>
      </c>
      <c r="I139" s="898">
        <v>1853935.84</v>
      </c>
      <c r="J139" s="1111"/>
      <c r="K139" s="898">
        <v>0</v>
      </c>
      <c r="L139" s="1111">
        <f t="shared" si="50"/>
        <v>-1</v>
      </c>
      <c r="M139" s="1088"/>
      <c r="N139" s="1111"/>
      <c r="O139" s="1088"/>
      <c r="P139" s="1111"/>
      <c r="Q139" s="1088"/>
      <c r="R139" s="1088"/>
      <c r="S139" s="1088"/>
      <c r="T139" s="1088"/>
      <c r="U139" s="1088">
        <f t="shared" si="51"/>
        <v>0</v>
      </c>
      <c r="V139" s="1111"/>
      <c r="W139" s="1111">
        <f t="shared" si="54"/>
        <v>0</v>
      </c>
      <c r="X139" s="1088">
        <f t="shared" si="61"/>
        <v>0</v>
      </c>
      <c r="Y139" s="1199"/>
    </row>
    <row r="140" spans="1:25" s="654" customFormat="1" x14ac:dyDescent="0.25">
      <c r="A140" s="750" t="s">
        <v>1185</v>
      </c>
      <c r="B140" s="898"/>
      <c r="C140" s="898"/>
      <c r="D140" s="1111"/>
      <c r="E140" s="898"/>
      <c r="F140" s="1111"/>
      <c r="G140" s="898"/>
      <c r="H140" s="1111"/>
      <c r="I140" s="898"/>
      <c r="J140" s="1111"/>
      <c r="K140" s="898">
        <v>8567833775</v>
      </c>
      <c r="L140" s="1111"/>
      <c r="M140" s="1088">
        <v>7936707593</v>
      </c>
      <c r="N140" s="1111">
        <f t="shared" si="46"/>
        <v>-7.3662281339019087E-2</v>
      </c>
      <c r="O140" s="1088">
        <f>+'Ingresos 2022'!AE220</f>
        <v>8257203322</v>
      </c>
      <c r="P140" s="1111">
        <f t="shared" ref="P140" si="64">+(O140-M140)/M140</f>
        <v>4.0381445989350812E-2</v>
      </c>
      <c r="Q140" s="1088">
        <f>+'Ingresos 2023'!I227</f>
        <v>7989593333</v>
      </c>
      <c r="R140" s="1088">
        <f>+'Ingresos 2023'!J227</f>
        <v>7989593333</v>
      </c>
      <c r="S140" s="1088">
        <f>+'Ingresos 2023'!K227</f>
        <v>21325400</v>
      </c>
      <c r="T140" s="1088">
        <f>+'Recaudo Julio Dic 2022'!E142</f>
        <v>8257203322</v>
      </c>
      <c r="U140" s="1088">
        <f t="shared" si="51"/>
        <v>8278528722</v>
      </c>
      <c r="V140" s="1111">
        <f t="shared" si="53"/>
        <v>2.5826419876548122E-3</v>
      </c>
      <c r="W140" s="1111">
        <f t="shared" si="54"/>
        <v>-1.0232731120671154E-2</v>
      </c>
      <c r="X140" s="1088">
        <f t="shared" si="61"/>
        <v>8193816763.5130205</v>
      </c>
      <c r="Y140" s="1199">
        <v>9000000000</v>
      </c>
    </row>
    <row r="141" spans="1:25" s="654" customFormat="1" x14ac:dyDescent="0.25">
      <c r="A141" s="750" t="s">
        <v>1186</v>
      </c>
      <c r="B141" s="898"/>
      <c r="C141" s="898"/>
      <c r="D141" s="1111"/>
      <c r="E141" s="898"/>
      <c r="F141" s="1111"/>
      <c r="G141" s="898"/>
      <c r="H141" s="1111"/>
      <c r="I141" s="898"/>
      <c r="J141" s="1111"/>
      <c r="K141" s="898"/>
      <c r="L141" s="1111"/>
      <c r="M141" s="1088"/>
      <c r="N141" s="1111"/>
      <c r="O141" s="1088"/>
      <c r="P141" s="1111"/>
      <c r="Q141" s="1088">
        <f>+'Ingresos 2023'!I118</f>
        <v>6500000000</v>
      </c>
      <c r="R141" s="1088">
        <f>+'Ingresos 2023'!J118</f>
        <v>6500000000</v>
      </c>
      <c r="S141" s="1088">
        <f>+'Ingresos 2023'!K118</f>
        <v>0</v>
      </c>
      <c r="T141" s="1088"/>
      <c r="U141" s="1088">
        <f t="shared" si="51"/>
        <v>0</v>
      </c>
      <c r="V141" s="1111"/>
      <c r="W141" s="1111">
        <f t="shared" si="54"/>
        <v>0</v>
      </c>
      <c r="X141" s="1088">
        <f t="shared" si="61"/>
        <v>0</v>
      </c>
      <c r="Y141" s="1199">
        <v>8000000000</v>
      </c>
    </row>
    <row r="142" spans="1:25" x14ac:dyDescent="0.25">
      <c r="A142" s="783" t="s">
        <v>1184</v>
      </c>
      <c r="B142" s="898">
        <v>167708277.09</v>
      </c>
      <c r="C142" s="898">
        <v>198971548.22999999</v>
      </c>
      <c r="D142" s="1111">
        <f>+(C142-B142)/B142</f>
        <v>0.18641459850680281</v>
      </c>
      <c r="E142" s="898">
        <v>195422061.95999998</v>
      </c>
      <c r="F142" s="1111">
        <f t="shared" si="45"/>
        <v>-1.7839164953860655E-2</v>
      </c>
      <c r="G142" s="898">
        <v>155092821</v>
      </c>
      <c r="H142" s="1111">
        <f t="shared" si="48"/>
        <v>-0.20636994899918096</v>
      </c>
      <c r="I142" s="898">
        <v>221403552</v>
      </c>
      <c r="J142" s="1111">
        <f t="shared" si="49"/>
        <v>0.42755512842209503</v>
      </c>
      <c r="K142" s="898">
        <v>0</v>
      </c>
      <c r="L142" s="1111">
        <f t="shared" si="50"/>
        <v>-1</v>
      </c>
      <c r="M142" s="1088"/>
      <c r="N142" s="1111"/>
      <c r="O142" s="1088"/>
      <c r="P142" s="1111"/>
      <c r="Q142" s="1088">
        <f>+'Ingresos 2023'!I159</f>
        <v>150000000</v>
      </c>
      <c r="R142" s="1088">
        <f>+'Ingresos 2023'!J159</f>
        <v>150000000</v>
      </c>
      <c r="S142" s="1088">
        <f>+'Ingresos 2023'!K159</f>
        <v>93054010</v>
      </c>
      <c r="T142" s="1088"/>
      <c r="U142" s="1088">
        <f t="shared" si="51"/>
        <v>93054010</v>
      </c>
      <c r="V142" s="1111"/>
      <c r="W142" s="1111">
        <f t="shared" si="54"/>
        <v>0</v>
      </c>
      <c r="X142" s="1088">
        <f t="shared" si="61"/>
        <v>93054010</v>
      </c>
      <c r="Y142" s="1195">
        <v>200000000</v>
      </c>
    </row>
    <row r="143" spans="1:25" s="656" customFormat="1" ht="15" x14ac:dyDescent="0.25">
      <c r="A143" s="784" t="s">
        <v>606</v>
      </c>
      <c r="B143" s="1129"/>
      <c r="C143" s="1129"/>
      <c r="D143" s="1130"/>
      <c r="E143" s="1129"/>
      <c r="F143" s="1130"/>
      <c r="G143" s="1129"/>
      <c r="H143" s="1130"/>
      <c r="I143" s="1129"/>
      <c r="J143" s="1130"/>
      <c r="K143" s="1129">
        <v>37706739530.059998</v>
      </c>
      <c r="L143" s="1130"/>
      <c r="M143" s="1099"/>
      <c r="N143" s="1130"/>
      <c r="O143" s="1099"/>
      <c r="P143" s="1130"/>
      <c r="Q143" s="1088">
        <f>+'Ingresos 2023'!I230</f>
        <v>10000000</v>
      </c>
      <c r="R143" s="1088">
        <f>+'Ingresos 2023'!J230</f>
        <v>10000000</v>
      </c>
      <c r="S143" s="1088">
        <f>+'Ingresos 2023'!K230</f>
        <v>497353889.81999999</v>
      </c>
      <c r="T143" s="1088"/>
      <c r="U143" s="1088">
        <f t="shared" si="51"/>
        <v>497353889.81999999</v>
      </c>
      <c r="V143" s="1111"/>
      <c r="W143" s="1111">
        <f t="shared" si="54"/>
        <v>0</v>
      </c>
      <c r="X143" s="1088">
        <f t="shared" si="61"/>
        <v>497353889.81999999</v>
      </c>
      <c r="Y143" s="1200">
        <v>10000000</v>
      </c>
    </row>
    <row r="145" spans="25:25" x14ac:dyDescent="0.25">
      <c r="Y145" s="1195">
        <f>SUM(Y3:Y144)</f>
        <v>508266769153.63483</v>
      </c>
    </row>
  </sheetData>
  <autoFilter ref="A2:AA143" xr:uid="{00000000-0001-0000-0B00-000000000000}"/>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L34"/>
  <sheetViews>
    <sheetView topLeftCell="A13" workbookViewId="0"/>
  </sheetViews>
  <sheetFormatPr baseColWidth="10" defaultColWidth="11.42578125" defaultRowHeight="15" x14ac:dyDescent="0.25"/>
  <cols>
    <col min="2" max="2" width="24.28515625" customWidth="1"/>
    <col min="3" max="3" width="34.140625" customWidth="1"/>
    <col min="4" max="4" width="24.5703125" customWidth="1"/>
    <col min="5" max="7" width="18.85546875" style="131" bestFit="1" customWidth="1"/>
    <col min="9" max="9" width="16.85546875" bestFit="1" customWidth="1"/>
    <col min="11" max="11" width="16.85546875" bestFit="1" customWidth="1"/>
    <col min="12" max="14" width="12" bestFit="1" customWidth="1"/>
  </cols>
  <sheetData>
    <row r="1" spans="1:116" ht="45.75" thickBot="1" x14ac:dyDescent="0.3">
      <c r="A1" s="140" t="s">
        <v>2566</v>
      </c>
      <c r="B1" s="141" t="s">
        <v>223</v>
      </c>
      <c r="C1" s="142" t="s">
        <v>2567</v>
      </c>
      <c r="D1" s="141" t="s">
        <v>2568</v>
      </c>
      <c r="E1" s="142" t="s">
        <v>2569</v>
      </c>
      <c r="F1" s="141" t="s">
        <v>2570</v>
      </c>
      <c r="G1" s="143" t="s">
        <v>2571</v>
      </c>
    </row>
    <row r="2" spans="1:116" x14ac:dyDescent="0.25">
      <c r="A2" s="144" t="s">
        <v>226</v>
      </c>
      <c r="B2" s="144" t="s">
        <v>2572</v>
      </c>
      <c r="C2" s="145" t="s">
        <v>949</v>
      </c>
      <c r="D2" s="144" t="s">
        <v>2573</v>
      </c>
      <c r="E2" s="146">
        <f>E6+E7+E8+E14+E17+E20</f>
        <v>17974992708</v>
      </c>
      <c r="F2" s="146">
        <f>F6+F7+F8+F14+F17+F20</f>
        <v>17974992708</v>
      </c>
      <c r="G2" s="146">
        <f>G6+G7+G8+G14+G17+G20</f>
        <v>19656015002</v>
      </c>
    </row>
    <row r="3" spans="1:116" x14ac:dyDescent="0.25">
      <c r="A3" s="147" t="s">
        <v>226</v>
      </c>
      <c r="B3" s="147" t="s">
        <v>2574</v>
      </c>
      <c r="C3" s="148" t="s">
        <v>950</v>
      </c>
      <c r="D3" s="147" t="s">
        <v>2573</v>
      </c>
      <c r="E3" s="149">
        <f>E4</f>
        <v>11324245406</v>
      </c>
      <c r="F3" s="149">
        <v>131401711954</v>
      </c>
      <c r="G3" s="149">
        <v>140940026053.39001</v>
      </c>
    </row>
    <row r="4" spans="1:116" x14ac:dyDescent="0.25">
      <c r="A4" s="147" t="s">
        <v>226</v>
      </c>
      <c r="B4" s="147" t="s">
        <v>2575</v>
      </c>
      <c r="C4" s="148" t="s">
        <v>952</v>
      </c>
      <c r="D4" s="147" t="s">
        <v>2573</v>
      </c>
      <c r="E4" s="149">
        <f>E5</f>
        <v>11324245406</v>
      </c>
      <c r="F4" s="149">
        <v>34441210503</v>
      </c>
      <c r="G4" s="149">
        <v>40518546552.089996</v>
      </c>
    </row>
    <row r="5" spans="1:116" x14ac:dyDescent="0.25">
      <c r="A5" s="147" t="s">
        <v>226</v>
      </c>
      <c r="B5" s="147" t="s">
        <v>2576</v>
      </c>
      <c r="C5" s="148" t="s">
        <v>1079</v>
      </c>
      <c r="D5" s="147" t="s">
        <v>2573</v>
      </c>
      <c r="E5" s="149">
        <v>11324245406</v>
      </c>
      <c r="F5" s="149">
        <v>11324245406</v>
      </c>
      <c r="G5" s="149">
        <v>11929590703.1</v>
      </c>
    </row>
    <row r="6" spans="1:116" s="35" customFormat="1" ht="30" x14ac:dyDescent="0.25">
      <c r="A6" s="150">
        <v>35</v>
      </c>
      <c r="B6" s="150" t="s">
        <v>2577</v>
      </c>
      <c r="C6" s="151" t="s">
        <v>2578</v>
      </c>
      <c r="D6" s="150" t="s">
        <v>2573</v>
      </c>
      <c r="E6" s="152">
        <v>2516498979</v>
      </c>
      <c r="F6" s="152">
        <v>2516498979</v>
      </c>
      <c r="G6" s="152">
        <v>2807462790.8000002</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row>
    <row r="7" spans="1:116" s="156" customFormat="1" ht="30" x14ac:dyDescent="0.25">
      <c r="A7" s="153">
        <v>35</v>
      </c>
      <c r="B7" s="153" t="s">
        <v>2579</v>
      </c>
      <c r="C7" s="154" t="s">
        <v>2580</v>
      </c>
      <c r="D7" s="153" t="s">
        <v>2573</v>
      </c>
      <c r="E7" s="155">
        <v>539249781</v>
      </c>
      <c r="F7" s="155">
        <v>539249781</v>
      </c>
      <c r="G7" s="155">
        <v>570095029.10000002</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row>
    <row r="8" spans="1:116" s="19" customFormat="1" x14ac:dyDescent="0.25">
      <c r="A8" s="157">
        <v>20</v>
      </c>
      <c r="B8" s="157" t="s">
        <v>2581</v>
      </c>
      <c r="C8" s="158" t="s">
        <v>2582</v>
      </c>
      <c r="D8" s="157" t="s">
        <v>2573</v>
      </c>
      <c r="E8" s="159">
        <v>8268496646</v>
      </c>
      <c r="F8" s="159">
        <v>8268496646</v>
      </c>
      <c r="G8" s="159">
        <v>8552032883.1999998</v>
      </c>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row>
    <row r="9" spans="1:116" x14ac:dyDescent="0.25">
      <c r="A9" s="147" t="s">
        <v>226</v>
      </c>
      <c r="B9" s="147" t="s">
        <v>2583</v>
      </c>
      <c r="C9" s="148" t="s">
        <v>949</v>
      </c>
      <c r="D9" s="147" t="s">
        <v>2584</v>
      </c>
      <c r="E9" s="149">
        <f>E10</f>
        <v>1662686826</v>
      </c>
      <c r="F9" s="149">
        <f t="shared" ref="F9:G13" si="0">F10</f>
        <v>1662686826</v>
      </c>
      <c r="G9" s="149">
        <f t="shared" si="0"/>
        <v>1751502130.72</v>
      </c>
    </row>
    <row r="10" spans="1:116" x14ac:dyDescent="0.25">
      <c r="A10" s="147" t="s">
        <v>226</v>
      </c>
      <c r="B10" s="147" t="s">
        <v>2585</v>
      </c>
      <c r="C10" s="148" t="s">
        <v>953</v>
      </c>
      <c r="D10" s="147" t="s">
        <v>2584</v>
      </c>
      <c r="E10" s="149">
        <f>E11</f>
        <v>1662686826</v>
      </c>
      <c r="F10" s="149">
        <f t="shared" si="0"/>
        <v>1662686826</v>
      </c>
      <c r="G10" s="149">
        <f t="shared" si="0"/>
        <v>1751502130.72</v>
      </c>
    </row>
    <row r="11" spans="1:116" x14ac:dyDescent="0.25">
      <c r="A11" s="147" t="s">
        <v>226</v>
      </c>
      <c r="B11" s="147" t="s">
        <v>2586</v>
      </c>
      <c r="C11" s="148" t="s">
        <v>1116</v>
      </c>
      <c r="D11" s="147" t="s">
        <v>2584</v>
      </c>
      <c r="E11" s="149">
        <f>E12</f>
        <v>1662686826</v>
      </c>
      <c r="F11" s="149">
        <f t="shared" si="0"/>
        <v>1662686826</v>
      </c>
      <c r="G11" s="149">
        <f t="shared" si="0"/>
        <v>1751502130.72</v>
      </c>
    </row>
    <row r="12" spans="1:116" ht="60" x14ac:dyDescent="0.25">
      <c r="A12" s="147" t="s">
        <v>226</v>
      </c>
      <c r="B12" s="147" t="s">
        <v>2587</v>
      </c>
      <c r="C12" s="148" t="s">
        <v>2588</v>
      </c>
      <c r="D12" s="147" t="s">
        <v>2584</v>
      </c>
      <c r="E12" s="149">
        <f>E13</f>
        <v>1662686826</v>
      </c>
      <c r="F12" s="149">
        <f t="shared" si="0"/>
        <v>1662686826</v>
      </c>
      <c r="G12" s="149">
        <f t="shared" si="0"/>
        <v>1751502130.72</v>
      </c>
    </row>
    <row r="13" spans="1:116" x14ac:dyDescent="0.25">
      <c r="A13" s="147" t="s">
        <v>226</v>
      </c>
      <c r="B13" s="147" t="s">
        <v>2589</v>
      </c>
      <c r="C13" s="148" t="s">
        <v>2590</v>
      </c>
      <c r="D13" s="147" t="s">
        <v>2584</v>
      </c>
      <c r="E13" s="149">
        <f>E14</f>
        <v>1662686826</v>
      </c>
      <c r="F13" s="149">
        <f t="shared" si="0"/>
        <v>1662686826</v>
      </c>
      <c r="G13" s="149">
        <f t="shared" si="0"/>
        <v>1751502130.72</v>
      </c>
    </row>
    <row r="14" spans="1:116" s="163" customFormat="1" ht="30" x14ac:dyDescent="0.25">
      <c r="A14" s="160">
        <v>58</v>
      </c>
      <c r="B14" s="160" t="s">
        <v>2591</v>
      </c>
      <c r="C14" s="161" t="s">
        <v>833</v>
      </c>
      <c r="D14" s="160" t="s">
        <v>2584</v>
      </c>
      <c r="E14" s="162">
        <v>1662686826</v>
      </c>
      <c r="F14" s="162">
        <v>1662686826</v>
      </c>
      <c r="G14" s="162">
        <v>1751502130.72</v>
      </c>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row>
    <row r="15" spans="1:116" x14ac:dyDescent="0.25">
      <c r="A15" s="147" t="s">
        <v>226</v>
      </c>
      <c r="B15" s="147" t="s">
        <v>2592</v>
      </c>
      <c r="C15" s="148" t="s">
        <v>2593</v>
      </c>
      <c r="D15" s="147" t="s">
        <v>2584</v>
      </c>
      <c r="E15" s="149">
        <f t="shared" ref="E15:G16" si="1">E16</f>
        <v>3325373650</v>
      </c>
      <c r="F15" s="149">
        <f t="shared" si="1"/>
        <v>3325373650</v>
      </c>
      <c r="G15" s="149">
        <f t="shared" si="1"/>
        <v>4223420037.46</v>
      </c>
    </row>
    <row r="16" spans="1:116" x14ac:dyDescent="0.25">
      <c r="A16" s="147" t="s">
        <v>226</v>
      </c>
      <c r="B16" s="147" t="s">
        <v>2594</v>
      </c>
      <c r="C16" s="148" t="s">
        <v>2590</v>
      </c>
      <c r="D16" s="147" t="s">
        <v>2584</v>
      </c>
      <c r="E16" s="149">
        <f t="shared" si="1"/>
        <v>3325373650</v>
      </c>
      <c r="F16" s="149">
        <f t="shared" si="1"/>
        <v>3325373650</v>
      </c>
      <c r="G16" s="149">
        <f t="shared" si="1"/>
        <v>4223420037.46</v>
      </c>
    </row>
    <row r="17" spans="1:116" s="163" customFormat="1" ht="30" x14ac:dyDescent="0.25">
      <c r="A17" s="160">
        <v>154</v>
      </c>
      <c r="B17" s="160" t="s">
        <v>2595</v>
      </c>
      <c r="C17" s="161" t="s">
        <v>836</v>
      </c>
      <c r="D17" s="160" t="s">
        <v>2584</v>
      </c>
      <c r="E17" s="162">
        <v>3325373650</v>
      </c>
      <c r="F17" s="162">
        <v>3325373650</v>
      </c>
      <c r="G17" s="162">
        <v>4223420037.46</v>
      </c>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row>
    <row r="18" spans="1:116" ht="30" x14ac:dyDescent="0.25">
      <c r="A18" s="147" t="s">
        <v>226</v>
      </c>
      <c r="B18" s="147" t="s">
        <v>2596</v>
      </c>
      <c r="C18" s="148" t="s">
        <v>2597</v>
      </c>
      <c r="D18" s="147" t="s">
        <v>2584</v>
      </c>
      <c r="E18" s="149">
        <f t="shared" ref="E18:G19" si="2">E19</f>
        <v>1662686826</v>
      </c>
      <c r="F18" s="149">
        <f t="shared" si="2"/>
        <v>1662686826</v>
      </c>
      <c r="G18" s="149">
        <f t="shared" si="2"/>
        <v>1751502130.72</v>
      </c>
    </row>
    <row r="19" spans="1:116" x14ac:dyDescent="0.25">
      <c r="A19" s="147" t="s">
        <v>226</v>
      </c>
      <c r="B19" s="147" t="s">
        <v>2598</v>
      </c>
      <c r="C19" s="148" t="s">
        <v>2590</v>
      </c>
      <c r="D19" s="147" t="s">
        <v>2584</v>
      </c>
      <c r="E19" s="149">
        <f t="shared" si="2"/>
        <v>1662686826</v>
      </c>
      <c r="F19" s="149">
        <f t="shared" si="2"/>
        <v>1662686826</v>
      </c>
      <c r="G19" s="149">
        <f t="shared" si="2"/>
        <v>1751502130.72</v>
      </c>
    </row>
    <row r="20" spans="1:116" s="163" customFormat="1" ht="30" x14ac:dyDescent="0.25">
      <c r="A20" s="160">
        <v>72</v>
      </c>
      <c r="B20" s="160" t="s">
        <v>2599</v>
      </c>
      <c r="C20" s="161" t="s">
        <v>833</v>
      </c>
      <c r="D20" s="160" t="s">
        <v>2584</v>
      </c>
      <c r="E20" s="162">
        <v>1662686826</v>
      </c>
      <c r="F20" s="162">
        <v>1662686826</v>
      </c>
      <c r="G20" s="162">
        <v>1751502130.72</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row>
    <row r="21" spans="1:116" ht="15.75" thickBot="1" x14ac:dyDescent="0.3">
      <c r="D21" t="s">
        <v>1773</v>
      </c>
      <c r="E21" s="164">
        <f>E20+E17+E14+E8+E7+E6</f>
        <v>17974992708</v>
      </c>
      <c r="F21" s="164">
        <f>F20+F17+F14+F8+F7+F6</f>
        <v>17974992708</v>
      </c>
      <c r="G21" s="164">
        <f>G20+G17+G14+G8+G7+G6</f>
        <v>19656015002</v>
      </c>
    </row>
    <row r="22" spans="1:116" ht="15.75" thickTop="1" x14ac:dyDescent="0.25">
      <c r="E22" s="165"/>
      <c r="F22" s="165"/>
      <c r="G22" s="165"/>
    </row>
    <row r="24" spans="1:116" x14ac:dyDescent="0.25">
      <c r="D24" s="166" t="s">
        <v>2600</v>
      </c>
      <c r="E24" s="131">
        <f>E20+E17+E14</f>
        <v>6650747302</v>
      </c>
      <c r="F24" s="131">
        <f>F20+F17+F14</f>
        <v>6650747302</v>
      </c>
      <c r="G24" s="131">
        <f>G20+G17+G14</f>
        <v>7726424298.9000006</v>
      </c>
    </row>
    <row r="25" spans="1:116" x14ac:dyDescent="0.25">
      <c r="E25" s="167">
        <f>E24/E2</f>
        <v>0.37000000000222533</v>
      </c>
      <c r="F25" s="167">
        <f>F24/F2</f>
        <v>0.37000000000222533</v>
      </c>
      <c r="G25" s="167">
        <f>G24/G2</f>
        <v>0.39308192927782343</v>
      </c>
    </row>
    <row r="27" spans="1:116" x14ac:dyDescent="0.25">
      <c r="D27" s="156" t="s">
        <v>2601</v>
      </c>
      <c r="E27" s="131">
        <f>E7</f>
        <v>539249781</v>
      </c>
      <c r="F27" s="131">
        <f>F7</f>
        <v>539249781</v>
      </c>
      <c r="G27" s="131">
        <f>G7</f>
        <v>570095029.10000002</v>
      </c>
    </row>
    <row r="28" spans="1:116" x14ac:dyDescent="0.25">
      <c r="E28" s="167">
        <f>E27/E2</f>
        <v>2.9999999986648117E-2</v>
      </c>
      <c r="F28" s="167">
        <f>F27/F2</f>
        <v>2.9999999986648117E-2</v>
      </c>
      <c r="G28" s="167">
        <f>G27/G2</f>
        <v>2.9003591472737116E-2</v>
      </c>
    </row>
    <row r="30" spans="1:116" ht="45" x14ac:dyDescent="0.25">
      <c r="D30" s="168" t="s">
        <v>2602</v>
      </c>
      <c r="E30" s="131">
        <f>E6</f>
        <v>2516498979</v>
      </c>
      <c r="F30" s="131">
        <f>F6</f>
        <v>2516498979</v>
      </c>
      <c r="G30" s="131">
        <f>G6</f>
        <v>2807462790.8000002</v>
      </c>
    </row>
    <row r="31" spans="1:116" x14ac:dyDescent="0.25">
      <c r="E31" s="167">
        <f>E30/E2</f>
        <v>0.13999999999332405</v>
      </c>
      <c r="F31" s="167">
        <f>F30/F2</f>
        <v>0.13999999999332405</v>
      </c>
      <c r="G31" s="167">
        <f>G30/G2</f>
        <v>0.14282970330020306</v>
      </c>
    </row>
    <row r="33" spans="4:14" x14ac:dyDescent="0.25">
      <c r="D33" s="19" t="s">
        <v>2603</v>
      </c>
      <c r="E33" s="131">
        <f>E8</f>
        <v>8268496646</v>
      </c>
      <c r="F33" s="131">
        <f>F8</f>
        <v>8268496646</v>
      </c>
      <c r="G33" s="131">
        <f>G8</f>
        <v>8552032883.1999998</v>
      </c>
      <c r="I33">
        <f>+G33/44*100</f>
        <v>19436438370.909092</v>
      </c>
    </row>
    <row r="34" spans="4:14" x14ac:dyDescent="0.25">
      <c r="E34" s="167">
        <f>E33/E2</f>
        <v>0.4600000000178025</v>
      </c>
      <c r="F34" s="167">
        <f>F33/F2</f>
        <v>0.4600000000178025</v>
      </c>
      <c r="G34" s="167">
        <f>G33/G2</f>
        <v>0.43508477594923639</v>
      </c>
      <c r="I34" s="165">
        <f>+I33*0.46</f>
        <v>8940761650.6181831</v>
      </c>
      <c r="J34">
        <f>+I34*1.03</f>
        <v>9208984500.1367283</v>
      </c>
      <c r="K34" s="165">
        <f>+J34*1.03</f>
        <v>9485254035.140831</v>
      </c>
      <c r="L34">
        <f>+K34/46*100</f>
        <v>20620117467.69746</v>
      </c>
      <c r="M34">
        <f>+L34*1.03</f>
        <v>21238720991.728386</v>
      </c>
      <c r="N34">
        <f>+M34*1.03</f>
        <v>21875882621.48024</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S397"/>
  <sheetViews>
    <sheetView topLeftCell="D1" workbookViewId="0">
      <pane xSplit="5" ySplit="1" topLeftCell="I5" activePane="bottomRight" state="frozen"/>
      <selection pane="topRight"/>
      <selection pane="bottomLeft"/>
      <selection pane="bottomRight"/>
    </sheetView>
  </sheetViews>
  <sheetFormatPr baseColWidth="10" defaultColWidth="11.42578125" defaultRowHeight="15" x14ac:dyDescent="0.25"/>
  <cols>
    <col min="5" max="5" width="30" bestFit="1" customWidth="1"/>
    <col min="6" max="6" width="0" hidden="1" customWidth="1"/>
    <col min="7" max="7" width="33.5703125" style="10" customWidth="1"/>
    <col min="8" max="8" width="0" hidden="1" customWidth="1"/>
    <col min="9" max="9" width="18.85546875" style="131" bestFit="1" customWidth="1"/>
    <col min="10" max="10" width="18.85546875" style="131" hidden="1" customWidth="1"/>
    <col min="11" max="15" width="17.85546875" style="131" hidden="1" customWidth="1"/>
    <col min="16" max="16" width="18.85546875" style="131" bestFit="1" customWidth="1"/>
    <col min="17" max="17" width="17.85546875" style="131" hidden="1" customWidth="1"/>
    <col min="18" max="18" width="15.140625" style="131" hidden="1" customWidth="1"/>
    <col min="19" max="19" width="17.85546875" style="131" hidden="1" customWidth="1"/>
    <col min="20" max="22" width="11.5703125" style="131" hidden="1" customWidth="1"/>
    <col min="23" max="23" width="18.85546875" style="131" hidden="1" customWidth="1"/>
    <col min="24" max="24" width="17.85546875" style="131" hidden="1" customWidth="1"/>
    <col min="25" max="25" width="18.85546875" style="131" bestFit="1" customWidth="1"/>
    <col min="26" max="28" width="17.85546875" style="131" hidden="1" customWidth="1"/>
    <col min="29" max="31" width="11.5703125" style="131" hidden="1" customWidth="1"/>
    <col min="32" max="32" width="18.85546875" style="131" hidden="1" customWidth="1"/>
    <col min="33" max="33" width="17.85546875" style="131" hidden="1" customWidth="1"/>
    <col min="34" max="35" width="18.85546875" style="131" bestFit="1" customWidth="1"/>
    <col min="36" max="37" width="17.85546875" style="131" bestFit="1" customWidth="1"/>
    <col min="38" max="38" width="17.85546875" style="131" customWidth="1"/>
    <col min="39" max="40" width="18.85546875" style="131" bestFit="1" customWidth="1"/>
    <col min="41" max="41" width="16.85546875" style="131" bestFit="1" customWidth="1"/>
    <col min="42" max="42" width="18.85546875" style="131" bestFit="1" customWidth="1"/>
    <col min="43" max="43" width="11.5703125" style="131" bestFit="1" customWidth="1"/>
    <col min="44" max="44" width="16.85546875" style="131" bestFit="1" customWidth="1"/>
  </cols>
  <sheetData>
    <row r="1" spans="1:45" x14ac:dyDescent="0.25">
      <c r="A1" t="s">
        <v>1481</v>
      </c>
      <c r="B1" t="s">
        <v>1188</v>
      </c>
      <c r="C1" t="s">
        <v>1482</v>
      </c>
      <c r="D1" t="s">
        <v>222</v>
      </c>
      <c r="E1" t="s">
        <v>223</v>
      </c>
      <c r="F1" t="s">
        <v>1483</v>
      </c>
      <c r="G1" s="10" t="s">
        <v>224</v>
      </c>
      <c r="H1" t="s">
        <v>1484</v>
      </c>
      <c r="I1" s="131" t="s">
        <v>225</v>
      </c>
      <c r="J1" s="131" t="s">
        <v>1676</v>
      </c>
      <c r="K1" s="131" t="s">
        <v>1677</v>
      </c>
      <c r="L1" s="131" t="s">
        <v>1678</v>
      </c>
      <c r="M1" s="131" t="s">
        <v>1679</v>
      </c>
      <c r="N1" s="131" t="s">
        <v>1680</v>
      </c>
      <c r="O1" s="131" t="s">
        <v>1681</v>
      </c>
      <c r="P1" s="131" t="s">
        <v>1485</v>
      </c>
      <c r="Q1" s="131" t="s">
        <v>1682</v>
      </c>
      <c r="R1" s="131" t="s">
        <v>1683</v>
      </c>
      <c r="S1" s="131" t="s">
        <v>1684</v>
      </c>
      <c r="T1" s="131" t="s">
        <v>1685</v>
      </c>
      <c r="U1" s="131" t="s">
        <v>1686</v>
      </c>
      <c r="V1" s="131" t="s">
        <v>1687</v>
      </c>
      <c r="W1" s="131" t="s">
        <v>1688</v>
      </c>
      <c r="X1" s="131" t="s">
        <v>1689</v>
      </c>
      <c r="Y1" s="131" t="s">
        <v>1486</v>
      </c>
      <c r="Z1" s="131" t="s">
        <v>1690</v>
      </c>
      <c r="AA1" s="131" t="s">
        <v>1691</v>
      </c>
      <c r="AB1" s="131" t="s">
        <v>1692</v>
      </c>
      <c r="AC1" s="131" t="s">
        <v>1693</v>
      </c>
      <c r="AD1" s="131" t="s">
        <v>1694</v>
      </c>
      <c r="AE1" s="131" t="s">
        <v>1695</v>
      </c>
      <c r="AF1" s="131" t="s">
        <v>1696</v>
      </c>
      <c r="AG1" s="131" t="s">
        <v>1697</v>
      </c>
      <c r="AH1" s="131" t="s">
        <v>1698</v>
      </c>
      <c r="AI1" s="131" t="s">
        <v>1699</v>
      </c>
      <c r="AJ1" s="131" t="s">
        <v>1700</v>
      </c>
      <c r="AK1" s="131" t="s">
        <v>1701</v>
      </c>
      <c r="AM1" s="131" t="s">
        <v>1702</v>
      </c>
      <c r="AN1" s="131" t="s">
        <v>1703</v>
      </c>
      <c r="AO1" s="131" t="s">
        <v>1704</v>
      </c>
      <c r="AP1" s="131" t="s">
        <v>1705</v>
      </c>
      <c r="AQ1" s="131" t="s">
        <v>1706</v>
      </c>
      <c r="AR1" s="131" t="s">
        <v>1707</v>
      </c>
      <c r="AS1" t="s">
        <v>1708</v>
      </c>
    </row>
    <row r="2" spans="1:45" x14ac:dyDescent="0.25">
      <c r="A2">
        <v>2019</v>
      </c>
      <c r="B2">
        <v>307</v>
      </c>
      <c r="C2">
        <v>1</v>
      </c>
      <c r="D2" t="s">
        <v>226</v>
      </c>
      <c r="E2" t="s">
        <v>2572</v>
      </c>
      <c r="F2">
        <v>1</v>
      </c>
      <c r="G2" s="10" t="s">
        <v>949</v>
      </c>
      <c r="H2" t="s">
        <v>2573</v>
      </c>
      <c r="I2" s="131">
        <v>163286446357</v>
      </c>
      <c r="J2" s="131">
        <v>163286446357</v>
      </c>
      <c r="K2" s="131">
        <v>33105548288</v>
      </c>
      <c r="L2" s="131">
        <v>14895426762.940001</v>
      </c>
      <c r="M2" s="131">
        <v>18210121525.060001</v>
      </c>
      <c r="N2" s="131">
        <v>33105548288</v>
      </c>
      <c r="O2" s="131">
        <v>14895426762.940001</v>
      </c>
      <c r="P2" s="131">
        <v>181496567882.06</v>
      </c>
      <c r="Q2" s="131">
        <v>30530551982.040001</v>
      </c>
      <c r="R2" s="131">
        <v>347116468.50999999</v>
      </c>
      <c r="S2" s="131">
        <v>30183435513.529999</v>
      </c>
      <c r="T2" s="131">
        <v>0</v>
      </c>
      <c r="U2" s="131">
        <v>0</v>
      </c>
      <c r="V2" s="131">
        <v>0</v>
      </c>
      <c r="W2" s="131">
        <v>204609218691.20999</v>
      </c>
      <c r="X2" s="131">
        <v>15047021055.459999</v>
      </c>
      <c r="Y2" s="131">
        <v>189562197635.75</v>
      </c>
      <c r="Z2" s="131">
        <v>30530551982.040001</v>
      </c>
      <c r="AA2" s="131">
        <v>347116468.50999999</v>
      </c>
      <c r="AB2" s="131">
        <v>30183435513.529999</v>
      </c>
      <c r="AC2" s="131">
        <v>0</v>
      </c>
      <c r="AD2" s="131">
        <v>0</v>
      </c>
      <c r="AE2" s="131">
        <v>0</v>
      </c>
      <c r="AF2" s="131">
        <v>204609218691.20999</v>
      </c>
      <c r="AG2" s="131">
        <v>15047021055.459999</v>
      </c>
      <c r="AH2" s="131">
        <v>189562197635.75</v>
      </c>
      <c r="AI2" s="131">
        <v>189562197635.75</v>
      </c>
      <c r="AJ2" s="131">
        <v>36909851376</v>
      </c>
      <c r="AK2" s="131">
        <v>36909851376</v>
      </c>
      <c r="AM2" s="131">
        <v>157581293710.67999</v>
      </c>
      <c r="AN2" s="131">
        <v>163903594949.20999</v>
      </c>
      <c r="AO2" s="131">
        <v>6322301238.5299997</v>
      </c>
      <c r="AP2" s="131">
        <v>163903594949.20999</v>
      </c>
      <c r="AQ2" s="131">
        <v>0</v>
      </c>
      <c r="AR2" s="131">
        <v>6322301238.5299997</v>
      </c>
      <c r="AS2" t="s">
        <v>1709</v>
      </c>
    </row>
    <row r="3" spans="1:45" x14ac:dyDescent="0.25">
      <c r="A3">
        <v>2019</v>
      </c>
      <c r="B3">
        <v>307</v>
      </c>
      <c r="C3">
        <v>101</v>
      </c>
      <c r="D3" t="s">
        <v>226</v>
      </c>
      <c r="E3" t="s">
        <v>2574</v>
      </c>
      <c r="F3">
        <v>101</v>
      </c>
      <c r="G3" s="10" t="s">
        <v>950</v>
      </c>
      <c r="H3" t="s">
        <v>2573</v>
      </c>
      <c r="I3" s="131">
        <v>133517232845</v>
      </c>
      <c r="J3" s="131">
        <v>133517232845</v>
      </c>
      <c r="K3" s="131">
        <v>313492102</v>
      </c>
      <c r="L3" s="131">
        <v>2429012993</v>
      </c>
      <c r="M3" s="131">
        <v>-2115520891</v>
      </c>
      <c r="N3" s="131">
        <v>313492102</v>
      </c>
      <c r="O3" s="131">
        <v>2429012993</v>
      </c>
      <c r="P3" s="131">
        <v>131401711954</v>
      </c>
      <c r="Q3" s="131">
        <v>30530551982.040001</v>
      </c>
      <c r="R3" s="131">
        <v>347116468.50999999</v>
      </c>
      <c r="S3" s="131">
        <v>30183435513.529999</v>
      </c>
      <c r="T3" s="131">
        <v>0</v>
      </c>
      <c r="U3" s="131">
        <v>0</v>
      </c>
      <c r="V3" s="131">
        <v>0</v>
      </c>
      <c r="W3" s="131">
        <v>153771135738.56</v>
      </c>
      <c r="X3" s="131">
        <v>12831109685.17</v>
      </c>
      <c r="Y3" s="131">
        <v>140940026053.39001</v>
      </c>
      <c r="Z3" s="131">
        <v>30530551982.040001</v>
      </c>
      <c r="AA3" s="131">
        <v>347116468.50999999</v>
      </c>
      <c r="AB3" s="131">
        <v>30183435513.529999</v>
      </c>
      <c r="AC3" s="131">
        <v>0</v>
      </c>
      <c r="AD3" s="131">
        <v>0</v>
      </c>
      <c r="AE3" s="131">
        <v>0</v>
      </c>
      <c r="AF3" s="131">
        <v>153771135738.56</v>
      </c>
      <c r="AG3" s="131">
        <v>12831109685.17</v>
      </c>
      <c r="AH3" s="131">
        <v>140940026053.39001</v>
      </c>
      <c r="AI3" s="131">
        <v>140940026053.39001</v>
      </c>
      <c r="AJ3" s="131">
        <v>3166701263</v>
      </c>
      <c r="AK3" s="131">
        <v>3166701263</v>
      </c>
      <c r="AM3" s="131">
        <v>142106170400.72</v>
      </c>
      <c r="AN3" s="131">
        <v>148390501276.56</v>
      </c>
      <c r="AO3" s="131">
        <v>6284330875.8400002</v>
      </c>
      <c r="AP3" s="131">
        <v>148390501276.56</v>
      </c>
      <c r="AQ3" s="131">
        <v>0</v>
      </c>
      <c r="AR3" s="131">
        <v>6284330875.8400002</v>
      </c>
      <c r="AS3" t="s">
        <v>1709</v>
      </c>
    </row>
    <row r="4" spans="1:45" x14ac:dyDescent="0.25">
      <c r="A4">
        <v>2019</v>
      </c>
      <c r="B4">
        <v>307</v>
      </c>
      <c r="C4">
        <v>10101</v>
      </c>
      <c r="D4" t="s">
        <v>226</v>
      </c>
      <c r="E4" t="s">
        <v>2604</v>
      </c>
      <c r="F4">
        <v>10101</v>
      </c>
      <c r="G4" s="10" t="s">
        <v>951</v>
      </c>
      <c r="H4" t="s">
        <v>2573</v>
      </c>
      <c r="I4" s="131">
        <v>98806501451</v>
      </c>
      <c r="J4" s="131">
        <v>98806501451</v>
      </c>
      <c r="K4" s="131">
        <v>105000000</v>
      </c>
      <c r="L4" s="131">
        <v>1951000000</v>
      </c>
      <c r="M4" s="131">
        <v>-1846000000</v>
      </c>
      <c r="N4" s="131">
        <v>105000000</v>
      </c>
      <c r="O4" s="131">
        <v>1951000000</v>
      </c>
      <c r="P4" s="131">
        <v>96960501451</v>
      </c>
      <c r="Q4" s="131">
        <v>17679133662</v>
      </c>
      <c r="R4" s="131">
        <v>0</v>
      </c>
      <c r="S4" s="131">
        <v>17679133662</v>
      </c>
      <c r="T4" s="131">
        <v>0</v>
      </c>
      <c r="U4" s="131">
        <v>0</v>
      </c>
      <c r="V4" s="131">
        <v>0</v>
      </c>
      <c r="W4" s="131">
        <v>111678161754.14</v>
      </c>
      <c r="X4" s="131">
        <v>11256682252.84</v>
      </c>
      <c r="Y4" s="131">
        <v>100421479501.3</v>
      </c>
      <c r="Z4" s="131">
        <v>17679133662</v>
      </c>
      <c r="AA4" s="131">
        <v>0</v>
      </c>
      <c r="AB4" s="131">
        <v>17679133662</v>
      </c>
      <c r="AC4" s="131">
        <v>0</v>
      </c>
      <c r="AD4" s="131">
        <v>0</v>
      </c>
      <c r="AE4" s="131">
        <v>0</v>
      </c>
      <c r="AF4" s="131">
        <v>111678161754.14</v>
      </c>
      <c r="AG4" s="131">
        <v>11256682252.84</v>
      </c>
      <c r="AH4" s="131">
        <v>100421479501.3</v>
      </c>
      <c r="AI4" s="131">
        <v>100421479501.3</v>
      </c>
      <c r="AJ4" s="131">
        <v>0</v>
      </c>
      <c r="AK4" s="131">
        <v>0</v>
      </c>
      <c r="AM4" s="131">
        <v>104742866653.3</v>
      </c>
      <c r="AN4" s="131">
        <v>109465285555.14</v>
      </c>
      <c r="AO4" s="131">
        <v>4722418901.8400002</v>
      </c>
      <c r="AP4" s="131">
        <v>109465285555.14</v>
      </c>
      <c r="AQ4" s="131">
        <v>0</v>
      </c>
      <c r="AR4" s="131">
        <v>4722418901.8400002</v>
      </c>
      <c r="AS4" t="s">
        <v>1709</v>
      </c>
    </row>
    <row r="5" spans="1:45" x14ac:dyDescent="0.25">
      <c r="A5">
        <v>2019</v>
      </c>
      <c r="B5">
        <v>307</v>
      </c>
      <c r="C5">
        <v>1010101</v>
      </c>
      <c r="D5" t="s">
        <v>226</v>
      </c>
      <c r="E5" t="s">
        <v>2605</v>
      </c>
      <c r="F5">
        <v>1010101</v>
      </c>
      <c r="G5" s="10" t="s">
        <v>1021</v>
      </c>
      <c r="H5" t="s">
        <v>2573</v>
      </c>
      <c r="I5" s="131">
        <v>28451982424</v>
      </c>
      <c r="J5" s="131">
        <v>28451982424</v>
      </c>
      <c r="K5" s="131">
        <v>0</v>
      </c>
      <c r="L5" s="131">
        <v>0</v>
      </c>
      <c r="M5" s="131">
        <v>0</v>
      </c>
      <c r="N5" s="131">
        <v>0</v>
      </c>
      <c r="O5" s="131">
        <v>0</v>
      </c>
      <c r="P5" s="131">
        <v>28451982424</v>
      </c>
      <c r="Q5" s="131">
        <v>17679133662</v>
      </c>
      <c r="R5" s="131">
        <v>0</v>
      </c>
      <c r="S5" s="131">
        <v>17679133662</v>
      </c>
      <c r="T5" s="131">
        <v>0</v>
      </c>
      <c r="U5" s="131">
        <v>0</v>
      </c>
      <c r="V5" s="131">
        <v>0</v>
      </c>
      <c r="W5" s="131">
        <v>30728530316.299999</v>
      </c>
      <c r="X5" s="131">
        <v>761832528</v>
      </c>
      <c r="Y5" s="131">
        <v>29966697788.299999</v>
      </c>
      <c r="Z5" s="131">
        <v>17679133662</v>
      </c>
      <c r="AA5" s="131">
        <v>0</v>
      </c>
      <c r="AB5" s="131">
        <v>17679133662</v>
      </c>
      <c r="AC5" s="131">
        <v>0</v>
      </c>
      <c r="AD5" s="131">
        <v>0</v>
      </c>
      <c r="AE5" s="131">
        <v>0</v>
      </c>
      <c r="AF5" s="131">
        <v>30728530316.299999</v>
      </c>
      <c r="AG5" s="131">
        <v>761832528</v>
      </c>
      <c r="AH5" s="131">
        <v>29966697788.299999</v>
      </c>
      <c r="AI5" s="131">
        <v>29966697788.299999</v>
      </c>
      <c r="AJ5" s="131">
        <v>0</v>
      </c>
      <c r="AK5" s="131">
        <v>0</v>
      </c>
      <c r="AM5" s="131">
        <v>30014093056.299999</v>
      </c>
      <c r="AN5" s="131">
        <v>30726054116.299999</v>
      </c>
      <c r="AO5" s="131">
        <v>711961060</v>
      </c>
      <c r="AP5" s="131">
        <v>30726054116.299999</v>
      </c>
      <c r="AQ5" s="131">
        <v>0</v>
      </c>
      <c r="AR5" s="131">
        <v>711961060</v>
      </c>
      <c r="AS5" t="s">
        <v>1709</v>
      </c>
    </row>
    <row r="6" spans="1:45" ht="30" x14ac:dyDescent="0.25">
      <c r="A6">
        <v>2019</v>
      </c>
      <c r="B6">
        <v>307</v>
      </c>
      <c r="C6">
        <v>101010101</v>
      </c>
      <c r="D6" t="s">
        <v>226</v>
      </c>
      <c r="E6" t="s">
        <v>2606</v>
      </c>
      <c r="F6">
        <v>101010101</v>
      </c>
      <c r="G6" s="10" t="s">
        <v>1022</v>
      </c>
      <c r="H6" t="s">
        <v>2573</v>
      </c>
      <c r="I6" s="131">
        <v>13900000000</v>
      </c>
      <c r="J6" s="131">
        <v>13900000000</v>
      </c>
      <c r="K6" s="131">
        <v>0</v>
      </c>
      <c r="L6" s="131">
        <v>0</v>
      </c>
      <c r="M6" s="131">
        <v>0</v>
      </c>
      <c r="N6" s="131">
        <v>0</v>
      </c>
      <c r="O6" s="131">
        <v>0</v>
      </c>
      <c r="P6" s="131">
        <v>13900000000</v>
      </c>
      <c r="Q6" s="131">
        <v>17679133662</v>
      </c>
      <c r="R6" s="131">
        <v>0</v>
      </c>
      <c r="S6" s="131">
        <v>17679133662</v>
      </c>
      <c r="T6" s="131">
        <v>0</v>
      </c>
      <c r="U6" s="131">
        <v>0</v>
      </c>
      <c r="V6" s="131">
        <v>0</v>
      </c>
      <c r="W6" s="131">
        <v>14912892905</v>
      </c>
      <c r="X6" s="131">
        <v>6710400</v>
      </c>
      <c r="Y6" s="131">
        <v>14906182505</v>
      </c>
      <c r="Z6" s="131">
        <v>17679133662</v>
      </c>
      <c r="AA6" s="131">
        <v>0</v>
      </c>
      <c r="AB6" s="131">
        <v>17679133662</v>
      </c>
      <c r="AC6" s="131">
        <v>0</v>
      </c>
      <c r="AD6" s="131">
        <v>0</v>
      </c>
      <c r="AE6" s="131">
        <v>0</v>
      </c>
      <c r="AF6" s="131">
        <v>14912892905</v>
      </c>
      <c r="AG6" s="131">
        <v>6710400</v>
      </c>
      <c r="AH6" s="131">
        <v>14906182505</v>
      </c>
      <c r="AI6" s="131">
        <v>14906182505</v>
      </c>
      <c r="AJ6" s="131">
        <v>0</v>
      </c>
      <c r="AK6" s="131">
        <v>0</v>
      </c>
      <c r="AM6" s="131">
        <v>14912890505</v>
      </c>
      <c r="AN6" s="131">
        <v>14912892905</v>
      </c>
      <c r="AO6" s="131">
        <v>2400</v>
      </c>
      <c r="AP6" s="131">
        <v>14912892905</v>
      </c>
      <c r="AQ6" s="131">
        <v>0</v>
      </c>
      <c r="AR6" s="131">
        <v>2400</v>
      </c>
      <c r="AS6" t="s">
        <v>1709</v>
      </c>
    </row>
    <row r="7" spans="1:45" ht="30" x14ac:dyDescent="0.25">
      <c r="A7">
        <v>2019</v>
      </c>
      <c r="B7">
        <v>307</v>
      </c>
      <c r="C7">
        <v>10101010101</v>
      </c>
      <c r="D7">
        <v>20</v>
      </c>
      <c r="E7" t="s">
        <v>2607</v>
      </c>
      <c r="F7">
        <v>10101010101</v>
      </c>
      <c r="G7" s="10" t="s">
        <v>1023</v>
      </c>
      <c r="H7" t="s">
        <v>2573</v>
      </c>
      <c r="I7" s="131">
        <v>13900000000</v>
      </c>
      <c r="J7" s="131">
        <v>13900000000</v>
      </c>
      <c r="K7" s="131">
        <v>0</v>
      </c>
      <c r="L7" s="131">
        <v>0</v>
      </c>
      <c r="M7" s="131">
        <v>0</v>
      </c>
      <c r="N7" s="131">
        <v>0</v>
      </c>
      <c r="O7" s="131">
        <v>0</v>
      </c>
      <c r="P7" s="131">
        <v>13900000000</v>
      </c>
      <c r="Q7" s="131">
        <v>17679133662</v>
      </c>
      <c r="R7" s="131">
        <v>0</v>
      </c>
      <c r="S7" s="131">
        <v>17679133662</v>
      </c>
      <c r="T7" s="131">
        <v>0</v>
      </c>
      <c r="U7" s="131">
        <v>0</v>
      </c>
      <c r="V7" s="131">
        <v>0</v>
      </c>
      <c r="W7" s="131">
        <v>14912892905</v>
      </c>
      <c r="X7" s="131">
        <v>6710400</v>
      </c>
      <c r="Y7" s="131">
        <v>14906182505</v>
      </c>
      <c r="Z7" s="131">
        <v>17679133662</v>
      </c>
      <c r="AA7" s="131">
        <v>0</v>
      </c>
      <c r="AB7" s="131">
        <v>17679133662</v>
      </c>
      <c r="AC7" s="131">
        <v>0</v>
      </c>
      <c r="AD7" s="131">
        <v>0</v>
      </c>
      <c r="AE7" s="131">
        <v>0</v>
      </c>
      <c r="AF7" s="131">
        <v>14912892905</v>
      </c>
      <c r="AG7" s="131">
        <v>6710400</v>
      </c>
      <c r="AH7" s="131">
        <v>14906182505</v>
      </c>
      <c r="AI7" s="131">
        <v>14906182505</v>
      </c>
      <c r="AJ7" s="131">
        <v>0</v>
      </c>
      <c r="AK7" s="131">
        <v>0</v>
      </c>
      <c r="AM7" s="131">
        <v>14912890505</v>
      </c>
      <c r="AN7" s="131">
        <v>14912892905</v>
      </c>
      <c r="AO7" s="131">
        <v>2400</v>
      </c>
      <c r="AP7" s="131">
        <v>14912892905</v>
      </c>
      <c r="AQ7" s="131">
        <v>0</v>
      </c>
      <c r="AR7" s="131">
        <v>2400</v>
      </c>
      <c r="AS7" t="s">
        <v>140</v>
      </c>
    </row>
    <row r="8" spans="1:45" x14ac:dyDescent="0.25">
      <c r="A8">
        <v>2019</v>
      </c>
      <c r="B8">
        <v>307</v>
      </c>
      <c r="C8">
        <v>101010102</v>
      </c>
      <c r="D8" t="s">
        <v>226</v>
      </c>
      <c r="E8" t="s">
        <v>2608</v>
      </c>
      <c r="F8">
        <v>101010102</v>
      </c>
      <c r="G8" s="10" t="s">
        <v>1024</v>
      </c>
      <c r="H8" t="s">
        <v>2573</v>
      </c>
      <c r="I8" s="131">
        <v>14551982424</v>
      </c>
      <c r="J8" s="131">
        <v>14551982424</v>
      </c>
      <c r="K8" s="131">
        <v>0</v>
      </c>
      <c r="L8" s="131">
        <v>0</v>
      </c>
      <c r="M8" s="131">
        <v>0</v>
      </c>
      <c r="N8" s="131">
        <v>0</v>
      </c>
      <c r="O8" s="131">
        <v>0</v>
      </c>
      <c r="P8" s="131">
        <v>14551982424</v>
      </c>
      <c r="Q8" s="131">
        <v>0</v>
      </c>
      <c r="R8" s="131">
        <v>0</v>
      </c>
      <c r="S8" s="131">
        <v>0</v>
      </c>
      <c r="T8" s="131">
        <v>0</v>
      </c>
      <c r="U8" s="131">
        <v>0</v>
      </c>
      <c r="V8" s="131">
        <v>0</v>
      </c>
      <c r="W8" s="131">
        <v>15815637411.299999</v>
      </c>
      <c r="X8" s="131">
        <v>755122128</v>
      </c>
      <c r="Y8" s="131">
        <v>15060515283.299999</v>
      </c>
      <c r="Z8" s="131">
        <v>0</v>
      </c>
      <c r="AA8" s="131">
        <v>0</v>
      </c>
      <c r="AB8" s="131">
        <v>0</v>
      </c>
      <c r="AC8" s="131">
        <v>0</v>
      </c>
      <c r="AD8" s="131">
        <v>0</v>
      </c>
      <c r="AE8" s="131">
        <v>0</v>
      </c>
      <c r="AF8" s="131">
        <v>15815637411.299999</v>
      </c>
      <c r="AG8" s="131">
        <v>755122128</v>
      </c>
      <c r="AH8" s="131">
        <v>15060515283.299999</v>
      </c>
      <c r="AI8" s="131">
        <v>15060515283.299999</v>
      </c>
      <c r="AJ8" s="131">
        <f>+AI8*1.03</f>
        <v>15512330741.799</v>
      </c>
      <c r="AK8" s="131">
        <f>+AJ8*1.03</f>
        <v>15977700664.052971</v>
      </c>
      <c r="AL8" s="131">
        <f>+AK8*1.03</f>
        <v>16457031683.97456</v>
      </c>
      <c r="AM8" s="131">
        <v>15101202551.299999</v>
      </c>
      <c r="AN8" s="131">
        <v>15813161211.299999</v>
      </c>
      <c r="AO8" s="131">
        <v>711958660</v>
      </c>
      <c r="AP8" s="131">
        <v>15813161211.299999</v>
      </c>
      <c r="AQ8" s="131">
        <v>0</v>
      </c>
      <c r="AR8" s="131">
        <v>711958660</v>
      </c>
      <c r="AS8" t="s">
        <v>1709</v>
      </c>
    </row>
    <row r="9" spans="1:45" ht="30" x14ac:dyDescent="0.25">
      <c r="A9">
        <v>2019</v>
      </c>
      <c r="B9">
        <v>307</v>
      </c>
      <c r="C9">
        <v>10101010201</v>
      </c>
      <c r="D9">
        <v>20</v>
      </c>
      <c r="E9" t="s">
        <v>2609</v>
      </c>
      <c r="F9">
        <v>10101010201</v>
      </c>
      <c r="G9" s="10" t="s">
        <v>2610</v>
      </c>
      <c r="H9" t="s">
        <v>2573</v>
      </c>
      <c r="I9" s="131">
        <v>9562723093</v>
      </c>
      <c r="J9" s="131">
        <v>9562723093</v>
      </c>
      <c r="K9" s="131">
        <v>0</v>
      </c>
      <c r="L9" s="131">
        <v>0</v>
      </c>
      <c r="M9" s="131">
        <v>0</v>
      </c>
      <c r="N9" s="131">
        <v>0</v>
      </c>
      <c r="O9" s="131">
        <v>0</v>
      </c>
      <c r="P9" s="131">
        <v>9562723093</v>
      </c>
      <c r="Q9" s="131">
        <v>0</v>
      </c>
      <c r="R9" s="131">
        <v>0</v>
      </c>
      <c r="S9" s="131">
        <v>0</v>
      </c>
      <c r="T9" s="131">
        <v>0</v>
      </c>
      <c r="U9" s="131">
        <v>0</v>
      </c>
      <c r="V9" s="131">
        <v>0</v>
      </c>
      <c r="W9" s="131">
        <v>10406689438.299999</v>
      </c>
      <c r="X9" s="131">
        <v>496870382</v>
      </c>
      <c r="Y9" s="131">
        <v>9909819056.2999992</v>
      </c>
      <c r="Z9" s="131">
        <v>0</v>
      </c>
      <c r="AA9" s="131">
        <v>0</v>
      </c>
      <c r="AB9" s="131">
        <v>0</v>
      </c>
      <c r="AC9" s="131">
        <v>0</v>
      </c>
      <c r="AD9" s="131">
        <v>0</v>
      </c>
      <c r="AE9" s="131">
        <v>0</v>
      </c>
      <c r="AF9" s="131">
        <v>10406689438.299999</v>
      </c>
      <c r="AG9" s="131">
        <v>496870382</v>
      </c>
      <c r="AH9" s="131">
        <v>9909819056.2999992</v>
      </c>
      <c r="AI9" s="131">
        <v>9909819056.2999992</v>
      </c>
      <c r="AJ9" s="131">
        <f>+AI9*1.03</f>
        <v>10207113627.989</v>
      </c>
      <c r="AK9" s="131">
        <f>+AJ9*1.03</f>
        <v>10513327036.828671</v>
      </c>
      <c r="AM9" s="131">
        <f>+AK9*1.03</f>
        <v>10828726847.933531</v>
      </c>
      <c r="AN9" s="131">
        <v>10405060099.299999</v>
      </c>
      <c r="AO9" s="131">
        <v>468468798</v>
      </c>
      <c r="AP9" s="131">
        <v>10405060099.299999</v>
      </c>
      <c r="AQ9" s="131">
        <v>0</v>
      </c>
      <c r="AR9" s="131">
        <v>468468798</v>
      </c>
      <c r="AS9" t="s">
        <v>140</v>
      </c>
    </row>
    <row r="10" spans="1:45" x14ac:dyDescent="0.25">
      <c r="A10">
        <v>2019</v>
      </c>
      <c r="B10">
        <v>307</v>
      </c>
      <c r="C10">
        <v>10101010202</v>
      </c>
      <c r="D10">
        <v>52</v>
      </c>
      <c r="E10" t="s">
        <v>2611</v>
      </c>
      <c r="F10">
        <v>10101010202</v>
      </c>
      <c r="G10" s="10" t="s">
        <v>2612</v>
      </c>
      <c r="H10" t="s">
        <v>2573</v>
      </c>
      <c r="I10" s="131">
        <v>581320553</v>
      </c>
      <c r="J10" s="131">
        <v>581320553</v>
      </c>
      <c r="K10" s="131">
        <v>0</v>
      </c>
      <c r="L10" s="131">
        <v>0</v>
      </c>
      <c r="M10" s="131">
        <v>0</v>
      </c>
      <c r="N10" s="131">
        <v>0</v>
      </c>
      <c r="O10" s="131">
        <v>0</v>
      </c>
      <c r="P10" s="131">
        <v>581320553</v>
      </c>
      <c r="Q10" s="131">
        <v>0</v>
      </c>
      <c r="R10" s="131">
        <v>0</v>
      </c>
      <c r="S10" s="131">
        <v>0</v>
      </c>
      <c r="T10" s="131">
        <v>0</v>
      </c>
      <c r="U10" s="131">
        <v>0</v>
      </c>
      <c r="V10" s="131">
        <v>0</v>
      </c>
      <c r="W10" s="131">
        <v>632625492</v>
      </c>
      <c r="X10" s="131">
        <v>30204881</v>
      </c>
      <c r="Y10" s="131">
        <v>602420611</v>
      </c>
      <c r="Z10" s="131">
        <v>0</v>
      </c>
      <c r="AA10" s="131">
        <v>0</v>
      </c>
      <c r="AB10" s="131">
        <v>0</v>
      </c>
      <c r="AC10" s="131">
        <v>0</v>
      </c>
      <c r="AD10" s="131">
        <v>0</v>
      </c>
      <c r="AE10" s="131">
        <v>0</v>
      </c>
      <c r="AF10" s="131">
        <v>632625492</v>
      </c>
      <c r="AG10" s="131">
        <v>30204881</v>
      </c>
      <c r="AH10" s="131">
        <v>602420611</v>
      </c>
      <c r="AI10" s="131">
        <v>602420611</v>
      </c>
      <c r="AJ10" s="131">
        <v>0</v>
      </c>
      <c r="AK10" s="131">
        <v>0</v>
      </c>
      <c r="AM10" s="131">
        <v>604048098</v>
      </c>
      <c r="AN10" s="131">
        <v>632526444</v>
      </c>
      <c r="AO10" s="131">
        <v>28478346</v>
      </c>
      <c r="AP10" s="131">
        <v>632526444</v>
      </c>
      <c r="AQ10" s="131">
        <v>0</v>
      </c>
      <c r="AR10" s="131">
        <v>28478346</v>
      </c>
      <c r="AS10" t="s">
        <v>169</v>
      </c>
    </row>
    <row r="11" spans="1:45" x14ac:dyDescent="0.25">
      <c r="A11">
        <v>2019</v>
      </c>
      <c r="B11">
        <v>307</v>
      </c>
      <c r="C11">
        <v>10101010203</v>
      </c>
      <c r="D11">
        <v>53</v>
      </c>
      <c r="E11" t="s">
        <v>2613</v>
      </c>
      <c r="F11">
        <v>10101010203</v>
      </c>
      <c r="G11" s="10" t="s">
        <v>2614</v>
      </c>
      <c r="H11" t="s">
        <v>2573</v>
      </c>
      <c r="I11" s="131">
        <v>871980829</v>
      </c>
      <c r="J11" s="131">
        <v>871980829</v>
      </c>
      <c r="K11" s="131">
        <v>0</v>
      </c>
      <c r="L11" s="131">
        <v>0</v>
      </c>
      <c r="M11" s="131">
        <v>0</v>
      </c>
      <c r="N11" s="131">
        <v>0</v>
      </c>
      <c r="O11" s="131">
        <v>0</v>
      </c>
      <c r="P11" s="131">
        <v>871980829</v>
      </c>
      <c r="Q11" s="131">
        <v>0</v>
      </c>
      <c r="R11" s="131">
        <v>0</v>
      </c>
      <c r="S11" s="131">
        <v>0</v>
      </c>
      <c r="T11" s="131">
        <v>0</v>
      </c>
      <c r="U11" s="131">
        <v>0</v>
      </c>
      <c r="V11" s="131">
        <v>0</v>
      </c>
      <c r="W11" s="131">
        <v>948938241</v>
      </c>
      <c r="X11" s="131">
        <v>45307324</v>
      </c>
      <c r="Y11" s="131">
        <v>903630917</v>
      </c>
      <c r="Z11" s="131">
        <v>0</v>
      </c>
      <c r="AA11" s="131">
        <v>0</v>
      </c>
      <c r="AB11" s="131">
        <v>0</v>
      </c>
      <c r="AC11" s="131">
        <v>0</v>
      </c>
      <c r="AD11" s="131">
        <v>0</v>
      </c>
      <c r="AE11" s="131">
        <v>0</v>
      </c>
      <c r="AF11" s="131">
        <v>948938241</v>
      </c>
      <c r="AG11" s="131">
        <v>45307324</v>
      </c>
      <c r="AH11" s="131">
        <v>903630917</v>
      </c>
      <c r="AI11" s="131">
        <v>903630917</v>
      </c>
      <c r="AJ11" s="131">
        <v>0</v>
      </c>
      <c r="AK11" s="131">
        <v>0</v>
      </c>
      <c r="AM11" s="131">
        <v>906072149</v>
      </c>
      <c r="AN11" s="131">
        <v>948789669</v>
      </c>
      <c r="AO11" s="131">
        <v>42717520</v>
      </c>
      <c r="AP11" s="131">
        <v>948789669</v>
      </c>
      <c r="AQ11" s="131">
        <v>0</v>
      </c>
      <c r="AR11" s="131">
        <v>42717520</v>
      </c>
      <c r="AS11" t="s">
        <v>171</v>
      </c>
    </row>
    <row r="12" spans="1:45" ht="45" x14ac:dyDescent="0.25">
      <c r="A12">
        <v>2019</v>
      </c>
      <c r="B12">
        <v>307</v>
      </c>
      <c r="C12">
        <v>10101010204</v>
      </c>
      <c r="D12">
        <v>13</v>
      </c>
      <c r="E12" t="s">
        <v>2615</v>
      </c>
      <c r="F12">
        <v>10101010204</v>
      </c>
      <c r="G12" s="10" t="s">
        <v>2616</v>
      </c>
      <c r="H12" t="s">
        <v>2573</v>
      </c>
      <c r="I12" s="131">
        <v>1453301382</v>
      </c>
      <c r="J12" s="131">
        <v>1453301382</v>
      </c>
      <c r="K12" s="131">
        <v>0</v>
      </c>
      <c r="L12" s="131">
        <v>0</v>
      </c>
      <c r="M12" s="131">
        <v>0</v>
      </c>
      <c r="N12" s="131">
        <v>0</v>
      </c>
      <c r="O12" s="131">
        <v>0</v>
      </c>
      <c r="P12" s="131">
        <v>1453301382</v>
      </c>
      <c r="Q12" s="131">
        <v>0</v>
      </c>
      <c r="R12" s="131">
        <v>0</v>
      </c>
      <c r="S12" s="131">
        <v>0</v>
      </c>
      <c r="T12" s="131">
        <v>0</v>
      </c>
      <c r="U12" s="131">
        <v>0</v>
      </c>
      <c r="V12" s="131">
        <v>0</v>
      </c>
      <c r="W12" s="131">
        <v>1581563734</v>
      </c>
      <c r="X12" s="131">
        <v>75512205</v>
      </c>
      <c r="Y12" s="131">
        <v>1506051529</v>
      </c>
      <c r="Z12" s="131">
        <v>0</v>
      </c>
      <c r="AA12" s="131">
        <v>0</v>
      </c>
      <c r="AB12" s="131">
        <v>0</v>
      </c>
      <c r="AC12" s="131">
        <v>0</v>
      </c>
      <c r="AD12" s="131">
        <v>0</v>
      </c>
      <c r="AE12" s="131">
        <v>0</v>
      </c>
      <c r="AF12" s="131">
        <v>1581563734</v>
      </c>
      <c r="AG12" s="131">
        <v>75512205</v>
      </c>
      <c r="AH12" s="131">
        <v>1506051529</v>
      </c>
      <c r="AI12" s="131">
        <v>1506051529</v>
      </c>
      <c r="AJ12" s="131">
        <v>0</v>
      </c>
      <c r="AK12" s="131">
        <v>0</v>
      </c>
      <c r="AM12" s="131">
        <v>1510120248</v>
      </c>
      <c r="AN12" s="131">
        <v>1581316114</v>
      </c>
      <c r="AO12" s="131">
        <v>71195866</v>
      </c>
      <c r="AP12" s="131">
        <v>1581316114</v>
      </c>
      <c r="AQ12" s="131">
        <v>0</v>
      </c>
      <c r="AR12" s="131">
        <v>71195866</v>
      </c>
      <c r="AS12" t="s">
        <v>56</v>
      </c>
    </row>
    <row r="13" spans="1:45" ht="30" x14ac:dyDescent="0.25">
      <c r="A13">
        <v>2019</v>
      </c>
      <c r="B13">
        <v>307</v>
      </c>
      <c r="C13">
        <v>10101010205</v>
      </c>
      <c r="D13">
        <v>1</v>
      </c>
      <c r="E13" t="s">
        <v>2617</v>
      </c>
      <c r="F13">
        <v>10101010205</v>
      </c>
      <c r="G13" s="10" t="s">
        <v>2618</v>
      </c>
      <c r="H13" t="s">
        <v>2573</v>
      </c>
      <c r="I13" s="131">
        <v>2082656567</v>
      </c>
      <c r="J13" s="131">
        <v>2082656567</v>
      </c>
      <c r="K13" s="131">
        <v>0</v>
      </c>
      <c r="L13" s="131">
        <v>0</v>
      </c>
      <c r="M13" s="131">
        <v>0</v>
      </c>
      <c r="N13" s="131">
        <v>0</v>
      </c>
      <c r="O13" s="131">
        <v>0</v>
      </c>
      <c r="P13" s="131">
        <v>2082656567</v>
      </c>
      <c r="Q13" s="131">
        <v>0</v>
      </c>
      <c r="R13" s="131">
        <v>0</v>
      </c>
      <c r="S13" s="131">
        <v>0</v>
      </c>
      <c r="T13" s="131">
        <v>0</v>
      </c>
      <c r="U13" s="131">
        <v>0</v>
      </c>
      <c r="V13" s="131">
        <v>0</v>
      </c>
      <c r="W13" s="131">
        <v>2245820506</v>
      </c>
      <c r="X13" s="131">
        <v>107227336</v>
      </c>
      <c r="Y13" s="131">
        <v>2138593170</v>
      </c>
      <c r="Z13" s="131">
        <v>0</v>
      </c>
      <c r="AA13" s="131">
        <v>0</v>
      </c>
      <c r="AB13" s="131">
        <v>0</v>
      </c>
      <c r="AC13" s="131">
        <v>0</v>
      </c>
      <c r="AD13" s="131">
        <v>0</v>
      </c>
      <c r="AE13" s="131">
        <v>0</v>
      </c>
      <c r="AF13" s="131">
        <v>2245820506</v>
      </c>
      <c r="AG13" s="131">
        <v>107227336</v>
      </c>
      <c r="AH13" s="131">
        <v>2138593170</v>
      </c>
      <c r="AI13" s="131">
        <v>2138593170</v>
      </c>
      <c r="AJ13" s="131">
        <v>0</v>
      </c>
      <c r="AK13" s="131">
        <v>0</v>
      </c>
      <c r="AM13" s="131">
        <v>2144370755</v>
      </c>
      <c r="AN13" s="131">
        <v>2245468885</v>
      </c>
      <c r="AO13" s="131">
        <v>101098130</v>
      </c>
      <c r="AP13" s="131">
        <v>2245468885</v>
      </c>
      <c r="AQ13" s="131">
        <v>0</v>
      </c>
      <c r="AR13" s="131">
        <v>101098130</v>
      </c>
      <c r="AS13" t="s">
        <v>30</v>
      </c>
    </row>
    <row r="14" spans="1:45" x14ac:dyDescent="0.25">
      <c r="A14">
        <v>2019</v>
      </c>
      <c r="B14">
        <v>307</v>
      </c>
      <c r="C14">
        <v>1010102</v>
      </c>
      <c r="D14" t="s">
        <v>226</v>
      </c>
      <c r="E14" t="s">
        <v>2619</v>
      </c>
      <c r="F14">
        <v>1010102</v>
      </c>
      <c r="G14" s="10" t="s">
        <v>1031</v>
      </c>
      <c r="H14" t="s">
        <v>2573</v>
      </c>
      <c r="I14" s="131">
        <v>70354519027</v>
      </c>
      <c r="J14" s="131">
        <v>70354519027</v>
      </c>
      <c r="K14" s="131">
        <v>105000000</v>
      </c>
      <c r="L14" s="131">
        <v>1951000000</v>
      </c>
      <c r="M14" s="131">
        <v>-1846000000</v>
      </c>
      <c r="N14" s="131">
        <v>105000000</v>
      </c>
      <c r="O14" s="131">
        <v>1951000000</v>
      </c>
      <c r="P14" s="131">
        <v>68508519027</v>
      </c>
      <c r="Q14" s="131">
        <v>0</v>
      </c>
      <c r="R14" s="131">
        <v>0</v>
      </c>
      <c r="S14" s="131">
        <v>0</v>
      </c>
      <c r="T14" s="131">
        <v>0</v>
      </c>
      <c r="U14" s="131">
        <v>0</v>
      </c>
      <c r="V14" s="131">
        <v>0</v>
      </c>
      <c r="W14" s="131">
        <v>80949631437.839996</v>
      </c>
      <c r="X14" s="131">
        <v>10494849724.84</v>
      </c>
      <c r="Y14" s="131">
        <v>70454781713</v>
      </c>
      <c r="Z14" s="131">
        <v>0</v>
      </c>
      <c r="AA14" s="131">
        <v>0</v>
      </c>
      <c r="AB14" s="131">
        <v>0</v>
      </c>
      <c r="AC14" s="131">
        <v>0</v>
      </c>
      <c r="AD14" s="131">
        <v>0</v>
      </c>
      <c r="AE14" s="131">
        <v>0</v>
      </c>
      <c r="AF14" s="131">
        <v>80949631437.839996</v>
      </c>
      <c r="AG14" s="131">
        <v>10494849724.84</v>
      </c>
      <c r="AH14" s="131">
        <v>70454781713</v>
      </c>
      <c r="AI14" s="131">
        <v>70454781713</v>
      </c>
      <c r="AJ14" s="131">
        <v>0</v>
      </c>
      <c r="AK14" s="131">
        <v>0</v>
      </c>
      <c r="AM14" s="131">
        <v>74728773597</v>
      </c>
      <c r="AN14" s="131">
        <v>78739231438.839996</v>
      </c>
      <c r="AO14" s="131">
        <v>4010457841.8400002</v>
      </c>
      <c r="AP14" s="131">
        <v>78739231438.839996</v>
      </c>
      <c r="AQ14" s="131">
        <v>0</v>
      </c>
      <c r="AR14" s="131">
        <v>4010457841.8400002</v>
      </c>
      <c r="AS14" t="s">
        <v>1709</v>
      </c>
    </row>
    <row r="15" spans="1:45" x14ac:dyDescent="0.25">
      <c r="A15">
        <v>2019</v>
      </c>
      <c r="B15">
        <v>307</v>
      </c>
      <c r="C15">
        <v>101010201</v>
      </c>
      <c r="D15" t="s">
        <v>226</v>
      </c>
      <c r="E15" t="s">
        <v>2620</v>
      </c>
      <c r="F15">
        <v>101010201</v>
      </c>
      <c r="G15" s="10" t="s">
        <v>1032</v>
      </c>
      <c r="H15" t="s">
        <v>2573</v>
      </c>
      <c r="I15" s="131">
        <v>3971429146</v>
      </c>
      <c r="J15" s="131">
        <v>3971429146</v>
      </c>
      <c r="K15" s="131">
        <v>0</v>
      </c>
      <c r="L15" s="131">
        <v>0</v>
      </c>
      <c r="M15" s="131">
        <v>0</v>
      </c>
      <c r="N15" s="131">
        <v>0</v>
      </c>
      <c r="O15" s="131">
        <v>0</v>
      </c>
      <c r="P15" s="131">
        <v>3971429146</v>
      </c>
      <c r="Q15" s="131">
        <v>0</v>
      </c>
      <c r="R15" s="131">
        <v>0</v>
      </c>
      <c r="S15" s="131">
        <v>0</v>
      </c>
      <c r="T15" s="131">
        <v>0</v>
      </c>
      <c r="U15" s="131">
        <v>0</v>
      </c>
      <c r="V15" s="131">
        <v>0</v>
      </c>
      <c r="W15" s="131">
        <v>4969582167</v>
      </c>
      <c r="X15" s="131">
        <v>451141599</v>
      </c>
      <c r="Y15" s="131">
        <v>4518440568</v>
      </c>
      <c r="Z15" s="131">
        <v>0</v>
      </c>
      <c r="AA15" s="131">
        <v>0</v>
      </c>
      <c r="AB15" s="131">
        <v>0</v>
      </c>
      <c r="AC15" s="131">
        <v>0</v>
      </c>
      <c r="AD15" s="131">
        <v>0</v>
      </c>
      <c r="AE15" s="131">
        <v>0</v>
      </c>
      <c r="AF15" s="131">
        <v>4969582167</v>
      </c>
      <c r="AG15" s="131">
        <v>451141599</v>
      </c>
      <c r="AH15" s="131">
        <v>4518440568</v>
      </c>
      <c r="AI15" s="131">
        <v>4518440568</v>
      </c>
      <c r="AJ15" s="131">
        <v>0</v>
      </c>
      <c r="AK15" s="131">
        <v>0</v>
      </c>
      <c r="AM15" s="131">
        <v>4518440568</v>
      </c>
      <c r="AN15" s="131">
        <v>4969582167</v>
      </c>
      <c r="AO15" s="131">
        <v>451141599</v>
      </c>
      <c r="AP15" s="131">
        <v>4969582167</v>
      </c>
      <c r="AQ15" s="131">
        <v>0</v>
      </c>
      <c r="AR15" s="131">
        <v>451141599</v>
      </c>
      <c r="AS15" t="s">
        <v>1709</v>
      </c>
    </row>
    <row r="16" spans="1:45" ht="30" x14ac:dyDescent="0.25">
      <c r="A16">
        <v>2019</v>
      </c>
      <c r="B16">
        <v>307</v>
      </c>
      <c r="C16">
        <v>10101020101</v>
      </c>
      <c r="D16">
        <v>20</v>
      </c>
      <c r="E16" t="s">
        <v>2621</v>
      </c>
      <c r="F16">
        <v>10101020101</v>
      </c>
      <c r="G16" s="10" t="s">
        <v>2622</v>
      </c>
      <c r="H16" t="s">
        <v>2573</v>
      </c>
      <c r="I16" s="131">
        <v>794285829</v>
      </c>
      <c r="J16" s="131">
        <v>794285829</v>
      </c>
      <c r="K16" s="131">
        <v>0</v>
      </c>
      <c r="L16" s="131">
        <v>0</v>
      </c>
      <c r="M16" s="131">
        <v>0</v>
      </c>
      <c r="N16" s="131">
        <v>0</v>
      </c>
      <c r="O16" s="131">
        <v>0</v>
      </c>
      <c r="P16" s="131">
        <v>794285829</v>
      </c>
      <c r="Q16" s="131">
        <v>0</v>
      </c>
      <c r="R16" s="131">
        <v>0</v>
      </c>
      <c r="S16" s="131">
        <v>0</v>
      </c>
      <c r="T16" s="131">
        <v>0</v>
      </c>
      <c r="U16" s="131">
        <v>0</v>
      </c>
      <c r="V16" s="131">
        <v>0</v>
      </c>
      <c r="W16" s="131">
        <v>867928041</v>
      </c>
      <c r="X16" s="131">
        <v>172725599</v>
      </c>
      <c r="Y16" s="131">
        <v>695202442</v>
      </c>
      <c r="Z16" s="131">
        <v>0</v>
      </c>
      <c r="AA16" s="131">
        <v>0</v>
      </c>
      <c r="AB16" s="131">
        <v>0</v>
      </c>
      <c r="AC16" s="131">
        <v>0</v>
      </c>
      <c r="AD16" s="131">
        <v>0</v>
      </c>
      <c r="AE16" s="131">
        <v>0</v>
      </c>
      <c r="AF16" s="131">
        <v>867928041</v>
      </c>
      <c r="AG16" s="131">
        <v>172725599</v>
      </c>
      <c r="AH16" s="131">
        <v>695202442</v>
      </c>
      <c r="AI16" s="131">
        <v>695202442</v>
      </c>
      <c r="AJ16" s="131">
        <v>0</v>
      </c>
      <c r="AK16" s="131">
        <v>0</v>
      </c>
      <c r="AM16" s="131">
        <v>695202442</v>
      </c>
      <c r="AN16" s="131">
        <v>867928041</v>
      </c>
      <c r="AO16" s="131">
        <v>172725599</v>
      </c>
      <c r="AP16" s="131">
        <v>867928041</v>
      </c>
      <c r="AQ16" s="131">
        <v>0</v>
      </c>
      <c r="AR16" s="131">
        <v>172725599</v>
      </c>
      <c r="AS16" t="s">
        <v>140</v>
      </c>
    </row>
    <row r="17" spans="1:45" ht="30" x14ac:dyDescent="0.25">
      <c r="A17">
        <v>2019</v>
      </c>
      <c r="B17">
        <v>307</v>
      </c>
      <c r="C17">
        <v>10101020102</v>
      </c>
      <c r="D17">
        <v>20</v>
      </c>
      <c r="E17" t="s">
        <v>2623</v>
      </c>
      <c r="F17">
        <v>10101020102</v>
      </c>
      <c r="G17" s="10" t="s">
        <v>2624</v>
      </c>
      <c r="H17" t="s">
        <v>2573</v>
      </c>
      <c r="I17" s="131">
        <v>3177143317</v>
      </c>
      <c r="J17" s="131">
        <v>3177143317</v>
      </c>
      <c r="K17" s="131">
        <v>0</v>
      </c>
      <c r="L17" s="131">
        <v>0</v>
      </c>
      <c r="M17" s="131">
        <v>0</v>
      </c>
      <c r="N17" s="131">
        <v>0</v>
      </c>
      <c r="O17" s="131">
        <v>0</v>
      </c>
      <c r="P17" s="131">
        <v>3177143317</v>
      </c>
      <c r="Q17" s="131">
        <v>0</v>
      </c>
      <c r="R17" s="131">
        <v>0</v>
      </c>
      <c r="S17" s="131">
        <v>0</v>
      </c>
      <c r="T17" s="131">
        <v>0</v>
      </c>
      <c r="U17" s="131">
        <v>0</v>
      </c>
      <c r="V17" s="131">
        <v>0</v>
      </c>
      <c r="W17" s="131">
        <v>4101654126</v>
      </c>
      <c r="X17" s="131">
        <v>278416000</v>
      </c>
      <c r="Y17" s="131">
        <v>3823238126</v>
      </c>
      <c r="Z17" s="131">
        <v>0</v>
      </c>
      <c r="AA17" s="131">
        <v>0</v>
      </c>
      <c r="AB17" s="131">
        <v>0</v>
      </c>
      <c r="AC17" s="131">
        <v>0</v>
      </c>
      <c r="AD17" s="131">
        <v>0</v>
      </c>
      <c r="AE17" s="131">
        <v>0</v>
      </c>
      <c r="AF17" s="131">
        <v>4101654126</v>
      </c>
      <c r="AG17" s="131">
        <v>278416000</v>
      </c>
      <c r="AH17" s="131">
        <v>3823238126</v>
      </c>
      <c r="AI17" s="131">
        <v>3823238126</v>
      </c>
      <c r="AJ17" s="131">
        <v>0</v>
      </c>
      <c r="AK17" s="131">
        <v>0</v>
      </c>
      <c r="AM17" s="131">
        <v>3823238126</v>
      </c>
      <c r="AN17" s="131">
        <v>4101654126</v>
      </c>
      <c r="AO17" s="131">
        <v>278416000</v>
      </c>
      <c r="AP17" s="131">
        <v>4101654126</v>
      </c>
      <c r="AQ17" s="131">
        <v>0</v>
      </c>
      <c r="AR17" s="131">
        <v>278416000</v>
      </c>
      <c r="AS17" t="s">
        <v>140</v>
      </c>
    </row>
    <row r="18" spans="1:45" ht="30" x14ac:dyDescent="0.25">
      <c r="A18">
        <v>2019</v>
      </c>
      <c r="B18">
        <v>307</v>
      </c>
      <c r="C18">
        <v>101010202</v>
      </c>
      <c r="D18" t="s">
        <v>226</v>
      </c>
      <c r="E18" t="s">
        <v>2625</v>
      </c>
      <c r="F18">
        <v>101010202</v>
      </c>
      <c r="G18" s="10" t="s">
        <v>1037</v>
      </c>
      <c r="H18" t="s">
        <v>2573</v>
      </c>
      <c r="I18" s="131">
        <v>16795599681</v>
      </c>
      <c r="J18" s="131">
        <v>16795599681</v>
      </c>
      <c r="K18" s="131">
        <v>0</v>
      </c>
      <c r="L18" s="131">
        <v>0</v>
      </c>
      <c r="M18" s="131">
        <v>0</v>
      </c>
      <c r="N18" s="131">
        <v>0</v>
      </c>
      <c r="O18" s="131">
        <v>0</v>
      </c>
      <c r="P18" s="131">
        <v>16795599681</v>
      </c>
      <c r="Q18" s="131">
        <v>0</v>
      </c>
      <c r="R18" s="131">
        <v>0</v>
      </c>
      <c r="S18" s="131">
        <v>0</v>
      </c>
      <c r="T18" s="131">
        <v>0</v>
      </c>
      <c r="U18" s="131">
        <v>0</v>
      </c>
      <c r="V18" s="131">
        <v>0</v>
      </c>
      <c r="W18" s="131">
        <v>17557609844</v>
      </c>
      <c r="X18" s="131">
        <v>923299000</v>
      </c>
      <c r="Y18" s="132">
        <v>16634310844</v>
      </c>
      <c r="Z18" s="131">
        <f>+Y18*1.03</f>
        <v>17133340169.32</v>
      </c>
      <c r="AA18" s="131">
        <f>+Z18*1.03</f>
        <v>17647340374.399601</v>
      </c>
      <c r="AB18" s="131">
        <v>0</v>
      </c>
      <c r="AC18" s="131">
        <v>0</v>
      </c>
      <c r="AD18" s="131">
        <v>0</v>
      </c>
      <c r="AE18" s="131">
        <v>0</v>
      </c>
      <c r="AF18" s="131">
        <v>17557609844</v>
      </c>
      <c r="AG18" s="131">
        <v>923299000</v>
      </c>
      <c r="AH18" s="131">
        <v>16634310844</v>
      </c>
      <c r="AI18" s="131">
        <v>16634310844</v>
      </c>
      <c r="AJ18" s="131">
        <v>0</v>
      </c>
      <c r="AK18" s="131">
        <v>0</v>
      </c>
      <c r="AM18" s="131">
        <v>16634310844</v>
      </c>
      <c r="AN18" s="131">
        <v>17557609844</v>
      </c>
      <c r="AO18" s="131">
        <v>923299000</v>
      </c>
      <c r="AP18" s="131">
        <v>17557609844</v>
      </c>
      <c r="AQ18" s="131">
        <v>0</v>
      </c>
      <c r="AR18" s="131">
        <v>923299000</v>
      </c>
      <c r="AS18" t="s">
        <v>1709</v>
      </c>
    </row>
    <row r="19" spans="1:45" ht="30" x14ac:dyDescent="0.25">
      <c r="A19">
        <v>2019</v>
      </c>
      <c r="B19">
        <v>307</v>
      </c>
      <c r="C19">
        <v>10101020201</v>
      </c>
      <c r="D19">
        <v>20</v>
      </c>
      <c r="E19" t="s">
        <v>2626</v>
      </c>
      <c r="F19">
        <v>10101020201</v>
      </c>
      <c r="G19" s="10" t="s">
        <v>2627</v>
      </c>
      <c r="H19" t="s">
        <v>2573</v>
      </c>
      <c r="I19" s="131">
        <v>16291731691</v>
      </c>
      <c r="J19" s="131">
        <v>16291731691</v>
      </c>
      <c r="K19" s="131">
        <v>0</v>
      </c>
      <c r="L19" s="131">
        <v>0</v>
      </c>
      <c r="M19" s="131">
        <v>0</v>
      </c>
      <c r="N19" s="131">
        <v>0</v>
      </c>
      <c r="O19" s="131">
        <v>0</v>
      </c>
      <c r="P19" s="131">
        <v>16291731691</v>
      </c>
      <c r="Q19" s="131">
        <v>0</v>
      </c>
      <c r="R19" s="131">
        <v>0</v>
      </c>
      <c r="S19" s="131">
        <v>0</v>
      </c>
      <c r="T19" s="131">
        <v>0</v>
      </c>
      <c r="U19" s="131">
        <v>0</v>
      </c>
      <c r="V19" s="131">
        <v>0</v>
      </c>
      <c r="W19" s="131">
        <v>16757229416</v>
      </c>
      <c r="X19" s="131">
        <v>923299000</v>
      </c>
      <c r="Y19" s="131">
        <v>15833930416</v>
      </c>
      <c r="Z19" s="131">
        <v>0</v>
      </c>
      <c r="AA19" s="131">
        <v>0</v>
      </c>
      <c r="AB19" s="131">
        <v>0</v>
      </c>
      <c r="AC19" s="131">
        <v>0</v>
      </c>
      <c r="AD19" s="131">
        <v>0</v>
      </c>
      <c r="AE19" s="131">
        <v>0</v>
      </c>
      <c r="AF19" s="131">
        <v>16757229416</v>
      </c>
      <c r="AG19" s="131">
        <v>923299000</v>
      </c>
      <c r="AH19" s="131">
        <v>15833930416</v>
      </c>
      <c r="AI19" s="131">
        <v>15833930416</v>
      </c>
      <c r="AJ19" s="131">
        <v>0</v>
      </c>
      <c r="AK19" s="131">
        <v>0</v>
      </c>
      <c r="AM19" s="131">
        <v>15833930416</v>
      </c>
      <c r="AN19" s="131">
        <v>16757229416</v>
      </c>
      <c r="AO19" s="131">
        <v>923299000</v>
      </c>
      <c r="AP19" s="131">
        <v>16757229416</v>
      </c>
      <c r="AQ19" s="131">
        <v>0</v>
      </c>
      <c r="AR19" s="131">
        <v>923299000</v>
      </c>
      <c r="AS19" t="s">
        <v>140</v>
      </c>
    </row>
    <row r="20" spans="1:45" ht="30" x14ac:dyDescent="0.25">
      <c r="A20">
        <v>2019</v>
      </c>
      <c r="B20">
        <v>307</v>
      </c>
      <c r="C20">
        <v>10101020202</v>
      </c>
      <c r="D20">
        <v>20</v>
      </c>
      <c r="E20" t="s">
        <v>2628</v>
      </c>
      <c r="F20">
        <v>10101020202</v>
      </c>
      <c r="G20" s="10" t="s">
        <v>2629</v>
      </c>
      <c r="H20" t="s">
        <v>2573</v>
      </c>
      <c r="I20" s="131">
        <v>503867990</v>
      </c>
      <c r="J20" s="131">
        <v>503867990</v>
      </c>
      <c r="K20" s="131">
        <v>0</v>
      </c>
      <c r="L20" s="131">
        <v>0</v>
      </c>
      <c r="M20" s="131">
        <v>0</v>
      </c>
      <c r="N20" s="131">
        <v>0</v>
      </c>
      <c r="O20" s="131">
        <v>0</v>
      </c>
      <c r="P20" s="131">
        <v>503867990</v>
      </c>
      <c r="Q20" s="131">
        <v>0</v>
      </c>
      <c r="R20" s="131">
        <v>0</v>
      </c>
      <c r="S20" s="131">
        <v>0</v>
      </c>
      <c r="T20" s="131">
        <v>0</v>
      </c>
      <c r="U20" s="131">
        <v>0</v>
      </c>
      <c r="V20" s="131">
        <v>0</v>
      </c>
      <c r="W20" s="131">
        <v>800380428</v>
      </c>
      <c r="X20" s="131">
        <v>0</v>
      </c>
      <c r="Y20" s="131">
        <v>800380428</v>
      </c>
      <c r="Z20" s="131">
        <v>0</v>
      </c>
      <c r="AA20" s="131">
        <v>0</v>
      </c>
      <c r="AB20" s="131">
        <v>0</v>
      </c>
      <c r="AC20" s="131">
        <v>0</v>
      </c>
      <c r="AD20" s="131">
        <v>0</v>
      </c>
      <c r="AE20" s="131">
        <v>0</v>
      </c>
      <c r="AF20" s="131">
        <v>800380428</v>
      </c>
      <c r="AG20" s="131">
        <v>0</v>
      </c>
      <c r="AH20" s="131">
        <v>800380428</v>
      </c>
      <c r="AI20" s="131">
        <v>800380428</v>
      </c>
      <c r="AJ20" s="131">
        <v>0</v>
      </c>
      <c r="AK20" s="131">
        <v>0</v>
      </c>
      <c r="AM20" s="131">
        <v>800380428</v>
      </c>
      <c r="AN20" s="131">
        <v>800380428</v>
      </c>
      <c r="AO20" s="131">
        <v>0</v>
      </c>
      <c r="AP20" s="131">
        <v>800380428</v>
      </c>
      <c r="AQ20" s="131">
        <v>0</v>
      </c>
      <c r="AR20" s="131">
        <v>0</v>
      </c>
      <c r="AS20" t="s">
        <v>140</v>
      </c>
    </row>
    <row r="21" spans="1:45" x14ac:dyDescent="0.25">
      <c r="A21">
        <v>2019</v>
      </c>
      <c r="B21">
        <v>307</v>
      </c>
      <c r="C21">
        <v>101010203</v>
      </c>
      <c r="D21" t="s">
        <v>226</v>
      </c>
      <c r="E21" t="s">
        <v>2630</v>
      </c>
      <c r="F21">
        <v>101010203</v>
      </c>
      <c r="G21" s="10" t="s">
        <v>1040</v>
      </c>
      <c r="H21" t="s">
        <v>2573</v>
      </c>
      <c r="I21" s="131">
        <v>12659820835</v>
      </c>
      <c r="J21" s="131">
        <v>12659820835</v>
      </c>
      <c r="K21" s="131">
        <v>0</v>
      </c>
      <c r="L21" s="131">
        <v>0</v>
      </c>
      <c r="M21" s="131">
        <v>0</v>
      </c>
      <c r="N21" s="131">
        <v>0</v>
      </c>
      <c r="O21" s="131">
        <v>0</v>
      </c>
      <c r="P21" s="131">
        <v>12659820835</v>
      </c>
      <c r="Q21" s="131">
        <v>0</v>
      </c>
      <c r="R21" s="131">
        <v>0</v>
      </c>
      <c r="S21" s="131">
        <v>0</v>
      </c>
      <c r="T21" s="131">
        <v>0</v>
      </c>
      <c r="U21" s="131">
        <v>0</v>
      </c>
      <c r="V21" s="131">
        <v>0</v>
      </c>
      <c r="W21" s="131">
        <v>23498491433</v>
      </c>
      <c r="X21" s="131">
        <v>8286486722</v>
      </c>
      <c r="Y21" s="131">
        <v>15212004711</v>
      </c>
      <c r="Z21" s="131">
        <v>0</v>
      </c>
      <c r="AA21" s="131">
        <v>0</v>
      </c>
      <c r="AB21" s="131">
        <v>0</v>
      </c>
      <c r="AC21" s="131">
        <v>0</v>
      </c>
      <c r="AD21" s="131">
        <v>0</v>
      </c>
      <c r="AE21" s="131">
        <v>0</v>
      </c>
      <c r="AF21" s="131">
        <v>23498491433</v>
      </c>
      <c r="AG21" s="131">
        <v>8286486722</v>
      </c>
      <c r="AH21" s="131">
        <v>15212004711</v>
      </c>
      <c r="AI21" s="131">
        <v>15212004711</v>
      </c>
      <c r="AJ21" s="131">
        <v>0</v>
      </c>
      <c r="AK21" s="131">
        <v>0</v>
      </c>
      <c r="AM21" s="131">
        <v>19485180795</v>
      </c>
      <c r="AN21" s="131">
        <v>21301868115</v>
      </c>
      <c r="AO21" s="131">
        <v>1816687320</v>
      </c>
      <c r="AP21" s="131">
        <v>21301868115</v>
      </c>
      <c r="AQ21" s="131">
        <v>0</v>
      </c>
      <c r="AR21" s="131">
        <v>1816687320</v>
      </c>
      <c r="AS21" t="s">
        <v>1709</v>
      </c>
    </row>
    <row r="22" spans="1:45" ht="30" x14ac:dyDescent="0.25">
      <c r="A22">
        <v>2019</v>
      </c>
      <c r="B22">
        <v>307</v>
      </c>
      <c r="C22">
        <v>10101020301</v>
      </c>
      <c r="D22">
        <v>20</v>
      </c>
      <c r="E22" t="s">
        <v>2631</v>
      </c>
      <c r="F22">
        <v>10101020301</v>
      </c>
      <c r="G22" s="10" t="s">
        <v>2632</v>
      </c>
      <c r="H22" t="s">
        <v>2573</v>
      </c>
      <c r="I22" s="131">
        <v>10887445918</v>
      </c>
      <c r="J22" s="131">
        <v>10887445918</v>
      </c>
      <c r="K22" s="131">
        <v>0</v>
      </c>
      <c r="L22" s="131">
        <v>0</v>
      </c>
      <c r="M22" s="131">
        <v>0</v>
      </c>
      <c r="N22" s="131">
        <v>0</v>
      </c>
      <c r="O22" s="131">
        <v>0</v>
      </c>
      <c r="P22" s="131">
        <v>10887445918</v>
      </c>
      <c r="Q22" s="131">
        <v>0</v>
      </c>
      <c r="R22" s="131">
        <v>0</v>
      </c>
      <c r="S22" s="131">
        <v>0</v>
      </c>
      <c r="T22" s="131">
        <v>0</v>
      </c>
      <c r="U22" s="131">
        <v>0</v>
      </c>
      <c r="V22" s="131">
        <v>0</v>
      </c>
      <c r="W22" s="131">
        <v>12020728880</v>
      </c>
      <c r="X22" s="131">
        <v>3893240086</v>
      </c>
      <c r="Y22" s="131">
        <v>8127488794</v>
      </c>
      <c r="Z22" s="131">
        <v>0</v>
      </c>
      <c r="AA22" s="131">
        <v>0</v>
      </c>
      <c r="AB22" s="131">
        <v>0</v>
      </c>
      <c r="AC22" s="131">
        <v>0</v>
      </c>
      <c r="AD22" s="131">
        <v>0</v>
      </c>
      <c r="AE22" s="131">
        <v>0</v>
      </c>
      <c r="AF22" s="131">
        <v>12020728880</v>
      </c>
      <c r="AG22" s="131">
        <v>3893240086</v>
      </c>
      <c r="AH22" s="131">
        <v>8127488794</v>
      </c>
      <c r="AI22" s="131">
        <v>8127488794</v>
      </c>
      <c r="AJ22" s="131">
        <v>0</v>
      </c>
      <c r="AK22" s="131">
        <v>0</v>
      </c>
      <c r="AM22" s="131">
        <v>10204041560</v>
      </c>
      <c r="AN22" s="131">
        <v>12020728880</v>
      </c>
      <c r="AO22" s="131">
        <v>1816687320</v>
      </c>
      <c r="AP22" s="131">
        <v>12020728880</v>
      </c>
      <c r="AQ22" s="131">
        <v>0</v>
      </c>
      <c r="AR22" s="131">
        <v>1816687320</v>
      </c>
      <c r="AS22" t="s">
        <v>140</v>
      </c>
    </row>
    <row r="23" spans="1:45" ht="30" x14ac:dyDescent="0.25">
      <c r="A23">
        <v>2019</v>
      </c>
      <c r="B23">
        <v>307</v>
      </c>
      <c r="C23">
        <v>10101020302</v>
      </c>
      <c r="D23">
        <v>20</v>
      </c>
      <c r="E23" t="s">
        <v>2633</v>
      </c>
      <c r="F23">
        <v>10101020302</v>
      </c>
      <c r="G23" s="10" t="s">
        <v>2634</v>
      </c>
      <c r="H23" t="s">
        <v>2573</v>
      </c>
      <c r="I23" s="131">
        <v>1772374917</v>
      </c>
      <c r="J23" s="131">
        <v>1772374917</v>
      </c>
      <c r="K23" s="131">
        <v>0</v>
      </c>
      <c r="L23" s="131">
        <v>0</v>
      </c>
      <c r="M23" s="131">
        <v>0</v>
      </c>
      <c r="N23" s="131">
        <v>0</v>
      </c>
      <c r="O23" s="131">
        <v>0</v>
      </c>
      <c r="P23" s="131">
        <v>1772374917</v>
      </c>
      <c r="Q23" s="131">
        <v>0</v>
      </c>
      <c r="R23" s="131">
        <v>0</v>
      </c>
      <c r="S23" s="131">
        <v>0</v>
      </c>
      <c r="T23" s="131">
        <v>0</v>
      </c>
      <c r="U23" s="131">
        <v>0</v>
      </c>
      <c r="V23" s="131">
        <v>0</v>
      </c>
      <c r="W23" s="131">
        <v>11477762553</v>
      </c>
      <c r="X23" s="131">
        <v>4393246636</v>
      </c>
      <c r="Y23" s="131">
        <v>7084515917</v>
      </c>
      <c r="Z23" s="131">
        <v>0</v>
      </c>
      <c r="AA23" s="131">
        <v>0</v>
      </c>
      <c r="AB23" s="131">
        <v>0</v>
      </c>
      <c r="AC23" s="131">
        <v>0</v>
      </c>
      <c r="AD23" s="131">
        <v>0</v>
      </c>
      <c r="AE23" s="131">
        <v>0</v>
      </c>
      <c r="AF23" s="131">
        <v>11477762553</v>
      </c>
      <c r="AG23" s="131">
        <v>4393246636</v>
      </c>
      <c r="AH23" s="131">
        <v>7084515917</v>
      </c>
      <c r="AI23" s="131">
        <v>7084515917</v>
      </c>
      <c r="AJ23" s="131">
        <v>0</v>
      </c>
      <c r="AK23" s="131">
        <v>0</v>
      </c>
      <c r="AM23" s="131">
        <v>9281139235</v>
      </c>
      <c r="AN23" s="131">
        <v>9281139235</v>
      </c>
      <c r="AO23" s="131">
        <v>0</v>
      </c>
      <c r="AP23" s="131">
        <v>9281139235</v>
      </c>
      <c r="AQ23" s="131">
        <v>0</v>
      </c>
      <c r="AR23" s="131">
        <v>0</v>
      </c>
      <c r="AS23" t="s">
        <v>140</v>
      </c>
    </row>
    <row r="24" spans="1:45" x14ac:dyDescent="0.25">
      <c r="A24">
        <v>2019</v>
      </c>
      <c r="B24">
        <v>307</v>
      </c>
      <c r="C24">
        <v>101010204</v>
      </c>
      <c r="D24" t="s">
        <v>226</v>
      </c>
      <c r="E24" t="s">
        <v>2635</v>
      </c>
      <c r="F24">
        <v>101010204</v>
      </c>
      <c r="G24" s="10" t="s">
        <v>1044</v>
      </c>
      <c r="H24" t="s">
        <v>2573</v>
      </c>
      <c r="I24" s="131">
        <v>616646000</v>
      </c>
      <c r="J24" s="131">
        <v>616646000</v>
      </c>
      <c r="K24" s="131">
        <v>0</v>
      </c>
      <c r="L24" s="131">
        <v>0</v>
      </c>
      <c r="M24" s="131">
        <v>0</v>
      </c>
      <c r="N24" s="131">
        <v>0</v>
      </c>
      <c r="O24" s="131">
        <v>0</v>
      </c>
      <c r="P24" s="131">
        <v>616646000</v>
      </c>
      <c r="Q24" s="131">
        <v>0</v>
      </c>
      <c r="R24" s="131">
        <v>0</v>
      </c>
      <c r="S24" s="131">
        <v>0</v>
      </c>
      <c r="T24" s="131">
        <v>0</v>
      </c>
      <c r="U24" s="131">
        <v>0</v>
      </c>
      <c r="V24" s="131">
        <v>0</v>
      </c>
      <c r="W24" s="131">
        <v>647439300</v>
      </c>
      <c r="X24" s="131">
        <v>0</v>
      </c>
      <c r="Y24" s="131">
        <v>647439300</v>
      </c>
      <c r="Z24" s="131">
        <v>0</v>
      </c>
      <c r="AA24" s="131">
        <v>0</v>
      </c>
      <c r="AB24" s="131">
        <v>0</v>
      </c>
      <c r="AC24" s="131">
        <v>0</v>
      </c>
      <c r="AD24" s="131">
        <v>0</v>
      </c>
      <c r="AE24" s="131">
        <v>0</v>
      </c>
      <c r="AF24" s="131">
        <v>647439300</v>
      </c>
      <c r="AG24" s="131">
        <v>0</v>
      </c>
      <c r="AH24" s="131">
        <v>647439300</v>
      </c>
      <c r="AI24" s="131">
        <v>647439300</v>
      </c>
      <c r="AJ24" s="131">
        <v>0</v>
      </c>
      <c r="AK24" s="131">
        <v>0</v>
      </c>
      <c r="AM24" s="131">
        <v>647439300</v>
      </c>
      <c r="AN24" s="131">
        <v>647439300</v>
      </c>
      <c r="AO24" s="131">
        <v>0</v>
      </c>
      <c r="AP24" s="131">
        <v>647439300</v>
      </c>
      <c r="AQ24" s="131">
        <v>0</v>
      </c>
      <c r="AR24" s="131">
        <v>0</v>
      </c>
      <c r="AS24" t="s">
        <v>1709</v>
      </c>
    </row>
    <row r="25" spans="1:45" ht="30" x14ac:dyDescent="0.25">
      <c r="A25">
        <v>2019</v>
      </c>
      <c r="B25">
        <v>307</v>
      </c>
      <c r="C25">
        <v>10101020401</v>
      </c>
      <c r="D25">
        <v>20</v>
      </c>
      <c r="E25" t="s">
        <v>2636</v>
      </c>
      <c r="F25">
        <v>10101020401</v>
      </c>
      <c r="G25" s="10" t="s">
        <v>2637</v>
      </c>
      <c r="H25" t="s">
        <v>2573</v>
      </c>
      <c r="I25" s="131">
        <v>616646000</v>
      </c>
      <c r="J25" s="131">
        <v>616646000</v>
      </c>
      <c r="K25" s="131">
        <v>0</v>
      </c>
      <c r="L25" s="131">
        <v>0</v>
      </c>
      <c r="M25" s="131">
        <v>0</v>
      </c>
      <c r="N25" s="131">
        <v>0</v>
      </c>
      <c r="O25" s="131">
        <v>0</v>
      </c>
      <c r="P25" s="131">
        <v>616646000</v>
      </c>
      <c r="Q25" s="131">
        <v>0</v>
      </c>
      <c r="R25" s="131">
        <v>0</v>
      </c>
      <c r="S25" s="131">
        <v>0</v>
      </c>
      <c r="T25" s="131">
        <v>0</v>
      </c>
      <c r="U25" s="131">
        <v>0</v>
      </c>
      <c r="V25" s="131">
        <v>0</v>
      </c>
      <c r="W25" s="131">
        <v>647439300</v>
      </c>
      <c r="X25" s="131">
        <v>0</v>
      </c>
      <c r="Y25" s="131">
        <v>647439300</v>
      </c>
      <c r="Z25" s="131">
        <v>0</v>
      </c>
      <c r="AA25" s="131">
        <v>0</v>
      </c>
      <c r="AB25" s="131">
        <v>0</v>
      </c>
      <c r="AC25" s="131">
        <v>0</v>
      </c>
      <c r="AD25" s="131">
        <v>0</v>
      </c>
      <c r="AE25" s="131">
        <v>0</v>
      </c>
      <c r="AF25" s="131">
        <v>647439300</v>
      </c>
      <c r="AG25" s="131">
        <v>0</v>
      </c>
      <c r="AH25" s="131">
        <v>647439300</v>
      </c>
      <c r="AI25" s="131">
        <v>647439300</v>
      </c>
      <c r="AJ25" s="131">
        <v>0</v>
      </c>
      <c r="AK25" s="131">
        <v>0</v>
      </c>
      <c r="AM25" s="131">
        <v>647439300</v>
      </c>
      <c r="AN25" s="131">
        <v>647439300</v>
      </c>
      <c r="AO25" s="131">
        <v>0</v>
      </c>
      <c r="AP25" s="131">
        <v>647439300</v>
      </c>
      <c r="AQ25" s="131">
        <v>0</v>
      </c>
      <c r="AR25" s="131">
        <v>0</v>
      </c>
      <c r="AS25" t="s">
        <v>140</v>
      </c>
    </row>
    <row r="26" spans="1:45" x14ac:dyDescent="0.25">
      <c r="A26">
        <v>2019</v>
      </c>
      <c r="B26">
        <v>307</v>
      </c>
      <c r="C26">
        <v>101010205</v>
      </c>
      <c r="D26" t="s">
        <v>226</v>
      </c>
      <c r="E26" t="s">
        <v>2638</v>
      </c>
      <c r="F26">
        <v>101010205</v>
      </c>
      <c r="G26" s="10" t="s">
        <v>1046</v>
      </c>
      <c r="H26" t="s">
        <v>2573</v>
      </c>
      <c r="I26" s="131">
        <v>7434115000</v>
      </c>
      <c r="J26" s="131">
        <v>7434115000</v>
      </c>
      <c r="K26" s="131">
        <v>105000000</v>
      </c>
      <c r="L26" s="131">
        <v>0</v>
      </c>
      <c r="M26" s="131">
        <v>105000000</v>
      </c>
      <c r="N26" s="131">
        <v>105000000</v>
      </c>
      <c r="O26" s="131">
        <v>0</v>
      </c>
      <c r="P26" s="131">
        <v>7539115000</v>
      </c>
      <c r="Q26" s="131">
        <v>0</v>
      </c>
      <c r="R26" s="131">
        <v>0</v>
      </c>
      <c r="S26" s="131">
        <v>0</v>
      </c>
      <c r="T26" s="131">
        <v>0</v>
      </c>
      <c r="U26" s="131">
        <v>0</v>
      </c>
      <c r="V26" s="131">
        <v>0</v>
      </c>
      <c r="W26" s="131">
        <v>7443676500</v>
      </c>
      <c r="X26" s="131">
        <v>269761200</v>
      </c>
      <c r="Y26" s="131">
        <v>7173915300</v>
      </c>
      <c r="Z26" s="131">
        <v>0</v>
      </c>
      <c r="AA26" s="131">
        <v>0</v>
      </c>
      <c r="AB26" s="131">
        <v>0</v>
      </c>
      <c r="AC26" s="131">
        <v>0</v>
      </c>
      <c r="AD26" s="131">
        <v>0</v>
      </c>
      <c r="AE26" s="131">
        <v>0</v>
      </c>
      <c r="AF26" s="131">
        <v>7443676500</v>
      </c>
      <c r="AG26" s="131">
        <v>269761200</v>
      </c>
      <c r="AH26" s="131">
        <v>7173915300</v>
      </c>
      <c r="AI26" s="131">
        <v>7173915300</v>
      </c>
      <c r="AJ26" s="131">
        <v>0</v>
      </c>
      <c r="AK26" s="131">
        <v>0</v>
      </c>
      <c r="AM26" s="131">
        <v>7173915300</v>
      </c>
      <c r="AN26" s="131">
        <v>7443676500</v>
      </c>
      <c r="AO26" s="131">
        <v>269761200</v>
      </c>
      <c r="AP26" s="131">
        <v>7443676500</v>
      </c>
      <c r="AQ26" s="131">
        <v>0</v>
      </c>
      <c r="AR26" s="131">
        <v>269761200</v>
      </c>
      <c r="AS26" t="s">
        <v>1709</v>
      </c>
    </row>
    <row r="27" spans="1:45" ht="30" x14ac:dyDescent="0.25">
      <c r="A27">
        <v>2019</v>
      </c>
      <c r="B27">
        <v>307</v>
      </c>
      <c r="C27">
        <v>10101020501</v>
      </c>
      <c r="D27">
        <v>20</v>
      </c>
      <c r="E27" t="s">
        <v>2639</v>
      </c>
      <c r="F27">
        <v>10101020501</v>
      </c>
      <c r="G27" s="10" t="s">
        <v>2640</v>
      </c>
      <c r="H27" t="s">
        <v>2573</v>
      </c>
      <c r="I27" s="131">
        <v>7434115000</v>
      </c>
      <c r="J27" s="131">
        <v>7434115000</v>
      </c>
      <c r="K27" s="131">
        <v>0</v>
      </c>
      <c r="L27" s="131">
        <v>0</v>
      </c>
      <c r="M27" s="131">
        <v>0</v>
      </c>
      <c r="N27" s="131">
        <v>0</v>
      </c>
      <c r="O27" s="131">
        <v>0</v>
      </c>
      <c r="P27" s="131">
        <v>7434115000</v>
      </c>
      <c r="Q27" s="131">
        <v>0</v>
      </c>
      <c r="R27" s="131">
        <v>0</v>
      </c>
      <c r="S27" s="131">
        <v>0</v>
      </c>
      <c r="T27" s="131">
        <v>0</v>
      </c>
      <c r="U27" s="131">
        <v>0</v>
      </c>
      <c r="V27" s="131">
        <v>0</v>
      </c>
      <c r="W27" s="131">
        <v>7443676500</v>
      </c>
      <c r="X27" s="131">
        <v>269761200</v>
      </c>
      <c r="Y27" s="131">
        <v>7173915300</v>
      </c>
      <c r="Z27" s="131">
        <v>0</v>
      </c>
      <c r="AA27" s="131">
        <v>0</v>
      </c>
      <c r="AB27" s="131">
        <v>0</v>
      </c>
      <c r="AC27" s="131">
        <v>0</v>
      </c>
      <c r="AD27" s="131">
        <v>0</v>
      </c>
      <c r="AE27" s="131">
        <v>0</v>
      </c>
      <c r="AF27" s="131">
        <v>7443676500</v>
      </c>
      <c r="AG27" s="131">
        <v>269761200</v>
      </c>
      <c r="AH27" s="131">
        <v>7173915300</v>
      </c>
      <c r="AI27" s="131">
        <v>7173915300</v>
      </c>
      <c r="AJ27" s="131">
        <v>0</v>
      </c>
      <c r="AK27" s="131">
        <v>0</v>
      </c>
      <c r="AM27" s="131">
        <v>7173915300</v>
      </c>
      <c r="AN27" s="131">
        <v>7443676500</v>
      </c>
      <c r="AO27" s="131">
        <v>269761200</v>
      </c>
      <c r="AP27" s="131">
        <v>7443676500</v>
      </c>
      <c r="AQ27" s="131">
        <v>0</v>
      </c>
      <c r="AR27" s="131">
        <v>269761200</v>
      </c>
      <c r="AS27" t="s">
        <v>140</v>
      </c>
    </row>
    <row r="28" spans="1:45" ht="30" x14ac:dyDescent="0.25">
      <c r="A28">
        <v>2019</v>
      </c>
      <c r="B28">
        <v>307</v>
      </c>
      <c r="C28">
        <v>10101020502</v>
      </c>
      <c r="D28">
        <v>166</v>
      </c>
      <c r="E28" t="s">
        <v>2641</v>
      </c>
      <c r="F28">
        <v>10101020502</v>
      </c>
      <c r="G28" s="10" t="s">
        <v>2642</v>
      </c>
      <c r="H28" t="s">
        <v>2573</v>
      </c>
      <c r="I28" s="131">
        <v>0</v>
      </c>
      <c r="J28" s="131">
        <v>0</v>
      </c>
      <c r="K28" s="131">
        <v>105000000</v>
      </c>
      <c r="L28" s="131">
        <v>0</v>
      </c>
      <c r="M28" s="131">
        <v>105000000</v>
      </c>
      <c r="N28" s="131">
        <v>105000000</v>
      </c>
      <c r="O28" s="131">
        <v>0</v>
      </c>
      <c r="P28" s="131">
        <v>105000000</v>
      </c>
      <c r="Q28" s="131">
        <v>0</v>
      </c>
      <c r="R28" s="131">
        <v>0</v>
      </c>
      <c r="S28" s="131">
        <v>0</v>
      </c>
      <c r="T28" s="131">
        <v>0</v>
      </c>
      <c r="U28" s="131">
        <v>0</v>
      </c>
      <c r="V28" s="131">
        <v>0</v>
      </c>
      <c r="W28" s="131">
        <v>0</v>
      </c>
      <c r="X28" s="131">
        <v>0</v>
      </c>
      <c r="Y28" s="131">
        <v>0</v>
      </c>
      <c r="Z28" s="131">
        <v>0</v>
      </c>
      <c r="AA28" s="131">
        <v>0</v>
      </c>
      <c r="AB28" s="131">
        <v>0</v>
      </c>
      <c r="AC28" s="131">
        <v>0</v>
      </c>
      <c r="AD28" s="131">
        <v>0</v>
      </c>
      <c r="AE28" s="131">
        <v>0</v>
      </c>
      <c r="AF28" s="131">
        <v>0</v>
      </c>
      <c r="AG28" s="131">
        <v>0</v>
      </c>
      <c r="AH28" s="131">
        <v>0</v>
      </c>
      <c r="AI28" s="131">
        <v>0</v>
      </c>
      <c r="AJ28" s="131">
        <v>0</v>
      </c>
      <c r="AK28" s="131">
        <v>0</v>
      </c>
      <c r="AM28" s="131">
        <v>0</v>
      </c>
      <c r="AN28" s="131">
        <v>0</v>
      </c>
      <c r="AO28" s="131">
        <v>0</v>
      </c>
      <c r="AP28" s="131">
        <v>0</v>
      </c>
      <c r="AQ28" s="131">
        <v>0</v>
      </c>
      <c r="AR28" s="131">
        <v>0</v>
      </c>
      <c r="AS28" t="s">
        <v>2643</v>
      </c>
    </row>
    <row r="29" spans="1:45" x14ac:dyDescent="0.25">
      <c r="A29">
        <v>2019</v>
      </c>
      <c r="B29">
        <v>307</v>
      </c>
      <c r="C29">
        <v>101010206</v>
      </c>
      <c r="D29" t="s">
        <v>226</v>
      </c>
      <c r="E29" t="s">
        <v>2644</v>
      </c>
      <c r="F29">
        <v>101010206</v>
      </c>
      <c r="G29" s="10" t="s">
        <v>1049</v>
      </c>
      <c r="H29" t="s">
        <v>2573</v>
      </c>
      <c r="I29" s="131">
        <v>11463621499</v>
      </c>
      <c r="J29" s="131">
        <v>11463621499</v>
      </c>
      <c r="K29" s="131">
        <v>0</v>
      </c>
      <c r="L29" s="131">
        <v>1476000000</v>
      </c>
      <c r="M29" s="131">
        <v>-1476000000</v>
      </c>
      <c r="N29" s="131">
        <v>0</v>
      </c>
      <c r="O29" s="131">
        <v>1476000000</v>
      </c>
      <c r="P29" s="131">
        <v>9987621499</v>
      </c>
      <c r="Q29" s="131">
        <v>0</v>
      </c>
      <c r="R29" s="131">
        <v>0</v>
      </c>
      <c r="S29" s="131">
        <v>0</v>
      </c>
      <c r="T29" s="131">
        <v>0</v>
      </c>
      <c r="U29" s="131">
        <v>0</v>
      </c>
      <c r="V29" s="131">
        <v>0</v>
      </c>
      <c r="W29" s="131">
        <v>10297030420.540001</v>
      </c>
      <c r="X29" s="131">
        <v>300144220.54000002</v>
      </c>
      <c r="Y29" s="131">
        <v>9996886200</v>
      </c>
      <c r="Z29" s="131">
        <v>0</v>
      </c>
      <c r="AA29" s="131">
        <v>0</v>
      </c>
      <c r="AB29" s="131">
        <v>0</v>
      </c>
      <c r="AC29" s="131">
        <v>0</v>
      </c>
      <c r="AD29" s="131">
        <v>0</v>
      </c>
      <c r="AE29" s="131">
        <v>0</v>
      </c>
      <c r="AF29" s="131">
        <v>10297030420.540001</v>
      </c>
      <c r="AG29" s="131">
        <v>300144220.54000002</v>
      </c>
      <c r="AH29" s="131">
        <v>9996886200</v>
      </c>
      <c r="AI29" s="131">
        <v>9996886200</v>
      </c>
      <c r="AJ29" s="131">
        <v>0</v>
      </c>
      <c r="AK29" s="131">
        <v>0</v>
      </c>
      <c r="AM29" s="131">
        <v>9997536600</v>
      </c>
      <c r="AN29" s="131">
        <v>10283253739.540001</v>
      </c>
      <c r="AO29" s="131">
        <v>285717139.54000002</v>
      </c>
      <c r="AP29" s="131">
        <v>10283253739.540001</v>
      </c>
      <c r="AQ29" s="131">
        <v>0</v>
      </c>
      <c r="AR29" s="131">
        <v>285717139.54000002</v>
      </c>
      <c r="AS29" t="s">
        <v>1709</v>
      </c>
    </row>
    <row r="30" spans="1:45" x14ac:dyDescent="0.25">
      <c r="A30">
        <v>2019</v>
      </c>
      <c r="B30">
        <v>307</v>
      </c>
      <c r="C30">
        <v>10101020601</v>
      </c>
      <c r="D30">
        <v>4</v>
      </c>
      <c r="E30" t="s">
        <v>2645</v>
      </c>
      <c r="F30">
        <v>10101020601</v>
      </c>
      <c r="G30" s="10" t="s">
        <v>1050</v>
      </c>
      <c r="H30" t="s">
        <v>2573</v>
      </c>
      <c r="I30" s="131">
        <v>7451353974</v>
      </c>
      <c r="J30" s="131">
        <v>7451353974</v>
      </c>
      <c r="K30" s="131">
        <v>0</v>
      </c>
      <c r="L30" s="131">
        <v>970000000</v>
      </c>
      <c r="M30" s="131">
        <v>-970000000</v>
      </c>
      <c r="N30" s="131">
        <v>0</v>
      </c>
      <c r="O30" s="131">
        <v>970000000</v>
      </c>
      <c r="P30" s="131">
        <v>6481353974</v>
      </c>
      <c r="Q30" s="131">
        <v>0</v>
      </c>
      <c r="R30" s="131">
        <v>0</v>
      </c>
      <c r="S30" s="131">
        <v>0</v>
      </c>
      <c r="T30" s="131">
        <v>0</v>
      </c>
      <c r="U30" s="131">
        <v>0</v>
      </c>
      <c r="V30" s="131">
        <v>0</v>
      </c>
      <c r="W30" s="131">
        <v>6697891611.3500004</v>
      </c>
      <c r="X30" s="131">
        <v>199915581.34999999</v>
      </c>
      <c r="Y30" s="131">
        <v>6497976030</v>
      </c>
      <c r="Z30" s="131">
        <v>0</v>
      </c>
      <c r="AA30" s="131">
        <v>0</v>
      </c>
      <c r="AB30" s="131">
        <v>0</v>
      </c>
      <c r="AC30" s="131">
        <v>0</v>
      </c>
      <c r="AD30" s="131">
        <v>0</v>
      </c>
      <c r="AE30" s="131">
        <v>0</v>
      </c>
      <c r="AF30" s="131">
        <v>6697891611.3500004</v>
      </c>
      <c r="AG30" s="131">
        <v>199915581.34999999</v>
      </c>
      <c r="AH30" s="131">
        <v>6497976030</v>
      </c>
      <c r="AI30" s="131">
        <v>6497976030</v>
      </c>
      <c r="AJ30" s="131">
        <v>0</v>
      </c>
      <c r="AK30" s="131">
        <v>0</v>
      </c>
      <c r="AM30" s="131">
        <v>6498398790</v>
      </c>
      <c r="AN30" s="131">
        <v>6684114930.3500004</v>
      </c>
      <c r="AO30" s="131">
        <v>185716140.34999999</v>
      </c>
      <c r="AP30" s="131">
        <v>6684114930.3500004</v>
      </c>
      <c r="AQ30" s="131">
        <v>0</v>
      </c>
      <c r="AR30" s="131">
        <v>185716140.34999999</v>
      </c>
      <c r="AS30" t="s">
        <v>32</v>
      </c>
    </row>
    <row r="31" spans="1:45" ht="30" x14ac:dyDescent="0.25">
      <c r="A31">
        <v>2019</v>
      </c>
      <c r="B31">
        <v>307</v>
      </c>
      <c r="C31">
        <v>10101020602</v>
      </c>
      <c r="D31">
        <v>4</v>
      </c>
      <c r="E31" t="s">
        <v>2646</v>
      </c>
      <c r="F31">
        <v>10101020602</v>
      </c>
      <c r="G31" s="10" t="s">
        <v>1167</v>
      </c>
      <c r="H31" t="s">
        <v>2573</v>
      </c>
      <c r="I31" s="131">
        <v>2292724300</v>
      </c>
      <c r="J31" s="131">
        <v>2292724300</v>
      </c>
      <c r="K31" s="131">
        <v>0</v>
      </c>
      <c r="L31" s="131">
        <v>290000000</v>
      </c>
      <c r="M31" s="131">
        <v>-290000000</v>
      </c>
      <c r="N31" s="131">
        <v>0</v>
      </c>
      <c r="O31" s="131">
        <v>290000000</v>
      </c>
      <c r="P31" s="131">
        <v>2002724300</v>
      </c>
      <c r="Q31" s="131">
        <v>0</v>
      </c>
      <c r="R31" s="131">
        <v>0</v>
      </c>
      <c r="S31" s="131">
        <v>0</v>
      </c>
      <c r="T31" s="131">
        <v>0</v>
      </c>
      <c r="U31" s="131">
        <v>0</v>
      </c>
      <c r="V31" s="131">
        <v>0</v>
      </c>
      <c r="W31" s="131">
        <v>2056650748.3399999</v>
      </c>
      <c r="X31" s="131">
        <v>57273508.340000004</v>
      </c>
      <c r="Y31" s="131">
        <v>1999377240</v>
      </c>
      <c r="Z31" s="131">
        <v>0</v>
      </c>
      <c r="AA31" s="131">
        <v>0</v>
      </c>
      <c r="AB31" s="131">
        <v>0</v>
      </c>
      <c r="AC31" s="131">
        <v>0</v>
      </c>
      <c r="AD31" s="131">
        <v>0</v>
      </c>
      <c r="AE31" s="131">
        <v>0</v>
      </c>
      <c r="AF31" s="131">
        <v>2056650748.3399999</v>
      </c>
      <c r="AG31" s="131">
        <v>57273508.340000004</v>
      </c>
      <c r="AH31" s="131">
        <v>1999377240</v>
      </c>
      <c r="AI31" s="131">
        <v>1999377240</v>
      </c>
      <c r="AJ31" s="131">
        <v>0</v>
      </c>
      <c r="AK31" s="131">
        <v>0</v>
      </c>
      <c r="AM31" s="131">
        <v>1999507320</v>
      </c>
      <c r="AN31" s="131">
        <v>2056650748.3399999</v>
      </c>
      <c r="AO31" s="131">
        <v>57143428.340000004</v>
      </c>
      <c r="AP31" s="131">
        <v>2056650748.3399999</v>
      </c>
      <c r="AQ31" s="131">
        <v>0</v>
      </c>
      <c r="AR31" s="131">
        <v>57143428.340000004</v>
      </c>
      <c r="AS31" t="s">
        <v>32</v>
      </c>
    </row>
    <row r="32" spans="1:45" ht="45" x14ac:dyDescent="0.25">
      <c r="A32">
        <v>2019</v>
      </c>
      <c r="B32">
        <v>307</v>
      </c>
      <c r="C32">
        <v>10101020603</v>
      </c>
      <c r="D32">
        <v>4</v>
      </c>
      <c r="E32" t="s">
        <v>2647</v>
      </c>
      <c r="F32">
        <v>10101020603</v>
      </c>
      <c r="G32" s="10" t="s">
        <v>1168</v>
      </c>
      <c r="H32" t="s">
        <v>2573</v>
      </c>
      <c r="I32" s="131">
        <v>1719543225</v>
      </c>
      <c r="J32" s="131">
        <v>1719543225</v>
      </c>
      <c r="K32" s="131">
        <v>0</v>
      </c>
      <c r="L32" s="131">
        <v>216000000</v>
      </c>
      <c r="M32" s="131">
        <v>-216000000</v>
      </c>
      <c r="N32" s="131">
        <v>0</v>
      </c>
      <c r="O32" s="131">
        <v>216000000</v>
      </c>
      <c r="P32" s="131">
        <v>1503543225</v>
      </c>
      <c r="Q32" s="131">
        <v>0</v>
      </c>
      <c r="R32" s="131">
        <v>0</v>
      </c>
      <c r="S32" s="131">
        <v>0</v>
      </c>
      <c r="T32" s="131">
        <v>0</v>
      </c>
      <c r="U32" s="131">
        <v>0</v>
      </c>
      <c r="V32" s="131">
        <v>0</v>
      </c>
      <c r="W32" s="131">
        <v>1542488060.8499999</v>
      </c>
      <c r="X32" s="131">
        <v>42955130.850000001</v>
      </c>
      <c r="Y32" s="131">
        <v>1499532930</v>
      </c>
      <c r="Z32" s="131">
        <v>0</v>
      </c>
      <c r="AA32" s="131">
        <v>0</v>
      </c>
      <c r="AB32" s="131">
        <v>0</v>
      </c>
      <c r="AC32" s="131">
        <v>0</v>
      </c>
      <c r="AD32" s="131">
        <v>0</v>
      </c>
      <c r="AE32" s="131">
        <v>0</v>
      </c>
      <c r="AF32" s="131">
        <v>1542488060.8499999</v>
      </c>
      <c r="AG32" s="131">
        <v>42955130.850000001</v>
      </c>
      <c r="AH32" s="131">
        <v>1499532930</v>
      </c>
      <c r="AI32" s="131">
        <v>1499532930</v>
      </c>
      <c r="AJ32" s="131">
        <v>0</v>
      </c>
      <c r="AK32" s="131">
        <v>0</v>
      </c>
      <c r="AM32" s="131">
        <v>1499630490</v>
      </c>
      <c r="AN32" s="131">
        <v>1542488060.8499999</v>
      </c>
      <c r="AO32" s="131">
        <v>42857570.850000001</v>
      </c>
      <c r="AP32" s="131">
        <v>1542488060.8499999</v>
      </c>
      <c r="AQ32" s="131">
        <v>0</v>
      </c>
      <c r="AR32" s="131">
        <v>42857570.850000001</v>
      </c>
      <c r="AS32" t="s">
        <v>32</v>
      </c>
    </row>
    <row r="33" spans="1:45" x14ac:dyDescent="0.25">
      <c r="A33">
        <v>2019</v>
      </c>
      <c r="B33">
        <v>307</v>
      </c>
      <c r="C33">
        <v>101010207</v>
      </c>
      <c r="D33" t="s">
        <v>226</v>
      </c>
      <c r="E33" t="s">
        <v>2648</v>
      </c>
      <c r="F33">
        <v>101010207</v>
      </c>
      <c r="G33" s="10" t="s">
        <v>1053</v>
      </c>
      <c r="H33" t="s">
        <v>2573</v>
      </c>
      <c r="I33" s="131">
        <v>1689907444</v>
      </c>
      <c r="J33" s="131">
        <v>1689907444</v>
      </c>
      <c r="K33" s="131">
        <v>0</v>
      </c>
      <c r="L33" s="131">
        <v>0</v>
      </c>
      <c r="M33" s="131">
        <v>0</v>
      </c>
      <c r="N33" s="131">
        <v>0</v>
      </c>
      <c r="O33" s="131">
        <v>0</v>
      </c>
      <c r="P33" s="131">
        <v>1689907444</v>
      </c>
      <c r="Q33" s="131">
        <v>0</v>
      </c>
      <c r="R33" s="131">
        <v>0</v>
      </c>
      <c r="S33" s="131">
        <v>0</v>
      </c>
      <c r="T33" s="131">
        <v>0</v>
      </c>
      <c r="U33" s="131">
        <v>0</v>
      </c>
      <c r="V33" s="131">
        <v>0</v>
      </c>
      <c r="W33" s="131">
        <v>1758052419.53</v>
      </c>
      <c r="X33" s="131">
        <v>11974819.529999999</v>
      </c>
      <c r="Y33" s="131">
        <v>1746077600</v>
      </c>
      <c r="Z33" s="131">
        <v>0</v>
      </c>
      <c r="AA33" s="131">
        <v>0</v>
      </c>
      <c r="AB33" s="131">
        <v>0</v>
      </c>
      <c r="AC33" s="131">
        <v>0</v>
      </c>
      <c r="AD33" s="131">
        <v>0</v>
      </c>
      <c r="AE33" s="131">
        <v>0</v>
      </c>
      <c r="AF33" s="131">
        <v>1758052419.53</v>
      </c>
      <c r="AG33" s="131">
        <v>11974819.529999999</v>
      </c>
      <c r="AH33" s="131">
        <v>1746077600</v>
      </c>
      <c r="AI33" s="131">
        <v>1746077600</v>
      </c>
      <c r="AJ33" s="131">
        <v>0</v>
      </c>
      <c r="AK33" s="131">
        <v>0</v>
      </c>
      <c r="AM33" s="131">
        <v>1746077600</v>
      </c>
      <c r="AN33" s="131">
        <v>1758052419.53</v>
      </c>
      <c r="AO33" s="131">
        <v>11974819.529999999</v>
      </c>
      <c r="AP33" s="131">
        <v>1758052419.53</v>
      </c>
      <c r="AQ33" s="131">
        <v>0</v>
      </c>
      <c r="AR33" s="131">
        <v>11974819.529999999</v>
      </c>
      <c r="AS33" t="s">
        <v>1709</v>
      </c>
    </row>
    <row r="34" spans="1:45" ht="30" x14ac:dyDescent="0.25">
      <c r="A34">
        <v>2019</v>
      </c>
      <c r="B34">
        <v>307</v>
      </c>
      <c r="C34">
        <v>10101020702</v>
      </c>
      <c r="D34">
        <v>5</v>
      </c>
      <c r="E34" t="s">
        <v>2649</v>
      </c>
      <c r="F34">
        <v>10101020702</v>
      </c>
      <c r="G34" s="10" t="s">
        <v>1054</v>
      </c>
      <c r="H34" t="s">
        <v>2573</v>
      </c>
      <c r="I34" s="131">
        <v>337981489</v>
      </c>
      <c r="J34" s="131">
        <v>337981489</v>
      </c>
      <c r="K34" s="131">
        <v>0</v>
      </c>
      <c r="L34" s="131">
        <v>0</v>
      </c>
      <c r="M34" s="131">
        <v>0</v>
      </c>
      <c r="N34" s="131">
        <v>0</v>
      </c>
      <c r="O34" s="131">
        <v>0</v>
      </c>
      <c r="P34" s="131">
        <v>337981489</v>
      </c>
      <c r="Q34" s="131">
        <v>0</v>
      </c>
      <c r="R34" s="131">
        <v>0</v>
      </c>
      <c r="S34" s="131">
        <v>0</v>
      </c>
      <c r="T34" s="131">
        <v>0</v>
      </c>
      <c r="U34" s="131">
        <v>0</v>
      </c>
      <c r="V34" s="131">
        <v>0</v>
      </c>
      <c r="W34" s="131">
        <v>352138252.73000002</v>
      </c>
      <c r="X34" s="131">
        <v>2922732.73</v>
      </c>
      <c r="Y34" s="131">
        <v>349215520</v>
      </c>
      <c r="Z34" s="131">
        <v>0</v>
      </c>
      <c r="AA34" s="131">
        <v>0</v>
      </c>
      <c r="AB34" s="131">
        <v>0</v>
      </c>
      <c r="AC34" s="131">
        <v>0</v>
      </c>
      <c r="AD34" s="131">
        <v>0</v>
      </c>
      <c r="AE34" s="131">
        <v>0</v>
      </c>
      <c r="AF34" s="131">
        <v>352138252.73000002</v>
      </c>
      <c r="AG34" s="131">
        <v>2922732.73</v>
      </c>
      <c r="AH34" s="131">
        <v>349215520</v>
      </c>
      <c r="AI34" s="131">
        <v>349215520</v>
      </c>
      <c r="AJ34" s="131">
        <v>0</v>
      </c>
      <c r="AK34" s="131">
        <v>0</v>
      </c>
      <c r="AM34" s="131">
        <v>349215520</v>
      </c>
      <c r="AN34" s="131">
        <v>352138252.73000002</v>
      </c>
      <c r="AO34" s="131">
        <v>2922732.73</v>
      </c>
      <c r="AP34" s="131">
        <v>352138252.73000002</v>
      </c>
      <c r="AQ34" s="131">
        <v>0</v>
      </c>
      <c r="AR34" s="131">
        <v>2922732.73</v>
      </c>
      <c r="AS34" t="s">
        <v>34</v>
      </c>
    </row>
    <row r="35" spans="1:45" ht="30" x14ac:dyDescent="0.25">
      <c r="A35">
        <v>2019</v>
      </c>
      <c r="B35">
        <v>307</v>
      </c>
      <c r="C35">
        <v>10101020703</v>
      </c>
      <c r="D35">
        <v>33</v>
      </c>
      <c r="E35" t="s">
        <v>2650</v>
      </c>
      <c r="F35">
        <v>10101020703</v>
      </c>
      <c r="G35" s="10" t="s">
        <v>2651</v>
      </c>
      <c r="H35" t="s">
        <v>2573</v>
      </c>
      <c r="I35" s="131">
        <v>168990744</v>
      </c>
      <c r="J35" s="131">
        <v>168990744</v>
      </c>
      <c r="K35" s="131">
        <v>0</v>
      </c>
      <c r="L35" s="131">
        <v>0</v>
      </c>
      <c r="M35" s="131">
        <v>0</v>
      </c>
      <c r="N35" s="131">
        <v>0</v>
      </c>
      <c r="O35" s="131">
        <v>0</v>
      </c>
      <c r="P35" s="131">
        <v>168990744</v>
      </c>
      <c r="Q35" s="131">
        <v>0</v>
      </c>
      <c r="R35" s="131">
        <v>0</v>
      </c>
      <c r="S35" s="131">
        <v>0</v>
      </c>
      <c r="T35" s="131">
        <v>0</v>
      </c>
      <c r="U35" s="131">
        <v>0</v>
      </c>
      <c r="V35" s="131">
        <v>0</v>
      </c>
      <c r="W35" s="131">
        <v>175805241.61000001</v>
      </c>
      <c r="X35" s="131">
        <v>1197481.6100000001</v>
      </c>
      <c r="Y35" s="131">
        <v>174607760</v>
      </c>
      <c r="Z35" s="131">
        <v>0</v>
      </c>
      <c r="AA35" s="131">
        <v>0</v>
      </c>
      <c r="AB35" s="131">
        <v>0</v>
      </c>
      <c r="AC35" s="131">
        <v>0</v>
      </c>
      <c r="AD35" s="131">
        <v>0</v>
      </c>
      <c r="AE35" s="131">
        <v>0</v>
      </c>
      <c r="AF35" s="131">
        <v>175805241.61000001</v>
      </c>
      <c r="AG35" s="131">
        <v>1197481.6100000001</v>
      </c>
      <c r="AH35" s="131">
        <v>174607760</v>
      </c>
      <c r="AI35" s="131">
        <v>174607760</v>
      </c>
      <c r="AJ35" s="131">
        <v>0</v>
      </c>
      <c r="AK35" s="131">
        <v>0</v>
      </c>
      <c r="AM35" s="131">
        <v>174607760</v>
      </c>
      <c r="AN35" s="131">
        <v>175805241.61000001</v>
      </c>
      <c r="AO35" s="131">
        <v>1197481.6100000001</v>
      </c>
      <c r="AP35" s="131">
        <v>175805241.61000001</v>
      </c>
      <c r="AQ35" s="131">
        <v>0</v>
      </c>
      <c r="AR35" s="131">
        <v>1197481.6100000001</v>
      </c>
      <c r="AS35" t="s">
        <v>153</v>
      </c>
    </row>
    <row r="36" spans="1:45" ht="30" x14ac:dyDescent="0.25">
      <c r="A36">
        <v>2019</v>
      </c>
      <c r="B36">
        <v>307</v>
      </c>
      <c r="C36">
        <v>10101020704</v>
      </c>
      <c r="D36">
        <v>34</v>
      </c>
      <c r="E36" t="s">
        <v>2652</v>
      </c>
      <c r="F36">
        <v>10101020704</v>
      </c>
      <c r="G36" s="10" t="s">
        <v>1056</v>
      </c>
      <c r="H36" t="s">
        <v>2573</v>
      </c>
      <c r="I36" s="131">
        <v>168990744</v>
      </c>
      <c r="J36" s="131">
        <v>168990744</v>
      </c>
      <c r="K36" s="131">
        <v>0</v>
      </c>
      <c r="L36" s="131">
        <v>0</v>
      </c>
      <c r="M36" s="131">
        <v>0</v>
      </c>
      <c r="N36" s="131">
        <v>0</v>
      </c>
      <c r="O36" s="131">
        <v>0</v>
      </c>
      <c r="P36" s="131">
        <v>168990744</v>
      </c>
      <c r="Q36" s="131">
        <v>0</v>
      </c>
      <c r="R36" s="131">
        <v>0</v>
      </c>
      <c r="S36" s="131">
        <v>0</v>
      </c>
      <c r="T36" s="131">
        <v>0</v>
      </c>
      <c r="U36" s="131">
        <v>0</v>
      </c>
      <c r="V36" s="131">
        <v>0</v>
      </c>
      <c r="W36" s="131">
        <v>175818401.61000001</v>
      </c>
      <c r="X36" s="131">
        <v>1210641.6100000001</v>
      </c>
      <c r="Y36" s="131">
        <v>174607760</v>
      </c>
      <c r="Z36" s="131">
        <v>0</v>
      </c>
      <c r="AA36" s="131">
        <v>0</v>
      </c>
      <c r="AB36" s="131">
        <v>0</v>
      </c>
      <c r="AC36" s="131">
        <v>0</v>
      </c>
      <c r="AD36" s="131">
        <v>0</v>
      </c>
      <c r="AE36" s="131">
        <v>0</v>
      </c>
      <c r="AF36" s="131">
        <v>175818401.61000001</v>
      </c>
      <c r="AG36" s="131">
        <v>1210641.6100000001</v>
      </c>
      <c r="AH36" s="131">
        <v>174607760</v>
      </c>
      <c r="AI36" s="131">
        <v>174607760</v>
      </c>
      <c r="AJ36" s="131">
        <v>0</v>
      </c>
      <c r="AK36" s="131">
        <v>0</v>
      </c>
      <c r="AM36" s="131">
        <v>174607760</v>
      </c>
      <c r="AN36" s="131">
        <v>175818401.61000001</v>
      </c>
      <c r="AO36" s="131">
        <v>1210641.6100000001</v>
      </c>
      <c r="AP36" s="131">
        <v>175818401.61000001</v>
      </c>
      <c r="AQ36" s="131">
        <v>0</v>
      </c>
      <c r="AR36" s="131">
        <v>1210641.6100000001</v>
      </c>
      <c r="AS36" t="s">
        <v>155</v>
      </c>
    </row>
    <row r="37" spans="1:45" ht="30" x14ac:dyDescent="0.25">
      <c r="A37">
        <v>2019</v>
      </c>
      <c r="B37">
        <v>307</v>
      </c>
      <c r="C37">
        <v>10101020705</v>
      </c>
      <c r="D37">
        <v>39</v>
      </c>
      <c r="E37" t="s">
        <v>2653</v>
      </c>
      <c r="F37">
        <v>10101020705</v>
      </c>
      <c r="G37" s="10" t="s">
        <v>2654</v>
      </c>
      <c r="H37" t="s">
        <v>2573</v>
      </c>
      <c r="I37" s="131">
        <v>844953723</v>
      </c>
      <c r="J37" s="131">
        <v>844953723</v>
      </c>
      <c r="K37" s="131">
        <v>0</v>
      </c>
      <c r="L37" s="131">
        <v>0</v>
      </c>
      <c r="M37" s="131">
        <v>0</v>
      </c>
      <c r="N37" s="131">
        <v>0</v>
      </c>
      <c r="O37" s="131">
        <v>0</v>
      </c>
      <c r="P37" s="131">
        <v>844953723</v>
      </c>
      <c r="Q37" s="131">
        <v>0</v>
      </c>
      <c r="R37" s="131">
        <v>0</v>
      </c>
      <c r="S37" s="131">
        <v>0</v>
      </c>
      <c r="T37" s="131">
        <v>0</v>
      </c>
      <c r="U37" s="131">
        <v>0</v>
      </c>
      <c r="V37" s="131">
        <v>0</v>
      </c>
      <c r="W37" s="131">
        <v>878485281.96000004</v>
      </c>
      <c r="X37" s="131">
        <v>5446481.96</v>
      </c>
      <c r="Y37" s="131">
        <v>873038800</v>
      </c>
      <c r="Z37" s="131">
        <v>0</v>
      </c>
      <c r="AA37" s="131">
        <v>0</v>
      </c>
      <c r="AB37" s="131">
        <v>0</v>
      </c>
      <c r="AC37" s="131">
        <v>0</v>
      </c>
      <c r="AD37" s="131">
        <v>0</v>
      </c>
      <c r="AE37" s="131">
        <v>0</v>
      </c>
      <c r="AF37" s="131">
        <v>878485281.96000004</v>
      </c>
      <c r="AG37" s="131">
        <v>5446481.96</v>
      </c>
      <c r="AH37" s="131">
        <v>873038800</v>
      </c>
      <c r="AI37" s="131">
        <v>873038800</v>
      </c>
      <c r="AJ37" s="131">
        <v>0</v>
      </c>
      <c r="AK37" s="131">
        <v>0</v>
      </c>
      <c r="AM37" s="131">
        <v>873038800</v>
      </c>
      <c r="AN37" s="131">
        <v>878485281.96000004</v>
      </c>
      <c r="AO37" s="131">
        <v>5446481.96</v>
      </c>
      <c r="AP37" s="131">
        <v>878485281.96000004</v>
      </c>
      <c r="AQ37" s="131">
        <v>0</v>
      </c>
      <c r="AR37" s="131">
        <v>5446481.96</v>
      </c>
      <c r="AS37" t="s">
        <v>159</v>
      </c>
    </row>
    <row r="38" spans="1:45" ht="30" x14ac:dyDescent="0.25">
      <c r="A38">
        <v>2019</v>
      </c>
      <c r="B38">
        <v>307</v>
      </c>
      <c r="C38">
        <v>10101020706</v>
      </c>
      <c r="D38">
        <v>41</v>
      </c>
      <c r="E38" t="s">
        <v>2655</v>
      </c>
      <c r="F38">
        <v>10101020706</v>
      </c>
      <c r="G38" s="10" t="s">
        <v>2656</v>
      </c>
      <c r="H38" t="s">
        <v>2573</v>
      </c>
      <c r="I38" s="131">
        <v>168990744</v>
      </c>
      <c r="J38" s="131">
        <v>168990744</v>
      </c>
      <c r="K38" s="131">
        <v>0</v>
      </c>
      <c r="L38" s="131">
        <v>0</v>
      </c>
      <c r="M38" s="131">
        <v>0</v>
      </c>
      <c r="N38" s="131">
        <v>0</v>
      </c>
      <c r="O38" s="131">
        <v>0</v>
      </c>
      <c r="P38" s="131">
        <v>168990744</v>
      </c>
      <c r="Q38" s="131">
        <v>0</v>
      </c>
      <c r="R38" s="131">
        <v>0</v>
      </c>
      <c r="S38" s="131">
        <v>0</v>
      </c>
      <c r="T38" s="131">
        <v>0</v>
      </c>
      <c r="U38" s="131">
        <v>0</v>
      </c>
      <c r="V38" s="131">
        <v>0</v>
      </c>
      <c r="W38" s="131">
        <v>175805241.62</v>
      </c>
      <c r="X38" s="131">
        <v>1197481.6200000001</v>
      </c>
      <c r="Y38" s="131">
        <v>174607760</v>
      </c>
      <c r="Z38" s="131">
        <v>0</v>
      </c>
      <c r="AA38" s="131">
        <v>0</v>
      </c>
      <c r="AB38" s="131">
        <v>0</v>
      </c>
      <c r="AC38" s="131">
        <v>0</v>
      </c>
      <c r="AD38" s="131">
        <v>0</v>
      </c>
      <c r="AE38" s="131">
        <v>0</v>
      </c>
      <c r="AF38" s="131">
        <v>175805241.62</v>
      </c>
      <c r="AG38" s="131">
        <v>1197481.6200000001</v>
      </c>
      <c r="AH38" s="131">
        <v>174607760</v>
      </c>
      <c r="AI38" s="131">
        <v>174607760</v>
      </c>
      <c r="AJ38" s="131">
        <v>0</v>
      </c>
      <c r="AK38" s="131">
        <v>0</v>
      </c>
      <c r="AM38" s="131">
        <v>174607760</v>
      </c>
      <c r="AN38" s="131">
        <v>175805241.62</v>
      </c>
      <c r="AO38" s="131">
        <v>1197481.6200000001</v>
      </c>
      <c r="AP38" s="131">
        <v>175805241.62</v>
      </c>
      <c r="AQ38" s="131">
        <v>0</v>
      </c>
      <c r="AR38" s="131">
        <v>1197481.6200000001</v>
      </c>
      <c r="AS38" t="s">
        <v>161</v>
      </c>
    </row>
    <row r="39" spans="1:45" x14ac:dyDescent="0.25">
      <c r="A39">
        <v>2019</v>
      </c>
      <c r="B39">
        <v>307</v>
      </c>
      <c r="C39">
        <v>101010208</v>
      </c>
      <c r="D39" t="s">
        <v>226</v>
      </c>
      <c r="E39" t="s">
        <v>2657</v>
      </c>
      <c r="F39">
        <v>101010208</v>
      </c>
      <c r="G39" s="10" t="s">
        <v>1059</v>
      </c>
      <c r="H39" t="s">
        <v>2573</v>
      </c>
      <c r="I39" s="131">
        <v>4618276395</v>
      </c>
      <c r="J39" s="131">
        <v>4618276395</v>
      </c>
      <c r="K39" s="131">
        <v>0</v>
      </c>
      <c r="L39" s="131">
        <v>475000000</v>
      </c>
      <c r="M39" s="131">
        <v>-475000000</v>
      </c>
      <c r="N39" s="131">
        <v>0</v>
      </c>
      <c r="O39" s="131">
        <v>475000000</v>
      </c>
      <c r="P39" s="131">
        <v>4143276395</v>
      </c>
      <c r="Q39" s="131">
        <v>0</v>
      </c>
      <c r="R39" s="131">
        <v>0</v>
      </c>
      <c r="S39" s="131">
        <v>0</v>
      </c>
      <c r="T39" s="131">
        <v>0</v>
      </c>
      <c r="U39" s="131">
        <v>0</v>
      </c>
      <c r="V39" s="131">
        <v>0</v>
      </c>
      <c r="W39" s="131">
        <v>4207905768.6500001</v>
      </c>
      <c r="X39" s="131">
        <v>65978568.649999999</v>
      </c>
      <c r="Y39" s="131">
        <v>4141927200</v>
      </c>
      <c r="Z39" s="131">
        <v>0</v>
      </c>
      <c r="AA39" s="131">
        <v>0</v>
      </c>
      <c r="AB39" s="131">
        <v>0</v>
      </c>
      <c r="AC39" s="131">
        <v>0</v>
      </c>
      <c r="AD39" s="131">
        <v>0</v>
      </c>
      <c r="AE39" s="131">
        <v>0</v>
      </c>
      <c r="AF39" s="131">
        <v>4207905768.6500001</v>
      </c>
      <c r="AG39" s="131">
        <v>65978568.649999999</v>
      </c>
      <c r="AH39" s="131">
        <v>4141927200</v>
      </c>
      <c r="AI39" s="131">
        <v>4141927200</v>
      </c>
      <c r="AJ39" s="131">
        <v>0</v>
      </c>
      <c r="AK39" s="131">
        <v>0</v>
      </c>
      <c r="AM39" s="131">
        <v>4141927200</v>
      </c>
      <c r="AN39" s="131">
        <v>4207905768.6500001</v>
      </c>
      <c r="AO39" s="131">
        <v>65978568.649999999</v>
      </c>
      <c r="AP39" s="131">
        <v>4207905768.6500001</v>
      </c>
      <c r="AQ39" s="131">
        <v>0</v>
      </c>
      <c r="AR39" s="131">
        <v>65978568.649999999</v>
      </c>
      <c r="AS39" t="s">
        <v>1709</v>
      </c>
    </row>
    <row r="40" spans="1:45" ht="30" x14ac:dyDescent="0.25">
      <c r="A40">
        <v>2019</v>
      </c>
      <c r="B40">
        <v>307</v>
      </c>
      <c r="C40">
        <v>10101020801</v>
      </c>
      <c r="D40">
        <v>6</v>
      </c>
      <c r="E40" t="s">
        <v>2658</v>
      </c>
      <c r="F40">
        <v>10101020801</v>
      </c>
      <c r="G40" s="10" t="s">
        <v>1060</v>
      </c>
      <c r="H40" t="s">
        <v>2573</v>
      </c>
      <c r="I40" s="131">
        <v>3694621116</v>
      </c>
      <c r="J40" s="131">
        <v>3694621116</v>
      </c>
      <c r="K40" s="131">
        <v>0</v>
      </c>
      <c r="L40" s="131">
        <v>380000000</v>
      </c>
      <c r="M40" s="131">
        <v>-380000000</v>
      </c>
      <c r="N40" s="131">
        <v>0</v>
      </c>
      <c r="O40" s="131">
        <v>380000000</v>
      </c>
      <c r="P40" s="131">
        <v>3314621116</v>
      </c>
      <c r="Q40" s="131">
        <v>0</v>
      </c>
      <c r="R40" s="131">
        <v>0</v>
      </c>
      <c r="S40" s="131">
        <v>0</v>
      </c>
      <c r="T40" s="131">
        <v>0</v>
      </c>
      <c r="U40" s="131">
        <v>0</v>
      </c>
      <c r="V40" s="131">
        <v>0</v>
      </c>
      <c r="W40" s="131">
        <v>3366180614.8499999</v>
      </c>
      <c r="X40" s="131">
        <v>52638854.850000001</v>
      </c>
      <c r="Y40" s="131">
        <v>3313541760</v>
      </c>
      <c r="Z40" s="131">
        <v>0</v>
      </c>
      <c r="AA40" s="131">
        <v>0</v>
      </c>
      <c r="AB40" s="131">
        <v>0</v>
      </c>
      <c r="AC40" s="131">
        <v>0</v>
      </c>
      <c r="AD40" s="131">
        <v>0</v>
      </c>
      <c r="AE40" s="131">
        <v>0</v>
      </c>
      <c r="AF40" s="131">
        <v>3366180614.8499999</v>
      </c>
      <c r="AG40" s="131">
        <v>52638854.850000001</v>
      </c>
      <c r="AH40" s="131">
        <v>3313541760</v>
      </c>
      <c r="AI40" s="131">
        <v>3313541760</v>
      </c>
      <c r="AJ40" s="131">
        <v>0</v>
      </c>
      <c r="AK40" s="131">
        <v>0</v>
      </c>
      <c r="AM40" s="131">
        <v>3313541760</v>
      </c>
      <c r="AN40" s="131">
        <v>3366180614.8499999</v>
      </c>
      <c r="AO40" s="131">
        <v>52638854.850000001</v>
      </c>
      <c r="AP40" s="131">
        <v>3366180614.8499999</v>
      </c>
      <c r="AQ40" s="131">
        <v>0</v>
      </c>
      <c r="AR40" s="131">
        <v>52638854.850000001</v>
      </c>
      <c r="AS40" t="s">
        <v>36</v>
      </c>
    </row>
    <row r="41" spans="1:45" ht="30" x14ac:dyDescent="0.25">
      <c r="A41">
        <v>2019</v>
      </c>
      <c r="B41">
        <v>307</v>
      </c>
      <c r="C41">
        <v>10101020802</v>
      </c>
      <c r="D41">
        <v>6</v>
      </c>
      <c r="E41" t="s">
        <v>2659</v>
      </c>
      <c r="F41">
        <v>10101020802</v>
      </c>
      <c r="G41" s="10" t="s">
        <v>1169</v>
      </c>
      <c r="H41" t="s">
        <v>2573</v>
      </c>
      <c r="I41" s="131">
        <v>923655279</v>
      </c>
      <c r="J41" s="131">
        <v>923655279</v>
      </c>
      <c r="K41" s="131">
        <v>0</v>
      </c>
      <c r="L41" s="131">
        <v>95000000</v>
      </c>
      <c r="M41" s="131">
        <v>-95000000</v>
      </c>
      <c r="N41" s="131">
        <v>0</v>
      </c>
      <c r="O41" s="131">
        <v>95000000</v>
      </c>
      <c r="P41" s="131">
        <v>828655279</v>
      </c>
      <c r="Q41" s="131">
        <v>0</v>
      </c>
      <c r="R41" s="131">
        <v>0</v>
      </c>
      <c r="S41" s="131">
        <v>0</v>
      </c>
      <c r="T41" s="131">
        <v>0</v>
      </c>
      <c r="U41" s="131">
        <v>0</v>
      </c>
      <c r="V41" s="131">
        <v>0</v>
      </c>
      <c r="W41" s="131">
        <v>841725153.79999995</v>
      </c>
      <c r="X41" s="131">
        <v>13339713.800000001</v>
      </c>
      <c r="Y41" s="131">
        <v>828385440</v>
      </c>
      <c r="Z41" s="131">
        <v>0</v>
      </c>
      <c r="AA41" s="131">
        <v>0</v>
      </c>
      <c r="AB41" s="131">
        <v>0</v>
      </c>
      <c r="AC41" s="131">
        <v>0</v>
      </c>
      <c r="AD41" s="131">
        <v>0</v>
      </c>
      <c r="AE41" s="131">
        <v>0</v>
      </c>
      <c r="AF41" s="131">
        <v>841725153.79999995</v>
      </c>
      <c r="AG41" s="131">
        <v>13339713.800000001</v>
      </c>
      <c r="AH41" s="131">
        <v>828385440</v>
      </c>
      <c r="AI41" s="131">
        <v>828385440</v>
      </c>
      <c r="AJ41" s="131">
        <v>0</v>
      </c>
      <c r="AK41" s="131">
        <v>0</v>
      </c>
      <c r="AM41" s="131">
        <v>828385440</v>
      </c>
      <c r="AN41" s="131">
        <v>841725153.79999995</v>
      </c>
      <c r="AO41" s="131">
        <v>13339713.800000001</v>
      </c>
      <c r="AP41" s="131">
        <v>841725153.79999995</v>
      </c>
      <c r="AQ41" s="131">
        <v>0</v>
      </c>
      <c r="AR41" s="131">
        <v>13339713.800000001</v>
      </c>
      <c r="AS41" t="s">
        <v>36</v>
      </c>
    </row>
    <row r="42" spans="1:45" x14ac:dyDescent="0.25">
      <c r="A42">
        <v>2019</v>
      </c>
      <c r="B42">
        <v>307</v>
      </c>
      <c r="C42">
        <v>101010209</v>
      </c>
      <c r="D42" t="s">
        <v>226</v>
      </c>
      <c r="E42" t="s">
        <v>2660</v>
      </c>
      <c r="F42">
        <v>101010209</v>
      </c>
      <c r="G42" s="10" t="s">
        <v>1063</v>
      </c>
      <c r="H42" t="s">
        <v>2573</v>
      </c>
      <c r="I42" s="131">
        <v>1105103027</v>
      </c>
      <c r="J42" s="131">
        <v>1105103027</v>
      </c>
      <c r="K42" s="131">
        <v>0</v>
      </c>
      <c r="L42" s="131">
        <v>0</v>
      </c>
      <c r="M42" s="131">
        <v>0</v>
      </c>
      <c r="N42" s="131">
        <v>0</v>
      </c>
      <c r="O42" s="131">
        <v>0</v>
      </c>
      <c r="P42" s="131">
        <v>1105103027</v>
      </c>
      <c r="Q42" s="131">
        <v>0</v>
      </c>
      <c r="R42" s="131">
        <v>0</v>
      </c>
      <c r="S42" s="131">
        <v>0</v>
      </c>
      <c r="T42" s="131">
        <v>0</v>
      </c>
      <c r="U42" s="131">
        <v>0</v>
      </c>
      <c r="V42" s="131">
        <v>0</v>
      </c>
      <c r="W42" s="131">
        <v>603335900</v>
      </c>
      <c r="X42" s="131">
        <v>1449000</v>
      </c>
      <c r="Y42" s="131">
        <v>601886900</v>
      </c>
      <c r="Z42" s="131">
        <v>0</v>
      </c>
      <c r="AA42" s="131">
        <v>0</v>
      </c>
      <c r="AB42" s="131">
        <v>0</v>
      </c>
      <c r="AC42" s="131">
        <v>0</v>
      </c>
      <c r="AD42" s="131">
        <v>0</v>
      </c>
      <c r="AE42" s="131">
        <v>0</v>
      </c>
      <c r="AF42" s="131">
        <v>603335900</v>
      </c>
      <c r="AG42" s="131">
        <v>1449000</v>
      </c>
      <c r="AH42" s="131">
        <v>601886900</v>
      </c>
      <c r="AI42" s="131">
        <v>601886900</v>
      </c>
      <c r="AJ42" s="131">
        <v>0</v>
      </c>
      <c r="AK42" s="131">
        <v>0</v>
      </c>
      <c r="AM42" s="131">
        <v>601886900</v>
      </c>
      <c r="AN42" s="131">
        <v>603335900</v>
      </c>
      <c r="AO42" s="131">
        <v>1449000</v>
      </c>
      <c r="AP42" s="131">
        <v>603335900</v>
      </c>
      <c r="AQ42" s="131">
        <v>0</v>
      </c>
      <c r="AR42" s="131">
        <v>1449000</v>
      </c>
      <c r="AS42" t="s">
        <v>1709</v>
      </c>
    </row>
    <row r="43" spans="1:45" x14ac:dyDescent="0.25">
      <c r="A43">
        <v>2019</v>
      </c>
      <c r="B43">
        <v>307</v>
      </c>
      <c r="C43">
        <v>10101020901</v>
      </c>
      <c r="D43">
        <v>7</v>
      </c>
      <c r="E43" t="s">
        <v>2661</v>
      </c>
      <c r="F43">
        <v>10101020901</v>
      </c>
      <c r="G43" s="10" t="s">
        <v>2662</v>
      </c>
      <c r="H43" t="s">
        <v>2573</v>
      </c>
      <c r="I43" s="131">
        <v>1105103027</v>
      </c>
      <c r="J43" s="131">
        <v>1105103027</v>
      </c>
      <c r="K43" s="131">
        <v>0</v>
      </c>
      <c r="L43" s="131">
        <v>0</v>
      </c>
      <c r="M43" s="131">
        <v>0</v>
      </c>
      <c r="N43" s="131">
        <v>0</v>
      </c>
      <c r="O43" s="131">
        <v>0</v>
      </c>
      <c r="P43" s="131">
        <v>1105103027</v>
      </c>
      <c r="Q43" s="131">
        <v>0</v>
      </c>
      <c r="R43" s="131">
        <v>0</v>
      </c>
      <c r="S43" s="131">
        <v>0</v>
      </c>
      <c r="T43" s="131">
        <v>0</v>
      </c>
      <c r="U43" s="131">
        <v>0</v>
      </c>
      <c r="V43" s="131">
        <v>0</v>
      </c>
      <c r="W43" s="131">
        <v>603335900</v>
      </c>
      <c r="X43" s="131">
        <v>1449000</v>
      </c>
      <c r="Y43" s="131">
        <v>601886900</v>
      </c>
      <c r="Z43" s="131">
        <v>0</v>
      </c>
      <c r="AA43" s="131">
        <v>0</v>
      </c>
      <c r="AB43" s="131">
        <v>0</v>
      </c>
      <c r="AC43" s="131">
        <v>0</v>
      </c>
      <c r="AD43" s="131">
        <v>0</v>
      </c>
      <c r="AE43" s="131">
        <v>0</v>
      </c>
      <c r="AF43" s="131">
        <v>603335900</v>
      </c>
      <c r="AG43" s="131">
        <v>1449000</v>
      </c>
      <c r="AH43" s="131">
        <v>601886900</v>
      </c>
      <c r="AI43" s="131">
        <v>601886900</v>
      </c>
      <c r="AJ43" s="131">
        <v>0</v>
      </c>
      <c r="AK43" s="131">
        <v>0</v>
      </c>
      <c r="AM43" s="131">
        <v>601886900</v>
      </c>
      <c r="AN43" s="131">
        <v>603335900</v>
      </c>
      <c r="AO43" s="131">
        <v>1449000</v>
      </c>
      <c r="AP43" s="131">
        <v>603335900</v>
      </c>
      <c r="AQ43" s="131">
        <v>0</v>
      </c>
      <c r="AR43" s="131">
        <v>1449000</v>
      </c>
      <c r="AS43" t="s">
        <v>2663</v>
      </c>
    </row>
    <row r="44" spans="1:45" x14ac:dyDescent="0.25">
      <c r="A44">
        <v>2019</v>
      </c>
      <c r="B44">
        <v>307</v>
      </c>
      <c r="C44">
        <v>101010210</v>
      </c>
      <c r="D44" t="s">
        <v>226</v>
      </c>
      <c r="E44" t="s">
        <v>2664</v>
      </c>
      <c r="F44">
        <v>101010210</v>
      </c>
      <c r="G44" s="10" t="s">
        <v>1062</v>
      </c>
      <c r="H44" t="s">
        <v>2573</v>
      </c>
      <c r="I44" s="131">
        <v>10000000000</v>
      </c>
      <c r="J44" s="131">
        <v>10000000000</v>
      </c>
      <c r="K44" s="131">
        <v>0</v>
      </c>
      <c r="L44" s="131">
        <v>0</v>
      </c>
      <c r="M44" s="131">
        <v>0</v>
      </c>
      <c r="N44" s="131">
        <v>0</v>
      </c>
      <c r="O44" s="131">
        <v>0</v>
      </c>
      <c r="P44" s="131">
        <v>10000000000</v>
      </c>
      <c r="Q44" s="131">
        <v>0</v>
      </c>
      <c r="R44" s="131">
        <v>0</v>
      </c>
      <c r="S44" s="131">
        <v>0</v>
      </c>
      <c r="T44" s="131">
        <v>0</v>
      </c>
      <c r="U44" s="131">
        <v>0</v>
      </c>
      <c r="V44" s="131">
        <v>0</v>
      </c>
      <c r="W44" s="131">
        <v>9966507685.1200008</v>
      </c>
      <c r="X44" s="131">
        <v>184614595.12</v>
      </c>
      <c r="Y44" s="131">
        <v>9781893090</v>
      </c>
      <c r="Z44" s="131">
        <v>0</v>
      </c>
      <c r="AA44" s="131">
        <v>0</v>
      </c>
      <c r="AB44" s="131">
        <v>0</v>
      </c>
      <c r="AC44" s="131">
        <v>0</v>
      </c>
      <c r="AD44" s="131">
        <v>0</v>
      </c>
      <c r="AE44" s="131">
        <v>0</v>
      </c>
      <c r="AF44" s="131">
        <v>9966507685.1200008</v>
      </c>
      <c r="AG44" s="131">
        <v>184614595.12</v>
      </c>
      <c r="AH44" s="131">
        <v>9781893090</v>
      </c>
      <c r="AI44" s="131">
        <v>9781893090</v>
      </c>
      <c r="AJ44" s="131">
        <v>0</v>
      </c>
      <c r="AK44" s="131">
        <v>0</v>
      </c>
      <c r="AM44" s="131">
        <v>9782058490</v>
      </c>
      <c r="AN44" s="131">
        <v>9966507685.1200008</v>
      </c>
      <c r="AO44" s="131">
        <v>184449195.12</v>
      </c>
      <c r="AP44" s="131">
        <v>9966507685.1200008</v>
      </c>
      <c r="AQ44" s="131">
        <v>0</v>
      </c>
      <c r="AR44" s="131">
        <v>184449195.12</v>
      </c>
      <c r="AS44" t="s">
        <v>1709</v>
      </c>
    </row>
    <row r="45" spans="1:45" ht="30" x14ac:dyDescent="0.25">
      <c r="A45">
        <v>2019</v>
      </c>
      <c r="B45">
        <v>307</v>
      </c>
      <c r="C45">
        <v>10101021001</v>
      </c>
      <c r="D45">
        <v>8</v>
      </c>
      <c r="E45" t="s">
        <v>2665</v>
      </c>
      <c r="F45">
        <v>10101021001</v>
      </c>
      <c r="G45" s="10" t="s">
        <v>2352</v>
      </c>
      <c r="H45" t="s">
        <v>2573</v>
      </c>
      <c r="I45" s="131">
        <v>10000000000</v>
      </c>
      <c r="J45" s="131">
        <v>10000000000</v>
      </c>
      <c r="K45" s="131">
        <v>0</v>
      </c>
      <c r="L45" s="131">
        <v>0</v>
      </c>
      <c r="M45" s="131">
        <v>0</v>
      </c>
      <c r="N45" s="131">
        <v>0</v>
      </c>
      <c r="O45" s="131">
        <v>0</v>
      </c>
      <c r="P45" s="131">
        <v>10000000000</v>
      </c>
      <c r="Q45" s="131">
        <v>0</v>
      </c>
      <c r="R45" s="131">
        <v>0</v>
      </c>
      <c r="S45" s="131">
        <v>0</v>
      </c>
      <c r="T45" s="131">
        <v>0</v>
      </c>
      <c r="U45" s="131">
        <v>0</v>
      </c>
      <c r="V45" s="131">
        <v>0</v>
      </c>
      <c r="W45" s="131">
        <v>9966507685.1200008</v>
      </c>
      <c r="X45" s="131">
        <v>184614595.12</v>
      </c>
      <c r="Y45" s="131">
        <v>9781893090</v>
      </c>
      <c r="Z45" s="131">
        <v>0</v>
      </c>
      <c r="AA45" s="131">
        <v>0</v>
      </c>
      <c r="AB45" s="131">
        <v>0</v>
      </c>
      <c r="AC45" s="131">
        <v>0</v>
      </c>
      <c r="AD45" s="131">
        <v>0</v>
      </c>
      <c r="AE45" s="131">
        <v>0</v>
      </c>
      <c r="AF45" s="131">
        <v>9966507685.1200008</v>
      </c>
      <c r="AG45" s="131">
        <v>184614595.12</v>
      </c>
      <c r="AH45" s="131">
        <v>9781893090</v>
      </c>
      <c r="AI45" s="131">
        <v>9781893090</v>
      </c>
      <c r="AJ45" s="131">
        <v>0</v>
      </c>
      <c r="AK45" s="131">
        <v>0</v>
      </c>
      <c r="AM45" s="131">
        <v>9782058490</v>
      </c>
      <c r="AN45" s="131">
        <v>9966507685.1200008</v>
      </c>
      <c r="AO45" s="131">
        <v>184449195.12</v>
      </c>
      <c r="AP45" s="131">
        <v>9966507685.1200008</v>
      </c>
      <c r="AQ45" s="131">
        <v>0</v>
      </c>
      <c r="AR45" s="131">
        <v>184449195.12</v>
      </c>
      <c r="AS45" t="s">
        <v>2666</v>
      </c>
    </row>
    <row r="46" spans="1:45" x14ac:dyDescent="0.25">
      <c r="A46">
        <v>2019</v>
      </c>
      <c r="B46">
        <v>307</v>
      </c>
      <c r="C46">
        <v>10102</v>
      </c>
      <c r="D46" t="s">
        <v>226</v>
      </c>
      <c r="E46" t="s">
        <v>2575</v>
      </c>
      <c r="F46">
        <v>10102</v>
      </c>
      <c r="G46" s="10" t="s">
        <v>952</v>
      </c>
      <c r="H46" t="s">
        <v>2573</v>
      </c>
      <c r="I46" s="131">
        <v>34710731394</v>
      </c>
      <c r="J46" s="131">
        <v>34710731394</v>
      </c>
      <c r="K46" s="131">
        <v>208492102</v>
      </c>
      <c r="L46" s="131">
        <v>478012993</v>
      </c>
      <c r="M46" s="131">
        <v>-269520891</v>
      </c>
      <c r="N46" s="131">
        <v>208492102</v>
      </c>
      <c r="O46" s="131">
        <v>478012993</v>
      </c>
      <c r="P46" s="131">
        <v>34441210503</v>
      </c>
      <c r="Q46" s="131">
        <v>12851418320.040001</v>
      </c>
      <c r="R46" s="131">
        <v>347116468.50999999</v>
      </c>
      <c r="S46" s="131">
        <v>12504301851.530001</v>
      </c>
      <c r="T46" s="131">
        <v>0</v>
      </c>
      <c r="U46" s="131">
        <v>0</v>
      </c>
      <c r="V46" s="131">
        <v>0</v>
      </c>
      <c r="W46" s="131">
        <v>42092973984.419998</v>
      </c>
      <c r="X46" s="131">
        <v>1574427432.3299999</v>
      </c>
      <c r="Y46" s="131">
        <v>40518546552.089996</v>
      </c>
      <c r="Z46" s="131">
        <v>12851418320.040001</v>
      </c>
      <c r="AA46" s="131">
        <v>347116468.50999999</v>
      </c>
      <c r="AB46" s="131">
        <v>12504301851.530001</v>
      </c>
      <c r="AC46" s="131">
        <v>0</v>
      </c>
      <c r="AD46" s="131">
        <v>0</v>
      </c>
      <c r="AE46" s="131">
        <v>0</v>
      </c>
      <c r="AF46" s="131">
        <v>42092973984.419998</v>
      </c>
      <c r="AG46" s="131">
        <v>1574427432.3299999</v>
      </c>
      <c r="AH46" s="131">
        <v>40518546552.089996</v>
      </c>
      <c r="AI46" s="131">
        <v>40518546552.089996</v>
      </c>
      <c r="AJ46" s="131">
        <v>3166701263</v>
      </c>
      <c r="AK46" s="131">
        <v>3166701263</v>
      </c>
      <c r="AM46" s="131">
        <v>37363303747.419998</v>
      </c>
      <c r="AN46" s="131">
        <v>38925215721.419998</v>
      </c>
      <c r="AO46" s="131">
        <v>1561911974</v>
      </c>
      <c r="AP46" s="131">
        <v>38925215721.419998</v>
      </c>
      <c r="AQ46" s="131">
        <v>0</v>
      </c>
      <c r="AR46" s="131">
        <v>1561911974</v>
      </c>
      <c r="AS46" t="s">
        <v>1709</v>
      </c>
    </row>
    <row r="47" spans="1:45" x14ac:dyDescent="0.25">
      <c r="A47">
        <v>2019</v>
      </c>
      <c r="B47">
        <v>307</v>
      </c>
      <c r="C47">
        <v>1010201</v>
      </c>
      <c r="D47" t="s">
        <v>226</v>
      </c>
      <c r="E47" t="s">
        <v>2667</v>
      </c>
      <c r="F47">
        <v>1010201</v>
      </c>
      <c r="G47" s="10" t="s">
        <v>2668</v>
      </c>
      <c r="H47" t="s">
        <v>2573</v>
      </c>
      <c r="I47" s="131">
        <v>6265459744</v>
      </c>
      <c r="J47" s="131">
        <v>6265459744</v>
      </c>
      <c r="K47" s="131">
        <v>0</v>
      </c>
      <c r="L47" s="131">
        <v>0</v>
      </c>
      <c r="M47" s="131">
        <v>0</v>
      </c>
      <c r="N47" s="131">
        <v>0</v>
      </c>
      <c r="O47" s="131">
        <v>0</v>
      </c>
      <c r="P47" s="131">
        <v>6265459744</v>
      </c>
      <c r="Q47" s="131">
        <v>12543477395.17</v>
      </c>
      <c r="R47" s="131">
        <v>217723020.43000001</v>
      </c>
      <c r="S47" s="131">
        <v>12325754374.74</v>
      </c>
      <c r="T47" s="131">
        <v>0</v>
      </c>
      <c r="U47" s="131">
        <v>0</v>
      </c>
      <c r="V47" s="131">
        <v>0</v>
      </c>
      <c r="W47" s="131">
        <v>4385818327.3800001</v>
      </c>
      <c r="X47" s="131">
        <v>60594359.060000002</v>
      </c>
      <c r="Y47" s="131">
        <v>4325223968.3199997</v>
      </c>
      <c r="Z47" s="131">
        <v>12543477395.17</v>
      </c>
      <c r="AA47" s="131">
        <v>217723020.43000001</v>
      </c>
      <c r="AB47" s="131">
        <v>12325754374.74</v>
      </c>
      <c r="AC47" s="131">
        <v>0</v>
      </c>
      <c r="AD47" s="131">
        <v>0</v>
      </c>
      <c r="AE47" s="131">
        <v>0</v>
      </c>
      <c r="AF47" s="131">
        <v>4385818327.3800001</v>
      </c>
      <c r="AG47" s="131">
        <v>60594359.060000002</v>
      </c>
      <c r="AH47" s="131">
        <v>4325223968.3199997</v>
      </c>
      <c r="AI47" s="131">
        <v>4325223968.3199997</v>
      </c>
      <c r="AJ47" s="131">
        <v>-137000</v>
      </c>
      <c r="AK47" s="131">
        <v>-137000</v>
      </c>
      <c r="AM47" s="131">
        <v>4329960477.3800001</v>
      </c>
      <c r="AN47" s="131">
        <v>4385818327.3800001</v>
      </c>
      <c r="AO47" s="131">
        <v>55857850</v>
      </c>
      <c r="AP47" s="131">
        <v>4385818327.3800001</v>
      </c>
      <c r="AQ47" s="131">
        <v>0</v>
      </c>
      <c r="AR47" s="131">
        <v>55857850</v>
      </c>
      <c r="AS47" t="s">
        <v>1709</v>
      </c>
    </row>
    <row r="48" spans="1:45" x14ac:dyDescent="0.25">
      <c r="A48">
        <v>2019</v>
      </c>
      <c r="B48">
        <v>307</v>
      </c>
      <c r="C48">
        <v>101020101</v>
      </c>
      <c r="D48" t="s">
        <v>226</v>
      </c>
      <c r="E48" t="s">
        <v>2669</v>
      </c>
      <c r="F48">
        <v>101020101</v>
      </c>
      <c r="G48" s="10" t="s">
        <v>1067</v>
      </c>
      <c r="H48" t="s">
        <v>2573</v>
      </c>
      <c r="I48" s="131">
        <v>545006744</v>
      </c>
      <c r="J48" s="131">
        <v>545006744</v>
      </c>
      <c r="K48" s="131">
        <v>0</v>
      </c>
      <c r="L48" s="131">
        <v>0</v>
      </c>
      <c r="M48" s="131">
        <v>0</v>
      </c>
      <c r="N48" s="131">
        <v>0</v>
      </c>
      <c r="O48" s="131">
        <v>0</v>
      </c>
      <c r="P48" s="131">
        <v>545006744</v>
      </c>
      <c r="Q48" s="131">
        <v>0</v>
      </c>
      <c r="R48" s="131">
        <v>0</v>
      </c>
      <c r="S48" s="131">
        <v>0</v>
      </c>
      <c r="T48" s="131">
        <v>0</v>
      </c>
      <c r="U48" s="131">
        <v>0</v>
      </c>
      <c r="V48" s="131">
        <v>0</v>
      </c>
      <c r="W48" s="131">
        <v>366529644.38999999</v>
      </c>
      <c r="X48" s="131">
        <v>827699.5</v>
      </c>
      <c r="Y48" s="131">
        <v>365701944.88999999</v>
      </c>
      <c r="Z48" s="131">
        <v>0</v>
      </c>
      <c r="AA48" s="131">
        <v>0</v>
      </c>
      <c r="AB48" s="131">
        <v>0</v>
      </c>
      <c r="AC48" s="131">
        <v>0</v>
      </c>
      <c r="AD48" s="131">
        <v>0</v>
      </c>
      <c r="AE48" s="131">
        <v>0</v>
      </c>
      <c r="AF48" s="131">
        <v>366529644.38999999</v>
      </c>
      <c r="AG48" s="131">
        <v>827699.5</v>
      </c>
      <c r="AH48" s="131">
        <v>365701944.88999999</v>
      </c>
      <c r="AI48" s="131">
        <v>365701944.88999999</v>
      </c>
      <c r="AJ48" s="131">
        <v>0</v>
      </c>
      <c r="AK48" s="131">
        <v>0</v>
      </c>
      <c r="AM48" s="131">
        <v>365701994.38999999</v>
      </c>
      <c r="AN48" s="131">
        <v>366529644.38999999</v>
      </c>
      <c r="AO48" s="131">
        <v>827650</v>
      </c>
      <c r="AP48" s="131">
        <v>366529644.38999999</v>
      </c>
      <c r="AQ48" s="131">
        <v>0</v>
      </c>
      <c r="AR48" s="131">
        <v>827650</v>
      </c>
      <c r="AS48" t="s">
        <v>1709</v>
      </c>
    </row>
    <row r="49" spans="1:45" x14ac:dyDescent="0.25">
      <c r="A49">
        <v>2019</v>
      </c>
      <c r="B49">
        <v>307</v>
      </c>
      <c r="C49">
        <v>10102010101</v>
      </c>
      <c r="D49">
        <v>20</v>
      </c>
      <c r="E49" t="s">
        <v>2670</v>
      </c>
      <c r="F49">
        <v>10102010101</v>
      </c>
      <c r="G49" s="10" t="s">
        <v>1068</v>
      </c>
      <c r="H49" t="s">
        <v>2573</v>
      </c>
      <c r="I49" s="131">
        <v>545006744</v>
      </c>
      <c r="J49" s="131">
        <v>545006744</v>
      </c>
      <c r="K49" s="131">
        <v>0</v>
      </c>
      <c r="L49" s="131">
        <v>0</v>
      </c>
      <c r="M49" s="131">
        <v>0</v>
      </c>
      <c r="N49" s="131">
        <v>0</v>
      </c>
      <c r="O49" s="131">
        <v>0</v>
      </c>
      <c r="P49" s="131">
        <v>545006744</v>
      </c>
      <c r="Q49" s="131">
        <v>0</v>
      </c>
      <c r="R49" s="131">
        <v>0</v>
      </c>
      <c r="S49" s="131">
        <v>0</v>
      </c>
      <c r="T49" s="131">
        <v>0</v>
      </c>
      <c r="U49" s="131">
        <v>0</v>
      </c>
      <c r="V49" s="131">
        <v>0</v>
      </c>
      <c r="W49" s="131">
        <v>366529644.38999999</v>
      </c>
      <c r="X49" s="131">
        <v>827699.5</v>
      </c>
      <c r="Y49" s="131">
        <v>365701944.88999999</v>
      </c>
      <c r="Z49" s="131">
        <v>0</v>
      </c>
      <c r="AA49" s="131">
        <v>0</v>
      </c>
      <c r="AB49" s="131">
        <v>0</v>
      </c>
      <c r="AC49" s="131">
        <v>0</v>
      </c>
      <c r="AD49" s="131">
        <v>0</v>
      </c>
      <c r="AE49" s="131">
        <v>0</v>
      </c>
      <c r="AF49" s="131">
        <v>366529644.38999999</v>
      </c>
      <c r="AG49" s="131">
        <v>827699.5</v>
      </c>
      <c r="AH49" s="131">
        <v>365701944.88999999</v>
      </c>
      <c r="AI49" s="131">
        <v>365701944.88999999</v>
      </c>
      <c r="AJ49" s="131">
        <v>0</v>
      </c>
      <c r="AK49" s="131">
        <v>0</v>
      </c>
      <c r="AM49" s="131">
        <v>365701994.38999999</v>
      </c>
      <c r="AN49" s="131">
        <v>366529644.38999999</v>
      </c>
      <c r="AO49" s="131">
        <v>827650</v>
      </c>
      <c r="AP49" s="131">
        <v>366529644.38999999</v>
      </c>
      <c r="AQ49" s="131">
        <v>0</v>
      </c>
      <c r="AR49" s="131">
        <v>827650</v>
      </c>
      <c r="AS49" t="s">
        <v>140</v>
      </c>
    </row>
    <row r="50" spans="1:45" x14ac:dyDescent="0.25">
      <c r="A50">
        <v>2019</v>
      </c>
      <c r="B50">
        <v>307</v>
      </c>
      <c r="C50">
        <v>101020102</v>
      </c>
      <c r="D50" t="s">
        <v>226</v>
      </c>
      <c r="E50" t="s">
        <v>2671</v>
      </c>
      <c r="F50">
        <v>101020102</v>
      </c>
      <c r="G50" s="10" t="s">
        <v>2672</v>
      </c>
      <c r="H50" t="s">
        <v>2573</v>
      </c>
      <c r="I50" s="131">
        <v>5720453000</v>
      </c>
      <c r="J50" s="131">
        <v>5720453000</v>
      </c>
      <c r="K50" s="131">
        <v>0</v>
      </c>
      <c r="L50" s="131">
        <v>0</v>
      </c>
      <c r="M50" s="131">
        <v>0</v>
      </c>
      <c r="N50" s="131">
        <v>0</v>
      </c>
      <c r="O50" s="131">
        <v>0</v>
      </c>
      <c r="P50" s="131">
        <v>5720453000</v>
      </c>
      <c r="Q50" s="131">
        <v>12543477395.17</v>
      </c>
      <c r="R50" s="131">
        <v>217723020.43000001</v>
      </c>
      <c r="S50" s="131">
        <v>12325754374.74</v>
      </c>
      <c r="T50" s="131">
        <v>0</v>
      </c>
      <c r="U50" s="131">
        <v>0</v>
      </c>
      <c r="V50" s="131">
        <v>0</v>
      </c>
      <c r="W50" s="131">
        <v>4019288682.9899998</v>
      </c>
      <c r="X50" s="131">
        <v>59766659.560000002</v>
      </c>
      <c r="Y50" s="131">
        <v>3959522023.4299998</v>
      </c>
      <c r="Z50" s="131">
        <v>12543477395.17</v>
      </c>
      <c r="AA50" s="131">
        <v>217723020.43000001</v>
      </c>
      <c r="AB50" s="131">
        <v>12325754374.74</v>
      </c>
      <c r="AC50" s="131">
        <v>0</v>
      </c>
      <c r="AD50" s="131">
        <v>0</v>
      </c>
      <c r="AE50" s="131">
        <v>0</v>
      </c>
      <c r="AF50" s="131">
        <v>4019288682.9899998</v>
      </c>
      <c r="AG50" s="131">
        <v>59766659.560000002</v>
      </c>
      <c r="AH50" s="131">
        <v>3959522023.4299998</v>
      </c>
      <c r="AI50" s="131">
        <v>3959522023.4299998</v>
      </c>
      <c r="AJ50" s="131">
        <v>-137000</v>
      </c>
      <c r="AK50" s="131">
        <v>-137000</v>
      </c>
      <c r="AM50" s="131">
        <v>3964258482.9899998</v>
      </c>
      <c r="AN50" s="131">
        <v>4019288682.9899998</v>
      </c>
      <c r="AO50" s="131">
        <v>55030200</v>
      </c>
      <c r="AP50" s="131">
        <v>4019288682.9899998</v>
      </c>
      <c r="AQ50" s="131">
        <v>0</v>
      </c>
      <c r="AR50" s="131">
        <v>55030200</v>
      </c>
      <c r="AS50" t="s">
        <v>1709</v>
      </c>
    </row>
    <row r="51" spans="1:45" x14ac:dyDescent="0.25">
      <c r="A51">
        <v>2019</v>
      </c>
      <c r="B51">
        <v>307</v>
      </c>
      <c r="C51">
        <v>10102010201</v>
      </c>
      <c r="D51" t="s">
        <v>226</v>
      </c>
      <c r="E51" t="s">
        <v>2673</v>
      </c>
      <c r="F51">
        <v>10102010201</v>
      </c>
      <c r="G51" s="10" t="s">
        <v>2674</v>
      </c>
      <c r="H51" t="s">
        <v>2573</v>
      </c>
      <c r="I51" s="131">
        <v>1280424000</v>
      </c>
      <c r="J51" s="131">
        <v>1280424000</v>
      </c>
      <c r="K51" s="131">
        <v>0</v>
      </c>
      <c r="L51" s="131">
        <v>0</v>
      </c>
      <c r="M51" s="131">
        <v>0</v>
      </c>
      <c r="N51" s="131">
        <v>0</v>
      </c>
      <c r="O51" s="131">
        <v>0</v>
      </c>
      <c r="P51" s="131">
        <v>1280424000</v>
      </c>
      <c r="Q51" s="131">
        <v>4204296185.4400001</v>
      </c>
      <c r="R51" s="131">
        <v>1411479</v>
      </c>
      <c r="S51" s="131">
        <v>4202884706.4400001</v>
      </c>
      <c r="T51" s="131">
        <v>0</v>
      </c>
      <c r="U51" s="131">
        <v>0</v>
      </c>
      <c r="V51" s="131">
        <v>0</v>
      </c>
      <c r="W51" s="131">
        <v>938038153.5</v>
      </c>
      <c r="X51" s="131">
        <v>18173220</v>
      </c>
      <c r="Y51" s="131">
        <v>919864933.5</v>
      </c>
      <c r="Z51" s="131">
        <v>4204296185.4400001</v>
      </c>
      <c r="AA51" s="131">
        <v>1411479</v>
      </c>
      <c r="AB51" s="131">
        <v>4202884706.4400001</v>
      </c>
      <c r="AC51" s="131">
        <v>0</v>
      </c>
      <c r="AD51" s="131">
        <v>0</v>
      </c>
      <c r="AE51" s="131">
        <v>0</v>
      </c>
      <c r="AF51" s="131">
        <v>938038153.5</v>
      </c>
      <c r="AG51" s="131">
        <v>18173220</v>
      </c>
      <c r="AH51" s="131">
        <v>919864933.5</v>
      </c>
      <c r="AI51" s="131">
        <v>919864933.5</v>
      </c>
      <c r="AJ51" s="131">
        <v>0</v>
      </c>
      <c r="AK51" s="131">
        <v>0</v>
      </c>
      <c r="AM51" s="131">
        <v>921432953.5</v>
      </c>
      <c r="AN51" s="131">
        <v>938038153.5</v>
      </c>
      <c r="AO51" s="131">
        <v>16605200</v>
      </c>
      <c r="AP51" s="131">
        <v>938038153.5</v>
      </c>
      <c r="AQ51" s="131">
        <v>0</v>
      </c>
      <c r="AR51" s="131">
        <v>16605200</v>
      </c>
      <c r="AS51" t="s">
        <v>1709</v>
      </c>
    </row>
    <row r="52" spans="1:45" ht="45" x14ac:dyDescent="0.25">
      <c r="A52">
        <v>2019</v>
      </c>
      <c r="B52">
        <v>307</v>
      </c>
      <c r="C52">
        <v>1010201020101</v>
      </c>
      <c r="D52">
        <v>20</v>
      </c>
      <c r="E52" t="s">
        <v>2675</v>
      </c>
      <c r="F52">
        <v>1010201020101</v>
      </c>
      <c r="G52" s="10" t="s">
        <v>2676</v>
      </c>
      <c r="H52" t="s">
        <v>2573</v>
      </c>
      <c r="I52" s="131">
        <v>137568000</v>
      </c>
      <c r="J52" s="131">
        <v>137568000</v>
      </c>
      <c r="K52" s="131">
        <v>0</v>
      </c>
      <c r="L52" s="131">
        <v>0</v>
      </c>
      <c r="M52" s="131">
        <v>0</v>
      </c>
      <c r="N52" s="131">
        <v>0</v>
      </c>
      <c r="O52" s="131">
        <v>0</v>
      </c>
      <c r="P52" s="131">
        <v>137568000</v>
      </c>
      <c r="Q52" s="131">
        <v>775479484</v>
      </c>
      <c r="R52" s="131">
        <v>160</v>
      </c>
      <c r="S52" s="131">
        <v>775479324</v>
      </c>
      <c r="T52" s="131">
        <v>0</v>
      </c>
      <c r="U52" s="131">
        <v>0</v>
      </c>
      <c r="V52" s="131">
        <v>0</v>
      </c>
      <c r="W52" s="131">
        <v>195456358</v>
      </c>
      <c r="X52" s="131">
        <v>157400</v>
      </c>
      <c r="Y52" s="131">
        <v>195298958</v>
      </c>
      <c r="Z52" s="131">
        <v>775479484</v>
      </c>
      <c r="AA52" s="131">
        <v>160</v>
      </c>
      <c r="AB52" s="131">
        <v>775479324</v>
      </c>
      <c r="AC52" s="131">
        <v>0</v>
      </c>
      <c r="AD52" s="131">
        <v>0</v>
      </c>
      <c r="AE52" s="131">
        <v>0</v>
      </c>
      <c r="AF52" s="131">
        <v>195456358</v>
      </c>
      <c r="AG52" s="131">
        <v>157400</v>
      </c>
      <c r="AH52" s="131">
        <v>195298958</v>
      </c>
      <c r="AI52" s="131">
        <v>195298958</v>
      </c>
      <c r="AJ52" s="131">
        <v>0</v>
      </c>
      <c r="AK52" s="131">
        <v>0</v>
      </c>
      <c r="AM52" s="131">
        <v>195300558</v>
      </c>
      <c r="AN52" s="131">
        <v>195456358</v>
      </c>
      <c r="AO52" s="131">
        <v>155800</v>
      </c>
      <c r="AP52" s="131">
        <v>195456358</v>
      </c>
      <c r="AQ52" s="131">
        <v>0</v>
      </c>
      <c r="AR52" s="131">
        <v>155800</v>
      </c>
      <c r="AS52" t="s">
        <v>140</v>
      </c>
    </row>
    <row r="53" spans="1:45" ht="45" x14ac:dyDescent="0.25">
      <c r="A53">
        <v>2019</v>
      </c>
      <c r="B53">
        <v>307</v>
      </c>
      <c r="C53">
        <v>1010201020102</v>
      </c>
      <c r="D53">
        <v>20</v>
      </c>
      <c r="E53" t="s">
        <v>2677</v>
      </c>
      <c r="F53">
        <v>1010201020102</v>
      </c>
      <c r="G53" s="10" t="s">
        <v>2678</v>
      </c>
      <c r="H53" t="s">
        <v>2573</v>
      </c>
      <c r="I53" s="131">
        <v>1142856000</v>
      </c>
      <c r="J53" s="131">
        <v>1142856000</v>
      </c>
      <c r="K53" s="131">
        <v>0</v>
      </c>
      <c r="L53" s="131">
        <v>0</v>
      </c>
      <c r="M53" s="131">
        <v>0</v>
      </c>
      <c r="N53" s="131">
        <v>0</v>
      </c>
      <c r="O53" s="131">
        <v>0</v>
      </c>
      <c r="P53" s="131">
        <v>1142856000</v>
      </c>
      <c r="Q53" s="131">
        <v>3428816701.4400001</v>
      </c>
      <c r="R53" s="131">
        <v>1411319</v>
      </c>
      <c r="S53" s="131">
        <v>3427405382.4400001</v>
      </c>
      <c r="T53" s="131">
        <v>0</v>
      </c>
      <c r="U53" s="131">
        <v>0</v>
      </c>
      <c r="V53" s="131">
        <v>0</v>
      </c>
      <c r="W53" s="131">
        <v>742581795.5</v>
      </c>
      <c r="X53" s="131">
        <v>18015820</v>
      </c>
      <c r="Y53" s="131">
        <v>724565975.5</v>
      </c>
      <c r="Z53" s="131">
        <v>3428816701.4400001</v>
      </c>
      <c r="AA53" s="131">
        <v>1411319</v>
      </c>
      <c r="AB53" s="131">
        <v>3427405382.4400001</v>
      </c>
      <c r="AC53" s="131">
        <v>0</v>
      </c>
      <c r="AD53" s="131">
        <v>0</v>
      </c>
      <c r="AE53" s="131">
        <v>0</v>
      </c>
      <c r="AF53" s="131">
        <v>742581795.5</v>
      </c>
      <c r="AG53" s="131">
        <v>18015820</v>
      </c>
      <c r="AH53" s="131">
        <v>724565975.5</v>
      </c>
      <c r="AI53" s="131">
        <v>724565975.5</v>
      </c>
      <c r="AJ53" s="131">
        <v>0</v>
      </c>
      <c r="AK53" s="131">
        <v>0</v>
      </c>
      <c r="AM53" s="131">
        <v>726132395.5</v>
      </c>
      <c r="AN53" s="131">
        <v>742581795.5</v>
      </c>
      <c r="AO53" s="131">
        <v>16449400</v>
      </c>
      <c r="AP53" s="131">
        <v>742581795.5</v>
      </c>
      <c r="AQ53" s="131">
        <v>0</v>
      </c>
      <c r="AR53" s="131">
        <v>16449400</v>
      </c>
      <c r="AS53" t="s">
        <v>140</v>
      </c>
    </row>
    <row r="54" spans="1:45" x14ac:dyDescent="0.25">
      <c r="A54">
        <v>2019</v>
      </c>
      <c r="B54">
        <v>307</v>
      </c>
      <c r="C54">
        <v>10102010202</v>
      </c>
      <c r="D54" t="s">
        <v>226</v>
      </c>
      <c r="E54" t="s">
        <v>2679</v>
      </c>
      <c r="F54">
        <v>10102010202</v>
      </c>
      <c r="G54" s="10" t="s">
        <v>2680</v>
      </c>
      <c r="H54" t="s">
        <v>2573</v>
      </c>
      <c r="I54" s="131">
        <v>4440029000</v>
      </c>
      <c r="J54" s="131">
        <v>4440029000</v>
      </c>
      <c r="K54" s="131">
        <v>0</v>
      </c>
      <c r="L54" s="131">
        <v>0</v>
      </c>
      <c r="M54" s="131">
        <v>0</v>
      </c>
      <c r="N54" s="131">
        <v>0</v>
      </c>
      <c r="O54" s="131">
        <v>0</v>
      </c>
      <c r="P54" s="131">
        <v>4440029000</v>
      </c>
      <c r="Q54" s="131">
        <v>8339181209.7299995</v>
      </c>
      <c r="R54" s="131">
        <v>216311541.43000001</v>
      </c>
      <c r="S54" s="131">
        <v>8122869668.3000002</v>
      </c>
      <c r="T54" s="131">
        <v>0</v>
      </c>
      <c r="U54" s="131">
        <v>0</v>
      </c>
      <c r="V54" s="131">
        <v>0</v>
      </c>
      <c r="W54" s="131">
        <v>3081250529.4899998</v>
      </c>
      <c r="X54" s="131">
        <v>41593439.560000002</v>
      </c>
      <c r="Y54" s="131">
        <v>3039657089.9299998</v>
      </c>
      <c r="Z54" s="131">
        <v>8339181209.7299995</v>
      </c>
      <c r="AA54" s="131">
        <v>216311541.43000001</v>
      </c>
      <c r="AB54" s="131">
        <v>8122869668.3000002</v>
      </c>
      <c r="AC54" s="131">
        <v>0</v>
      </c>
      <c r="AD54" s="131">
        <v>0</v>
      </c>
      <c r="AE54" s="131">
        <v>0</v>
      </c>
      <c r="AF54" s="131">
        <v>3081250529.4899998</v>
      </c>
      <c r="AG54" s="131">
        <v>41593439.560000002</v>
      </c>
      <c r="AH54" s="131">
        <v>3039657089.9299998</v>
      </c>
      <c r="AI54" s="131">
        <v>3039657089.9299998</v>
      </c>
      <c r="AJ54" s="131">
        <v>-137000</v>
      </c>
      <c r="AK54" s="131">
        <v>-137000</v>
      </c>
      <c r="AM54" s="131">
        <v>3042825529.4899998</v>
      </c>
      <c r="AN54" s="131">
        <v>3081250529.4899998</v>
      </c>
      <c r="AO54" s="131">
        <v>38425000</v>
      </c>
      <c r="AP54" s="131">
        <v>3081250529.4899998</v>
      </c>
      <c r="AQ54" s="131">
        <v>0</v>
      </c>
      <c r="AR54" s="131">
        <v>38425000</v>
      </c>
      <c r="AS54" t="s">
        <v>1709</v>
      </c>
    </row>
    <row r="55" spans="1:45" ht="45" x14ac:dyDescent="0.25">
      <c r="A55">
        <v>2019</v>
      </c>
      <c r="B55">
        <v>307</v>
      </c>
      <c r="C55">
        <v>1010201020201</v>
      </c>
      <c r="D55">
        <v>20</v>
      </c>
      <c r="E55" t="s">
        <v>2681</v>
      </c>
      <c r="F55">
        <v>1010201020201</v>
      </c>
      <c r="G55" s="10" t="s">
        <v>2682</v>
      </c>
      <c r="H55" t="s">
        <v>2573</v>
      </c>
      <c r="I55" s="131">
        <v>1011462000</v>
      </c>
      <c r="J55" s="131">
        <v>1011462000</v>
      </c>
      <c r="K55" s="131">
        <v>0</v>
      </c>
      <c r="L55" s="131">
        <v>0</v>
      </c>
      <c r="M55" s="131">
        <v>0</v>
      </c>
      <c r="N55" s="131">
        <v>0</v>
      </c>
      <c r="O55" s="131">
        <v>0</v>
      </c>
      <c r="P55" s="131">
        <v>1011462000</v>
      </c>
      <c r="Q55" s="131">
        <v>6109238364</v>
      </c>
      <c r="R55" s="131">
        <v>240</v>
      </c>
      <c r="S55" s="131">
        <v>6109238124</v>
      </c>
      <c r="T55" s="131">
        <v>0</v>
      </c>
      <c r="U55" s="131">
        <v>0</v>
      </c>
      <c r="V55" s="131">
        <v>0</v>
      </c>
      <c r="W55" s="131">
        <v>1230008758</v>
      </c>
      <c r="X55" s="131">
        <v>3698800</v>
      </c>
      <c r="Y55" s="131">
        <v>1226309958</v>
      </c>
      <c r="Z55" s="131">
        <v>6109238364</v>
      </c>
      <c r="AA55" s="131">
        <v>240</v>
      </c>
      <c r="AB55" s="131">
        <v>6109238124</v>
      </c>
      <c r="AC55" s="131">
        <v>0</v>
      </c>
      <c r="AD55" s="131">
        <v>0</v>
      </c>
      <c r="AE55" s="131">
        <v>0</v>
      </c>
      <c r="AF55" s="131">
        <v>1230008758</v>
      </c>
      <c r="AG55" s="131">
        <v>3698800</v>
      </c>
      <c r="AH55" s="131">
        <v>1226309958</v>
      </c>
      <c r="AI55" s="131">
        <v>1226309958</v>
      </c>
      <c r="AJ55" s="131">
        <v>-137000</v>
      </c>
      <c r="AK55" s="131">
        <v>-137000</v>
      </c>
      <c r="AM55" s="131">
        <v>1226583758</v>
      </c>
      <c r="AN55" s="131">
        <v>1230008758</v>
      </c>
      <c r="AO55" s="131">
        <v>3425000</v>
      </c>
      <c r="AP55" s="131">
        <v>1230008758</v>
      </c>
      <c r="AQ55" s="131">
        <v>0</v>
      </c>
      <c r="AR55" s="131">
        <v>3425000</v>
      </c>
      <c r="AS55" t="s">
        <v>140</v>
      </c>
    </row>
    <row r="56" spans="1:45" ht="45" x14ac:dyDescent="0.25">
      <c r="A56">
        <v>2019</v>
      </c>
      <c r="B56">
        <v>307</v>
      </c>
      <c r="C56">
        <v>1010201020202</v>
      </c>
      <c r="D56">
        <v>20</v>
      </c>
      <c r="E56" t="s">
        <v>2683</v>
      </c>
      <c r="F56">
        <v>1010201020202</v>
      </c>
      <c r="G56" s="10" t="s">
        <v>2684</v>
      </c>
      <c r="H56" t="s">
        <v>2573</v>
      </c>
      <c r="I56" s="131">
        <v>3428567000</v>
      </c>
      <c r="J56" s="131">
        <v>3428567000</v>
      </c>
      <c r="K56" s="131">
        <v>0</v>
      </c>
      <c r="L56" s="131">
        <v>0</v>
      </c>
      <c r="M56" s="131">
        <v>0</v>
      </c>
      <c r="N56" s="131">
        <v>0</v>
      </c>
      <c r="O56" s="131">
        <v>0</v>
      </c>
      <c r="P56" s="131">
        <v>3428567000</v>
      </c>
      <c r="Q56" s="131">
        <v>2229942845.73</v>
      </c>
      <c r="R56" s="131">
        <v>216311301.43000001</v>
      </c>
      <c r="S56" s="131">
        <v>2013631544.3</v>
      </c>
      <c r="T56" s="131">
        <v>0</v>
      </c>
      <c r="U56" s="131">
        <v>0</v>
      </c>
      <c r="V56" s="131">
        <v>0</v>
      </c>
      <c r="W56" s="131">
        <v>1851241771.49</v>
      </c>
      <c r="X56" s="131">
        <v>37894639.560000002</v>
      </c>
      <c r="Y56" s="131">
        <v>1813347131.9300001</v>
      </c>
      <c r="Z56" s="131">
        <v>2229942845.73</v>
      </c>
      <c r="AA56" s="131">
        <v>216311301.43000001</v>
      </c>
      <c r="AB56" s="131">
        <v>2013631544.3</v>
      </c>
      <c r="AC56" s="131">
        <v>0</v>
      </c>
      <c r="AD56" s="131">
        <v>0</v>
      </c>
      <c r="AE56" s="131">
        <v>0</v>
      </c>
      <c r="AF56" s="131">
        <v>1851241771.49</v>
      </c>
      <c r="AG56" s="131">
        <v>37894639.560000002</v>
      </c>
      <c r="AH56" s="131">
        <v>1813347131.9300001</v>
      </c>
      <c r="AI56" s="131">
        <v>1813347131.9300001</v>
      </c>
      <c r="AJ56" s="131">
        <v>0</v>
      </c>
      <c r="AK56" s="131">
        <v>0</v>
      </c>
      <c r="AM56" s="131">
        <v>1816241771.49</v>
      </c>
      <c r="AN56" s="131">
        <v>1851241771.49</v>
      </c>
      <c r="AO56" s="131">
        <v>35000000</v>
      </c>
      <c r="AP56" s="131">
        <v>1851241771.49</v>
      </c>
      <c r="AQ56" s="131">
        <v>0</v>
      </c>
      <c r="AR56" s="131">
        <v>35000000</v>
      </c>
      <c r="AS56" t="s">
        <v>140</v>
      </c>
    </row>
    <row r="57" spans="1:45" x14ac:dyDescent="0.25">
      <c r="A57">
        <v>2019</v>
      </c>
      <c r="B57">
        <v>307</v>
      </c>
      <c r="C57">
        <v>1010202</v>
      </c>
      <c r="D57" t="s">
        <v>226</v>
      </c>
      <c r="E57" t="s">
        <v>2576</v>
      </c>
      <c r="F57">
        <v>1010202</v>
      </c>
      <c r="G57" s="10" t="s">
        <v>1079</v>
      </c>
      <c r="H57" t="s">
        <v>2573</v>
      </c>
      <c r="I57" s="131">
        <v>11324245406</v>
      </c>
      <c r="J57" s="131">
        <v>11324245406</v>
      </c>
      <c r="K57" s="131">
        <v>0</v>
      </c>
      <c r="L57" s="131">
        <v>0</v>
      </c>
      <c r="M57" s="131">
        <v>0</v>
      </c>
      <c r="N57" s="131">
        <v>0</v>
      </c>
      <c r="O57" s="131">
        <v>0</v>
      </c>
      <c r="P57" s="131">
        <v>11324245406</v>
      </c>
      <c r="Q57" s="131">
        <v>0</v>
      </c>
      <c r="R57" s="131">
        <v>0</v>
      </c>
      <c r="S57" s="131">
        <v>0</v>
      </c>
      <c r="T57" s="131">
        <v>0</v>
      </c>
      <c r="U57" s="131">
        <v>0</v>
      </c>
      <c r="V57" s="131">
        <v>0</v>
      </c>
      <c r="W57" s="131">
        <v>13323304569.1</v>
      </c>
      <c r="X57" s="131">
        <v>1393713866</v>
      </c>
      <c r="Y57" s="131">
        <v>11929590703.1</v>
      </c>
      <c r="Z57" s="131">
        <v>0</v>
      </c>
      <c r="AA57" s="131">
        <v>0</v>
      </c>
      <c r="AB57" s="131">
        <v>0</v>
      </c>
      <c r="AC57" s="131">
        <v>0</v>
      </c>
      <c r="AD57" s="131">
        <v>0</v>
      </c>
      <c r="AE57" s="131">
        <v>0</v>
      </c>
      <c r="AF57" s="131">
        <v>13323304569.1</v>
      </c>
      <c r="AG57" s="131">
        <v>1393713866</v>
      </c>
      <c r="AH57" s="131">
        <v>11929590703.1</v>
      </c>
      <c r="AI57" s="131">
        <v>11929590703.1</v>
      </c>
      <c r="AJ57" s="131">
        <v>0</v>
      </c>
      <c r="AK57" s="131">
        <v>0</v>
      </c>
      <c r="AM57" s="131">
        <v>11929590703.1</v>
      </c>
      <c r="AN57" s="131">
        <v>13323304569.1</v>
      </c>
      <c r="AO57" s="131">
        <v>1393713866</v>
      </c>
      <c r="AP57" s="131">
        <v>13323304569.1</v>
      </c>
      <c r="AQ57" s="131">
        <v>0</v>
      </c>
      <c r="AR57" s="131">
        <v>1393713866</v>
      </c>
      <c r="AS57" t="s">
        <v>1709</v>
      </c>
    </row>
    <row r="58" spans="1:45" ht="30" x14ac:dyDescent="0.25">
      <c r="A58">
        <v>2019</v>
      </c>
      <c r="B58">
        <v>307</v>
      </c>
      <c r="C58">
        <v>101020202</v>
      </c>
      <c r="D58">
        <v>35</v>
      </c>
      <c r="E58" t="s">
        <v>2577</v>
      </c>
      <c r="F58">
        <v>101020202</v>
      </c>
      <c r="G58" s="10" t="s">
        <v>2578</v>
      </c>
      <c r="H58" t="s">
        <v>2573</v>
      </c>
      <c r="I58" s="131">
        <v>2516498979</v>
      </c>
      <c r="J58" s="131">
        <v>2516498979</v>
      </c>
      <c r="K58" s="131">
        <v>0</v>
      </c>
      <c r="L58" s="131">
        <v>0</v>
      </c>
      <c r="M58" s="131">
        <v>0</v>
      </c>
      <c r="N58" s="131">
        <v>0</v>
      </c>
      <c r="O58" s="131">
        <v>0</v>
      </c>
      <c r="P58" s="131">
        <v>2516498979</v>
      </c>
      <c r="Q58" s="131">
        <v>0</v>
      </c>
      <c r="R58" s="131">
        <v>0</v>
      </c>
      <c r="S58" s="131">
        <v>0</v>
      </c>
      <c r="T58" s="131">
        <v>0</v>
      </c>
      <c r="U58" s="131">
        <v>0</v>
      </c>
      <c r="V58" s="131">
        <v>0</v>
      </c>
      <c r="W58" s="131">
        <v>3495497702.8000002</v>
      </c>
      <c r="X58" s="131">
        <v>688034912</v>
      </c>
      <c r="Y58" s="131">
        <v>2807462790.8000002</v>
      </c>
      <c r="Z58" s="131">
        <v>0</v>
      </c>
      <c r="AA58" s="131">
        <v>0</v>
      </c>
      <c r="AB58" s="131">
        <v>0</v>
      </c>
      <c r="AC58" s="131">
        <v>0</v>
      </c>
      <c r="AD58" s="131">
        <v>0</v>
      </c>
      <c r="AE58" s="131">
        <v>0</v>
      </c>
      <c r="AF58" s="131">
        <v>3495497702.8000002</v>
      </c>
      <c r="AG58" s="131">
        <v>688034912</v>
      </c>
      <c r="AH58" s="131">
        <v>2807462790.8000002</v>
      </c>
      <c r="AI58" s="131">
        <v>2807462790.8000002</v>
      </c>
      <c r="AJ58" s="131">
        <v>0</v>
      </c>
      <c r="AK58" s="131">
        <v>0</v>
      </c>
      <c r="AM58" s="131">
        <v>2807462790.8000002</v>
      </c>
      <c r="AN58" s="131">
        <v>3495497702.8000002</v>
      </c>
      <c r="AO58" s="131">
        <v>688034912</v>
      </c>
      <c r="AP58" s="131">
        <v>3495497702.8000002</v>
      </c>
      <c r="AQ58" s="131">
        <v>0</v>
      </c>
      <c r="AR58" s="131">
        <v>688034912</v>
      </c>
      <c r="AS58" t="s">
        <v>157</v>
      </c>
    </row>
    <row r="59" spans="1:45" ht="30" x14ac:dyDescent="0.25">
      <c r="A59">
        <v>2019</v>
      </c>
      <c r="B59">
        <v>307</v>
      </c>
      <c r="C59">
        <v>101020207</v>
      </c>
      <c r="D59">
        <v>35</v>
      </c>
      <c r="E59" t="s">
        <v>2579</v>
      </c>
      <c r="F59">
        <v>101020207</v>
      </c>
      <c r="G59" s="10" t="s">
        <v>2580</v>
      </c>
      <c r="H59" t="s">
        <v>2573</v>
      </c>
      <c r="I59" s="131">
        <v>539249781</v>
      </c>
      <c r="J59" s="131">
        <v>539249781</v>
      </c>
      <c r="K59" s="131">
        <v>0</v>
      </c>
      <c r="L59" s="131">
        <v>0</v>
      </c>
      <c r="M59" s="131">
        <v>0</v>
      </c>
      <c r="N59" s="131">
        <v>0</v>
      </c>
      <c r="O59" s="131">
        <v>0</v>
      </c>
      <c r="P59" s="131">
        <v>539249781</v>
      </c>
      <c r="Q59" s="131">
        <v>0</v>
      </c>
      <c r="R59" s="131">
        <v>0</v>
      </c>
      <c r="S59" s="131">
        <v>0</v>
      </c>
      <c r="T59" s="131">
        <v>0</v>
      </c>
      <c r="U59" s="131">
        <v>0</v>
      </c>
      <c r="V59" s="131">
        <v>0</v>
      </c>
      <c r="W59" s="131">
        <v>572206855.10000002</v>
      </c>
      <c r="X59" s="131">
        <v>2111826</v>
      </c>
      <c r="Y59" s="131">
        <v>570095029.10000002</v>
      </c>
      <c r="Z59" s="131">
        <v>0</v>
      </c>
      <c r="AA59" s="131">
        <v>0</v>
      </c>
      <c r="AB59" s="131">
        <v>0</v>
      </c>
      <c r="AC59" s="131">
        <v>0</v>
      </c>
      <c r="AD59" s="131">
        <v>0</v>
      </c>
      <c r="AE59" s="131">
        <v>0</v>
      </c>
      <c r="AF59" s="131">
        <v>572206855.10000002</v>
      </c>
      <c r="AG59" s="131">
        <v>2111826</v>
      </c>
      <c r="AH59" s="131">
        <v>570095029.10000002</v>
      </c>
      <c r="AI59" s="131">
        <v>570095029.10000002</v>
      </c>
      <c r="AJ59" s="131">
        <v>0</v>
      </c>
      <c r="AK59" s="131">
        <v>0</v>
      </c>
      <c r="AM59" s="131">
        <v>570095029.10000002</v>
      </c>
      <c r="AN59" s="131">
        <v>572206855.10000002</v>
      </c>
      <c r="AO59" s="131">
        <v>2111826</v>
      </c>
      <c r="AP59" s="131">
        <v>572206855.10000002</v>
      </c>
      <c r="AQ59" s="131">
        <v>0</v>
      </c>
      <c r="AR59" s="131">
        <v>2111826</v>
      </c>
      <c r="AS59" t="s">
        <v>157</v>
      </c>
    </row>
    <row r="60" spans="1:45" x14ac:dyDescent="0.25">
      <c r="A60">
        <v>2019</v>
      </c>
      <c r="B60">
        <v>307</v>
      </c>
      <c r="C60">
        <v>101020211</v>
      </c>
      <c r="D60">
        <v>20</v>
      </c>
      <c r="E60" t="s">
        <v>2581</v>
      </c>
      <c r="F60">
        <v>101020211</v>
      </c>
      <c r="G60" s="10" t="s">
        <v>2582</v>
      </c>
      <c r="H60" t="s">
        <v>2573</v>
      </c>
      <c r="I60" s="131">
        <v>8268496646</v>
      </c>
      <c r="J60" s="131">
        <v>8268496646</v>
      </c>
      <c r="K60" s="131">
        <v>0</v>
      </c>
      <c r="L60" s="131">
        <v>0</v>
      </c>
      <c r="M60" s="131">
        <v>0</v>
      </c>
      <c r="N60" s="131">
        <v>0</v>
      </c>
      <c r="O60" s="131">
        <v>0</v>
      </c>
      <c r="P60" s="131">
        <v>8268496646</v>
      </c>
      <c r="Q60" s="131">
        <v>0</v>
      </c>
      <c r="R60" s="131">
        <v>0</v>
      </c>
      <c r="S60" s="131">
        <v>0</v>
      </c>
      <c r="T60" s="131">
        <v>0</v>
      </c>
      <c r="U60" s="131">
        <v>0</v>
      </c>
      <c r="V60" s="131">
        <v>0</v>
      </c>
      <c r="W60" s="131">
        <v>9255600011.2000008</v>
      </c>
      <c r="X60" s="131">
        <v>703567128</v>
      </c>
      <c r="Y60" s="131">
        <v>8552032883.1999998</v>
      </c>
      <c r="Z60" s="131">
        <f>+Y60+AA298</f>
        <v>8552032883.1999998</v>
      </c>
      <c r="AA60" s="131">
        <v>0</v>
      </c>
      <c r="AB60" s="131">
        <v>0</v>
      </c>
      <c r="AC60" s="131">
        <v>0</v>
      </c>
      <c r="AD60" s="131">
        <v>0</v>
      </c>
      <c r="AE60" s="131">
        <v>0</v>
      </c>
      <c r="AF60" s="131">
        <v>9255600011.2000008</v>
      </c>
      <c r="AG60" s="131">
        <v>703567128</v>
      </c>
      <c r="AH60" s="131">
        <v>8552032883.1999998</v>
      </c>
      <c r="AI60" s="131">
        <v>8552032883.1999998</v>
      </c>
      <c r="AJ60" s="131">
        <v>0</v>
      </c>
      <c r="AK60" s="131">
        <v>0</v>
      </c>
      <c r="AM60" s="131">
        <v>8552032883.1999998</v>
      </c>
      <c r="AN60" s="131">
        <v>9255600011.2000008</v>
      </c>
      <c r="AO60" s="131">
        <v>703567128</v>
      </c>
      <c r="AP60" s="131">
        <v>9255600011.2000008</v>
      </c>
      <c r="AQ60" s="131">
        <v>0</v>
      </c>
      <c r="AR60" s="131">
        <v>703567128</v>
      </c>
      <c r="AS60" t="s">
        <v>140</v>
      </c>
    </row>
    <row r="61" spans="1:45" x14ac:dyDescent="0.25">
      <c r="A61">
        <v>2019</v>
      </c>
      <c r="B61">
        <v>307</v>
      </c>
      <c r="C61">
        <v>1010203</v>
      </c>
      <c r="D61" t="s">
        <v>226</v>
      </c>
      <c r="E61" t="s">
        <v>2685</v>
      </c>
      <c r="F61">
        <v>1010203</v>
      </c>
      <c r="G61" s="10" t="s">
        <v>1084</v>
      </c>
      <c r="H61" t="s">
        <v>2573</v>
      </c>
      <c r="I61" s="131">
        <v>10566653321</v>
      </c>
      <c r="J61" s="131">
        <v>10566653321</v>
      </c>
      <c r="K61" s="131">
        <v>0</v>
      </c>
      <c r="L61" s="131">
        <v>0</v>
      </c>
      <c r="M61" s="131">
        <v>0</v>
      </c>
      <c r="N61" s="131">
        <v>0</v>
      </c>
      <c r="O61" s="131">
        <v>0</v>
      </c>
      <c r="P61" s="131">
        <v>10566653321</v>
      </c>
      <c r="Q61" s="131">
        <v>0</v>
      </c>
      <c r="R61" s="131">
        <v>0</v>
      </c>
      <c r="S61" s="131">
        <v>0</v>
      </c>
      <c r="T61" s="131">
        <v>0</v>
      </c>
      <c r="U61" s="131">
        <v>0</v>
      </c>
      <c r="V61" s="131">
        <v>0</v>
      </c>
      <c r="W61" s="131">
        <v>19324500331</v>
      </c>
      <c r="X61" s="131">
        <v>2263804</v>
      </c>
      <c r="Y61" s="131">
        <v>19322236527</v>
      </c>
      <c r="Z61" s="131">
        <v>0</v>
      </c>
      <c r="AA61" s="131">
        <v>0</v>
      </c>
      <c r="AB61" s="131">
        <v>0</v>
      </c>
      <c r="AC61" s="131">
        <v>0</v>
      </c>
      <c r="AD61" s="131">
        <v>0</v>
      </c>
      <c r="AE61" s="131">
        <v>0</v>
      </c>
      <c r="AF61" s="131">
        <v>19324500331</v>
      </c>
      <c r="AG61" s="131">
        <v>2263804</v>
      </c>
      <c r="AH61" s="131">
        <v>19322236527</v>
      </c>
      <c r="AI61" s="131">
        <v>19322236527</v>
      </c>
      <c r="AJ61" s="131">
        <v>2996853000</v>
      </c>
      <c r="AK61" s="131">
        <v>2996853000</v>
      </c>
      <c r="AM61" s="131">
        <v>16325383527</v>
      </c>
      <c r="AN61" s="131">
        <v>16327647331</v>
      </c>
      <c r="AO61" s="131">
        <v>2263804</v>
      </c>
      <c r="AP61" s="131">
        <v>16327647331</v>
      </c>
      <c r="AQ61" s="131">
        <v>0</v>
      </c>
      <c r="AR61" s="131">
        <v>2263804</v>
      </c>
      <c r="AS61" t="s">
        <v>1709</v>
      </c>
    </row>
    <row r="62" spans="1:45" x14ac:dyDescent="0.25">
      <c r="A62">
        <v>2019</v>
      </c>
      <c r="B62">
        <v>307</v>
      </c>
      <c r="C62">
        <v>101020301</v>
      </c>
      <c r="D62">
        <v>18</v>
      </c>
      <c r="E62" t="s">
        <v>2686</v>
      </c>
      <c r="F62">
        <v>101020301</v>
      </c>
      <c r="G62" s="10" t="s">
        <v>1085</v>
      </c>
      <c r="H62" t="s">
        <v>2573</v>
      </c>
      <c r="I62" s="131">
        <v>566653321</v>
      </c>
      <c r="J62" s="131">
        <v>566653321</v>
      </c>
      <c r="K62" s="131">
        <v>0</v>
      </c>
      <c r="L62" s="131">
        <v>0</v>
      </c>
      <c r="M62" s="131">
        <v>0</v>
      </c>
      <c r="N62" s="131">
        <v>0</v>
      </c>
      <c r="O62" s="131">
        <v>0</v>
      </c>
      <c r="P62" s="131">
        <v>566653321</v>
      </c>
      <c r="Q62" s="131">
        <v>0</v>
      </c>
      <c r="R62" s="131">
        <v>0</v>
      </c>
      <c r="S62" s="131">
        <v>0</v>
      </c>
      <c r="T62" s="131">
        <v>0</v>
      </c>
      <c r="U62" s="131">
        <v>0</v>
      </c>
      <c r="V62" s="131">
        <v>0</v>
      </c>
      <c r="W62" s="131">
        <v>568917119</v>
      </c>
      <c r="X62" s="131">
        <v>2263804</v>
      </c>
      <c r="Y62" s="131">
        <v>566653315</v>
      </c>
      <c r="Z62" s="131">
        <v>0</v>
      </c>
      <c r="AA62" s="131">
        <v>0</v>
      </c>
      <c r="AB62" s="131">
        <v>0</v>
      </c>
      <c r="AC62" s="131">
        <v>0</v>
      </c>
      <c r="AD62" s="131">
        <v>0</v>
      </c>
      <c r="AE62" s="131">
        <v>0</v>
      </c>
      <c r="AF62" s="131">
        <v>568917119</v>
      </c>
      <c r="AG62" s="131">
        <v>2263804</v>
      </c>
      <c r="AH62" s="131">
        <v>566653315</v>
      </c>
      <c r="AI62" s="131">
        <v>566653315</v>
      </c>
      <c r="AJ62" s="131">
        <v>0</v>
      </c>
      <c r="AK62" s="131">
        <v>0</v>
      </c>
      <c r="AM62" s="131">
        <v>566653315</v>
      </c>
      <c r="AN62" s="131">
        <v>568917119</v>
      </c>
      <c r="AO62" s="131">
        <v>2263804</v>
      </c>
      <c r="AP62" s="131">
        <v>568917119</v>
      </c>
      <c r="AQ62" s="131">
        <v>0</v>
      </c>
      <c r="AR62" s="131">
        <v>2263804</v>
      </c>
      <c r="AS62" t="s">
        <v>100</v>
      </c>
    </row>
    <row r="63" spans="1:45" x14ac:dyDescent="0.25">
      <c r="A63">
        <v>2019</v>
      </c>
      <c r="B63">
        <v>307</v>
      </c>
      <c r="C63">
        <v>101020304</v>
      </c>
      <c r="D63">
        <v>136</v>
      </c>
      <c r="E63" t="s">
        <v>2687</v>
      </c>
      <c r="F63">
        <v>101020304</v>
      </c>
      <c r="G63" s="10" t="s">
        <v>2688</v>
      </c>
      <c r="H63" t="s">
        <v>2573</v>
      </c>
      <c r="I63" s="131">
        <v>7000000000</v>
      </c>
      <c r="J63" s="131">
        <v>7000000000</v>
      </c>
      <c r="K63" s="131">
        <v>0</v>
      </c>
      <c r="L63" s="131">
        <v>0</v>
      </c>
      <c r="M63" s="131">
        <v>0</v>
      </c>
      <c r="N63" s="131">
        <v>0</v>
      </c>
      <c r="O63" s="131">
        <v>0</v>
      </c>
      <c r="P63" s="131">
        <v>7000000000</v>
      </c>
      <c r="Q63" s="131">
        <v>0</v>
      </c>
      <c r="R63" s="131">
        <v>0</v>
      </c>
      <c r="S63" s="131">
        <v>0</v>
      </c>
      <c r="T63" s="131">
        <v>0</v>
      </c>
      <c r="U63" s="131">
        <v>0</v>
      </c>
      <c r="V63" s="131">
        <v>0</v>
      </c>
      <c r="W63" s="131">
        <v>15758730212</v>
      </c>
      <c r="X63" s="131">
        <v>0</v>
      </c>
      <c r="Y63" s="131">
        <v>15758730212</v>
      </c>
      <c r="Z63" s="131">
        <v>0</v>
      </c>
      <c r="AA63" s="131">
        <v>0</v>
      </c>
      <c r="AB63" s="131">
        <v>0</v>
      </c>
      <c r="AC63" s="131">
        <v>0</v>
      </c>
      <c r="AD63" s="131">
        <v>0</v>
      </c>
      <c r="AE63" s="131">
        <v>0</v>
      </c>
      <c r="AF63" s="131">
        <v>15758730212</v>
      </c>
      <c r="AG63" s="131">
        <v>0</v>
      </c>
      <c r="AH63" s="131">
        <v>15758730212</v>
      </c>
      <c r="AI63" s="131">
        <v>15758730212</v>
      </c>
      <c r="AJ63" s="131">
        <v>0</v>
      </c>
      <c r="AK63" s="131">
        <v>0</v>
      </c>
      <c r="AM63" s="131">
        <v>15758730212</v>
      </c>
      <c r="AN63" s="131">
        <v>15758730212</v>
      </c>
      <c r="AO63" s="131">
        <v>0</v>
      </c>
      <c r="AP63" s="131">
        <v>15758730212</v>
      </c>
      <c r="AQ63" s="131">
        <v>0</v>
      </c>
      <c r="AR63" s="131">
        <v>0</v>
      </c>
      <c r="AS63" t="s">
        <v>2689</v>
      </c>
    </row>
    <row r="64" spans="1:45" x14ac:dyDescent="0.25">
      <c r="A64">
        <v>2019</v>
      </c>
      <c r="B64">
        <v>307</v>
      </c>
      <c r="C64">
        <v>101020304</v>
      </c>
      <c r="D64">
        <v>19</v>
      </c>
      <c r="E64" t="s">
        <v>2690</v>
      </c>
      <c r="F64">
        <v>101020304</v>
      </c>
      <c r="G64" s="10" t="s">
        <v>2688</v>
      </c>
      <c r="H64" t="s">
        <v>2573</v>
      </c>
      <c r="I64" s="131">
        <v>3000000000</v>
      </c>
      <c r="J64" s="131">
        <v>3000000000</v>
      </c>
      <c r="K64" s="131">
        <v>0</v>
      </c>
      <c r="L64" s="131">
        <v>0</v>
      </c>
      <c r="M64" s="131">
        <v>0</v>
      </c>
      <c r="N64" s="131">
        <v>0</v>
      </c>
      <c r="O64" s="131">
        <v>0</v>
      </c>
      <c r="P64" s="131">
        <v>3000000000</v>
      </c>
      <c r="Q64" s="131">
        <v>0</v>
      </c>
      <c r="R64" s="131">
        <v>0</v>
      </c>
      <c r="S64" s="131">
        <v>0</v>
      </c>
      <c r="T64" s="131">
        <v>0</v>
      </c>
      <c r="U64" s="131">
        <v>0</v>
      </c>
      <c r="V64" s="131">
        <v>0</v>
      </c>
      <c r="W64" s="131">
        <v>2996853000</v>
      </c>
      <c r="X64" s="131">
        <v>0</v>
      </c>
      <c r="Y64" s="131">
        <v>2996853000</v>
      </c>
      <c r="Z64" s="131">
        <v>0</v>
      </c>
      <c r="AA64" s="131">
        <v>0</v>
      </c>
      <c r="AB64" s="131">
        <v>0</v>
      </c>
      <c r="AC64" s="131">
        <v>0</v>
      </c>
      <c r="AD64" s="131">
        <v>0</v>
      </c>
      <c r="AE64" s="131">
        <v>0</v>
      </c>
      <c r="AF64" s="131">
        <v>2996853000</v>
      </c>
      <c r="AG64" s="131">
        <v>0</v>
      </c>
      <c r="AH64" s="131">
        <v>2996853000</v>
      </c>
      <c r="AI64" s="131">
        <v>2996853000</v>
      </c>
      <c r="AJ64" s="131">
        <v>2996853000</v>
      </c>
      <c r="AK64" s="131">
        <v>2996853000</v>
      </c>
      <c r="AM64" s="131">
        <v>0</v>
      </c>
      <c r="AN64" s="131">
        <v>0</v>
      </c>
      <c r="AO64" s="131">
        <v>0</v>
      </c>
      <c r="AP64" s="131">
        <v>0</v>
      </c>
      <c r="AQ64" s="131">
        <v>0</v>
      </c>
      <c r="AR64" s="131">
        <v>0</v>
      </c>
      <c r="AS64" t="s">
        <v>2691</v>
      </c>
    </row>
    <row r="65" spans="1:45" x14ac:dyDescent="0.25">
      <c r="A65">
        <v>2019</v>
      </c>
      <c r="B65">
        <v>307</v>
      </c>
      <c r="C65">
        <v>1010204</v>
      </c>
      <c r="D65" t="s">
        <v>226</v>
      </c>
      <c r="E65" t="s">
        <v>2692</v>
      </c>
      <c r="F65">
        <v>1010204</v>
      </c>
      <c r="G65" s="10" t="s">
        <v>1087</v>
      </c>
      <c r="H65" t="s">
        <v>2573</v>
      </c>
      <c r="I65" s="131">
        <v>4283195529</v>
      </c>
      <c r="J65" s="131">
        <v>4283195529</v>
      </c>
      <c r="K65" s="131">
        <v>169985263</v>
      </c>
      <c r="L65" s="131">
        <v>190217634</v>
      </c>
      <c r="M65" s="131">
        <v>-20232371</v>
      </c>
      <c r="N65" s="131">
        <v>169985263</v>
      </c>
      <c r="O65" s="131">
        <v>190217634</v>
      </c>
      <c r="P65" s="131">
        <v>4262963158</v>
      </c>
      <c r="Q65" s="131">
        <v>0</v>
      </c>
      <c r="R65" s="131">
        <v>0</v>
      </c>
      <c r="S65" s="131">
        <v>0</v>
      </c>
      <c r="T65" s="131">
        <v>0</v>
      </c>
      <c r="U65" s="131">
        <v>0</v>
      </c>
      <c r="V65" s="131">
        <v>0</v>
      </c>
      <c r="W65" s="131">
        <v>3074903521.7600002</v>
      </c>
      <c r="X65" s="131">
        <v>59015540</v>
      </c>
      <c r="Y65" s="131">
        <v>3015887981.7600002</v>
      </c>
      <c r="Z65" s="131">
        <v>0</v>
      </c>
      <c r="AA65" s="131">
        <v>0</v>
      </c>
      <c r="AB65" s="131">
        <v>0</v>
      </c>
      <c r="AC65" s="131">
        <v>0</v>
      </c>
      <c r="AD65" s="131">
        <v>0</v>
      </c>
      <c r="AE65" s="131">
        <v>0</v>
      </c>
      <c r="AF65" s="131">
        <v>3074903521.7600002</v>
      </c>
      <c r="AG65" s="131">
        <v>59015540</v>
      </c>
      <c r="AH65" s="131">
        <v>3015887981.7600002</v>
      </c>
      <c r="AI65" s="131">
        <v>3015887981.7600002</v>
      </c>
      <c r="AJ65" s="131">
        <v>169985263</v>
      </c>
      <c r="AK65" s="131">
        <v>169985263</v>
      </c>
      <c r="AM65" s="131">
        <v>2845902718.7600002</v>
      </c>
      <c r="AN65" s="131">
        <v>2904918258.7600002</v>
      </c>
      <c r="AO65" s="131">
        <v>59015540</v>
      </c>
      <c r="AP65" s="131">
        <v>2904918258.7600002</v>
      </c>
      <c r="AQ65" s="131">
        <v>0</v>
      </c>
      <c r="AR65" s="131">
        <v>59015540</v>
      </c>
      <c r="AS65" t="s">
        <v>1709</v>
      </c>
    </row>
    <row r="66" spans="1:45" x14ac:dyDescent="0.25">
      <c r="A66">
        <v>2019</v>
      </c>
      <c r="B66">
        <v>307</v>
      </c>
      <c r="C66">
        <v>101020401</v>
      </c>
      <c r="D66" t="s">
        <v>226</v>
      </c>
      <c r="E66" t="s">
        <v>2693</v>
      </c>
      <c r="F66">
        <v>101020401</v>
      </c>
      <c r="G66" s="10" t="s">
        <v>1088</v>
      </c>
      <c r="H66" t="s">
        <v>2573</v>
      </c>
      <c r="I66" s="131">
        <v>4283195529</v>
      </c>
      <c r="J66" s="131">
        <v>4283195529</v>
      </c>
      <c r="K66" s="131">
        <v>169985263</v>
      </c>
      <c r="L66" s="131">
        <v>190217634</v>
      </c>
      <c r="M66" s="131">
        <v>-20232371</v>
      </c>
      <c r="N66" s="131">
        <v>169985263</v>
      </c>
      <c r="O66" s="131">
        <v>190217634</v>
      </c>
      <c r="P66" s="131">
        <v>4262963158</v>
      </c>
      <c r="Q66" s="131">
        <v>0</v>
      </c>
      <c r="R66" s="131">
        <v>0</v>
      </c>
      <c r="S66" s="131">
        <v>0</v>
      </c>
      <c r="T66" s="131">
        <v>0</v>
      </c>
      <c r="U66" s="131">
        <v>0</v>
      </c>
      <c r="V66" s="131">
        <v>0</v>
      </c>
      <c r="W66" s="131">
        <v>3074903521.7600002</v>
      </c>
      <c r="X66" s="131">
        <v>59015540</v>
      </c>
      <c r="Y66" s="131">
        <v>3015887981.7600002</v>
      </c>
      <c r="Z66" s="131">
        <v>0</v>
      </c>
      <c r="AA66" s="131">
        <v>0</v>
      </c>
      <c r="AB66" s="131">
        <v>0</v>
      </c>
      <c r="AC66" s="131">
        <v>0</v>
      </c>
      <c r="AD66" s="131">
        <v>0</v>
      </c>
      <c r="AE66" s="131">
        <v>0</v>
      </c>
      <c r="AF66" s="131">
        <v>3074903521.7600002</v>
      </c>
      <c r="AG66" s="131">
        <v>59015540</v>
      </c>
      <c r="AH66" s="131">
        <v>3015887981.7600002</v>
      </c>
      <c r="AI66" s="131">
        <v>3015887981.7600002</v>
      </c>
      <c r="AJ66" s="131">
        <v>169985263</v>
      </c>
      <c r="AK66" s="131">
        <v>169985263</v>
      </c>
      <c r="AM66" s="131">
        <v>2845902718.7600002</v>
      </c>
      <c r="AN66" s="131">
        <v>2904918258.7600002</v>
      </c>
      <c r="AO66" s="131">
        <v>59015540</v>
      </c>
      <c r="AP66" s="131">
        <v>2904918258.7600002</v>
      </c>
      <c r="AQ66" s="131">
        <v>0</v>
      </c>
      <c r="AR66" s="131">
        <v>59015540</v>
      </c>
      <c r="AS66" t="s">
        <v>1709</v>
      </c>
    </row>
    <row r="67" spans="1:45" x14ac:dyDescent="0.25">
      <c r="A67">
        <v>2019</v>
      </c>
      <c r="B67">
        <v>307</v>
      </c>
      <c r="C67">
        <v>10102040101</v>
      </c>
      <c r="D67" t="s">
        <v>226</v>
      </c>
      <c r="E67" t="s">
        <v>2694</v>
      </c>
      <c r="F67">
        <v>10102040101</v>
      </c>
      <c r="G67" s="10" t="s">
        <v>145</v>
      </c>
      <c r="H67" t="s">
        <v>2573</v>
      </c>
      <c r="I67" s="131">
        <v>2667770316</v>
      </c>
      <c r="J67" s="131">
        <v>2667770316</v>
      </c>
      <c r="K67" s="131">
        <v>0</v>
      </c>
      <c r="L67" s="131">
        <v>0</v>
      </c>
      <c r="M67" s="131">
        <v>0</v>
      </c>
      <c r="N67" s="131">
        <v>0</v>
      </c>
      <c r="O67" s="131">
        <v>0</v>
      </c>
      <c r="P67" s="131">
        <v>2667770316</v>
      </c>
      <c r="Q67" s="131">
        <v>0</v>
      </c>
      <c r="R67" s="131">
        <v>0</v>
      </c>
      <c r="S67" s="131">
        <v>0</v>
      </c>
      <c r="T67" s="131">
        <v>0</v>
      </c>
      <c r="U67" s="131">
        <v>0</v>
      </c>
      <c r="V67" s="131">
        <v>0</v>
      </c>
      <c r="W67" s="131">
        <v>2335055953</v>
      </c>
      <c r="X67" s="131">
        <v>0</v>
      </c>
      <c r="Y67" s="131">
        <v>2335055953</v>
      </c>
      <c r="Z67" s="131">
        <v>0</v>
      </c>
      <c r="AA67" s="131">
        <v>0</v>
      </c>
      <c r="AB67" s="131">
        <v>0</v>
      </c>
      <c r="AC67" s="131">
        <v>0</v>
      </c>
      <c r="AD67" s="131">
        <v>0</v>
      </c>
      <c r="AE67" s="131">
        <v>0</v>
      </c>
      <c r="AF67" s="131">
        <v>2335055953</v>
      </c>
      <c r="AG67" s="131">
        <v>0</v>
      </c>
      <c r="AH67" s="131">
        <v>2335055953</v>
      </c>
      <c r="AI67" s="131">
        <v>2335055953</v>
      </c>
      <c r="AJ67" s="131">
        <v>0</v>
      </c>
      <c r="AK67" s="131">
        <v>0</v>
      </c>
      <c r="AM67" s="131">
        <v>2335055953</v>
      </c>
      <c r="AN67" s="131">
        <v>2335055953</v>
      </c>
      <c r="AO67" s="131">
        <v>0</v>
      </c>
      <c r="AP67" s="131">
        <v>2335055953</v>
      </c>
      <c r="AQ67" s="131">
        <v>0</v>
      </c>
      <c r="AR67" s="131">
        <v>0</v>
      </c>
      <c r="AS67" t="s">
        <v>1709</v>
      </c>
    </row>
    <row r="68" spans="1:45" x14ac:dyDescent="0.25">
      <c r="A68">
        <v>2019</v>
      </c>
      <c r="B68">
        <v>307</v>
      </c>
      <c r="C68">
        <v>1010204010101</v>
      </c>
      <c r="D68">
        <v>23</v>
      </c>
      <c r="E68" t="s">
        <v>2695</v>
      </c>
      <c r="F68">
        <v>1010204010101</v>
      </c>
      <c r="G68" s="10" t="s">
        <v>1800</v>
      </c>
      <c r="H68" t="s">
        <v>2573</v>
      </c>
      <c r="I68" s="131">
        <v>2667770316</v>
      </c>
      <c r="J68" s="131">
        <v>2667770316</v>
      </c>
      <c r="K68" s="131">
        <v>0</v>
      </c>
      <c r="L68" s="131">
        <v>0</v>
      </c>
      <c r="M68" s="131">
        <v>0</v>
      </c>
      <c r="N68" s="131">
        <v>0</v>
      </c>
      <c r="O68" s="131">
        <v>0</v>
      </c>
      <c r="P68" s="131">
        <v>2667770316</v>
      </c>
      <c r="Q68" s="131">
        <v>0</v>
      </c>
      <c r="R68" s="131">
        <v>0</v>
      </c>
      <c r="S68" s="131">
        <v>0</v>
      </c>
      <c r="T68" s="131">
        <v>0</v>
      </c>
      <c r="U68" s="131">
        <v>0</v>
      </c>
      <c r="V68" s="131">
        <v>0</v>
      </c>
      <c r="W68" s="131">
        <v>2335055953</v>
      </c>
      <c r="X68" s="131">
        <v>0</v>
      </c>
      <c r="Y68" s="131">
        <v>2335055953</v>
      </c>
      <c r="Z68" s="131">
        <v>0</v>
      </c>
      <c r="AA68" s="131">
        <v>0</v>
      </c>
      <c r="AB68" s="131">
        <v>0</v>
      </c>
      <c r="AC68" s="131">
        <v>0</v>
      </c>
      <c r="AD68" s="131">
        <v>0</v>
      </c>
      <c r="AE68" s="131">
        <v>0</v>
      </c>
      <c r="AF68" s="131">
        <v>2335055953</v>
      </c>
      <c r="AG68" s="131">
        <v>0</v>
      </c>
      <c r="AH68" s="131">
        <v>2335055953</v>
      </c>
      <c r="AI68" s="131">
        <v>2335055953</v>
      </c>
      <c r="AJ68" s="131">
        <v>0</v>
      </c>
      <c r="AK68" s="131">
        <v>0</v>
      </c>
      <c r="AM68" s="131">
        <v>2335055953</v>
      </c>
      <c r="AN68" s="131">
        <v>2335055953</v>
      </c>
      <c r="AO68" s="131">
        <v>0</v>
      </c>
      <c r="AP68" s="131">
        <v>2335055953</v>
      </c>
      <c r="AQ68" s="131">
        <v>0</v>
      </c>
      <c r="AR68" s="131">
        <v>0</v>
      </c>
      <c r="AS68" t="s">
        <v>145</v>
      </c>
    </row>
    <row r="69" spans="1:45" x14ac:dyDescent="0.25">
      <c r="A69">
        <v>2019</v>
      </c>
      <c r="B69">
        <v>307</v>
      </c>
      <c r="C69">
        <v>10102040102</v>
      </c>
      <c r="D69" t="s">
        <v>226</v>
      </c>
      <c r="E69" t="s">
        <v>2696</v>
      </c>
      <c r="F69">
        <v>10102040102</v>
      </c>
      <c r="G69" s="10" t="s">
        <v>1092</v>
      </c>
      <c r="H69" t="s">
        <v>2573</v>
      </c>
      <c r="I69" s="131">
        <v>364000000</v>
      </c>
      <c r="J69" s="131">
        <v>364000000</v>
      </c>
      <c r="K69" s="131">
        <v>0</v>
      </c>
      <c r="L69" s="131">
        <v>190217634</v>
      </c>
      <c r="M69" s="131">
        <v>-190217634</v>
      </c>
      <c r="N69" s="131">
        <v>0</v>
      </c>
      <c r="O69" s="131">
        <v>190217634</v>
      </c>
      <c r="P69" s="131">
        <v>173782366</v>
      </c>
      <c r="Q69" s="131">
        <v>0</v>
      </c>
      <c r="R69" s="131">
        <v>0</v>
      </c>
      <c r="S69" s="131">
        <v>0</v>
      </c>
      <c r="T69" s="131">
        <v>0</v>
      </c>
      <c r="U69" s="131">
        <v>0</v>
      </c>
      <c r="V69" s="131">
        <v>0</v>
      </c>
      <c r="W69" s="131">
        <v>173782366</v>
      </c>
      <c r="X69" s="131">
        <v>0</v>
      </c>
      <c r="Y69" s="131">
        <v>173782366</v>
      </c>
      <c r="Z69" s="131">
        <v>0</v>
      </c>
      <c r="AA69" s="131">
        <v>0</v>
      </c>
      <c r="AB69" s="131">
        <v>0</v>
      </c>
      <c r="AC69" s="131">
        <v>0</v>
      </c>
      <c r="AD69" s="131">
        <v>0</v>
      </c>
      <c r="AE69" s="131">
        <v>0</v>
      </c>
      <c r="AF69" s="131">
        <v>173782366</v>
      </c>
      <c r="AG69" s="131">
        <v>0</v>
      </c>
      <c r="AH69" s="131">
        <v>173782366</v>
      </c>
      <c r="AI69" s="131">
        <v>173782366</v>
      </c>
      <c r="AJ69" s="131">
        <v>0</v>
      </c>
      <c r="AK69" s="131">
        <v>0</v>
      </c>
      <c r="AM69" s="131">
        <v>173782366</v>
      </c>
      <c r="AN69" s="131">
        <v>173782366</v>
      </c>
      <c r="AO69" s="131">
        <v>0</v>
      </c>
      <c r="AP69" s="131">
        <v>173782366</v>
      </c>
      <c r="AQ69" s="131">
        <v>0</v>
      </c>
      <c r="AR69" s="131">
        <v>0</v>
      </c>
      <c r="AS69" t="s">
        <v>1709</v>
      </c>
    </row>
    <row r="70" spans="1:45" x14ac:dyDescent="0.25">
      <c r="A70">
        <v>2019</v>
      </c>
      <c r="B70">
        <v>307</v>
      </c>
      <c r="C70">
        <v>1010204010201</v>
      </c>
      <c r="D70">
        <v>47</v>
      </c>
      <c r="E70" t="s">
        <v>2697</v>
      </c>
      <c r="F70">
        <v>1010204010201</v>
      </c>
      <c r="G70" s="10" t="s">
        <v>2698</v>
      </c>
      <c r="H70" t="s">
        <v>2573</v>
      </c>
      <c r="I70" s="131">
        <v>182000000</v>
      </c>
      <c r="J70" s="131">
        <v>182000000</v>
      </c>
      <c r="K70" s="131">
        <v>0</v>
      </c>
      <c r="L70" s="131">
        <v>8217634</v>
      </c>
      <c r="M70" s="131">
        <v>-8217634</v>
      </c>
      <c r="N70" s="131">
        <v>0</v>
      </c>
      <c r="O70" s="131">
        <v>8217634</v>
      </c>
      <c r="P70" s="131">
        <v>173782366</v>
      </c>
      <c r="Q70" s="131">
        <v>0</v>
      </c>
      <c r="R70" s="131">
        <v>0</v>
      </c>
      <c r="S70" s="131">
        <v>0</v>
      </c>
      <c r="T70" s="131">
        <v>0</v>
      </c>
      <c r="U70" s="131">
        <v>0</v>
      </c>
      <c r="V70" s="131">
        <v>0</v>
      </c>
      <c r="W70" s="131">
        <v>173782366</v>
      </c>
      <c r="X70" s="131">
        <v>0</v>
      </c>
      <c r="Y70" s="131">
        <v>173782366</v>
      </c>
      <c r="Z70" s="131">
        <v>0</v>
      </c>
      <c r="AA70" s="131">
        <v>0</v>
      </c>
      <c r="AB70" s="131">
        <v>0</v>
      </c>
      <c r="AC70" s="131">
        <v>0</v>
      </c>
      <c r="AD70" s="131">
        <v>0</v>
      </c>
      <c r="AE70" s="131">
        <v>0</v>
      </c>
      <c r="AF70" s="131">
        <v>173782366</v>
      </c>
      <c r="AG70" s="131">
        <v>0</v>
      </c>
      <c r="AH70" s="131">
        <v>173782366</v>
      </c>
      <c r="AI70" s="131">
        <v>173782366</v>
      </c>
      <c r="AJ70" s="131">
        <v>0</v>
      </c>
      <c r="AK70" s="131">
        <v>0</v>
      </c>
      <c r="AM70" s="131">
        <v>173782366</v>
      </c>
      <c r="AN70" s="131">
        <v>173782366</v>
      </c>
      <c r="AO70" s="131">
        <v>0</v>
      </c>
      <c r="AP70" s="131">
        <v>173782366</v>
      </c>
      <c r="AQ70" s="131">
        <v>0</v>
      </c>
      <c r="AR70" s="131">
        <v>0</v>
      </c>
      <c r="AS70" t="s">
        <v>167</v>
      </c>
    </row>
    <row r="71" spans="1:45" x14ac:dyDescent="0.25">
      <c r="A71">
        <v>2019</v>
      </c>
      <c r="B71">
        <v>307</v>
      </c>
      <c r="C71">
        <v>1010204010202</v>
      </c>
      <c r="D71">
        <v>54</v>
      </c>
      <c r="E71" t="s">
        <v>2699</v>
      </c>
      <c r="F71">
        <v>1010204010202</v>
      </c>
      <c r="G71" s="10" t="s">
        <v>2700</v>
      </c>
      <c r="H71" t="s">
        <v>2573</v>
      </c>
      <c r="I71" s="131">
        <v>182000000</v>
      </c>
      <c r="J71" s="131">
        <v>182000000</v>
      </c>
      <c r="K71" s="131">
        <v>0</v>
      </c>
      <c r="L71" s="131">
        <v>182000000</v>
      </c>
      <c r="M71" s="131">
        <v>-182000000</v>
      </c>
      <c r="N71" s="131">
        <v>0</v>
      </c>
      <c r="O71" s="131">
        <v>182000000</v>
      </c>
      <c r="P71" s="131">
        <v>0</v>
      </c>
      <c r="Q71" s="131">
        <v>0</v>
      </c>
      <c r="R71" s="131">
        <v>0</v>
      </c>
      <c r="S71" s="131">
        <v>0</v>
      </c>
      <c r="T71" s="131">
        <v>0</v>
      </c>
      <c r="U71" s="131">
        <v>0</v>
      </c>
      <c r="V71" s="131">
        <v>0</v>
      </c>
      <c r="W71" s="131">
        <v>0</v>
      </c>
      <c r="X71" s="131">
        <v>0</v>
      </c>
      <c r="Y71" s="131">
        <v>0</v>
      </c>
      <c r="Z71" s="131">
        <v>0</v>
      </c>
      <c r="AA71" s="131">
        <v>0</v>
      </c>
      <c r="AB71" s="131">
        <v>0</v>
      </c>
      <c r="AC71" s="131">
        <v>0</v>
      </c>
      <c r="AD71" s="131">
        <v>0</v>
      </c>
      <c r="AE71" s="131">
        <v>0</v>
      </c>
      <c r="AF71" s="131">
        <v>0</v>
      </c>
      <c r="AG71" s="131">
        <v>0</v>
      </c>
      <c r="AH71" s="131">
        <v>0</v>
      </c>
      <c r="AI71" s="131">
        <v>0</v>
      </c>
      <c r="AJ71" s="131">
        <v>0</v>
      </c>
      <c r="AK71" s="131">
        <v>0</v>
      </c>
      <c r="AM71" s="131">
        <v>0</v>
      </c>
      <c r="AN71" s="131">
        <v>0</v>
      </c>
      <c r="AO71" s="131">
        <v>0</v>
      </c>
      <c r="AP71" s="131">
        <v>0</v>
      </c>
      <c r="AQ71" s="131">
        <v>0</v>
      </c>
      <c r="AR71" s="131">
        <v>0</v>
      </c>
      <c r="AS71" t="s">
        <v>2701</v>
      </c>
    </row>
    <row r="72" spans="1:45" x14ac:dyDescent="0.25">
      <c r="A72">
        <v>2019</v>
      </c>
      <c r="B72">
        <v>307</v>
      </c>
      <c r="C72">
        <v>10102040104</v>
      </c>
      <c r="D72" t="s">
        <v>226</v>
      </c>
      <c r="E72" t="s">
        <v>2702</v>
      </c>
      <c r="F72">
        <v>10102040104</v>
      </c>
      <c r="G72" s="10" t="s">
        <v>2703</v>
      </c>
      <c r="H72" t="s">
        <v>2573</v>
      </c>
      <c r="I72" s="131">
        <v>1065853756</v>
      </c>
      <c r="J72" s="131">
        <v>1065853756</v>
      </c>
      <c r="K72" s="131">
        <v>169985263</v>
      </c>
      <c r="L72" s="131">
        <v>0</v>
      </c>
      <c r="M72" s="131">
        <v>169985263</v>
      </c>
      <c r="N72" s="131">
        <v>169985263</v>
      </c>
      <c r="O72" s="131">
        <v>0</v>
      </c>
      <c r="P72" s="131">
        <v>1235839019</v>
      </c>
      <c r="Q72" s="131">
        <v>0</v>
      </c>
      <c r="R72" s="131">
        <v>0</v>
      </c>
      <c r="S72" s="131">
        <v>0</v>
      </c>
      <c r="T72" s="131">
        <v>0</v>
      </c>
      <c r="U72" s="131">
        <v>0</v>
      </c>
      <c r="V72" s="131">
        <v>0</v>
      </c>
      <c r="W72" s="131">
        <v>272414720.86000001</v>
      </c>
      <c r="X72" s="131">
        <v>0</v>
      </c>
      <c r="Y72" s="131">
        <v>272414720.86000001</v>
      </c>
      <c r="Z72" s="131">
        <v>0</v>
      </c>
      <c r="AA72" s="131">
        <v>0</v>
      </c>
      <c r="AB72" s="131">
        <v>0</v>
      </c>
      <c r="AC72" s="131">
        <v>0</v>
      </c>
      <c r="AD72" s="131">
        <v>0</v>
      </c>
      <c r="AE72" s="131">
        <v>0</v>
      </c>
      <c r="AF72" s="131">
        <v>272414720.86000001</v>
      </c>
      <c r="AG72" s="131">
        <v>0</v>
      </c>
      <c r="AH72" s="131">
        <v>272414720.86000001</v>
      </c>
      <c r="AI72" s="131">
        <v>272414720.86000001</v>
      </c>
      <c r="AJ72" s="131">
        <v>169985263</v>
      </c>
      <c r="AK72" s="131">
        <v>169985263</v>
      </c>
      <c r="AM72" s="131">
        <v>102429457.86</v>
      </c>
      <c r="AN72" s="131">
        <v>102429457.86</v>
      </c>
      <c r="AO72" s="131">
        <v>0</v>
      </c>
      <c r="AP72" s="131">
        <v>102429457.86</v>
      </c>
      <c r="AQ72" s="131">
        <v>0</v>
      </c>
      <c r="AR72" s="131">
        <v>0</v>
      </c>
      <c r="AS72" t="s">
        <v>1709</v>
      </c>
    </row>
    <row r="73" spans="1:45" x14ac:dyDescent="0.25">
      <c r="A73">
        <v>2019</v>
      </c>
      <c r="B73">
        <v>307</v>
      </c>
      <c r="C73">
        <v>1010204010414</v>
      </c>
      <c r="D73">
        <v>56</v>
      </c>
      <c r="E73" t="s">
        <v>2704</v>
      </c>
      <c r="F73">
        <v>1010204010414</v>
      </c>
      <c r="G73" s="10" t="s">
        <v>2705</v>
      </c>
      <c r="H73" t="s">
        <v>2573</v>
      </c>
      <c r="I73" s="131">
        <v>1065853756</v>
      </c>
      <c r="J73" s="131">
        <v>1065853756</v>
      </c>
      <c r="K73" s="131">
        <v>0</v>
      </c>
      <c r="L73" s="131">
        <v>0</v>
      </c>
      <c r="M73" s="131">
        <v>0</v>
      </c>
      <c r="N73" s="131">
        <v>0</v>
      </c>
      <c r="O73" s="131">
        <v>0</v>
      </c>
      <c r="P73" s="131">
        <v>1065853756</v>
      </c>
      <c r="Q73" s="131">
        <v>0</v>
      </c>
      <c r="R73" s="131">
        <v>0</v>
      </c>
      <c r="S73" s="131">
        <v>0</v>
      </c>
      <c r="T73" s="131">
        <v>0</v>
      </c>
      <c r="U73" s="131">
        <v>0</v>
      </c>
      <c r="V73" s="131">
        <v>0</v>
      </c>
      <c r="W73" s="131">
        <v>102429457.86</v>
      </c>
      <c r="X73" s="131">
        <v>0</v>
      </c>
      <c r="Y73" s="131">
        <v>102429457.86</v>
      </c>
      <c r="Z73" s="131">
        <v>0</v>
      </c>
      <c r="AA73" s="131">
        <v>0</v>
      </c>
      <c r="AB73" s="131">
        <v>0</v>
      </c>
      <c r="AC73" s="131">
        <v>0</v>
      </c>
      <c r="AD73" s="131">
        <v>0</v>
      </c>
      <c r="AE73" s="131">
        <v>0</v>
      </c>
      <c r="AF73" s="131">
        <v>102429457.86</v>
      </c>
      <c r="AG73" s="131">
        <v>0</v>
      </c>
      <c r="AH73" s="131">
        <v>102429457.86</v>
      </c>
      <c r="AI73" s="131">
        <v>102429457.86</v>
      </c>
      <c r="AJ73" s="131">
        <v>0</v>
      </c>
      <c r="AK73" s="131">
        <v>0</v>
      </c>
      <c r="AM73" s="131">
        <v>102429457.86</v>
      </c>
      <c r="AN73" s="131">
        <v>102429457.86</v>
      </c>
      <c r="AO73" s="131">
        <v>0</v>
      </c>
      <c r="AP73" s="131">
        <v>102429457.86</v>
      </c>
      <c r="AQ73" s="131">
        <v>0</v>
      </c>
      <c r="AR73" s="131">
        <v>0</v>
      </c>
      <c r="AS73" t="s">
        <v>1716</v>
      </c>
    </row>
    <row r="74" spans="1:45" ht="45" x14ac:dyDescent="0.25">
      <c r="A74">
        <v>2019</v>
      </c>
      <c r="B74">
        <v>307</v>
      </c>
      <c r="C74">
        <v>1010204010418</v>
      </c>
      <c r="D74">
        <v>163</v>
      </c>
      <c r="E74" t="s">
        <v>2706</v>
      </c>
      <c r="F74">
        <v>1010204010418</v>
      </c>
      <c r="G74" s="10" t="s">
        <v>2707</v>
      </c>
      <c r="H74" t="s">
        <v>2573</v>
      </c>
      <c r="I74" s="131">
        <v>0</v>
      </c>
      <c r="J74" s="131">
        <v>0</v>
      </c>
      <c r="K74" s="131">
        <v>169985263</v>
      </c>
      <c r="L74" s="131">
        <v>0</v>
      </c>
      <c r="M74" s="131">
        <v>169985263</v>
      </c>
      <c r="N74" s="131">
        <v>169985263</v>
      </c>
      <c r="O74" s="131">
        <v>0</v>
      </c>
      <c r="P74" s="131">
        <v>169985263</v>
      </c>
      <c r="Q74" s="131">
        <v>0</v>
      </c>
      <c r="R74" s="131">
        <v>0</v>
      </c>
      <c r="S74" s="131">
        <v>0</v>
      </c>
      <c r="T74" s="131">
        <v>0</v>
      </c>
      <c r="U74" s="131">
        <v>0</v>
      </c>
      <c r="V74" s="131">
        <v>0</v>
      </c>
      <c r="W74" s="131">
        <v>169985263</v>
      </c>
      <c r="X74" s="131">
        <v>0</v>
      </c>
      <c r="Y74" s="131">
        <v>169985263</v>
      </c>
      <c r="Z74" s="131">
        <v>0</v>
      </c>
      <c r="AA74" s="131">
        <v>0</v>
      </c>
      <c r="AB74" s="131">
        <v>0</v>
      </c>
      <c r="AC74" s="131">
        <v>0</v>
      </c>
      <c r="AD74" s="131">
        <v>0</v>
      </c>
      <c r="AE74" s="131">
        <v>0</v>
      </c>
      <c r="AF74" s="131">
        <v>169985263</v>
      </c>
      <c r="AG74" s="131">
        <v>0</v>
      </c>
      <c r="AH74" s="131">
        <v>169985263</v>
      </c>
      <c r="AI74" s="131">
        <v>169985263</v>
      </c>
      <c r="AJ74" s="131">
        <v>169985263</v>
      </c>
      <c r="AK74" s="131">
        <v>169985263</v>
      </c>
      <c r="AM74" s="131">
        <v>0</v>
      </c>
      <c r="AN74" s="131">
        <v>0</v>
      </c>
      <c r="AO74" s="131">
        <v>0</v>
      </c>
      <c r="AP74" s="131">
        <v>0</v>
      </c>
      <c r="AQ74" s="131">
        <v>0</v>
      </c>
      <c r="AR74" s="131">
        <v>0</v>
      </c>
      <c r="AS74" t="s">
        <v>2708</v>
      </c>
    </row>
    <row r="75" spans="1:45" x14ac:dyDescent="0.25">
      <c r="A75">
        <v>2019</v>
      </c>
      <c r="B75">
        <v>307</v>
      </c>
      <c r="C75">
        <v>10102040106</v>
      </c>
      <c r="D75" t="s">
        <v>226</v>
      </c>
      <c r="E75" t="s">
        <v>2709</v>
      </c>
      <c r="F75">
        <v>10102040106</v>
      </c>
      <c r="G75" s="10" t="s">
        <v>2710</v>
      </c>
      <c r="H75" t="s">
        <v>2573</v>
      </c>
      <c r="I75" s="131">
        <v>185571457</v>
      </c>
      <c r="J75" s="131">
        <v>185571457</v>
      </c>
      <c r="K75" s="131">
        <v>0</v>
      </c>
      <c r="L75" s="131">
        <v>0</v>
      </c>
      <c r="M75" s="131">
        <v>0</v>
      </c>
      <c r="N75" s="131">
        <v>0</v>
      </c>
      <c r="O75" s="131">
        <v>0</v>
      </c>
      <c r="P75" s="131">
        <v>185571457</v>
      </c>
      <c r="Q75" s="131">
        <v>0</v>
      </c>
      <c r="R75" s="131">
        <v>0</v>
      </c>
      <c r="S75" s="131">
        <v>0</v>
      </c>
      <c r="T75" s="131">
        <v>0</v>
      </c>
      <c r="U75" s="131">
        <v>0</v>
      </c>
      <c r="V75" s="131">
        <v>0</v>
      </c>
      <c r="W75" s="131">
        <v>293650481.89999998</v>
      </c>
      <c r="X75" s="131">
        <v>59015540</v>
      </c>
      <c r="Y75" s="131">
        <v>234634941.90000001</v>
      </c>
      <c r="Z75" s="131">
        <v>0</v>
      </c>
      <c r="AA75" s="131">
        <v>0</v>
      </c>
      <c r="AB75" s="131">
        <v>0</v>
      </c>
      <c r="AC75" s="131">
        <v>0</v>
      </c>
      <c r="AD75" s="131">
        <v>0</v>
      </c>
      <c r="AE75" s="131">
        <v>0</v>
      </c>
      <c r="AF75" s="131">
        <v>293650481.89999998</v>
      </c>
      <c r="AG75" s="131">
        <v>59015540</v>
      </c>
      <c r="AH75" s="131">
        <v>234634941.90000001</v>
      </c>
      <c r="AI75" s="131">
        <v>234634941.90000001</v>
      </c>
      <c r="AJ75" s="131">
        <v>0</v>
      </c>
      <c r="AK75" s="131">
        <v>0</v>
      </c>
      <c r="AM75" s="131">
        <v>234634941.90000001</v>
      </c>
      <c r="AN75" s="131">
        <v>293650481.89999998</v>
      </c>
      <c r="AO75" s="131">
        <v>59015540</v>
      </c>
      <c r="AP75" s="131">
        <v>293650481.89999998</v>
      </c>
      <c r="AQ75" s="131">
        <v>0</v>
      </c>
      <c r="AR75" s="131">
        <v>59015540</v>
      </c>
      <c r="AS75" t="s">
        <v>1709</v>
      </c>
    </row>
    <row r="76" spans="1:45" x14ac:dyDescent="0.25">
      <c r="A76">
        <v>2019</v>
      </c>
      <c r="B76">
        <v>307</v>
      </c>
      <c r="C76">
        <v>1010204010601</v>
      </c>
      <c r="D76">
        <v>145</v>
      </c>
      <c r="E76" t="s">
        <v>2711</v>
      </c>
      <c r="F76">
        <v>1010204010601</v>
      </c>
      <c r="G76" s="10" t="s">
        <v>2712</v>
      </c>
      <c r="H76" t="s">
        <v>2573</v>
      </c>
      <c r="I76" s="131">
        <v>185571457</v>
      </c>
      <c r="J76" s="131">
        <v>185571457</v>
      </c>
      <c r="K76" s="131">
        <v>0</v>
      </c>
      <c r="L76" s="131">
        <v>0</v>
      </c>
      <c r="M76" s="131">
        <v>0</v>
      </c>
      <c r="N76" s="131">
        <v>0</v>
      </c>
      <c r="O76" s="131">
        <v>0</v>
      </c>
      <c r="P76" s="131">
        <v>185571457</v>
      </c>
      <c r="Q76" s="131">
        <v>0</v>
      </c>
      <c r="R76" s="131">
        <v>0</v>
      </c>
      <c r="S76" s="131">
        <v>0</v>
      </c>
      <c r="T76" s="131">
        <v>0</v>
      </c>
      <c r="U76" s="131">
        <v>0</v>
      </c>
      <c r="V76" s="131">
        <v>0</v>
      </c>
      <c r="W76" s="131">
        <v>293650481.89999998</v>
      </c>
      <c r="X76" s="131">
        <v>59015540</v>
      </c>
      <c r="Y76" s="131">
        <v>234634941.90000001</v>
      </c>
      <c r="Z76" s="131">
        <v>0</v>
      </c>
      <c r="AA76" s="131">
        <v>0</v>
      </c>
      <c r="AB76" s="131">
        <v>0</v>
      </c>
      <c r="AC76" s="131">
        <v>0</v>
      </c>
      <c r="AD76" s="131">
        <v>0</v>
      </c>
      <c r="AE76" s="131">
        <v>0</v>
      </c>
      <c r="AF76" s="131">
        <v>293650481.89999998</v>
      </c>
      <c r="AG76" s="131">
        <v>59015540</v>
      </c>
      <c r="AH76" s="131">
        <v>234634941.90000001</v>
      </c>
      <c r="AI76" s="131">
        <v>234634941.90000001</v>
      </c>
      <c r="AJ76" s="131">
        <v>0</v>
      </c>
      <c r="AK76" s="131">
        <v>0</v>
      </c>
      <c r="AM76" s="131">
        <v>234634941.90000001</v>
      </c>
      <c r="AN76" s="131">
        <v>293650481.89999998</v>
      </c>
      <c r="AO76" s="131">
        <v>59015540</v>
      </c>
      <c r="AP76" s="131">
        <v>293650481.89999998</v>
      </c>
      <c r="AQ76" s="131">
        <v>0</v>
      </c>
      <c r="AR76" s="131">
        <v>59015540</v>
      </c>
      <c r="AS76" t="s">
        <v>66</v>
      </c>
    </row>
    <row r="77" spans="1:45" x14ac:dyDescent="0.25">
      <c r="A77">
        <v>2019</v>
      </c>
      <c r="B77">
        <v>307</v>
      </c>
      <c r="C77">
        <v>1010205</v>
      </c>
      <c r="D77" t="s">
        <v>226</v>
      </c>
      <c r="E77" t="s">
        <v>2713</v>
      </c>
      <c r="F77">
        <v>1010205</v>
      </c>
      <c r="G77" s="10" t="s">
        <v>2714</v>
      </c>
      <c r="H77" t="s">
        <v>2573</v>
      </c>
      <c r="I77" s="131">
        <v>493401394</v>
      </c>
      <c r="J77" s="131">
        <v>493401394</v>
      </c>
      <c r="K77" s="131">
        <v>38506839</v>
      </c>
      <c r="L77" s="131">
        <v>0</v>
      </c>
      <c r="M77" s="131">
        <v>38506839</v>
      </c>
      <c r="N77" s="131">
        <v>38506839</v>
      </c>
      <c r="O77" s="131">
        <v>0</v>
      </c>
      <c r="P77" s="131">
        <v>531908233</v>
      </c>
      <c r="Q77" s="131">
        <v>0</v>
      </c>
      <c r="R77" s="131">
        <v>0</v>
      </c>
      <c r="S77" s="131">
        <v>0</v>
      </c>
      <c r="T77" s="131">
        <v>0</v>
      </c>
      <c r="U77" s="131">
        <v>0</v>
      </c>
      <c r="V77" s="131">
        <v>0</v>
      </c>
      <c r="W77" s="131">
        <v>619375456</v>
      </c>
      <c r="X77" s="131">
        <v>52799615</v>
      </c>
      <c r="Y77" s="131">
        <v>566575841</v>
      </c>
      <c r="Z77" s="131">
        <v>0</v>
      </c>
      <c r="AA77" s="131">
        <v>0</v>
      </c>
      <c r="AB77" s="131">
        <v>0</v>
      </c>
      <c r="AC77" s="131">
        <v>0</v>
      </c>
      <c r="AD77" s="131">
        <v>0</v>
      </c>
      <c r="AE77" s="131">
        <v>0</v>
      </c>
      <c r="AF77" s="131">
        <v>619375456</v>
      </c>
      <c r="AG77" s="131">
        <v>52799615</v>
      </c>
      <c r="AH77" s="131">
        <v>566575841</v>
      </c>
      <c r="AI77" s="131">
        <v>566575841</v>
      </c>
      <c r="AJ77" s="131">
        <v>0</v>
      </c>
      <c r="AK77" s="131">
        <v>0</v>
      </c>
      <c r="AM77" s="131">
        <v>569223342</v>
      </c>
      <c r="AN77" s="131">
        <v>619375456</v>
      </c>
      <c r="AO77" s="131">
        <v>50152114</v>
      </c>
      <c r="AP77" s="131">
        <v>619375456</v>
      </c>
      <c r="AQ77" s="131">
        <v>0</v>
      </c>
      <c r="AR77" s="131">
        <v>50152114</v>
      </c>
      <c r="AS77" t="s">
        <v>1709</v>
      </c>
    </row>
    <row r="78" spans="1:45" ht="30" x14ac:dyDescent="0.25">
      <c r="A78">
        <v>2019</v>
      </c>
      <c r="B78">
        <v>307</v>
      </c>
      <c r="C78">
        <v>101020501</v>
      </c>
      <c r="D78">
        <v>20</v>
      </c>
      <c r="E78" t="s">
        <v>2715</v>
      </c>
      <c r="F78">
        <v>101020501</v>
      </c>
      <c r="G78" s="10" t="s">
        <v>2716</v>
      </c>
      <c r="H78" t="s">
        <v>2573</v>
      </c>
      <c r="I78" s="131">
        <v>326061194</v>
      </c>
      <c r="J78" s="131">
        <v>326061194</v>
      </c>
      <c r="K78" s="131">
        <v>0</v>
      </c>
      <c r="L78" s="131">
        <v>0</v>
      </c>
      <c r="M78" s="131">
        <v>0</v>
      </c>
      <c r="N78" s="131">
        <v>0</v>
      </c>
      <c r="O78" s="131">
        <v>0</v>
      </c>
      <c r="P78" s="131">
        <v>326061194</v>
      </c>
      <c r="Q78" s="131">
        <v>0</v>
      </c>
      <c r="R78" s="131">
        <v>0</v>
      </c>
      <c r="S78" s="131">
        <v>0</v>
      </c>
      <c r="T78" s="131">
        <v>0</v>
      </c>
      <c r="U78" s="131">
        <v>0</v>
      </c>
      <c r="V78" s="131">
        <v>0</v>
      </c>
      <c r="W78" s="131">
        <v>178464203</v>
      </c>
      <c r="X78" s="131">
        <v>22587879</v>
      </c>
      <c r="Y78" s="131">
        <v>155876324</v>
      </c>
      <c r="Z78" s="131">
        <v>0</v>
      </c>
      <c r="AA78" s="131">
        <v>0</v>
      </c>
      <c r="AB78" s="131">
        <v>0</v>
      </c>
      <c r="AC78" s="131">
        <v>0</v>
      </c>
      <c r="AD78" s="131">
        <v>0</v>
      </c>
      <c r="AE78" s="131">
        <v>0</v>
      </c>
      <c r="AF78" s="131">
        <v>178464203</v>
      </c>
      <c r="AG78" s="131">
        <v>22587879</v>
      </c>
      <c r="AH78" s="131">
        <v>155876324</v>
      </c>
      <c r="AI78" s="131">
        <v>155876324</v>
      </c>
      <c r="AJ78" s="131">
        <v>0</v>
      </c>
      <c r="AK78" s="131">
        <v>0</v>
      </c>
      <c r="AM78" s="131">
        <v>158523825</v>
      </c>
      <c r="AN78" s="131">
        <v>178464203</v>
      </c>
      <c r="AO78" s="131">
        <v>19940378</v>
      </c>
      <c r="AP78" s="131">
        <v>178464203</v>
      </c>
      <c r="AQ78" s="131">
        <v>0</v>
      </c>
      <c r="AR78" s="131">
        <v>19940378</v>
      </c>
      <c r="AS78" t="s">
        <v>140</v>
      </c>
    </row>
    <row r="79" spans="1:45" x14ac:dyDescent="0.25">
      <c r="A79">
        <v>2019</v>
      </c>
      <c r="B79">
        <v>307</v>
      </c>
      <c r="C79">
        <v>101020502</v>
      </c>
      <c r="D79">
        <v>20</v>
      </c>
      <c r="E79" t="s">
        <v>2717</v>
      </c>
      <c r="F79">
        <v>101020502</v>
      </c>
      <c r="G79" s="10" t="s">
        <v>2718</v>
      </c>
      <c r="H79" t="s">
        <v>2573</v>
      </c>
      <c r="I79" s="131">
        <v>114340200</v>
      </c>
      <c r="J79" s="131">
        <v>114340200</v>
      </c>
      <c r="K79" s="131">
        <v>0</v>
      </c>
      <c r="L79" s="131">
        <v>0</v>
      </c>
      <c r="M79" s="131">
        <v>0</v>
      </c>
      <c r="N79" s="131">
        <v>0</v>
      </c>
      <c r="O79" s="131">
        <v>0</v>
      </c>
      <c r="P79" s="131">
        <v>114340200</v>
      </c>
      <c r="Q79" s="131">
        <v>0</v>
      </c>
      <c r="R79" s="131">
        <v>0</v>
      </c>
      <c r="S79" s="131">
        <v>0</v>
      </c>
      <c r="T79" s="131">
        <v>0</v>
      </c>
      <c r="U79" s="131">
        <v>0</v>
      </c>
      <c r="V79" s="131">
        <v>0</v>
      </c>
      <c r="W79" s="131">
        <v>144784476</v>
      </c>
      <c r="X79" s="131">
        <v>29990936</v>
      </c>
      <c r="Y79" s="131">
        <v>114793540</v>
      </c>
      <c r="Z79" s="131">
        <v>0</v>
      </c>
      <c r="AA79" s="131">
        <v>0</v>
      </c>
      <c r="AB79" s="131">
        <v>0</v>
      </c>
      <c r="AC79" s="131">
        <v>0</v>
      </c>
      <c r="AD79" s="131">
        <v>0</v>
      </c>
      <c r="AE79" s="131">
        <v>0</v>
      </c>
      <c r="AF79" s="131">
        <v>144784476</v>
      </c>
      <c r="AG79" s="131">
        <v>29990936</v>
      </c>
      <c r="AH79" s="131">
        <v>114793540</v>
      </c>
      <c r="AI79" s="131">
        <v>114793540</v>
      </c>
      <c r="AJ79" s="131">
        <v>0</v>
      </c>
      <c r="AK79" s="131">
        <v>0</v>
      </c>
      <c r="AM79" s="131">
        <v>114793540</v>
      </c>
      <c r="AN79" s="131">
        <v>144784476</v>
      </c>
      <c r="AO79" s="131">
        <v>29990936</v>
      </c>
      <c r="AP79" s="131">
        <v>144784476</v>
      </c>
      <c r="AQ79" s="131">
        <v>0</v>
      </c>
      <c r="AR79" s="131">
        <v>29990936</v>
      </c>
      <c r="AS79" t="s">
        <v>140</v>
      </c>
    </row>
    <row r="80" spans="1:45" ht="30" x14ac:dyDescent="0.25">
      <c r="A80">
        <v>2019</v>
      </c>
      <c r="B80">
        <v>307</v>
      </c>
      <c r="C80">
        <v>101020503</v>
      </c>
      <c r="D80">
        <v>20</v>
      </c>
      <c r="E80" t="s">
        <v>2719</v>
      </c>
      <c r="F80">
        <v>101020503</v>
      </c>
      <c r="G80" s="10" t="s">
        <v>1072</v>
      </c>
      <c r="H80" t="s">
        <v>2573</v>
      </c>
      <c r="I80" s="131">
        <v>53000000</v>
      </c>
      <c r="J80" s="131">
        <v>53000000</v>
      </c>
      <c r="K80" s="131">
        <v>0</v>
      </c>
      <c r="L80" s="131">
        <v>0</v>
      </c>
      <c r="M80" s="131">
        <v>0</v>
      </c>
      <c r="N80" s="131">
        <v>0</v>
      </c>
      <c r="O80" s="131">
        <v>0</v>
      </c>
      <c r="P80" s="131">
        <v>53000000</v>
      </c>
      <c r="Q80" s="131">
        <v>0</v>
      </c>
      <c r="R80" s="131">
        <v>0</v>
      </c>
      <c r="S80" s="131">
        <v>0</v>
      </c>
      <c r="T80" s="131">
        <v>0</v>
      </c>
      <c r="U80" s="131">
        <v>0</v>
      </c>
      <c r="V80" s="131">
        <v>0</v>
      </c>
      <c r="W80" s="131">
        <v>109697800</v>
      </c>
      <c r="X80" s="131">
        <v>220800</v>
      </c>
      <c r="Y80" s="131">
        <v>109477000</v>
      </c>
      <c r="Z80" s="131">
        <v>0</v>
      </c>
      <c r="AA80" s="131">
        <v>0</v>
      </c>
      <c r="AB80" s="131">
        <v>0</v>
      </c>
      <c r="AC80" s="131">
        <v>0</v>
      </c>
      <c r="AD80" s="131">
        <v>0</v>
      </c>
      <c r="AE80" s="131">
        <v>0</v>
      </c>
      <c r="AF80" s="131">
        <v>109697800</v>
      </c>
      <c r="AG80" s="131">
        <v>220800</v>
      </c>
      <c r="AH80" s="131">
        <v>109477000</v>
      </c>
      <c r="AI80" s="131">
        <v>109477000</v>
      </c>
      <c r="AJ80" s="131">
        <v>0</v>
      </c>
      <c r="AK80" s="131">
        <v>0</v>
      </c>
      <c r="AM80" s="131">
        <v>109477000</v>
      </c>
      <c r="AN80" s="131">
        <v>109697800</v>
      </c>
      <c r="AO80" s="131">
        <v>220800</v>
      </c>
      <c r="AP80" s="131">
        <v>109697800</v>
      </c>
      <c r="AQ80" s="131">
        <v>0</v>
      </c>
      <c r="AR80" s="131">
        <v>220800</v>
      </c>
      <c r="AS80" t="s">
        <v>140</v>
      </c>
    </row>
    <row r="81" spans="1:45" x14ac:dyDescent="0.25">
      <c r="A81">
        <v>2019</v>
      </c>
      <c r="B81">
        <v>307</v>
      </c>
      <c r="C81">
        <v>101020504</v>
      </c>
      <c r="D81">
        <v>138</v>
      </c>
      <c r="E81" t="s">
        <v>2720</v>
      </c>
      <c r="F81">
        <v>101020504</v>
      </c>
      <c r="G81" s="10" t="s">
        <v>1071</v>
      </c>
      <c r="H81" t="s">
        <v>2573</v>
      </c>
      <c r="I81" s="131">
        <v>0</v>
      </c>
      <c r="J81" s="131">
        <v>0</v>
      </c>
      <c r="K81" s="131">
        <v>38506839</v>
      </c>
      <c r="L81" s="131">
        <v>0</v>
      </c>
      <c r="M81" s="131">
        <v>38506839</v>
      </c>
      <c r="N81" s="131">
        <v>38506839</v>
      </c>
      <c r="O81" s="131">
        <v>0</v>
      </c>
      <c r="P81" s="131">
        <v>38506839</v>
      </c>
      <c r="Q81" s="131">
        <v>0</v>
      </c>
      <c r="R81" s="131">
        <v>0</v>
      </c>
      <c r="S81" s="131">
        <v>0</v>
      </c>
      <c r="T81" s="131">
        <v>0</v>
      </c>
      <c r="U81" s="131">
        <v>0</v>
      </c>
      <c r="V81" s="131">
        <v>0</v>
      </c>
      <c r="W81" s="131">
        <v>186428977</v>
      </c>
      <c r="X81" s="131">
        <v>0</v>
      </c>
      <c r="Y81" s="131">
        <v>186428977</v>
      </c>
      <c r="Z81" s="131">
        <v>0</v>
      </c>
      <c r="AA81" s="131">
        <v>0</v>
      </c>
      <c r="AB81" s="131">
        <v>0</v>
      </c>
      <c r="AC81" s="131">
        <v>0</v>
      </c>
      <c r="AD81" s="131">
        <v>0</v>
      </c>
      <c r="AE81" s="131">
        <v>0</v>
      </c>
      <c r="AF81" s="131">
        <v>186428977</v>
      </c>
      <c r="AG81" s="131">
        <v>0</v>
      </c>
      <c r="AH81" s="131">
        <v>186428977</v>
      </c>
      <c r="AI81" s="131">
        <v>186428977</v>
      </c>
      <c r="AJ81" s="131">
        <v>0</v>
      </c>
      <c r="AK81" s="131">
        <v>0</v>
      </c>
      <c r="AM81" s="131">
        <v>186428977</v>
      </c>
      <c r="AN81" s="131">
        <v>186428977</v>
      </c>
      <c r="AO81" s="131">
        <v>0</v>
      </c>
      <c r="AP81" s="131">
        <v>186428977</v>
      </c>
      <c r="AQ81" s="131">
        <v>0</v>
      </c>
      <c r="AR81" s="131">
        <v>0</v>
      </c>
      <c r="AS81" t="s">
        <v>2721</v>
      </c>
    </row>
    <row r="82" spans="1:45" ht="30" x14ac:dyDescent="0.25">
      <c r="A82">
        <v>2019</v>
      </c>
      <c r="B82">
        <v>307</v>
      </c>
      <c r="C82">
        <v>1010206</v>
      </c>
      <c r="D82" t="s">
        <v>226</v>
      </c>
      <c r="E82" t="s">
        <v>2722</v>
      </c>
      <c r="F82">
        <v>1010206</v>
      </c>
      <c r="G82" s="10" t="s">
        <v>2723</v>
      </c>
      <c r="H82" t="s">
        <v>2573</v>
      </c>
      <c r="I82" s="131">
        <v>1777776000</v>
      </c>
      <c r="J82" s="131">
        <v>1777776000</v>
      </c>
      <c r="K82" s="131">
        <v>0</v>
      </c>
      <c r="L82" s="131">
        <v>287795359</v>
      </c>
      <c r="M82" s="131">
        <v>-287795359</v>
      </c>
      <c r="N82" s="131">
        <v>0</v>
      </c>
      <c r="O82" s="131">
        <v>287795359</v>
      </c>
      <c r="P82" s="131">
        <v>1489980641</v>
      </c>
      <c r="Q82" s="131">
        <v>307940924.87</v>
      </c>
      <c r="R82" s="131">
        <v>129393448.08</v>
      </c>
      <c r="S82" s="131">
        <v>178547476.78999999</v>
      </c>
      <c r="T82" s="131">
        <v>0</v>
      </c>
      <c r="U82" s="131">
        <v>0</v>
      </c>
      <c r="V82" s="131">
        <v>0</v>
      </c>
      <c r="W82" s="131">
        <v>1365071779.1800001</v>
      </c>
      <c r="X82" s="131">
        <v>6040248.2699999996</v>
      </c>
      <c r="Y82" s="131">
        <v>1359031530.9100001</v>
      </c>
      <c r="Z82" s="131">
        <v>307940924.87</v>
      </c>
      <c r="AA82" s="131">
        <v>129393448.08</v>
      </c>
      <c r="AB82" s="131">
        <v>178547476.78999999</v>
      </c>
      <c r="AC82" s="131">
        <v>0</v>
      </c>
      <c r="AD82" s="131">
        <v>0</v>
      </c>
      <c r="AE82" s="131">
        <v>0</v>
      </c>
      <c r="AF82" s="131">
        <v>1365071779.1800001</v>
      </c>
      <c r="AG82" s="131">
        <v>6040248.2699999996</v>
      </c>
      <c r="AH82" s="131">
        <v>1359031530.9100001</v>
      </c>
      <c r="AI82" s="131">
        <v>1359031530.9100001</v>
      </c>
      <c r="AJ82" s="131">
        <v>0</v>
      </c>
      <c r="AK82" s="131">
        <v>0</v>
      </c>
      <c r="AM82" s="131">
        <v>1363242979.1800001</v>
      </c>
      <c r="AN82" s="131">
        <v>1364151779.1800001</v>
      </c>
      <c r="AO82" s="131">
        <v>908800</v>
      </c>
      <c r="AP82" s="131">
        <v>1364151779.1800001</v>
      </c>
      <c r="AQ82" s="131">
        <v>0</v>
      </c>
      <c r="AR82" s="131">
        <v>908800</v>
      </c>
      <c r="AS82" t="s">
        <v>1709</v>
      </c>
    </row>
    <row r="83" spans="1:45" ht="30" x14ac:dyDescent="0.25">
      <c r="A83">
        <v>2019</v>
      </c>
      <c r="B83">
        <v>307</v>
      </c>
      <c r="C83">
        <v>101020601</v>
      </c>
      <c r="D83">
        <v>20</v>
      </c>
      <c r="E83" t="s">
        <v>2724</v>
      </c>
      <c r="F83">
        <v>101020601</v>
      </c>
      <c r="G83" s="10" t="s">
        <v>2725</v>
      </c>
      <c r="H83" t="s">
        <v>2573</v>
      </c>
      <c r="I83" s="131">
        <v>1777776000</v>
      </c>
      <c r="J83" s="131">
        <v>1777776000</v>
      </c>
      <c r="K83" s="131">
        <v>0</v>
      </c>
      <c r="L83" s="131">
        <v>287795359</v>
      </c>
      <c r="M83" s="131">
        <v>-287795359</v>
      </c>
      <c r="N83" s="131">
        <v>0</v>
      </c>
      <c r="O83" s="131">
        <v>287795359</v>
      </c>
      <c r="P83" s="131">
        <v>1489980641</v>
      </c>
      <c r="Q83" s="131">
        <v>307940924.87</v>
      </c>
      <c r="R83" s="131">
        <v>129393448.08</v>
      </c>
      <c r="S83" s="131">
        <v>178547476.78999999</v>
      </c>
      <c r="T83" s="131">
        <v>0</v>
      </c>
      <c r="U83" s="131">
        <v>0</v>
      </c>
      <c r="V83" s="131">
        <v>0</v>
      </c>
      <c r="W83" s="131">
        <v>1365071779.1800001</v>
      </c>
      <c r="X83" s="131">
        <v>6040248.2699999996</v>
      </c>
      <c r="Y83" s="131">
        <v>1359031530.9100001</v>
      </c>
      <c r="Z83" s="131">
        <v>307940924.87</v>
      </c>
      <c r="AA83" s="131">
        <v>129393448.08</v>
      </c>
      <c r="AB83" s="131">
        <v>178547476.78999999</v>
      </c>
      <c r="AC83" s="131">
        <v>0</v>
      </c>
      <c r="AD83" s="131">
        <v>0</v>
      </c>
      <c r="AE83" s="131">
        <v>0</v>
      </c>
      <c r="AF83" s="131">
        <v>1365071779.1800001</v>
      </c>
      <c r="AG83" s="131">
        <v>6040248.2699999996</v>
      </c>
      <c r="AH83" s="131">
        <v>1359031530.9100001</v>
      </c>
      <c r="AI83" s="131">
        <v>1359031530.9100001</v>
      </c>
      <c r="AJ83" s="131">
        <v>0</v>
      </c>
      <c r="AK83" s="131">
        <v>0</v>
      </c>
      <c r="AM83" s="131">
        <v>1363242979.1800001</v>
      </c>
      <c r="AN83" s="131">
        <v>1364151779.1800001</v>
      </c>
      <c r="AO83" s="131">
        <v>908800</v>
      </c>
      <c r="AP83" s="131">
        <v>1364151779.1800001</v>
      </c>
      <c r="AQ83" s="131">
        <v>0</v>
      </c>
      <c r="AR83" s="131">
        <v>908800</v>
      </c>
      <c r="AS83" t="s">
        <v>140</v>
      </c>
    </row>
    <row r="84" spans="1:45" x14ac:dyDescent="0.25">
      <c r="A84">
        <v>2019</v>
      </c>
      <c r="B84">
        <v>307</v>
      </c>
      <c r="C84">
        <v>102</v>
      </c>
      <c r="D84" t="s">
        <v>226</v>
      </c>
      <c r="E84" t="s">
        <v>2726</v>
      </c>
      <c r="F84">
        <v>102</v>
      </c>
      <c r="G84" s="10" t="s">
        <v>953</v>
      </c>
      <c r="H84" t="s">
        <v>2573</v>
      </c>
      <c r="I84" s="131">
        <v>5205246431</v>
      </c>
      <c r="J84" s="131">
        <v>5205246431</v>
      </c>
      <c r="K84" s="131">
        <v>0</v>
      </c>
      <c r="L84" s="131">
        <v>14736358</v>
      </c>
      <c r="M84" s="131">
        <v>-14736358</v>
      </c>
      <c r="N84" s="131">
        <v>0</v>
      </c>
      <c r="O84" s="131">
        <v>14736358</v>
      </c>
      <c r="P84" s="131">
        <v>5190510073</v>
      </c>
      <c r="Q84" s="131">
        <v>0</v>
      </c>
      <c r="R84" s="131">
        <v>0</v>
      </c>
      <c r="S84" s="131">
        <v>0</v>
      </c>
      <c r="T84" s="131">
        <v>0</v>
      </c>
      <c r="U84" s="131">
        <v>0</v>
      </c>
      <c r="V84" s="131">
        <v>0</v>
      </c>
      <c r="W84" s="131">
        <v>4094218293.8000002</v>
      </c>
      <c r="X84" s="131">
        <v>30703817</v>
      </c>
      <c r="Y84" s="131">
        <v>4063514476.8000002</v>
      </c>
      <c r="Z84" s="131">
        <v>0</v>
      </c>
      <c r="AA84" s="131">
        <v>0</v>
      </c>
      <c r="AB84" s="131">
        <v>0</v>
      </c>
      <c r="AC84" s="131">
        <v>0</v>
      </c>
      <c r="AD84" s="131">
        <v>0</v>
      </c>
      <c r="AE84" s="131">
        <v>0</v>
      </c>
      <c r="AF84" s="131">
        <v>4094218293.8000002</v>
      </c>
      <c r="AG84" s="131">
        <v>30703817</v>
      </c>
      <c r="AH84" s="131">
        <v>4063514476.8000002</v>
      </c>
      <c r="AI84" s="131">
        <v>4063514476.8000002</v>
      </c>
      <c r="AJ84" s="131">
        <v>2591680073</v>
      </c>
      <c r="AK84" s="131">
        <v>2591680073</v>
      </c>
      <c r="AM84" s="131">
        <v>1471834403.8</v>
      </c>
      <c r="AN84" s="131">
        <v>1502538220.8</v>
      </c>
      <c r="AO84" s="131">
        <v>30703817</v>
      </c>
      <c r="AP84" s="131">
        <v>1502538220.8</v>
      </c>
      <c r="AQ84" s="131">
        <v>0</v>
      </c>
      <c r="AR84" s="131">
        <v>30703817</v>
      </c>
      <c r="AS84" t="s">
        <v>1709</v>
      </c>
    </row>
    <row r="85" spans="1:45" x14ac:dyDescent="0.25">
      <c r="A85">
        <v>2019</v>
      </c>
      <c r="B85">
        <v>307</v>
      </c>
      <c r="C85">
        <v>10201</v>
      </c>
      <c r="D85" t="s">
        <v>226</v>
      </c>
      <c r="E85" t="s">
        <v>2727</v>
      </c>
      <c r="F85">
        <v>10201</v>
      </c>
      <c r="G85" s="10" t="s">
        <v>961</v>
      </c>
      <c r="H85" t="s">
        <v>2573</v>
      </c>
      <c r="I85" s="131">
        <v>2600000000</v>
      </c>
      <c r="J85" s="131">
        <v>2600000000</v>
      </c>
      <c r="K85" s="131">
        <v>0</v>
      </c>
      <c r="L85" s="131">
        <v>1170000</v>
      </c>
      <c r="M85" s="131">
        <v>-1170000</v>
      </c>
      <c r="N85" s="131">
        <v>0</v>
      </c>
      <c r="O85" s="131">
        <v>1170000</v>
      </c>
      <c r="P85" s="131">
        <v>2598830000</v>
      </c>
      <c r="Q85" s="131">
        <v>0</v>
      </c>
      <c r="R85" s="131">
        <v>0</v>
      </c>
      <c r="S85" s="131">
        <v>0</v>
      </c>
      <c r="T85" s="131">
        <v>0</v>
      </c>
      <c r="U85" s="131">
        <v>0</v>
      </c>
      <c r="V85" s="131">
        <v>0</v>
      </c>
      <c r="W85" s="131">
        <v>1502538220.8</v>
      </c>
      <c r="X85" s="131">
        <v>30703817</v>
      </c>
      <c r="Y85" s="131">
        <v>1471834403.8</v>
      </c>
      <c r="Z85" s="131">
        <v>0</v>
      </c>
      <c r="AA85" s="131">
        <v>0</v>
      </c>
      <c r="AB85" s="131">
        <v>0</v>
      </c>
      <c r="AC85" s="131">
        <v>0</v>
      </c>
      <c r="AD85" s="131">
        <v>0</v>
      </c>
      <c r="AE85" s="131">
        <v>0</v>
      </c>
      <c r="AF85" s="131">
        <v>1502538220.8</v>
      </c>
      <c r="AG85" s="131">
        <v>30703817</v>
      </c>
      <c r="AH85" s="131">
        <v>1471834403.8</v>
      </c>
      <c r="AI85" s="131">
        <v>1471834403.8</v>
      </c>
      <c r="AJ85" s="131">
        <v>0</v>
      </c>
      <c r="AK85" s="131">
        <v>0</v>
      </c>
      <c r="AM85" s="131">
        <v>1471834403.8</v>
      </c>
      <c r="AN85" s="131">
        <v>1502538220.8</v>
      </c>
      <c r="AO85" s="131">
        <v>30703817</v>
      </c>
      <c r="AP85" s="131">
        <v>1502538220.8</v>
      </c>
      <c r="AQ85" s="131">
        <v>0</v>
      </c>
      <c r="AR85" s="131">
        <v>30703817</v>
      </c>
      <c r="AS85" t="s">
        <v>1709</v>
      </c>
    </row>
    <row r="86" spans="1:45" ht="30" x14ac:dyDescent="0.25">
      <c r="A86">
        <v>2019</v>
      </c>
      <c r="B86">
        <v>307</v>
      </c>
      <c r="C86">
        <v>1020101</v>
      </c>
      <c r="D86">
        <v>42</v>
      </c>
      <c r="E86" t="s">
        <v>2728</v>
      </c>
      <c r="F86">
        <v>1020101</v>
      </c>
      <c r="G86" s="10" t="s">
        <v>2729</v>
      </c>
      <c r="H86" t="s">
        <v>2573</v>
      </c>
      <c r="I86" s="131">
        <v>2600000000</v>
      </c>
      <c r="J86" s="131">
        <v>2600000000</v>
      </c>
      <c r="K86" s="131">
        <v>0</v>
      </c>
      <c r="L86" s="131">
        <v>1170000</v>
      </c>
      <c r="M86" s="131">
        <v>-1170000</v>
      </c>
      <c r="N86" s="131">
        <v>0</v>
      </c>
      <c r="O86" s="131">
        <v>1170000</v>
      </c>
      <c r="P86" s="131">
        <v>2598830000</v>
      </c>
      <c r="Q86" s="131">
        <v>0</v>
      </c>
      <c r="R86" s="131">
        <v>0</v>
      </c>
      <c r="S86" s="131">
        <v>0</v>
      </c>
      <c r="T86" s="131">
        <v>0</v>
      </c>
      <c r="U86" s="131">
        <v>0</v>
      </c>
      <c r="V86" s="131">
        <v>0</v>
      </c>
      <c r="W86" s="131">
        <v>1502538220.8</v>
      </c>
      <c r="X86" s="131">
        <v>30703817</v>
      </c>
      <c r="Y86" s="131">
        <v>1471834403.8</v>
      </c>
      <c r="Z86" s="131">
        <v>0</v>
      </c>
      <c r="AA86" s="131">
        <v>0</v>
      </c>
      <c r="AB86" s="131">
        <v>0</v>
      </c>
      <c r="AC86" s="131">
        <v>0</v>
      </c>
      <c r="AD86" s="131">
        <v>0</v>
      </c>
      <c r="AE86" s="131">
        <v>0</v>
      </c>
      <c r="AF86" s="131">
        <v>1502538220.8</v>
      </c>
      <c r="AG86" s="131">
        <v>30703817</v>
      </c>
      <c r="AH86" s="131">
        <v>1471834403.8</v>
      </c>
      <c r="AI86" s="131">
        <v>1471834403.8</v>
      </c>
      <c r="AJ86" s="131">
        <v>0</v>
      </c>
      <c r="AK86" s="131">
        <v>0</v>
      </c>
      <c r="AM86" s="131">
        <v>1471834403.8</v>
      </c>
      <c r="AN86" s="131">
        <v>1502538220.8</v>
      </c>
      <c r="AO86" s="131">
        <v>30703817</v>
      </c>
      <c r="AP86" s="131">
        <v>1502538220.8</v>
      </c>
      <c r="AQ86" s="131">
        <v>0</v>
      </c>
      <c r="AR86" s="131">
        <v>30703817</v>
      </c>
      <c r="AS86" t="s">
        <v>163</v>
      </c>
    </row>
    <row r="87" spans="1:45" ht="30" x14ac:dyDescent="0.25">
      <c r="A87">
        <v>2019</v>
      </c>
      <c r="B87">
        <v>307</v>
      </c>
      <c r="C87">
        <v>10202</v>
      </c>
      <c r="D87" t="s">
        <v>226</v>
      </c>
      <c r="E87" t="s">
        <v>2730</v>
      </c>
      <c r="F87">
        <v>10202</v>
      </c>
      <c r="G87" s="10" t="s">
        <v>2731</v>
      </c>
      <c r="H87" t="s">
        <v>2573</v>
      </c>
      <c r="I87" s="131">
        <v>2605246431</v>
      </c>
      <c r="J87" s="131">
        <v>2605246431</v>
      </c>
      <c r="K87" s="131">
        <v>0</v>
      </c>
      <c r="L87" s="131">
        <v>13566358</v>
      </c>
      <c r="M87" s="131">
        <v>-13566358</v>
      </c>
      <c r="N87" s="131">
        <v>0</v>
      </c>
      <c r="O87" s="131">
        <v>13566358</v>
      </c>
      <c r="P87" s="131">
        <v>2591680073</v>
      </c>
      <c r="Q87" s="131">
        <v>0</v>
      </c>
      <c r="R87" s="131">
        <v>0</v>
      </c>
      <c r="S87" s="131">
        <v>0</v>
      </c>
      <c r="T87" s="131">
        <v>0</v>
      </c>
      <c r="U87" s="131">
        <v>0</v>
      </c>
      <c r="V87" s="131">
        <v>0</v>
      </c>
      <c r="W87" s="131">
        <v>2591680073</v>
      </c>
      <c r="X87" s="131">
        <v>0</v>
      </c>
      <c r="Y87" s="131">
        <v>2591680073</v>
      </c>
      <c r="Z87" s="131">
        <v>0</v>
      </c>
      <c r="AA87" s="131">
        <v>0</v>
      </c>
      <c r="AB87" s="131">
        <v>0</v>
      </c>
      <c r="AC87" s="131">
        <v>0</v>
      </c>
      <c r="AD87" s="131">
        <v>0</v>
      </c>
      <c r="AE87" s="131">
        <v>0</v>
      </c>
      <c r="AF87" s="131">
        <v>2591680073</v>
      </c>
      <c r="AG87" s="131">
        <v>0</v>
      </c>
      <c r="AH87" s="131">
        <v>2591680073</v>
      </c>
      <c r="AI87" s="131">
        <v>2591680073</v>
      </c>
      <c r="AJ87" s="131">
        <v>2591680073</v>
      </c>
      <c r="AK87" s="131">
        <v>2591680073</v>
      </c>
      <c r="AM87" s="131">
        <v>0</v>
      </c>
      <c r="AN87" s="131">
        <v>0</v>
      </c>
      <c r="AO87" s="131">
        <v>0</v>
      </c>
      <c r="AP87" s="131">
        <v>0</v>
      </c>
      <c r="AQ87" s="131">
        <v>0</v>
      </c>
      <c r="AR87" s="131">
        <v>0</v>
      </c>
      <c r="AS87" t="s">
        <v>1709</v>
      </c>
    </row>
    <row r="88" spans="1:45" ht="30" x14ac:dyDescent="0.25">
      <c r="A88">
        <v>2019</v>
      </c>
      <c r="B88">
        <v>307</v>
      </c>
      <c r="C88">
        <v>1020201</v>
      </c>
      <c r="D88">
        <v>27</v>
      </c>
      <c r="E88" t="s">
        <v>2732</v>
      </c>
      <c r="F88">
        <v>1020201</v>
      </c>
      <c r="G88" s="10" t="s">
        <v>2733</v>
      </c>
      <c r="H88" t="s">
        <v>2573</v>
      </c>
      <c r="I88" s="131">
        <v>2605246431</v>
      </c>
      <c r="J88" s="131">
        <v>2605246431</v>
      </c>
      <c r="K88" s="131">
        <v>0</v>
      </c>
      <c r="L88" s="131">
        <v>13566358</v>
      </c>
      <c r="M88" s="131">
        <v>-13566358</v>
      </c>
      <c r="N88" s="131">
        <v>0</v>
      </c>
      <c r="O88" s="131">
        <v>13566358</v>
      </c>
      <c r="P88" s="131">
        <v>2591680073</v>
      </c>
      <c r="Q88" s="131">
        <v>0</v>
      </c>
      <c r="R88" s="131">
        <v>0</v>
      </c>
      <c r="S88" s="131">
        <v>0</v>
      </c>
      <c r="T88" s="131">
        <v>0</v>
      </c>
      <c r="U88" s="131">
        <v>0</v>
      </c>
      <c r="V88" s="131">
        <v>0</v>
      </c>
      <c r="W88" s="131">
        <v>2591680073</v>
      </c>
      <c r="X88" s="131">
        <v>0</v>
      </c>
      <c r="Y88" s="131">
        <v>2591680073</v>
      </c>
      <c r="Z88" s="131">
        <v>0</v>
      </c>
      <c r="AA88" s="131">
        <v>0</v>
      </c>
      <c r="AB88" s="131">
        <v>0</v>
      </c>
      <c r="AC88" s="131">
        <v>0</v>
      </c>
      <c r="AD88" s="131">
        <v>0</v>
      </c>
      <c r="AE88" s="131">
        <v>0</v>
      </c>
      <c r="AF88" s="131">
        <v>2591680073</v>
      </c>
      <c r="AG88" s="131">
        <v>0</v>
      </c>
      <c r="AH88" s="131">
        <v>2591680073</v>
      </c>
      <c r="AI88" s="131">
        <v>2591680073</v>
      </c>
      <c r="AJ88" s="131">
        <v>2591680073</v>
      </c>
      <c r="AK88" s="131">
        <v>2591680073</v>
      </c>
      <c r="AM88" s="131">
        <v>0</v>
      </c>
      <c r="AN88" s="131">
        <v>0</v>
      </c>
      <c r="AO88" s="131">
        <v>0</v>
      </c>
      <c r="AP88" s="131">
        <v>0</v>
      </c>
      <c r="AQ88" s="131">
        <v>0</v>
      </c>
      <c r="AR88" s="131">
        <v>0</v>
      </c>
      <c r="AS88" t="s">
        <v>1710</v>
      </c>
    </row>
    <row r="89" spans="1:45" x14ac:dyDescent="0.25">
      <c r="A89">
        <v>2019</v>
      </c>
      <c r="B89">
        <v>307</v>
      </c>
      <c r="C89">
        <v>103</v>
      </c>
      <c r="D89" t="s">
        <v>226</v>
      </c>
      <c r="E89" t="s">
        <v>2734</v>
      </c>
      <c r="F89">
        <v>103</v>
      </c>
      <c r="G89" s="10" t="s">
        <v>954</v>
      </c>
      <c r="H89" t="s">
        <v>2573</v>
      </c>
      <c r="I89" s="131">
        <v>24563967081</v>
      </c>
      <c r="J89" s="131">
        <v>24563967081</v>
      </c>
      <c r="K89" s="131">
        <v>32792056186</v>
      </c>
      <c r="L89" s="131">
        <v>12451677411.940001</v>
      </c>
      <c r="M89" s="131">
        <v>20340378774.060001</v>
      </c>
      <c r="N89" s="131">
        <v>32792056186</v>
      </c>
      <c r="O89" s="131">
        <v>12451677411.940001</v>
      </c>
      <c r="P89" s="131">
        <v>44904345855.059998</v>
      </c>
      <c r="Q89" s="131">
        <v>0</v>
      </c>
      <c r="R89" s="131">
        <v>0</v>
      </c>
      <c r="S89" s="131">
        <v>0</v>
      </c>
      <c r="T89" s="131">
        <v>0</v>
      </c>
      <c r="U89" s="131">
        <v>0</v>
      </c>
      <c r="V89" s="131">
        <v>0</v>
      </c>
      <c r="W89" s="131">
        <v>46743864658.849998</v>
      </c>
      <c r="X89" s="131">
        <v>2185207553.29</v>
      </c>
      <c r="Y89" s="131">
        <v>44558657105.559998</v>
      </c>
      <c r="Z89" s="131">
        <v>0</v>
      </c>
      <c r="AA89" s="131">
        <v>0</v>
      </c>
      <c r="AB89" s="131">
        <v>0</v>
      </c>
      <c r="AC89" s="131">
        <v>0</v>
      </c>
      <c r="AD89" s="131">
        <v>0</v>
      </c>
      <c r="AE89" s="131">
        <v>0</v>
      </c>
      <c r="AF89" s="131">
        <v>46743864658.849998</v>
      </c>
      <c r="AG89" s="131">
        <v>2185207553.29</v>
      </c>
      <c r="AH89" s="131">
        <v>44558657105.559998</v>
      </c>
      <c r="AI89" s="131">
        <v>44558657105.559998</v>
      </c>
      <c r="AJ89" s="131">
        <v>31151470040</v>
      </c>
      <c r="AK89" s="131">
        <v>31151470040</v>
      </c>
      <c r="AM89" s="131">
        <v>14003288906.16</v>
      </c>
      <c r="AN89" s="131">
        <v>14010555451.85</v>
      </c>
      <c r="AO89" s="131">
        <v>7266545.6900000004</v>
      </c>
      <c r="AP89" s="131">
        <v>14010555451.85</v>
      </c>
      <c r="AQ89" s="131">
        <v>0</v>
      </c>
      <c r="AR89" s="131">
        <v>7266545.6900000004</v>
      </c>
      <c r="AS89" t="s">
        <v>1709</v>
      </c>
    </row>
    <row r="90" spans="1:45" x14ac:dyDescent="0.25">
      <c r="A90">
        <v>2019</v>
      </c>
      <c r="B90">
        <v>307</v>
      </c>
      <c r="C90">
        <v>10301</v>
      </c>
      <c r="D90" t="s">
        <v>226</v>
      </c>
      <c r="E90" t="s">
        <v>2735</v>
      </c>
      <c r="F90">
        <v>10301</v>
      </c>
      <c r="G90" s="10" t="s">
        <v>2736</v>
      </c>
      <c r="H90" t="s">
        <v>2573</v>
      </c>
      <c r="I90" s="131">
        <v>1100000000</v>
      </c>
      <c r="J90" s="131">
        <v>1100000000</v>
      </c>
      <c r="K90" s="131">
        <v>32792056186</v>
      </c>
      <c r="L90" s="131">
        <v>8079037</v>
      </c>
      <c r="M90" s="131">
        <v>32783977149</v>
      </c>
      <c r="N90" s="131">
        <v>32792056186</v>
      </c>
      <c r="O90" s="131">
        <v>8079037</v>
      </c>
      <c r="P90" s="131">
        <v>33883977149</v>
      </c>
      <c r="Q90" s="131">
        <v>0</v>
      </c>
      <c r="R90" s="131">
        <v>0</v>
      </c>
      <c r="S90" s="131">
        <v>0</v>
      </c>
      <c r="T90" s="131">
        <v>0</v>
      </c>
      <c r="U90" s="131">
        <v>0</v>
      </c>
      <c r="V90" s="131">
        <v>0</v>
      </c>
      <c r="W90" s="131">
        <v>35525396323.360001</v>
      </c>
      <c r="X90" s="131">
        <v>1700558434.0999999</v>
      </c>
      <c r="Y90" s="131">
        <v>33824837889.259998</v>
      </c>
      <c r="Z90" s="131">
        <v>0</v>
      </c>
      <c r="AA90" s="131">
        <v>0</v>
      </c>
      <c r="AB90" s="131">
        <v>0</v>
      </c>
      <c r="AC90" s="131">
        <v>0</v>
      </c>
      <c r="AD90" s="131">
        <v>0</v>
      </c>
      <c r="AE90" s="131">
        <v>0</v>
      </c>
      <c r="AF90" s="131">
        <v>35525396323.360001</v>
      </c>
      <c r="AG90" s="131">
        <v>1700558434.0999999</v>
      </c>
      <c r="AH90" s="131">
        <v>33824837889.259998</v>
      </c>
      <c r="AI90" s="131">
        <v>33824837889.259998</v>
      </c>
      <c r="AJ90" s="131">
        <v>31151470040</v>
      </c>
      <c r="AK90" s="131">
        <v>31151470040</v>
      </c>
      <c r="AM90" s="131">
        <v>2788511505.3600001</v>
      </c>
      <c r="AN90" s="131">
        <v>2792087116.3600001</v>
      </c>
      <c r="AO90" s="131">
        <v>3575611</v>
      </c>
      <c r="AP90" s="131">
        <v>2792087116.3600001</v>
      </c>
      <c r="AQ90" s="131">
        <v>0</v>
      </c>
      <c r="AR90" s="131">
        <v>3575611</v>
      </c>
      <c r="AS90" t="s">
        <v>1709</v>
      </c>
    </row>
    <row r="91" spans="1:45" x14ac:dyDescent="0.25">
      <c r="A91">
        <v>2019</v>
      </c>
      <c r="B91">
        <v>307</v>
      </c>
      <c r="C91">
        <v>1030101</v>
      </c>
      <c r="D91" t="s">
        <v>226</v>
      </c>
      <c r="E91" t="s">
        <v>2737</v>
      </c>
      <c r="F91">
        <v>1030101</v>
      </c>
      <c r="G91" s="10" t="s">
        <v>2738</v>
      </c>
      <c r="H91" t="s">
        <v>2573</v>
      </c>
      <c r="I91" s="131">
        <v>1100000000</v>
      </c>
      <c r="J91" s="131">
        <v>1100000000</v>
      </c>
      <c r="K91" s="131">
        <v>0</v>
      </c>
      <c r="L91" s="131">
        <v>0</v>
      </c>
      <c r="M91" s="131">
        <v>0</v>
      </c>
      <c r="N91" s="131">
        <v>0</v>
      </c>
      <c r="O91" s="131">
        <v>0</v>
      </c>
      <c r="P91" s="131">
        <v>1100000000</v>
      </c>
      <c r="Q91" s="131">
        <v>0</v>
      </c>
      <c r="R91" s="131">
        <v>0</v>
      </c>
      <c r="S91" s="131">
        <v>0</v>
      </c>
      <c r="T91" s="131">
        <v>0</v>
      </c>
      <c r="U91" s="131">
        <v>0</v>
      </c>
      <c r="V91" s="131">
        <v>0</v>
      </c>
      <c r="W91" s="131">
        <v>792052975.63999999</v>
      </c>
      <c r="X91" s="131">
        <v>388416</v>
      </c>
      <c r="Y91" s="131">
        <v>791664559.63999999</v>
      </c>
      <c r="Z91" s="131">
        <v>0</v>
      </c>
      <c r="AA91" s="131">
        <v>0</v>
      </c>
      <c r="AB91" s="131">
        <v>0</v>
      </c>
      <c r="AC91" s="131">
        <v>0</v>
      </c>
      <c r="AD91" s="131">
        <v>0</v>
      </c>
      <c r="AE91" s="131">
        <v>0</v>
      </c>
      <c r="AF91" s="131">
        <v>792052975.63999999</v>
      </c>
      <c r="AG91" s="131">
        <v>388416</v>
      </c>
      <c r="AH91" s="131">
        <v>791664559.63999999</v>
      </c>
      <c r="AI91" s="131">
        <v>791664559.63999999</v>
      </c>
      <c r="AJ91" s="131">
        <v>0</v>
      </c>
      <c r="AK91" s="131">
        <v>0</v>
      </c>
      <c r="AM91" s="131">
        <v>791664559.63999999</v>
      </c>
      <c r="AN91" s="131">
        <v>792052975.63999999</v>
      </c>
      <c r="AO91" s="131">
        <v>388416</v>
      </c>
      <c r="AP91" s="131">
        <v>792052975.63999999</v>
      </c>
      <c r="AQ91" s="131">
        <v>0</v>
      </c>
      <c r="AR91" s="131">
        <v>388416</v>
      </c>
      <c r="AS91" t="s">
        <v>1709</v>
      </c>
    </row>
    <row r="92" spans="1:45" x14ac:dyDescent="0.25">
      <c r="A92">
        <v>2019</v>
      </c>
      <c r="B92">
        <v>307</v>
      </c>
      <c r="C92">
        <v>103010102</v>
      </c>
      <c r="D92" t="s">
        <v>226</v>
      </c>
      <c r="E92" t="s">
        <v>2739</v>
      </c>
      <c r="F92">
        <v>103010102</v>
      </c>
      <c r="G92" s="10" t="s">
        <v>2740</v>
      </c>
      <c r="H92" t="s">
        <v>2573</v>
      </c>
      <c r="I92" s="131">
        <v>1100000000</v>
      </c>
      <c r="J92" s="131">
        <v>1100000000</v>
      </c>
      <c r="K92" s="131">
        <v>0</v>
      </c>
      <c r="L92" s="131">
        <v>0</v>
      </c>
      <c r="M92" s="131">
        <v>0</v>
      </c>
      <c r="N92" s="131">
        <v>0</v>
      </c>
      <c r="O92" s="131">
        <v>0</v>
      </c>
      <c r="P92" s="131">
        <v>1100000000</v>
      </c>
      <c r="Q92" s="131">
        <v>0</v>
      </c>
      <c r="R92" s="131">
        <v>0</v>
      </c>
      <c r="S92" s="131">
        <v>0</v>
      </c>
      <c r="T92" s="131">
        <v>0</v>
      </c>
      <c r="U92" s="131">
        <v>0</v>
      </c>
      <c r="V92" s="131">
        <v>0</v>
      </c>
      <c r="W92" s="131">
        <v>792052975.63999999</v>
      </c>
      <c r="X92" s="131">
        <v>388416</v>
      </c>
      <c r="Y92" s="131">
        <v>791664559.63999999</v>
      </c>
      <c r="Z92" s="131">
        <v>0</v>
      </c>
      <c r="AA92" s="131">
        <v>0</v>
      </c>
      <c r="AB92" s="131">
        <v>0</v>
      </c>
      <c r="AC92" s="131">
        <v>0</v>
      </c>
      <c r="AD92" s="131">
        <v>0</v>
      </c>
      <c r="AE92" s="131">
        <v>0</v>
      </c>
      <c r="AF92" s="131">
        <v>792052975.63999999</v>
      </c>
      <c r="AG92" s="131">
        <v>388416</v>
      </c>
      <c r="AH92" s="131">
        <v>791664559.63999999</v>
      </c>
      <c r="AI92" s="131">
        <v>791664559.63999999</v>
      </c>
      <c r="AJ92" s="131">
        <v>0</v>
      </c>
      <c r="AK92" s="131">
        <v>0</v>
      </c>
      <c r="AM92" s="131">
        <v>791664559.63999999</v>
      </c>
      <c r="AN92" s="131">
        <v>792052975.63999999</v>
      </c>
      <c r="AO92" s="131">
        <v>388416</v>
      </c>
      <c r="AP92" s="131">
        <v>792052975.63999999</v>
      </c>
      <c r="AQ92" s="131">
        <v>0</v>
      </c>
      <c r="AR92" s="131">
        <v>388416</v>
      </c>
      <c r="AS92" t="s">
        <v>1709</v>
      </c>
    </row>
    <row r="93" spans="1:45" ht="30" x14ac:dyDescent="0.25">
      <c r="A93">
        <v>2019</v>
      </c>
      <c r="B93">
        <v>307</v>
      </c>
      <c r="C93">
        <v>10301010204</v>
      </c>
      <c r="D93">
        <v>20</v>
      </c>
      <c r="E93" t="s">
        <v>2741</v>
      </c>
      <c r="F93">
        <v>10301010204</v>
      </c>
      <c r="G93" s="10" t="s">
        <v>2742</v>
      </c>
      <c r="H93" t="s">
        <v>2573</v>
      </c>
      <c r="I93" s="131">
        <v>1100000000</v>
      </c>
      <c r="J93" s="131">
        <v>1100000000</v>
      </c>
      <c r="K93" s="131">
        <v>0</v>
      </c>
      <c r="L93" s="131">
        <v>0</v>
      </c>
      <c r="M93" s="131">
        <v>0</v>
      </c>
      <c r="N93" s="131">
        <v>0</v>
      </c>
      <c r="O93" s="131">
        <v>0</v>
      </c>
      <c r="P93" s="131">
        <v>1100000000</v>
      </c>
      <c r="Q93" s="131">
        <v>0</v>
      </c>
      <c r="R93" s="131">
        <v>0</v>
      </c>
      <c r="S93" s="131">
        <v>0</v>
      </c>
      <c r="T93" s="131">
        <v>0</v>
      </c>
      <c r="U93" s="131">
        <v>0</v>
      </c>
      <c r="V93" s="131">
        <v>0</v>
      </c>
      <c r="W93" s="131">
        <v>792052975.63999999</v>
      </c>
      <c r="X93" s="131">
        <v>388416</v>
      </c>
      <c r="Y93" s="131">
        <v>791664559.63999999</v>
      </c>
      <c r="Z93" s="131">
        <v>0</v>
      </c>
      <c r="AA93" s="131">
        <v>0</v>
      </c>
      <c r="AB93" s="131">
        <v>0</v>
      </c>
      <c r="AC93" s="131">
        <v>0</v>
      </c>
      <c r="AD93" s="131">
        <v>0</v>
      </c>
      <c r="AE93" s="131">
        <v>0</v>
      </c>
      <c r="AF93" s="131">
        <v>792052975.63999999</v>
      </c>
      <c r="AG93" s="131">
        <v>388416</v>
      </c>
      <c r="AH93" s="131">
        <v>791664559.63999999</v>
      </c>
      <c r="AI93" s="131">
        <v>791664559.63999999</v>
      </c>
      <c r="AJ93" s="131">
        <v>0</v>
      </c>
      <c r="AK93" s="131">
        <v>0</v>
      </c>
      <c r="AM93" s="131">
        <v>791664559.63999999</v>
      </c>
      <c r="AN93" s="131">
        <v>792052975.63999999</v>
      </c>
      <c r="AO93" s="131">
        <v>388416</v>
      </c>
      <c r="AP93" s="131">
        <v>792052975.63999999</v>
      </c>
      <c r="AQ93" s="131">
        <v>0</v>
      </c>
      <c r="AR93" s="131">
        <v>388416</v>
      </c>
      <c r="AS93" t="s">
        <v>140</v>
      </c>
    </row>
    <row r="94" spans="1:45" ht="30" x14ac:dyDescent="0.25">
      <c r="A94">
        <v>2019</v>
      </c>
      <c r="B94">
        <v>307</v>
      </c>
      <c r="C94">
        <v>1030103</v>
      </c>
      <c r="D94" t="s">
        <v>226</v>
      </c>
      <c r="E94" t="s">
        <v>2743</v>
      </c>
      <c r="F94">
        <v>1030103</v>
      </c>
      <c r="G94" s="10" t="s">
        <v>2744</v>
      </c>
      <c r="H94" t="s">
        <v>2573</v>
      </c>
      <c r="I94" s="131">
        <v>0</v>
      </c>
      <c r="J94" s="131">
        <v>0</v>
      </c>
      <c r="K94" s="131">
        <v>58746979</v>
      </c>
      <c r="L94" s="131">
        <v>0</v>
      </c>
      <c r="M94" s="131">
        <v>58746979</v>
      </c>
      <c r="N94" s="131">
        <v>58746979</v>
      </c>
      <c r="O94" s="131">
        <v>0</v>
      </c>
      <c r="P94" s="131">
        <v>58746979</v>
      </c>
      <c r="Q94" s="131">
        <v>0</v>
      </c>
      <c r="R94" s="131">
        <v>0</v>
      </c>
      <c r="S94" s="131">
        <v>0</v>
      </c>
      <c r="T94" s="131">
        <v>0</v>
      </c>
      <c r="U94" s="131">
        <v>0</v>
      </c>
      <c r="V94" s="131">
        <v>0</v>
      </c>
      <c r="W94" s="131">
        <v>424874145.72000003</v>
      </c>
      <c r="X94" s="131">
        <v>35685965</v>
      </c>
      <c r="Y94" s="131">
        <v>389188180.72000003</v>
      </c>
      <c r="Z94" s="131">
        <v>0</v>
      </c>
      <c r="AA94" s="131">
        <v>0</v>
      </c>
      <c r="AB94" s="131">
        <v>0</v>
      </c>
      <c r="AC94" s="131">
        <v>0</v>
      </c>
      <c r="AD94" s="131">
        <v>0</v>
      </c>
      <c r="AE94" s="131">
        <v>0</v>
      </c>
      <c r="AF94" s="131">
        <v>424874145.72000003</v>
      </c>
      <c r="AG94" s="131">
        <v>35685965</v>
      </c>
      <c r="AH94" s="131">
        <v>389188180.72000003</v>
      </c>
      <c r="AI94" s="131">
        <v>389188180.72000003</v>
      </c>
      <c r="AJ94" s="131">
        <v>0</v>
      </c>
      <c r="AK94" s="131">
        <v>0</v>
      </c>
      <c r="AM94" s="131">
        <v>421686950.72000003</v>
      </c>
      <c r="AN94" s="131">
        <v>424874145.72000003</v>
      </c>
      <c r="AO94" s="131">
        <v>3187195</v>
      </c>
      <c r="AP94" s="131">
        <v>424874145.72000003</v>
      </c>
      <c r="AQ94" s="131">
        <v>0</v>
      </c>
      <c r="AR94" s="131">
        <v>3187195</v>
      </c>
      <c r="AS94" t="s">
        <v>1709</v>
      </c>
    </row>
    <row r="95" spans="1:45" x14ac:dyDescent="0.25">
      <c r="A95">
        <v>2019</v>
      </c>
      <c r="B95">
        <v>307</v>
      </c>
      <c r="C95">
        <v>103010301</v>
      </c>
      <c r="D95" t="s">
        <v>226</v>
      </c>
      <c r="E95" t="s">
        <v>2745</v>
      </c>
      <c r="F95">
        <v>103010301</v>
      </c>
      <c r="G95" s="10" t="s">
        <v>2746</v>
      </c>
      <c r="H95" t="s">
        <v>2573</v>
      </c>
      <c r="I95" s="131">
        <v>0</v>
      </c>
      <c r="J95" s="131">
        <v>0</v>
      </c>
      <c r="K95" s="131">
        <v>0</v>
      </c>
      <c r="L95" s="131">
        <v>0</v>
      </c>
      <c r="M95" s="131">
        <v>0</v>
      </c>
      <c r="N95" s="131">
        <v>0</v>
      </c>
      <c r="O95" s="131">
        <v>0</v>
      </c>
      <c r="P95" s="131">
        <v>0</v>
      </c>
      <c r="Q95" s="131">
        <v>0</v>
      </c>
      <c r="R95" s="131">
        <v>0</v>
      </c>
      <c r="S95" s="131">
        <v>0</v>
      </c>
      <c r="T95" s="131">
        <v>0</v>
      </c>
      <c r="U95" s="131">
        <v>0</v>
      </c>
      <c r="V95" s="131">
        <v>0</v>
      </c>
      <c r="W95" s="131">
        <v>145575105.97</v>
      </c>
      <c r="X95" s="131">
        <v>3187195</v>
      </c>
      <c r="Y95" s="131">
        <v>142387910.97</v>
      </c>
      <c r="Z95" s="131">
        <v>0</v>
      </c>
      <c r="AA95" s="131">
        <v>0</v>
      </c>
      <c r="AB95" s="131">
        <v>0</v>
      </c>
      <c r="AC95" s="131">
        <v>0</v>
      </c>
      <c r="AD95" s="131">
        <v>0</v>
      </c>
      <c r="AE95" s="131">
        <v>0</v>
      </c>
      <c r="AF95" s="131">
        <v>145575105.97</v>
      </c>
      <c r="AG95" s="131">
        <v>3187195</v>
      </c>
      <c r="AH95" s="131">
        <v>142387910.97</v>
      </c>
      <c r="AI95" s="131">
        <v>142387910.97</v>
      </c>
      <c r="AJ95" s="131">
        <v>0</v>
      </c>
      <c r="AK95" s="131">
        <v>0</v>
      </c>
      <c r="AM95" s="131">
        <v>142387910.97</v>
      </c>
      <c r="AN95" s="131">
        <v>145575105.97</v>
      </c>
      <c r="AO95" s="131">
        <v>3187195</v>
      </c>
      <c r="AP95" s="131">
        <v>145575105.97</v>
      </c>
      <c r="AQ95" s="131">
        <v>0</v>
      </c>
      <c r="AR95" s="131">
        <v>3187195</v>
      </c>
      <c r="AS95" t="s">
        <v>1709</v>
      </c>
    </row>
    <row r="96" spans="1:45" x14ac:dyDescent="0.25">
      <c r="A96">
        <v>2019</v>
      </c>
      <c r="B96">
        <v>307</v>
      </c>
      <c r="C96">
        <v>10301030101</v>
      </c>
      <c r="D96">
        <v>20</v>
      </c>
      <c r="E96" t="s">
        <v>2747</v>
      </c>
      <c r="F96">
        <v>10301030101</v>
      </c>
      <c r="G96" s="10" t="s">
        <v>2748</v>
      </c>
      <c r="H96" t="s">
        <v>2573</v>
      </c>
      <c r="I96" s="131">
        <v>0</v>
      </c>
      <c r="J96" s="131">
        <v>0</v>
      </c>
      <c r="K96" s="131">
        <v>0</v>
      </c>
      <c r="L96" s="131">
        <v>0</v>
      </c>
      <c r="M96" s="131">
        <v>0</v>
      </c>
      <c r="N96" s="131">
        <v>0</v>
      </c>
      <c r="O96" s="131">
        <v>0</v>
      </c>
      <c r="P96" s="131">
        <v>0</v>
      </c>
      <c r="Q96" s="131">
        <v>0</v>
      </c>
      <c r="R96" s="131">
        <v>0</v>
      </c>
      <c r="S96" s="131">
        <v>0</v>
      </c>
      <c r="T96" s="131">
        <v>0</v>
      </c>
      <c r="U96" s="131">
        <v>0</v>
      </c>
      <c r="V96" s="131">
        <v>0</v>
      </c>
      <c r="W96" s="131">
        <v>145575105.97</v>
      </c>
      <c r="X96" s="131">
        <v>3187195</v>
      </c>
      <c r="Y96" s="131">
        <v>142387910.97</v>
      </c>
      <c r="Z96" s="131">
        <v>0</v>
      </c>
      <c r="AA96" s="131">
        <v>0</v>
      </c>
      <c r="AB96" s="131">
        <v>0</v>
      </c>
      <c r="AC96" s="131">
        <v>0</v>
      </c>
      <c r="AD96" s="131">
        <v>0</v>
      </c>
      <c r="AE96" s="131">
        <v>0</v>
      </c>
      <c r="AF96" s="131">
        <v>145575105.97</v>
      </c>
      <c r="AG96" s="131">
        <v>3187195</v>
      </c>
      <c r="AH96" s="131">
        <v>142387910.97</v>
      </c>
      <c r="AI96" s="131">
        <v>142387910.97</v>
      </c>
      <c r="AJ96" s="131">
        <v>0</v>
      </c>
      <c r="AK96" s="131">
        <v>0</v>
      </c>
      <c r="AM96" s="131">
        <v>142387910.97</v>
      </c>
      <c r="AN96" s="131">
        <v>145575105.97</v>
      </c>
      <c r="AO96" s="131">
        <v>3187195</v>
      </c>
      <c r="AP96" s="131">
        <v>145575105.97</v>
      </c>
      <c r="AQ96" s="131">
        <v>0</v>
      </c>
      <c r="AR96" s="131">
        <v>3187195</v>
      </c>
      <c r="AS96" t="s">
        <v>140</v>
      </c>
    </row>
    <row r="97" spans="1:45" ht="30" x14ac:dyDescent="0.25">
      <c r="A97">
        <v>2019</v>
      </c>
      <c r="B97">
        <v>307</v>
      </c>
      <c r="C97">
        <v>103010302</v>
      </c>
      <c r="D97" t="s">
        <v>226</v>
      </c>
      <c r="E97" t="s">
        <v>2749</v>
      </c>
      <c r="F97">
        <v>103010302</v>
      </c>
      <c r="G97" s="10" t="s">
        <v>2750</v>
      </c>
      <c r="H97" t="s">
        <v>2573</v>
      </c>
      <c r="I97" s="131">
        <v>0</v>
      </c>
      <c r="J97" s="131">
        <v>0</v>
      </c>
      <c r="K97" s="131">
        <v>58746979</v>
      </c>
      <c r="L97" s="131">
        <v>0</v>
      </c>
      <c r="M97" s="131">
        <v>58746979</v>
      </c>
      <c r="N97" s="131">
        <v>58746979</v>
      </c>
      <c r="O97" s="131">
        <v>0</v>
      </c>
      <c r="P97" s="131">
        <v>58746979</v>
      </c>
      <c r="Q97" s="131">
        <v>0</v>
      </c>
      <c r="R97" s="131">
        <v>0</v>
      </c>
      <c r="S97" s="131">
        <v>0</v>
      </c>
      <c r="T97" s="131">
        <v>0</v>
      </c>
      <c r="U97" s="131">
        <v>0</v>
      </c>
      <c r="V97" s="131">
        <v>0</v>
      </c>
      <c r="W97" s="131">
        <v>279299039.75</v>
      </c>
      <c r="X97" s="131">
        <v>32498770</v>
      </c>
      <c r="Y97" s="131">
        <v>246800269.75</v>
      </c>
      <c r="Z97" s="131">
        <v>0</v>
      </c>
      <c r="AA97" s="131">
        <v>0</v>
      </c>
      <c r="AB97" s="131">
        <v>0</v>
      </c>
      <c r="AC97" s="131">
        <v>0</v>
      </c>
      <c r="AD97" s="131">
        <v>0</v>
      </c>
      <c r="AE97" s="131">
        <v>0</v>
      </c>
      <c r="AF97" s="131">
        <v>279299039.75</v>
      </c>
      <c r="AG97" s="131">
        <v>32498770</v>
      </c>
      <c r="AH97" s="131">
        <v>246800269.75</v>
      </c>
      <c r="AI97" s="131">
        <v>246800269.75</v>
      </c>
      <c r="AJ97" s="131">
        <v>0</v>
      </c>
      <c r="AK97" s="131">
        <v>0</v>
      </c>
      <c r="AM97" s="131">
        <v>279299039.75</v>
      </c>
      <c r="AN97" s="131">
        <v>279299039.75</v>
      </c>
      <c r="AO97" s="131">
        <v>0</v>
      </c>
      <c r="AP97" s="131">
        <v>279299039.75</v>
      </c>
      <c r="AQ97" s="131">
        <v>0</v>
      </c>
      <c r="AR97" s="131">
        <v>0</v>
      </c>
      <c r="AS97" t="s">
        <v>1709</v>
      </c>
    </row>
    <row r="98" spans="1:45" x14ac:dyDescent="0.25">
      <c r="A98">
        <v>2019</v>
      </c>
      <c r="B98">
        <v>307</v>
      </c>
      <c r="C98">
        <v>10301030202</v>
      </c>
      <c r="D98">
        <v>35</v>
      </c>
      <c r="E98" t="s">
        <v>2751</v>
      </c>
      <c r="F98">
        <v>10301030202</v>
      </c>
      <c r="G98" s="10" t="s">
        <v>2752</v>
      </c>
      <c r="H98" t="s">
        <v>2573</v>
      </c>
      <c r="I98" s="131">
        <v>0</v>
      </c>
      <c r="J98" s="131">
        <v>0</v>
      </c>
      <c r="K98" s="131">
        <v>0</v>
      </c>
      <c r="L98" s="131">
        <v>0</v>
      </c>
      <c r="M98" s="131">
        <v>0</v>
      </c>
      <c r="N98" s="131">
        <v>0</v>
      </c>
      <c r="O98" s="131">
        <v>0</v>
      </c>
      <c r="P98" s="131">
        <v>0</v>
      </c>
      <c r="Q98" s="131">
        <v>0</v>
      </c>
      <c r="R98" s="131">
        <v>0</v>
      </c>
      <c r="S98" s="131">
        <v>0</v>
      </c>
      <c r="T98" s="131">
        <v>0</v>
      </c>
      <c r="U98" s="131">
        <v>0</v>
      </c>
      <c r="V98" s="131">
        <v>0</v>
      </c>
      <c r="W98" s="131">
        <v>129820937.90000001</v>
      </c>
      <c r="X98" s="131">
        <v>0</v>
      </c>
      <c r="Y98" s="131">
        <v>129820937.90000001</v>
      </c>
      <c r="Z98" s="131">
        <v>0</v>
      </c>
      <c r="AA98" s="131">
        <v>0</v>
      </c>
      <c r="AB98" s="131">
        <v>0</v>
      </c>
      <c r="AC98" s="131">
        <v>0</v>
      </c>
      <c r="AD98" s="131">
        <v>0</v>
      </c>
      <c r="AE98" s="131">
        <v>0</v>
      </c>
      <c r="AF98" s="131">
        <v>129820937.90000001</v>
      </c>
      <c r="AG98" s="131">
        <v>0</v>
      </c>
      <c r="AH98" s="131">
        <v>129820937.90000001</v>
      </c>
      <c r="AI98" s="131">
        <v>129820937.90000001</v>
      </c>
      <c r="AJ98" s="131">
        <v>0</v>
      </c>
      <c r="AK98" s="131">
        <v>0</v>
      </c>
      <c r="AM98" s="131">
        <v>129820937.90000001</v>
      </c>
      <c r="AN98" s="131">
        <v>129820937.90000001</v>
      </c>
      <c r="AO98" s="131">
        <v>0</v>
      </c>
      <c r="AP98" s="131">
        <v>129820937.90000001</v>
      </c>
      <c r="AQ98" s="131">
        <v>0</v>
      </c>
      <c r="AR98" s="131">
        <v>0</v>
      </c>
      <c r="AS98" t="s">
        <v>157</v>
      </c>
    </row>
    <row r="99" spans="1:45" ht="30" x14ac:dyDescent="0.25">
      <c r="A99">
        <v>2019</v>
      </c>
      <c r="B99">
        <v>307</v>
      </c>
      <c r="C99">
        <v>10301030205</v>
      </c>
      <c r="D99">
        <v>47</v>
      </c>
      <c r="E99" t="s">
        <v>2753</v>
      </c>
      <c r="F99">
        <v>10301030205</v>
      </c>
      <c r="G99" s="10" t="s">
        <v>2754</v>
      </c>
      <c r="H99" t="s">
        <v>2573</v>
      </c>
      <c r="I99" s="131">
        <v>0</v>
      </c>
      <c r="J99" s="131">
        <v>0</v>
      </c>
      <c r="K99" s="131">
        <v>0</v>
      </c>
      <c r="L99" s="131">
        <v>0</v>
      </c>
      <c r="M99" s="131">
        <v>0</v>
      </c>
      <c r="N99" s="131">
        <v>0</v>
      </c>
      <c r="O99" s="131">
        <v>0</v>
      </c>
      <c r="P99" s="131">
        <v>0</v>
      </c>
      <c r="Q99" s="131">
        <v>0</v>
      </c>
      <c r="R99" s="131">
        <v>0</v>
      </c>
      <c r="S99" s="131">
        <v>0</v>
      </c>
      <c r="T99" s="131">
        <v>0</v>
      </c>
      <c r="U99" s="131">
        <v>0</v>
      </c>
      <c r="V99" s="131">
        <v>0</v>
      </c>
      <c r="W99" s="131">
        <v>46650300</v>
      </c>
      <c r="X99" s="131">
        <v>16249385</v>
      </c>
      <c r="Y99" s="131">
        <v>30400915</v>
      </c>
      <c r="Z99" s="131">
        <v>0</v>
      </c>
      <c r="AA99" s="131">
        <v>0</v>
      </c>
      <c r="AB99" s="131">
        <v>0</v>
      </c>
      <c r="AC99" s="131">
        <v>0</v>
      </c>
      <c r="AD99" s="131">
        <v>0</v>
      </c>
      <c r="AE99" s="131">
        <v>0</v>
      </c>
      <c r="AF99" s="131">
        <v>46650300</v>
      </c>
      <c r="AG99" s="131">
        <v>16249385</v>
      </c>
      <c r="AH99" s="131">
        <v>30400915</v>
      </c>
      <c r="AI99" s="131">
        <v>30400915</v>
      </c>
      <c r="AJ99" s="131">
        <v>0</v>
      </c>
      <c r="AK99" s="131">
        <v>0</v>
      </c>
      <c r="AM99" s="131">
        <v>46650300</v>
      </c>
      <c r="AN99" s="131">
        <v>46650300</v>
      </c>
      <c r="AO99" s="131">
        <v>0</v>
      </c>
      <c r="AP99" s="131">
        <v>46650300</v>
      </c>
      <c r="AQ99" s="131">
        <v>0</v>
      </c>
      <c r="AR99" s="131">
        <v>0</v>
      </c>
      <c r="AS99" t="s">
        <v>167</v>
      </c>
    </row>
    <row r="100" spans="1:45" ht="30" x14ac:dyDescent="0.25">
      <c r="A100">
        <v>2019</v>
      </c>
      <c r="B100">
        <v>307</v>
      </c>
      <c r="C100">
        <v>10301030205</v>
      </c>
      <c r="D100">
        <v>93</v>
      </c>
      <c r="E100" t="s">
        <v>2755</v>
      </c>
      <c r="F100">
        <v>10301030205</v>
      </c>
      <c r="G100" s="10" t="s">
        <v>2754</v>
      </c>
      <c r="H100" t="s">
        <v>2573</v>
      </c>
      <c r="I100" s="131">
        <v>0</v>
      </c>
      <c r="J100" s="131">
        <v>0</v>
      </c>
      <c r="K100" s="131">
        <v>0</v>
      </c>
      <c r="L100" s="131">
        <v>0</v>
      </c>
      <c r="M100" s="131">
        <v>0</v>
      </c>
      <c r="N100" s="131">
        <v>0</v>
      </c>
      <c r="O100" s="131">
        <v>0</v>
      </c>
      <c r="P100" s="131">
        <v>0</v>
      </c>
      <c r="Q100" s="131">
        <v>0</v>
      </c>
      <c r="R100" s="131">
        <v>0</v>
      </c>
      <c r="S100" s="131">
        <v>0</v>
      </c>
      <c r="T100" s="131">
        <v>0</v>
      </c>
      <c r="U100" s="131">
        <v>0</v>
      </c>
      <c r="V100" s="131">
        <v>0</v>
      </c>
      <c r="W100" s="131">
        <v>16249385</v>
      </c>
      <c r="X100" s="131">
        <v>16249385</v>
      </c>
      <c r="Y100" s="131">
        <v>0</v>
      </c>
      <c r="Z100" s="131">
        <v>0</v>
      </c>
      <c r="AA100" s="131">
        <v>0</v>
      </c>
      <c r="AB100" s="131">
        <v>0</v>
      </c>
      <c r="AC100" s="131">
        <v>0</v>
      </c>
      <c r="AD100" s="131">
        <v>0</v>
      </c>
      <c r="AE100" s="131">
        <v>0</v>
      </c>
      <c r="AF100" s="131">
        <v>16249385</v>
      </c>
      <c r="AG100" s="131">
        <v>16249385</v>
      </c>
      <c r="AH100" s="131">
        <v>0</v>
      </c>
      <c r="AI100" s="131">
        <v>0</v>
      </c>
      <c r="AJ100" s="131">
        <v>0</v>
      </c>
      <c r="AK100" s="131">
        <v>0</v>
      </c>
      <c r="AM100" s="131">
        <v>16249385</v>
      </c>
      <c r="AN100" s="131">
        <v>16249385</v>
      </c>
      <c r="AO100" s="131">
        <v>0</v>
      </c>
      <c r="AP100" s="131">
        <v>16249385</v>
      </c>
      <c r="AQ100" s="131">
        <v>0</v>
      </c>
      <c r="AR100" s="131">
        <v>0</v>
      </c>
      <c r="AS100" t="s">
        <v>209</v>
      </c>
    </row>
    <row r="101" spans="1:45" ht="30" x14ac:dyDescent="0.25">
      <c r="A101">
        <v>2019</v>
      </c>
      <c r="B101">
        <v>307</v>
      </c>
      <c r="C101">
        <v>10301030208</v>
      </c>
      <c r="D101">
        <v>42</v>
      </c>
      <c r="E101" t="s">
        <v>2756</v>
      </c>
      <c r="F101">
        <v>10301030208</v>
      </c>
      <c r="G101" s="10" t="s">
        <v>2757</v>
      </c>
      <c r="H101" t="s">
        <v>2573</v>
      </c>
      <c r="I101" s="131">
        <v>0</v>
      </c>
      <c r="J101" s="131">
        <v>0</v>
      </c>
      <c r="K101" s="131">
        <v>0</v>
      </c>
      <c r="L101" s="131">
        <v>0</v>
      </c>
      <c r="M101" s="131">
        <v>0</v>
      </c>
      <c r="N101" s="131">
        <v>0</v>
      </c>
      <c r="O101" s="131">
        <v>0</v>
      </c>
      <c r="P101" s="131">
        <v>0</v>
      </c>
      <c r="Q101" s="131">
        <v>0</v>
      </c>
      <c r="R101" s="131">
        <v>0</v>
      </c>
      <c r="S101" s="131">
        <v>0</v>
      </c>
      <c r="T101" s="131">
        <v>0</v>
      </c>
      <c r="U101" s="131">
        <v>0</v>
      </c>
      <c r="V101" s="131">
        <v>0</v>
      </c>
      <c r="W101" s="131">
        <v>26318933.850000001</v>
      </c>
      <c r="X101" s="131">
        <v>0</v>
      </c>
      <c r="Y101" s="131">
        <v>26318933.850000001</v>
      </c>
      <c r="Z101" s="131">
        <v>0</v>
      </c>
      <c r="AA101" s="131">
        <v>0</v>
      </c>
      <c r="AB101" s="131">
        <v>0</v>
      </c>
      <c r="AC101" s="131">
        <v>0</v>
      </c>
      <c r="AD101" s="131">
        <v>0</v>
      </c>
      <c r="AE101" s="131">
        <v>0</v>
      </c>
      <c r="AF101" s="131">
        <v>26318933.850000001</v>
      </c>
      <c r="AG101" s="131">
        <v>0</v>
      </c>
      <c r="AH101" s="131">
        <v>26318933.850000001</v>
      </c>
      <c r="AI101" s="131">
        <v>26318933.850000001</v>
      </c>
      <c r="AJ101" s="131">
        <v>0</v>
      </c>
      <c r="AK101" s="131">
        <v>0</v>
      </c>
      <c r="AM101" s="131">
        <v>26318933.850000001</v>
      </c>
      <c r="AN101" s="131">
        <v>26318933.850000001</v>
      </c>
      <c r="AO101" s="131">
        <v>0</v>
      </c>
      <c r="AP101" s="131">
        <v>26318933.850000001</v>
      </c>
      <c r="AQ101" s="131">
        <v>0</v>
      </c>
      <c r="AR101" s="131">
        <v>0</v>
      </c>
      <c r="AS101" t="s">
        <v>163</v>
      </c>
    </row>
    <row r="102" spans="1:45" ht="30" x14ac:dyDescent="0.25">
      <c r="A102">
        <v>2019</v>
      </c>
      <c r="B102">
        <v>307</v>
      </c>
      <c r="C102">
        <v>10301030213</v>
      </c>
      <c r="D102">
        <v>136</v>
      </c>
      <c r="E102" t="s">
        <v>2758</v>
      </c>
      <c r="F102">
        <v>10301030213</v>
      </c>
      <c r="G102" s="10" t="s">
        <v>2759</v>
      </c>
      <c r="H102" t="s">
        <v>2573</v>
      </c>
      <c r="I102" s="131">
        <v>0</v>
      </c>
      <c r="J102" s="131">
        <v>0</v>
      </c>
      <c r="K102" s="131">
        <v>0</v>
      </c>
      <c r="L102" s="131">
        <v>0</v>
      </c>
      <c r="M102" s="131">
        <v>0</v>
      </c>
      <c r="N102" s="131">
        <v>0</v>
      </c>
      <c r="O102" s="131">
        <v>0</v>
      </c>
      <c r="P102" s="131">
        <v>0</v>
      </c>
      <c r="Q102" s="131">
        <v>0</v>
      </c>
      <c r="R102" s="131">
        <v>0</v>
      </c>
      <c r="S102" s="131">
        <v>0</v>
      </c>
      <c r="T102" s="131">
        <v>0</v>
      </c>
      <c r="U102" s="131">
        <v>0</v>
      </c>
      <c r="V102" s="131">
        <v>0</v>
      </c>
      <c r="W102" s="131">
        <v>1111863</v>
      </c>
      <c r="X102" s="131">
        <v>0</v>
      </c>
      <c r="Y102" s="131">
        <v>1111863</v>
      </c>
      <c r="Z102" s="131">
        <v>0</v>
      </c>
      <c r="AA102" s="131">
        <v>0</v>
      </c>
      <c r="AB102" s="131">
        <v>0</v>
      </c>
      <c r="AC102" s="131">
        <v>0</v>
      </c>
      <c r="AD102" s="131">
        <v>0</v>
      </c>
      <c r="AE102" s="131">
        <v>0</v>
      </c>
      <c r="AF102" s="131">
        <v>1111863</v>
      </c>
      <c r="AG102" s="131">
        <v>0</v>
      </c>
      <c r="AH102" s="131">
        <v>1111863</v>
      </c>
      <c r="AI102" s="131">
        <v>1111863</v>
      </c>
      <c r="AJ102" s="131">
        <v>0</v>
      </c>
      <c r="AK102" s="131">
        <v>0</v>
      </c>
      <c r="AM102" s="131">
        <v>1111863</v>
      </c>
      <c r="AN102" s="131">
        <v>1111863</v>
      </c>
      <c r="AO102" s="131">
        <v>0</v>
      </c>
      <c r="AP102" s="131">
        <v>1111863</v>
      </c>
      <c r="AQ102" s="131">
        <v>0</v>
      </c>
      <c r="AR102" s="131">
        <v>0</v>
      </c>
      <c r="AS102" t="s">
        <v>2689</v>
      </c>
    </row>
    <row r="103" spans="1:45" ht="30" x14ac:dyDescent="0.25">
      <c r="A103">
        <v>2019</v>
      </c>
      <c r="B103">
        <v>307</v>
      </c>
      <c r="C103">
        <v>10301030216</v>
      </c>
      <c r="D103">
        <v>165</v>
      </c>
      <c r="E103" t="s">
        <v>2760</v>
      </c>
      <c r="F103">
        <v>10301030216</v>
      </c>
      <c r="G103" s="10" t="s">
        <v>2761</v>
      </c>
      <c r="H103" t="s">
        <v>2573</v>
      </c>
      <c r="I103" s="131">
        <v>0</v>
      </c>
      <c r="J103" s="131">
        <v>0</v>
      </c>
      <c r="K103" s="131">
        <v>58746979</v>
      </c>
      <c r="L103" s="131">
        <v>0</v>
      </c>
      <c r="M103" s="131">
        <v>58746979</v>
      </c>
      <c r="N103" s="131">
        <v>58746979</v>
      </c>
      <c r="O103" s="131">
        <v>0</v>
      </c>
      <c r="P103" s="131">
        <v>58746979</v>
      </c>
      <c r="Q103" s="131">
        <v>0</v>
      </c>
      <c r="R103" s="131">
        <v>0</v>
      </c>
      <c r="S103" s="131">
        <v>0</v>
      </c>
      <c r="T103" s="131">
        <v>0</v>
      </c>
      <c r="U103" s="131">
        <v>0</v>
      </c>
      <c r="V103" s="131">
        <v>0</v>
      </c>
      <c r="W103" s="131">
        <v>58746979</v>
      </c>
      <c r="X103" s="131">
        <v>0</v>
      </c>
      <c r="Y103" s="131">
        <v>58746979</v>
      </c>
      <c r="Z103" s="131">
        <v>0</v>
      </c>
      <c r="AA103" s="131">
        <v>0</v>
      </c>
      <c r="AB103" s="131">
        <v>0</v>
      </c>
      <c r="AC103" s="131">
        <v>0</v>
      </c>
      <c r="AD103" s="131">
        <v>0</v>
      </c>
      <c r="AE103" s="131">
        <v>0</v>
      </c>
      <c r="AF103" s="131">
        <v>58746979</v>
      </c>
      <c r="AG103" s="131">
        <v>0</v>
      </c>
      <c r="AH103" s="131">
        <v>58746979</v>
      </c>
      <c r="AI103" s="131">
        <v>58746979</v>
      </c>
      <c r="AJ103" s="131">
        <v>0</v>
      </c>
      <c r="AK103" s="131">
        <v>0</v>
      </c>
      <c r="AM103" s="131">
        <v>58746979</v>
      </c>
      <c r="AN103" s="131">
        <v>58746979</v>
      </c>
      <c r="AO103" s="131">
        <v>0</v>
      </c>
      <c r="AP103" s="131">
        <v>58746979</v>
      </c>
      <c r="AQ103" s="131">
        <v>0</v>
      </c>
      <c r="AR103" s="131">
        <v>0</v>
      </c>
      <c r="AS103" t="s">
        <v>2762</v>
      </c>
    </row>
    <row r="104" spans="1:45" x14ac:dyDescent="0.25">
      <c r="A104">
        <v>2019</v>
      </c>
      <c r="B104">
        <v>307</v>
      </c>
      <c r="C104">
        <v>10301030217</v>
      </c>
      <c r="D104">
        <v>4</v>
      </c>
      <c r="E104" t="s">
        <v>2763</v>
      </c>
      <c r="F104">
        <v>10301030217</v>
      </c>
      <c r="G104" s="10" t="s">
        <v>2764</v>
      </c>
      <c r="H104" t="s">
        <v>2573</v>
      </c>
      <c r="I104" s="131">
        <v>0</v>
      </c>
      <c r="J104" s="131">
        <v>0</v>
      </c>
      <c r="K104" s="131">
        <v>0</v>
      </c>
      <c r="L104" s="131">
        <v>0</v>
      </c>
      <c r="M104" s="131">
        <v>0</v>
      </c>
      <c r="N104" s="131">
        <v>0</v>
      </c>
      <c r="O104" s="131">
        <v>0</v>
      </c>
      <c r="P104" s="131">
        <v>0</v>
      </c>
      <c r="Q104" s="131">
        <v>0</v>
      </c>
      <c r="R104" s="131">
        <v>0</v>
      </c>
      <c r="S104" s="131">
        <v>0</v>
      </c>
      <c r="T104" s="131">
        <v>0</v>
      </c>
      <c r="U104" s="131">
        <v>0</v>
      </c>
      <c r="V104" s="131">
        <v>0</v>
      </c>
      <c r="W104" s="131">
        <v>400641</v>
      </c>
      <c r="X104" s="131">
        <v>0</v>
      </c>
      <c r="Y104" s="131">
        <v>400641</v>
      </c>
      <c r="Z104" s="131">
        <v>0</v>
      </c>
      <c r="AA104" s="131">
        <v>0</v>
      </c>
      <c r="AB104" s="131">
        <v>0</v>
      </c>
      <c r="AC104" s="131">
        <v>0</v>
      </c>
      <c r="AD104" s="131">
        <v>0</v>
      </c>
      <c r="AE104" s="131">
        <v>0</v>
      </c>
      <c r="AF104" s="131">
        <v>400641</v>
      </c>
      <c r="AG104" s="131">
        <v>0</v>
      </c>
      <c r="AH104" s="131">
        <v>400641</v>
      </c>
      <c r="AI104" s="131">
        <v>400641</v>
      </c>
      <c r="AJ104" s="131">
        <v>0</v>
      </c>
      <c r="AK104" s="131">
        <v>0</v>
      </c>
      <c r="AM104" s="131">
        <v>400641</v>
      </c>
      <c r="AN104" s="131">
        <v>400641</v>
      </c>
      <c r="AO104" s="131">
        <v>0</v>
      </c>
      <c r="AP104" s="131">
        <v>400641</v>
      </c>
      <c r="AQ104" s="131">
        <v>0</v>
      </c>
      <c r="AR104" s="131">
        <v>0</v>
      </c>
      <c r="AS104" t="s">
        <v>32</v>
      </c>
    </row>
    <row r="105" spans="1:45" x14ac:dyDescent="0.25">
      <c r="A105">
        <v>2019</v>
      </c>
      <c r="B105">
        <v>307</v>
      </c>
      <c r="C105">
        <v>1030104</v>
      </c>
      <c r="D105" t="s">
        <v>226</v>
      </c>
      <c r="E105" t="s">
        <v>2765</v>
      </c>
      <c r="F105">
        <v>1030104</v>
      </c>
      <c r="G105" s="10" t="s">
        <v>2766</v>
      </c>
      <c r="H105" t="s">
        <v>2573</v>
      </c>
      <c r="I105" s="131">
        <v>0</v>
      </c>
      <c r="J105" s="131">
        <v>0</v>
      </c>
      <c r="K105" s="131">
        <v>32733309207</v>
      </c>
      <c r="L105" s="131">
        <v>8079037</v>
      </c>
      <c r="M105" s="131">
        <v>32725230170</v>
      </c>
      <c r="N105" s="131">
        <v>32733309207</v>
      </c>
      <c r="O105" s="131">
        <v>8079037</v>
      </c>
      <c r="P105" s="131">
        <v>32725230170</v>
      </c>
      <c r="Q105" s="131">
        <v>0</v>
      </c>
      <c r="R105" s="131">
        <v>0</v>
      </c>
      <c r="S105" s="131">
        <v>0</v>
      </c>
      <c r="T105" s="131">
        <v>0</v>
      </c>
      <c r="U105" s="131">
        <v>0</v>
      </c>
      <c r="V105" s="131">
        <v>0</v>
      </c>
      <c r="W105" s="131">
        <v>34308469202</v>
      </c>
      <c r="X105" s="131">
        <v>1664484053.0999999</v>
      </c>
      <c r="Y105" s="131">
        <v>32643985148.900002</v>
      </c>
      <c r="Z105" s="131">
        <v>0</v>
      </c>
      <c r="AA105" s="131">
        <v>0</v>
      </c>
      <c r="AB105" s="131">
        <v>0</v>
      </c>
      <c r="AC105" s="131">
        <v>0</v>
      </c>
      <c r="AD105" s="131">
        <v>0</v>
      </c>
      <c r="AE105" s="131">
        <v>0</v>
      </c>
      <c r="AF105" s="131">
        <v>34308469202</v>
      </c>
      <c r="AG105" s="131">
        <v>1664484053.0999999</v>
      </c>
      <c r="AH105" s="131">
        <v>32643985148.900002</v>
      </c>
      <c r="AI105" s="131">
        <v>32643985148.900002</v>
      </c>
      <c r="AJ105" s="131">
        <v>31151470040</v>
      </c>
      <c r="AK105" s="131">
        <v>31151470040</v>
      </c>
      <c r="AM105" s="131">
        <v>1575159995</v>
      </c>
      <c r="AN105" s="131">
        <v>1575159995</v>
      </c>
      <c r="AO105" s="131">
        <v>0</v>
      </c>
      <c r="AP105" s="131">
        <v>1575159995</v>
      </c>
      <c r="AQ105" s="131">
        <v>0</v>
      </c>
      <c r="AR105" s="131">
        <v>0</v>
      </c>
      <c r="AS105" t="s">
        <v>1709</v>
      </c>
    </row>
    <row r="106" spans="1:45" x14ac:dyDescent="0.25">
      <c r="A106">
        <v>2019</v>
      </c>
      <c r="B106">
        <v>307</v>
      </c>
      <c r="C106">
        <v>103010401</v>
      </c>
      <c r="D106" t="s">
        <v>226</v>
      </c>
      <c r="E106" t="s">
        <v>2767</v>
      </c>
      <c r="F106">
        <v>103010401</v>
      </c>
      <c r="G106" s="10" t="s">
        <v>2768</v>
      </c>
      <c r="H106" t="s">
        <v>2573</v>
      </c>
      <c r="I106" s="131">
        <v>0</v>
      </c>
      <c r="J106" s="131">
        <v>0</v>
      </c>
      <c r="K106" s="131">
        <v>16718511305</v>
      </c>
      <c r="L106" s="131">
        <v>0</v>
      </c>
      <c r="M106" s="131">
        <v>16718511305</v>
      </c>
      <c r="N106" s="131">
        <v>16718511305</v>
      </c>
      <c r="O106" s="131">
        <v>0</v>
      </c>
      <c r="P106" s="131">
        <v>16718511305</v>
      </c>
      <c r="Q106" s="131">
        <v>0</v>
      </c>
      <c r="R106" s="131">
        <v>0</v>
      </c>
      <c r="S106" s="131">
        <v>0</v>
      </c>
      <c r="T106" s="131">
        <v>0</v>
      </c>
      <c r="U106" s="131">
        <v>0</v>
      </c>
      <c r="V106" s="131">
        <v>0</v>
      </c>
      <c r="W106" s="131">
        <v>16718511305</v>
      </c>
      <c r="X106" s="131">
        <v>5386703.0999999996</v>
      </c>
      <c r="Y106" s="131">
        <v>16713124601.9</v>
      </c>
      <c r="Z106" s="131">
        <v>0</v>
      </c>
      <c r="AA106" s="131">
        <v>0</v>
      </c>
      <c r="AB106" s="131">
        <v>0</v>
      </c>
      <c r="AC106" s="131">
        <v>0</v>
      </c>
      <c r="AD106" s="131">
        <v>0</v>
      </c>
      <c r="AE106" s="131">
        <v>0</v>
      </c>
      <c r="AF106" s="131">
        <v>16718511305</v>
      </c>
      <c r="AG106" s="131">
        <v>5386703.0999999996</v>
      </c>
      <c r="AH106" s="131">
        <v>16713124601.9</v>
      </c>
      <c r="AI106" s="131">
        <v>16713124601.9</v>
      </c>
      <c r="AJ106" s="131">
        <v>16718511305</v>
      </c>
      <c r="AK106" s="131">
        <v>16718511305</v>
      </c>
      <c r="AM106" s="131">
        <v>0</v>
      </c>
      <c r="AN106" s="131">
        <v>0</v>
      </c>
      <c r="AO106" s="131">
        <v>0</v>
      </c>
      <c r="AP106" s="131">
        <v>0</v>
      </c>
      <c r="AQ106" s="131">
        <v>0</v>
      </c>
      <c r="AR106" s="131">
        <v>0</v>
      </c>
      <c r="AS106" t="s">
        <v>1709</v>
      </c>
    </row>
    <row r="107" spans="1:45" x14ac:dyDescent="0.25">
      <c r="A107">
        <v>2019</v>
      </c>
      <c r="B107">
        <v>307</v>
      </c>
      <c r="C107">
        <v>10301040101</v>
      </c>
      <c r="D107">
        <v>88</v>
      </c>
      <c r="E107" t="s">
        <v>2769</v>
      </c>
      <c r="F107">
        <v>10301040101</v>
      </c>
      <c r="G107" s="10" t="s">
        <v>1303</v>
      </c>
      <c r="H107" t="s">
        <v>2573</v>
      </c>
      <c r="I107" s="131">
        <v>0</v>
      </c>
      <c r="J107" s="131">
        <v>0</v>
      </c>
      <c r="K107" s="131">
        <v>16718511305</v>
      </c>
      <c r="L107" s="131">
        <v>0</v>
      </c>
      <c r="M107" s="131">
        <v>16718511305</v>
      </c>
      <c r="N107" s="131">
        <v>16718511305</v>
      </c>
      <c r="O107" s="131">
        <v>0</v>
      </c>
      <c r="P107" s="131">
        <v>16718511305</v>
      </c>
      <c r="Q107" s="131">
        <v>0</v>
      </c>
      <c r="R107" s="131">
        <v>0</v>
      </c>
      <c r="S107" s="131">
        <v>0</v>
      </c>
      <c r="T107" s="131">
        <v>0</v>
      </c>
      <c r="U107" s="131">
        <v>0</v>
      </c>
      <c r="V107" s="131">
        <v>0</v>
      </c>
      <c r="W107" s="131">
        <v>16718511305</v>
      </c>
      <c r="X107" s="131">
        <v>5386703.0999999996</v>
      </c>
      <c r="Y107" s="131">
        <v>16713124601.9</v>
      </c>
      <c r="Z107" s="131">
        <v>0</v>
      </c>
      <c r="AA107" s="131">
        <v>0</v>
      </c>
      <c r="AB107" s="131">
        <v>0</v>
      </c>
      <c r="AC107" s="131">
        <v>0</v>
      </c>
      <c r="AD107" s="131">
        <v>0</v>
      </c>
      <c r="AE107" s="131">
        <v>0</v>
      </c>
      <c r="AF107" s="131">
        <v>16718511305</v>
      </c>
      <c r="AG107" s="131">
        <v>5386703.0999999996</v>
      </c>
      <c r="AH107" s="131">
        <v>16713124601.9</v>
      </c>
      <c r="AI107" s="131">
        <v>16713124601.9</v>
      </c>
      <c r="AJ107" s="131">
        <v>16718511305</v>
      </c>
      <c r="AK107" s="131">
        <v>16718511305</v>
      </c>
      <c r="AM107" s="131">
        <v>0</v>
      </c>
      <c r="AN107" s="131">
        <v>0</v>
      </c>
      <c r="AO107" s="131">
        <v>0</v>
      </c>
      <c r="AP107" s="131">
        <v>0</v>
      </c>
      <c r="AQ107" s="131">
        <v>0</v>
      </c>
      <c r="AR107" s="131">
        <v>0</v>
      </c>
      <c r="AS107" t="s">
        <v>199</v>
      </c>
    </row>
    <row r="108" spans="1:45" ht="30" x14ac:dyDescent="0.25">
      <c r="A108">
        <v>2019</v>
      </c>
      <c r="B108">
        <v>307</v>
      </c>
      <c r="C108">
        <v>103010402</v>
      </c>
      <c r="D108" t="s">
        <v>226</v>
      </c>
      <c r="E108" t="s">
        <v>2770</v>
      </c>
      <c r="F108">
        <v>103010402</v>
      </c>
      <c r="G108" s="10" t="s">
        <v>2771</v>
      </c>
      <c r="H108" t="s">
        <v>2573</v>
      </c>
      <c r="I108" s="131">
        <v>0</v>
      </c>
      <c r="J108" s="131">
        <v>0</v>
      </c>
      <c r="K108" s="131">
        <v>16014797902</v>
      </c>
      <c r="L108" s="131">
        <v>8079037</v>
      </c>
      <c r="M108" s="131">
        <v>16006718865</v>
      </c>
      <c r="N108" s="131">
        <v>16014797902</v>
      </c>
      <c r="O108" s="131">
        <v>8079037</v>
      </c>
      <c r="P108" s="131">
        <v>16006718865</v>
      </c>
      <c r="Q108" s="131">
        <v>0</v>
      </c>
      <c r="R108" s="131">
        <v>0</v>
      </c>
      <c r="S108" s="131">
        <v>0</v>
      </c>
      <c r="T108" s="131">
        <v>0</v>
      </c>
      <c r="U108" s="131">
        <v>0</v>
      </c>
      <c r="V108" s="131">
        <v>0</v>
      </c>
      <c r="W108" s="131">
        <v>17589957897</v>
      </c>
      <c r="X108" s="131">
        <v>1659097350</v>
      </c>
      <c r="Y108" s="131">
        <v>15930860547</v>
      </c>
      <c r="Z108" s="131">
        <v>0</v>
      </c>
      <c r="AA108" s="131">
        <v>0</v>
      </c>
      <c r="AB108" s="131">
        <v>0</v>
      </c>
      <c r="AC108" s="131">
        <v>0</v>
      </c>
      <c r="AD108" s="131">
        <v>0</v>
      </c>
      <c r="AE108" s="131">
        <v>0</v>
      </c>
      <c r="AF108" s="131">
        <v>17589957897</v>
      </c>
      <c r="AG108" s="131">
        <v>1659097350</v>
      </c>
      <c r="AH108" s="131">
        <v>15930860547</v>
      </c>
      <c r="AI108" s="131">
        <v>15930860547</v>
      </c>
      <c r="AJ108" s="131">
        <v>14432958735</v>
      </c>
      <c r="AK108" s="131">
        <v>14432958735</v>
      </c>
      <c r="AM108" s="131">
        <v>1575159995</v>
      </c>
      <c r="AN108" s="131">
        <v>1575159995</v>
      </c>
      <c r="AO108" s="131">
        <v>0</v>
      </c>
      <c r="AP108" s="131">
        <v>1575159995</v>
      </c>
      <c r="AQ108" s="131">
        <v>0</v>
      </c>
      <c r="AR108" s="131">
        <v>0</v>
      </c>
      <c r="AS108" t="s">
        <v>1709</v>
      </c>
    </row>
    <row r="109" spans="1:45" x14ac:dyDescent="0.25">
      <c r="A109">
        <v>2019</v>
      </c>
      <c r="B109">
        <v>307</v>
      </c>
      <c r="C109">
        <v>10301040201</v>
      </c>
      <c r="D109">
        <v>89</v>
      </c>
      <c r="E109" t="s">
        <v>2772</v>
      </c>
      <c r="F109">
        <v>10301040201</v>
      </c>
      <c r="G109" s="10" t="s">
        <v>2773</v>
      </c>
      <c r="H109" t="s">
        <v>2573</v>
      </c>
      <c r="I109" s="131">
        <v>0</v>
      </c>
      <c r="J109" s="131">
        <v>0</v>
      </c>
      <c r="K109" s="131">
        <v>42594386</v>
      </c>
      <c r="L109" s="131">
        <v>0</v>
      </c>
      <c r="M109" s="131">
        <v>42594386</v>
      </c>
      <c r="N109" s="131">
        <v>42594386</v>
      </c>
      <c r="O109" s="131">
        <v>0</v>
      </c>
      <c r="P109" s="131">
        <v>42594386</v>
      </c>
      <c r="Q109" s="131">
        <v>0</v>
      </c>
      <c r="R109" s="131">
        <v>0</v>
      </c>
      <c r="S109" s="131">
        <v>0</v>
      </c>
      <c r="T109" s="131">
        <v>0</v>
      </c>
      <c r="U109" s="131">
        <v>0</v>
      </c>
      <c r="V109" s="131">
        <v>0</v>
      </c>
      <c r="W109" s="131">
        <v>42594386</v>
      </c>
      <c r="X109" s="131">
        <v>0</v>
      </c>
      <c r="Y109" s="131">
        <v>42594386</v>
      </c>
      <c r="Z109" s="131">
        <v>0</v>
      </c>
      <c r="AA109" s="131">
        <v>0</v>
      </c>
      <c r="AB109" s="131">
        <v>0</v>
      </c>
      <c r="AC109" s="131">
        <v>0</v>
      </c>
      <c r="AD109" s="131">
        <v>0</v>
      </c>
      <c r="AE109" s="131">
        <v>0</v>
      </c>
      <c r="AF109" s="131">
        <v>42594386</v>
      </c>
      <c r="AG109" s="131">
        <v>0</v>
      </c>
      <c r="AH109" s="131">
        <v>42594386</v>
      </c>
      <c r="AI109" s="131">
        <v>42594386</v>
      </c>
      <c r="AJ109" s="131">
        <v>42594386</v>
      </c>
      <c r="AK109" s="131">
        <v>42594386</v>
      </c>
      <c r="AM109" s="131">
        <v>0</v>
      </c>
      <c r="AN109" s="131">
        <v>0</v>
      </c>
      <c r="AO109" s="131">
        <v>0</v>
      </c>
      <c r="AP109" s="131">
        <v>0</v>
      </c>
      <c r="AQ109" s="131">
        <v>0</v>
      </c>
      <c r="AR109" s="131">
        <v>0</v>
      </c>
      <c r="AS109" t="s">
        <v>201</v>
      </c>
    </row>
    <row r="110" spans="1:45" x14ac:dyDescent="0.25">
      <c r="A110">
        <v>2019</v>
      </c>
      <c r="B110">
        <v>307</v>
      </c>
      <c r="C110">
        <v>10301040205</v>
      </c>
      <c r="D110">
        <v>83</v>
      </c>
      <c r="E110" t="s">
        <v>2774</v>
      </c>
      <c r="F110">
        <v>10301040205</v>
      </c>
      <c r="G110" s="10" t="s">
        <v>2775</v>
      </c>
      <c r="H110" t="s">
        <v>2573</v>
      </c>
      <c r="I110" s="131">
        <v>0</v>
      </c>
      <c r="J110" s="131">
        <v>0</v>
      </c>
      <c r="K110" s="131">
        <v>1819622863</v>
      </c>
      <c r="L110" s="131">
        <v>0</v>
      </c>
      <c r="M110" s="131">
        <v>1819622863</v>
      </c>
      <c r="N110" s="131">
        <v>1819622863</v>
      </c>
      <c r="O110" s="131">
        <v>0</v>
      </c>
      <c r="P110" s="131">
        <v>1819622863</v>
      </c>
      <c r="Q110" s="131">
        <v>0</v>
      </c>
      <c r="R110" s="131">
        <v>0</v>
      </c>
      <c r="S110" s="131">
        <v>0</v>
      </c>
      <c r="T110" s="131">
        <v>0</v>
      </c>
      <c r="U110" s="131">
        <v>0</v>
      </c>
      <c r="V110" s="131">
        <v>0</v>
      </c>
      <c r="W110" s="131">
        <v>1819622863</v>
      </c>
      <c r="X110" s="131">
        <v>0</v>
      </c>
      <c r="Y110" s="131">
        <v>1819622863</v>
      </c>
      <c r="Z110" s="131">
        <v>0</v>
      </c>
      <c r="AA110" s="131">
        <v>0</v>
      </c>
      <c r="AB110" s="131">
        <v>0</v>
      </c>
      <c r="AC110" s="131">
        <v>0</v>
      </c>
      <c r="AD110" s="131">
        <v>0</v>
      </c>
      <c r="AE110" s="131">
        <v>0</v>
      </c>
      <c r="AF110" s="131">
        <v>1819622863</v>
      </c>
      <c r="AG110" s="131">
        <v>0</v>
      </c>
      <c r="AH110" s="131">
        <v>1819622863</v>
      </c>
      <c r="AI110" s="131">
        <v>1819622863</v>
      </c>
      <c r="AJ110" s="131">
        <v>1819622863</v>
      </c>
      <c r="AK110" s="131">
        <v>1819622863</v>
      </c>
      <c r="AM110" s="131">
        <v>0</v>
      </c>
      <c r="AN110" s="131">
        <v>0</v>
      </c>
      <c r="AO110" s="131">
        <v>0</v>
      </c>
      <c r="AP110" s="131">
        <v>0</v>
      </c>
      <c r="AQ110" s="131">
        <v>0</v>
      </c>
      <c r="AR110" s="131">
        <v>0</v>
      </c>
      <c r="AS110" t="s">
        <v>193</v>
      </c>
    </row>
    <row r="111" spans="1:45" ht="30" x14ac:dyDescent="0.25">
      <c r="A111">
        <v>2019</v>
      </c>
      <c r="B111">
        <v>307</v>
      </c>
      <c r="C111">
        <v>10301040207</v>
      </c>
      <c r="D111">
        <v>94</v>
      </c>
      <c r="E111" t="s">
        <v>2776</v>
      </c>
      <c r="F111">
        <v>10301040207</v>
      </c>
      <c r="G111" s="10" t="s">
        <v>2777</v>
      </c>
      <c r="H111" t="s">
        <v>2573</v>
      </c>
      <c r="I111" s="131">
        <v>0</v>
      </c>
      <c r="J111" s="131">
        <v>0</v>
      </c>
      <c r="K111" s="131">
        <v>72966900</v>
      </c>
      <c r="L111" s="131">
        <v>0</v>
      </c>
      <c r="M111" s="131">
        <v>72966900</v>
      </c>
      <c r="N111" s="131">
        <v>72966900</v>
      </c>
      <c r="O111" s="131">
        <v>0</v>
      </c>
      <c r="P111" s="131">
        <v>72966900</v>
      </c>
      <c r="Q111" s="131">
        <v>0</v>
      </c>
      <c r="R111" s="131">
        <v>0</v>
      </c>
      <c r="S111" s="131">
        <v>0</v>
      </c>
      <c r="T111" s="131">
        <v>0</v>
      </c>
      <c r="U111" s="131">
        <v>0</v>
      </c>
      <c r="V111" s="131">
        <v>0</v>
      </c>
      <c r="W111" s="131">
        <v>72966900</v>
      </c>
      <c r="X111" s="131">
        <v>0</v>
      </c>
      <c r="Y111" s="131">
        <v>72966900</v>
      </c>
      <c r="Z111" s="131">
        <v>0</v>
      </c>
      <c r="AA111" s="131">
        <v>0</v>
      </c>
      <c r="AB111" s="131">
        <v>0</v>
      </c>
      <c r="AC111" s="131">
        <v>0</v>
      </c>
      <c r="AD111" s="131">
        <v>0</v>
      </c>
      <c r="AE111" s="131">
        <v>0</v>
      </c>
      <c r="AF111" s="131">
        <v>72966900</v>
      </c>
      <c r="AG111" s="131">
        <v>0</v>
      </c>
      <c r="AH111" s="131">
        <v>72966900</v>
      </c>
      <c r="AI111" s="131">
        <v>72966900</v>
      </c>
      <c r="AJ111" s="131">
        <v>72966900</v>
      </c>
      <c r="AK111" s="131">
        <v>72966900</v>
      </c>
      <c r="AM111" s="131">
        <v>0</v>
      </c>
      <c r="AN111" s="131">
        <v>0</v>
      </c>
      <c r="AO111" s="131">
        <v>0</v>
      </c>
      <c r="AP111" s="131">
        <v>0</v>
      </c>
      <c r="AQ111" s="131">
        <v>0</v>
      </c>
      <c r="AR111" s="131">
        <v>0</v>
      </c>
      <c r="AS111" t="s">
        <v>211</v>
      </c>
    </row>
    <row r="112" spans="1:45" x14ac:dyDescent="0.25">
      <c r="A112">
        <v>2019</v>
      </c>
      <c r="B112">
        <v>307</v>
      </c>
      <c r="C112">
        <v>10301040208</v>
      </c>
      <c r="D112">
        <v>82</v>
      </c>
      <c r="E112" t="s">
        <v>2778</v>
      </c>
      <c r="F112">
        <v>10301040208</v>
      </c>
      <c r="G112" s="10" t="s">
        <v>1305</v>
      </c>
      <c r="H112" t="s">
        <v>2573</v>
      </c>
      <c r="I112" s="131">
        <v>0</v>
      </c>
      <c r="J112" s="131">
        <v>0</v>
      </c>
      <c r="K112" s="131">
        <v>2377776381</v>
      </c>
      <c r="L112" s="131">
        <v>0</v>
      </c>
      <c r="M112" s="131">
        <v>2377776381</v>
      </c>
      <c r="N112" s="131">
        <v>2377776381</v>
      </c>
      <c r="O112" s="131">
        <v>0</v>
      </c>
      <c r="P112" s="131">
        <v>2377776381</v>
      </c>
      <c r="Q112" s="131">
        <v>0</v>
      </c>
      <c r="R112" s="131">
        <v>0</v>
      </c>
      <c r="S112" s="131">
        <v>0</v>
      </c>
      <c r="T112" s="131">
        <v>0</v>
      </c>
      <c r="U112" s="131">
        <v>0</v>
      </c>
      <c r="V112" s="131">
        <v>0</v>
      </c>
      <c r="W112" s="131">
        <v>2377776381</v>
      </c>
      <c r="X112" s="131">
        <v>0</v>
      </c>
      <c r="Y112" s="131">
        <v>2377776381</v>
      </c>
      <c r="Z112" s="131">
        <v>0</v>
      </c>
      <c r="AA112" s="131">
        <v>0</v>
      </c>
      <c r="AB112" s="131">
        <v>0</v>
      </c>
      <c r="AC112" s="131">
        <v>0</v>
      </c>
      <c r="AD112" s="131">
        <v>0</v>
      </c>
      <c r="AE112" s="131">
        <v>0</v>
      </c>
      <c r="AF112" s="131">
        <v>2377776381</v>
      </c>
      <c r="AG112" s="131">
        <v>0</v>
      </c>
      <c r="AH112" s="131">
        <v>2377776381</v>
      </c>
      <c r="AI112" s="131">
        <v>2377776381</v>
      </c>
      <c r="AJ112" s="131">
        <v>2377776381</v>
      </c>
      <c r="AK112" s="131">
        <v>2377776381</v>
      </c>
      <c r="AM112" s="131">
        <v>0</v>
      </c>
      <c r="AN112" s="131">
        <v>0</v>
      </c>
      <c r="AO112" s="131">
        <v>0</v>
      </c>
      <c r="AP112" s="131">
        <v>0</v>
      </c>
      <c r="AQ112" s="131">
        <v>0</v>
      </c>
      <c r="AR112" s="131">
        <v>0</v>
      </c>
      <c r="AS112" t="s">
        <v>191</v>
      </c>
    </row>
    <row r="113" spans="1:45" x14ac:dyDescent="0.25">
      <c r="A113">
        <v>2019</v>
      </c>
      <c r="B113">
        <v>307</v>
      </c>
      <c r="C113">
        <v>10301040209</v>
      </c>
      <c r="D113">
        <v>159</v>
      </c>
      <c r="E113" t="s">
        <v>2779</v>
      </c>
      <c r="F113">
        <v>10301040209</v>
      </c>
      <c r="G113" s="10" t="s">
        <v>2780</v>
      </c>
      <c r="H113" t="s">
        <v>2573</v>
      </c>
      <c r="I113" s="131">
        <v>0</v>
      </c>
      <c r="J113" s="131">
        <v>0</v>
      </c>
      <c r="K113" s="131">
        <v>28350000</v>
      </c>
      <c r="L113" s="131">
        <v>0</v>
      </c>
      <c r="M113" s="131">
        <v>28350000</v>
      </c>
      <c r="N113" s="131">
        <v>28350000</v>
      </c>
      <c r="O113" s="131">
        <v>0</v>
      </c>
      <c r="P113" s="131">
        <v>28350000</v>
      </c>
      <c r="Q113" s="131">
        <v>0</v>
      </c>
      <c r="R113" s="131">
        <v>0</v>
      </c>
      <c r="S113" s="131">
        <v>0</v>
      </c>
      <c r="T113" s="131">
        <v>0</v>
      </c>
      <c r="U113" s="131">
        <v>0</v>
      </c>
      <c r="V113" s="131">
        <v>0</v>
      </c>
      <c r="W113" s="131">
        <v>38126213</v>
      </c>
      <c r="X113" s="131">
        <v>16455385</v>
      </c>
      <c r="Y113" s="131">
        <v>21670828</v>
      </c>
      <c r="Z113" s="131">
        <v>0</v>
      </c>
      <c r="AA113" s="131">
        <v>0</v>
      </c>
      <c r="AB113" s="131">
        <v>0</v>
      </c>
      <c r="AC113" s="131">
        <v>0</v>
      </c>
      <c r="AD113" s="131">
        <v>0</v>
      </c>
      <c r="AE113" s="131">
        <v>0</v>
      </c>
      <c r="AF113" s="131">
        <v>38126213</v>
      </c>
      <c r="AG113" s="131">
        <v>16455385</v>
      </c>
      <c r="AH113" s="131">
        <v>21670828</v>
      </c>
      <c r="AI113" s="131">
        <v>21670828</v>
      </c>
      <c r="AJ113" s="131">
        <v>11894615</v>
      </c>
      <c r="AK113" s="131">
        <v>11894615</v>
      </c>
      <c r="AM113" s="131">
        <v>9776213</v>
      </c>
      <c r="AN113" s="131">
        <v>9776213</v>
      </c>
      <c r="AO113" s="131">
        <v>0</v>
      </c>
      <c r="AP113" s="131">
        <v>9776213</v>
      </c>
      <c r="AQ113" s="131">
        <v>0</v>
      </c>
      <c r="AR113" s="131">
        <v>0</v>
      </c>
      <c r="AS113" t="s">
        <v>2781</v>
      </c>
    </row>
    <row r="114" spans="1:45" x14ac:dyDescent="0.25">
      <c r="A114">
        <v>2019</v>
      </c>
      <c r="B114">
        <v>307</v>
      </c>
      <c r="C114">
        <v>10301040212</v>
      </c>
      <c r="D114">
        <v>157</v>
      </c>
      <c r="E114" t="s">
        <v>2782</v>
      </c>
      <c r="F114">
        <v>10301040212</v>
      </c>
      <c r="G114" s="10" t="s">
        <v>2783</v>
      </c>
      <c r="H114" t="s">
        <v>2573</v>
      </c>
      <c r="I114" s="131">
        <v>0</v>
      </c>
      <c r="J114" s="131">
        <v>0</v>
      </c>
      <c r="K114" s="131">
        <v>1565383782</v>
      </c>
      <c r="L114" s="131">
        <v>8079037</v>
      </c>
      <c r="M114" s="131">
        <v>1557304745</v>
      </c>
      <c r="N114" s="131">
        <v>1565383782</v>
      </c>
      <c r="O114" s="131">
        <v>8079037</v>
      </c>
      <c r="P114" s="131">
        <v>1557304745</v>
      </c>
      <c r="Q114" s="131">
        <v>0</v>
      </c>
      <c r="R114" s="131">
        <v>0</v>
      </c>
      <c r="S114" s="131">
        <v>0</v>
      </c>
      <c r="T114" s="131">
        <v>0</v>
      </c>
      <c r="U114" s="131">
        <v>0</v>
      </c>
      <c r="V114" s="131">
        <v>0</v>
      </c>
      <c r="W114" s="131">
        <v>3130767564</v>
      </c>
      <c r="X114" s="131">
        <v>1565383782</v>
      </c>
      <c r="Y114" s="131">
        <v>1565383782</v>
      </c>
      <c r="Z114" s="131">
        <v>0</v>
      </c>
      <c r="AA114" s="131">
        <v>0</v>
      </c>
      <c r="AB114" s="131">
        <v>0</v>
      </c>
      <c r="AC114" s="131">
        <v>0</v>
      </c>
      <c r="AD114" s="131">
        <v>0</v>
      </c>
      <c r="AE114" s="131">
        <v>0</v>
      </c>
      <c r="AF114" s="131">
        <v>3130767564</v>
      </c>
      <c r="AG114" s="131">
        <v>1565383782</v>
      </c>
      <c r="AH114" s="131">
        <v>1565383782</v>
      </c>
      <c r="AI114" s="131">
        <v>1565383782</v>
      </c>
      <c r="AJ114" s="131">
        <v>0</v>
      </c>
      <c r="AK114" s="131">
        <v>0</v>
      </c>
      <c r="AM114" s="131">
        <v>1565383782</v>
      </c>
      <c r="AN114" s="131">
        <v>1565383782</v>
      </c>
      <c r="AO114" s="131">
        <v>0</v>
      </c>
      <c r="AP114" s="131">
        <v>1565383782</v>
      </c>
      <c r="AQ114" s="131">
        <v>0</v>
      </c>
      <c r="AR114" s="131">
        <v>0</v>
      </c>
      <c r="AS114" t="s">
        <v>78</v>
      </c>
    </row>
    <row r="115" spans="1:45" ht="30" x14ac:dyDescent="0.25">
      <c r="A115">
        <v>2019</v>
      </c>
      <c r="B115">
        <v>307</v>
      </c>
      <c r="C115">
        <v>10301040214</v>
      </c>
      <c r="D115">
        <v>93</v>
      </c>
      <c r="E115" t="s">
        <v>2784</v>
      </c>
      <c r="F115">
        <v>10301040214</v>
      </c>
      <c r="G115" s="10" t="s">
        <v>2785</v>
      </c>
      <c r="H115" t="s">
        <v>2573</v>
      </c>
      <c r="I115" s="131">
        <v>0</v>
      </c>
      <c r="J115" s="131">
        <v>0</v>
      </c>
      <c r="K115" s="131">
        <v>219596501</v>
      </c>
      <c r="L115" s="131">
        <v>0</v>
      </c>
      <c r="M115" s="131">
        <v>219596501</v>
      </c>
      <c r="N115" s="131">
        <v>219596501</v>
      </c>
      <c r="O115" s="131">
        <v>0</v>
      </c>
      <c r="P115" s="131">
        <v>219596501</v>
      </c>
      <c r="Q115" s="131">
        <v>0</v>
      </c>
      <c r="R115" s="131">
        <v>0</v>
      </c>
      <c r="S115" s="131">
        <v>0</v>
      </c>
      <c r="T115" s="131">
        <v>0</v>
      </c>
      <c r="U115" s="131">
        <v>0</v>
      </c>
      <c r="V115" s="131">
        <v>0</v>
      </c>
      <c r="W115" s="131">
        <v>219596501</v>
      </c>
      <c r="X115" s="131">
        <v>77258183</v>
      </c>
      <c r="Y115" s="131">
        <v>142338318</v>
      </c>
      <c r="Z115" s="131">
        <v>0</v>
      </c>
      <c r="AA115" s="131">
        <v>0</v>
      </c>
      <c r="AB115" s="131">
        <v>0</v>
      </c>
      <c r="AC115" s="131">
        <v>0</v>
      </c>
      <c r="AD115" s="131">
        <v>0</v>
      </c>
      <c r="AE115" s="131">
        <v>0</v>
      </c>
      <c r="AF115" s="131">
        <v>219596501</v>
      </c>
      <c r="AG115" s="131">
        <v>77258183</v>
      </c>
      <c r="AH115" s="131">
        <v>142338318</v>
      </c>
      <c r="AI115" s="131">
        <v>142338318</v>
      </c>
      <c r="AJ115" s="131">
        <v>219596501</v>
      </c>
      <c r="AK115" s="131">
        <v>219596501</v>
      </c>
      <c r="AM115" s="131">
        <v>0</v>
      </c>
      <c r="AN115" s="131">
        <v>0</v>
      </c>
      <c r="AO115" s="131">
        <v>0</v>
      </c>
      <c r="AP115" s="131">
        <v>0</v>
      </c>
      <c r="AQ115" s="131">
        <v>0</v>
      </c>
      <c r="AR115" s="131">
        <v>0</v>
      </c>
      <c r="AS115" t="s">
        <v>209</v>
      </c>
    </row>
    <row r="116" spans="1:45" x14ac:dyDescent="0.25">
      <c r="A116">
        <v>2019</v>
      </c>
      <c r="B116">
        <v>307</v>
      </c>
      <c r="C116">
        <v>10301040224</v>
      </c>
      <c r="D116">
        <v>91</v>
      </c>
      <c r="E116" t="s">
        <v>2786</v>
      </c>
      <c r="F116">
        <v>10301040224</v>
      </c>
      <c r="G116" s="10" t="s">
        <v>2787</v>
      </c>
      <c r="H116" t="s">
        <v>2573</v>
      </c>
      <c r="I116" s="131">
        <v>0</v>
      </c>
      <c r="J116" s="131">
        <v>0</v>
      </c>
      <c r="K116" s="131">
        <v>285313337</v>
      </c>
      <c r="L116" s="131">
        <v>0</v>
      </c>
      <c r="M116" s="131">
        <v>285313337</v>
      </c>
      <c r="N116" s="131">
        <v>285313337</v>
      </c>
      <c r="O116" s="131">
        <v>0</v>
      </c>
      <c r="P116" s="131">
        <v>285313337</v>
      </c>
      <c r="Q116" s="131">
        <v>0</v>
      </c>
      <c r="R116" s="131">
        <v>0</v>
      </c>
      <c r="S116" s="131">
        <v>0</v>
      </c>
      <c r="T116" s="131">
        <v>0</v>
      </c>
      <c r="U116" s="131">
        <v>0</v>
      </c>
      <c r="V116" s="131">
        <v>0</v>
      </c>
      <c r="W116" s="131">
        <v>285313337</v>
      </c>
      <c r="X116" s="131">
        <v>0</v>
      </c>
      <c r="Y116" s="131">
        <v>285313337</v>
      </c>
      <c r="Z116" s="131">
        <v>0</v>
      </c>
      <c r="AA116" s="131">
        <v>0</v>
      </c>
      <c r="AB116" s="131">
        <v>0</v>
      </c>
      <c r="AC116" s="131">
        <v>0</v>
      </c>
      <c r="AD116" s="131">
        <v>0</v>
      </c>
      <c r="AE116" s="131">
        <v>0</v>
      </c>
      <c r="AF116" s="131">
        <v>285313337</v>
      </c>
      <c r="AG116" s="131">
        <v>0</v>
      </c>
      <c r="AH116" s="131">
        <v>285313337</v>
      </c>
      <c r="AI116" s="131">
        <v>285313337</v>
      </c>
      <c r="AJ116" s="131">
        <v>285313337</v>
      </c>
      <c r="AK116" s="131">
        <v>285313337</v>
      </c>
      <c r="AM116" s="131">
        <v>0</v>
      </c>
      <c r="AN116" s="131">
        <v>0</v>
      </c>
      <c r="AO116" s="131">
        <v>0</v>
      </c>
      <c r="AP116" s="131">
        <v>0</v>
      </c>
      <c r="AQ116" s="131">
        <v>0</v>
      </c>
      <c r="AR116" s="131">
        <v>0</v>
      </c>
      <c r="AS116" t="s">
        <v>205</v>
      </c>
    </row>
    <row r="117" spans="1:45" ht="30" x14ac:dyDescent="0.25">
      <c r="A117">
        <v>2019</v>
      </c>
      <c r="B117">
        <v>307</v>
      </c>
      <c r="C117">
        <v>10301040225</v>
      </c>
      <c r="D117">
        <v>84</v>
      </c>
      <c r="E117" t="s">
        <v>2788</v>
      </c>
      <c r="F117">
        <v>10301040225</v>
      </c>
      <c r="G117" s="10" t="s">
        <v>2789</v>
      </c>
      <c r="H117" t="s">
        <v>2573</v>
      </c>
      <c r="I117" s="131">
        <v>0</v>
      </c>
      <c r="J117" s="131">
        <v>0</v>
      </c>
      <c r="K117" s="131">
        <v>198507056</v>
      </c>
      <c r="L117" s="131">
        <v>0</v>
      </c>
      <c r="M117" s="131">
        <v>198507056</v>
      </c>
      <c r="N117" s="131">
        <v>198507056</v>
      </c>
      <c r="O117" s="131">
        <v>0</v>
      </c>
      <c r="P117" s="131">
        <v>198507056</v>
      </c>
      <c r="Q117" s="131">
        <v>0</v>
      </c>
      <c r="R117" s="131">
        <v>0</v>
      </c>
      <c r="S117" s="131">
        <v>0</v>
      </c>
      <c r="T117" s="131">
        <v>0</v>
      </c>
      <c r="U117" s="131">
        <v>0</v>
      </c>
      <c r="V117" s="131">
        <v>0</v>
      </c>
      <c r="W117" s="131">
        <v>198507056</v>
      </c>
      <c r="X117" s="131">
        <v>0</v>
      </c>
      <c r="Y117" s="131">
        <v>198507056</v>
      </c>
      <c r="Z117" s="131">
        <v>0</v>
      </c>
      <c r="AA117" s="131">
        <v>0</v>
      </c>
      <c r="AB117" s="131">
        <v>0</v>
      </c>
      <c r="AC117" s="131">
        <v>0</v>
      </c>
      <c r="AD117" s="131">
        <v>0</v>
      </c>
      <c r="AE117" s="131">
        <v>0</v>
      </c>
      <c r="AF117" s="131">
        <v>198507056</v>
      </c>
      <c r="AG117" s="131">
        <v>0</v>
      </c>
      <c r="AH117" s="131">
        <v>198507056</v>
      </c>
      <c r="AI117" s="131">
        <v>198507056</v>
      </c>
      <c r="AJ117" s="131">
        <v>198507056</v>
      </c>
      <c r="AK117" s="131">
        <v>198507056</v>
      </c>
      <c r="AM117" s="131">
        <v>0</v>
      </c>
      <c r="AN117" s="131">
        <v>0</v>
      </c>
      <c r="AO117" s="131">
        <v>0</v>
      </c>
      <c r="AP117" s="131">
        <v>0</v>
      </c>
      <c r="AQ117" s="131">
        <v>0</v>
      </c>
      <c r="AR117" s="131">
        <v>0</v>
      </c>
      <c r="AS117" t="s">
        <v>195</v>
      </c>
    </row>
    <row r="118" spans="1:45" x14ac:dyDescent="0.25">
      <c r="A118">
        <v>2019</v>
      </c>
      <c r="B118">
        <v>307</v>
      </c>
      <c r="C118">
        <v>10301040226</v>
      </c>
      <c r="D118">
        <v>92</v>
      </c>
      <c r="E118" t="s">
        <v>2790</v>
      </c>
      <c r="F118">
        <v>10301040226</v>
      </c>
      <c r="G118" s="10" t="s">
        <v>2791</v>
      </c>
      <c r="H118" t="s">
        <v>2573</v>
      </c>
      <c r="I118" s="131">
        <v>0</v>
      </c>
      <c r="J118" s="131">
        <v>0</v>
      </c>
      <c r="K118" s="131">
        <v>4333592174</v>
      </c>
      <c r="L118" s="131">
        <v>0</v>
      </c>
      <c r="M118" s="131">
        <v>4333592174</v>
      </c>
      <c r="N118" s="131">
        <v>4333592174</v>
      </c>
      <c r="O118" s="131">
        <v>0</v>
      </c>
      <c r="P118" s="131">
        <v>4333592174</v>
      </c>
      <c r="Q118" s="131">
        <v>0</v>
      </c>
      <c r="R118" s="131">
        <v>0</v>
      </c>
      <c r="S118" s="131">
        <v>0</v>
      </c>
      <c r="T118" s="131">
        <v>0</v>
      </c>
      <c r="U118" s="131">
        <v>0</v>
      </c>
      <c r="V118" s="131">
        <v>0</v>
      </c>
      <c r="W118" s="131">
        <v>4333592174</v>
      </c>
      <c r="X118" s="131">
        <v>0</v>
      </c>
      <c r="Y118" s="131">
        <v>4333592174</v>
      </c>
      <c r="Z118" s="131">
        <v>0</v>
      </c>
      <c r="AA118" s="131">
        <v>0</v>
      </c>
      <c r="AB118" s="131">
        <v>0</v>
      </c>
      <c r="AC118" s="131">
        <v>0</v>
      </c>
      <c r="AD118" s="131">
        <v>0</v>
      </c>
      <c r="AE118" s="131">
        <v>0</v>
      </c>
      <c r="AF118" s="131">
        <v>4333592174</v>
      </c>
      <c r="AG118" s="131">
        <v>0</v>
      </c>
      <c r="AH118" s="131">
        <v>4333592174</v>
      </c>
      <c r="AI118" s="131">
        <v>4333592174</v>
      </c>
      <c r="AJ118" s="131">
        <v>4333592174</v>
      </c>
      <c r="AK118" s="131">
        <v>4333592174</v>
      </c>
      <c r="AM118" s="131">
        <v>0</v>
      </c>
      <c r="AN118" s="131">
        <v>0</v>
      </c>
      <c r="AO118" s="131">
        <v>0</v>
      </c>
      <c r="AP118" s="131">
        <v>0</v>
      </c>
      <c r="AQ118" s="131">
        <v>0</v>
      </c>
      <c r="AR118" s="131">
        <v>0</v>
      </c>
      <c r="AS118" t="s">
        <v>207</v>
      </c>
    </row>
    <row r="119" spans="1:45" x14ac:dyDescent="0.25">
      <c r="A119">
        <v>2019</v>
      </c>
      <c r="B119">
        <v>307</v>
      </c>
      <c r="C119">
        <v>10301040237</v>
      </c>
      <c r="D119">
        <v>90</v>
      </c>
      <c r="E119" t="s">
        <v>2792</v>
      </c>
      <c r="F119">
        <v>10301040237</v>
      </c>
      <c r="G119" s="10" t="s">
        <v>2793</v>
      </c>
      <c r="H119" t="s">
        <v>2573</v>
      </c>
      <c r="I119" s="131">
        <v>0</v>
      </c>
      <c r="J119" s="131">
        <v>0</v>
      </c>
      <c r="K119" s="131">
        <v>11779994</v>
      </c>
      <c r="L119" s="131">
        <v>0</v>
      </c>
      <c r="M119" s="131">
        <v>11779994</v>
      </c>
      <c r="N119" s="131">
        <v>11779994</v>
      </c>
      <c r="O119" s="131">
        <v>0</v>
      </c>
      <c r="P119" s="131">
        <v>11779994</v>
      </c>
      <c r="Q119" s="131">
        <v>0</v>
      </c>
      <c r="R119" s="131">
        <v>0</v>
      </c>
      <c r="S119" s="131">
        <v>0</v>
      </c>
      <c r="T119" s="131">
        <v>0</v>
      </c>
      <c r="U119" s="131">
        <v>0</v>
      </c>
      <c r="V119" s="131">
        <v>0</v>
      </c>
      <c r="W119" s="131">
        <v>11779994</v>
      </c>
      <c r="X119" s="131">
        <v>0</v>
      </c>
      <c r="Y119" s="131">
        <v>11779994</v>
      </c>
      <c r="Z119" s="131">
        <v>0</v>
      </c>
      <c r="AA119" s="131">
        <v>0</v>
      </c>
      <c r="AB119" s="131">
        <v>0</v>
      </c>
      <c r="AC119" s="131">
        <v>0</v>
      </c>
      <c r="AD119" s="131">
        <v>0</v>
      </c>
      <c r="AE119" s="131">
        <v>0</v>
      </c>
      <c r="AF119" s="131">
        <v>11779994</v>
      </c>
      <c r="AG119" s="131">
        <v>0</v>
      </c>
      <c r="AH119" s="131">
        <v>11779994</v>
      </c>
      <c r="AI119" s="131">
        <v>11779994</v>
      </c>
      <c r="AJ119" s="131">
        <v>11779994</v>
      </c>
      <c r="AK119" s="131">
        <v>11779994</v>
      </c>
      <c r="AM119" s="131">
        <v>0</v>
      </c>
      <c r="AN119" s="131">
        <v>0</v>
      </c>
      <c r="AO119" s="131">
        <v>0</v>
      </c>
      <c r="AP119" s="131">
        <v>0</v>
      </c>
      <c r="AQ119" s="131">
        <v>0</v>
      </c>
      <c r="AR119" s="131">
        <v>0</v>
      </c>
      <c r="AS119" t="s">
        <v>203</v>
      </c>
    </row>
    <row r="120" spans="1:45" x14ac:dyDescent="0.25">
      <c r="A120">
        <v>2019</v>
      </c>
      <c r="B120">
        <v>307</v>
      </c>
      <c r="C120">
        <v>10301040240</v>
      </c>
      <c r="D120">
        <v>123</v>
      </c>
      <c r="E120" t="s">
        <v>2794</v>
      </c>
      <c r="F120">
        <v>10301040240</v>
      </c>
      <c r="G120" s="10" t="s">
        <v>1326</v>
      </c>
      <c r="H120" t="s">
        <v>2573</v>
      </c>
      <c r="I120" s="131">
        <v>0</v>
      </c>
      <c r="J120" s="131">
        <v>0</v>
      </c>
      <c r="K120" s="131">
        <v>140918093</v>
      </c>
      <c r="L120" s="131">
        <v>0</v>
      </c>
      <c r="M120" s="131">
        <v>140918093</v>
      </c>
      <c r="N120" s="131">
        <v>140918093</v>
      </c>
      <c r="O120" s="131">
        <v>0</v>
      </c>
      <c r="P120" s="131">
        <v>140918093</v>
      </c>
      <c r="Q120" s="131">
        <v>0</v>
      </c>
      <c r="R120" s="131">
        <v>0</v>
      </c>
      <c r="S120" s="131">
        <v>0</v>
      </c>
      <c r="T120" s="131">
        <v>0</v>
      </c>
      <c r="U120" s="131">
        <v>0</v>
      </c>
      <c r="V120" s="131">
        <v>0</v>
      </c>
      <c r="W120" s="131">
        <v>140918093</v>
      </c>
      <c r="X120" s="131">
        <v>0</v>
      </c>
      <c r="Y120" s="131">
        <v>140918093</v>
      </c>
      <c r="Z120" s="131">
        <v>0</v>
      </c>
      <c r="AA120" s="131">
        <v>0</v>
      </c>
      <c r="AB120" s="131">
        <v>0</v>
      </c>
      <c r="AC120" s="131">
        <v>0</v>
      </c>
      <c r="AD120" s="131">
        <v>0</v>
      </c>
      <c r="AE120" s="131">
        <v>0</v>
      </c>
      <c r="AF120" s="131">
        <v>140918093</v>
      </c>
      <c r="AG120" s="131">
        <v>0</v>
      </c>
      <c r="AH120" s="131">
        <v>140918093</v>
      </c>
      <c r="AI120" s="131">
        <v>140918093</v>
      </c>
      <c r="AJ120" s="131">
        <v>140918093</v>
      </c>
      <c r="AK120" s="131">
        <v>140918093</v>
      </c>
      <c r="AM120" s="131">
        <v>0</v>
      </c>
      <c r="AN120" s="131">
        <v>0</v>
      </c>
      <c r="AO120" s="131">
        <v>0</v>
      </c>
      <c r="AP120" s="131">
        <v>0</v>
      </c>
      <c r="AQ120" s="131">
        <v>0</v>
      </c>
      <c r="AR120" s="131">
        <v>0</v>
      </c>
      <c r="AS120" t="s">
        <v>52</v>
      </c>
    </row>
    <row r="121" spans="1:45" x14ac:dyDescent="0.25">
      <c r="A121">
        <v>2019</v>
      </c>
      <c r="B121">
        <v>307</v>
      </c>
      <c r="C121">
        <v>10301040241</v>
      </c>
      <c r="D121">
        <v>122</v>
      </c>
      <c r="E121" t="s">
        <v>2795</v>
      </c>
      <c r="F121">
        <v>10301040241</v>
      </c>
      <c r="G121" s="10" t="s">
        <v>1344</v>
      </c>
      <c r="H121" t="s">
        <v>2573</v>
      </c>
      <c r="I121" s="131">
        <v>0</v>
      </c>
      <c r="J121" s="131">
        <v>0</v>
      </c>
      <c r="K121" s="131">
        <v>271846257</v>
      </c>
      <c r="L121" s="131">
        <v>0</v>
      </c>
      <c r="M121" s="131">
        <v>271846257</v>
      </c>
      <c r="N121" s="131">
        <v>271846257</v>
      </c>
      <c r="O121" s="131">
        <v>0</v>
      </c>
      <c r="P121" s="131">
        <v>271846257</v>
      </c>
      <c r="Q121" s="131">
        <v>0</v>
      </c>
      <c r="R121" s="131">
        <v>0</v>
      </c>
      <c r="S121" s="131">
        <v>0</v>
      </c>
      <c r="T121" s="131">
        <v>0</v>
      </c>
      <c r="U121" s="131">
        <v>0</v>
      </c>
      <c r="V121" s="131">
        <v>0</v>
      </c>
      <c r="W121" s="131">
        <v>271846257</v>
      </c>
      <c r="X121" s="131">
        <v>0</v>
      </c>
      <c r="Y121" s="131">
        <v>271846257</v>
      </c>
      <c r="Z121" s="131">
        <v>0</v>
      </c>
      <c r="AA121" s="131">
        <v>0</v>
      </c>
      <c r="AB121" s="131">
        <v>0</v>
      </c>
      <c r="AC121" s="131">
        <v>0</v>
      </c>
      <c r="AD121" s="131">
        <v>0</v>
      </c>
      <c r="AE121" s="131">
        <v>0</v>
      </c>
      <c r="AF121" s="131">
        <v>271846257</v>
      </c>
      <c r="AG121" s="131">
        <v>0</v>
      </c>
      <c r="AH121" s="131">
        <v>271846257</v>
      </c>
      <c r="AI121" s="131">
        <v>271846257</v>
      </c>
      <c r="AJ121" s="131">
        <v>271846257</v>
      </c>
      <c r="AK121" s="131">
        <v>271846257</v>
      </c>
      <c r="AM121" s="131">
        <v>0</v>
      </c>
      <c r="AN121" s="131">
        <v>0</v>
      </c>
      <c r="AO121" s="131">
        <v>0</v>
      </c>
      <c r="AP121" s="131">
        <v>0</v>
      </c>
      <c r="AQ121" s="131">
        <v>0</v>
      </c>
      <c r="AR121" s="131">
        <v>0</v>
      </c>
      <c r="AS121" t="s">
        <v>50</v>
      </c>
    </row>
    <row r="122" spans="1:45" ht="30" x14ac:dyDescent="0.25">
      <c r="A122">
        <v>2019</v>
      </c>
      <c r="B122">
        <v>307</v>
      </c>
      <c r="C122">
        <v>10301040243</v>
      </c>
      <c r="D122">
        <v>129</v>
      </c>
      <c r="E122" t="s">
        <v>2796</v>
      </c>
      <c r="F122">
        <v>10301040243</v>
      </c>
      <c r="G122" s="10" t="s">
        <v>2797</v>
      </c>
      <c r="H122" t="s">
        <v>2573</v>
      </c>
      <c r="I122" s="131">
        <v>0</v>
      </c>
      <c r="J122" s="131">
        <v>0</v>
      </c>
      <c r="K122" s="131">
        <v>46256016</v>
      </c>
      <c r="L122" s="131">
        <v>0</v>
      </c>
      <c r="M122" s="131">
        <v>46256016</v>
      </c>
      <c r="N122" s="131">
        <v>46256016</v>
      </c>
      <c r="O122" s="131">
        <v>0</v>
      </c>
      <c r="P122" s="131">
        <v>46256016</v>
      </c>
      <c r="Q122" s="131">
        <v>0</v>
      </c>
      <c r="R122" s="131">
        <v>0</v>
      </c>
      <c r="S122" s="131">
        <v>0</v>
      </c>
      <c r="T122" s="131">
        <v>0</v>
      </c>
      <c r="U122" s="131">
        <v>0</v>
      </c>
      <c r="V122" s="131">
        <v>0</v>
      </c>
      <c r="W122" s="131">
        <v>46256016</v>
      </c>
      <c r="X122" s="131">
        <v>0</v>
      </c>
      <c r="Y122" s="131">
        <v>46256016</v>
      </c>
      <c r="Z122" s="131">
        <v>0</v>
      </c>
      <c r="AA122" s="131">
        <v>0</v>
      </c>
      <c r="AB122" s="131">
        <v>0</v>
      </c>
      <c r="AC122" s="131">
        <v>0</v>
      </c>
      <c r="AD122" s="131">
        <v>0</v>
      </c>
      <c r="AE122" s="131">
        <v>0</v>
      </c>
      <c r="AF122" s="131">
        <v>46256016</v>
      </c>
      <c r="AG122" s="131">
        <v>0</v>
      </c>
      <c r="AH122" s="131">
        <v>46256016</v>
      </c>
      <c r="AI122" s="131">
        <v>46256016</v>
      </c>
      <c r="AJ122" s="131">
        <v>46256016</v>
      </c>
      <c r="AK122" s="131">
        <v>46256016</v>
      </c>
      <c r="AM122" s="131">
        <v>0</v>
      </c>
      <c r="AN122" s="131">
        <v>0</v>
      </c>
      <c r="AO122" s="131">
        <v>0</v>
      </c>
      <c r="AP122" s="131">
        <v>0</v>
      </c>
      <c r="AQ122" s="131">
        <v>0</v>
      </c>
      <c r="AR122" s="131">
        <v>0</v>
      </c>
      <c r="AS122" t="s">
        <v>54</v>
      </c>
    </row>
    <row r="123" spans="1:45" ht="30" x14ac:dyDescent="0.25">
      <c r="A123">
        <v>2019</v>
      </c>
      <c r="B123">
        <v>307</v>
      </c>
      <c r="C123">
        <v>10301040244</v>
      </c>
      <c r="D123">
        <v>130</v>
      </c>
      <c r="E123" t="s">
        <v>2798</v>
      </c>
      <c r="F123">
        <v>10301040244</v>
      </c>
      <c r="G123" s="10" t="s">
        <v>2799</v>
      </c>
      <c r="H123" t="s">
        <v>2573</v>
      </c>
      <c r="I123" s="131">
        <v>0</v>
      </c>
      <c r="J123" s="131">
        <v>0</v>
      </c>
      <c r="K123" s="131">
        <v>4191777091</v>
      </c>
      <c r="L123" s="131">
        <v>0</v>
      </c>
      <c r="M123" s="131">
        <v>4191777091</v>
      </c>
      <c r="N123" s="131">
        <v>4191777091</v>
      </c>
      <c r="O123" s="131">
        <v>0</v>
      </c>
      <c r="P123" s="131">
        <v>4191777091</v>
      </c>
      <c r="Q123" s="131">
        <v>0</v>
      </c>
      <c r="R123" s="131">
        <v>0</v>
      </c>
      <c r="S123" s="131">
        <v>0</v>
      </c>
      <c r="T123" s="131">
        <v>0</v>
      </c>
      <c r="U123" s="131">
        <v>0</v>
      </c>
      <c r="V123" s="131">
        <v>0</v>
      </c>
      <c r="W123" s="131">
        <v>4191777091</v>
      </c>
      <c r="X123" s="131">
        <v>0</v>
      </c>
      <c r="Y123" s="131">
        <v>4191777091</v>
      </c>
      <c r="Z123" s="131">
        <v>0</v>
      </c>
      <c r="AA123" s="131">
        <v>0</v>
      </c>
      <c r="AB123" s="131">
        <v>0</v>
      </c>
      <c r="AC123" s="131">
        <v>0</v>
      </c>
      <c r="AD123" s="131">
        <v>0</v>
      </c>
      <c r="AE123" s="131">
        <v>0</v>
      </c>
      <c r="AF123" s="131">
        <v>4191777091</v>
      </c>
      <c r="AG123" s="131">
        <v>0</v>
      </c>
      <c r="AH123" s="131">
        <v>4191777091</v>
      </c>
      <c r="AI123" s="131">
        <v>4191777091</v>
      </c>
      <c r="AJ123" s="131">
        <v>4191777091</v>
      </c>
      <c r="AK123" s="131">
        <v>4191777091</v>
      </c>
      <c r="AM123" s="131">
        <v>0</v>
      </c>
      <c r="AN123" s="131">
        <v>0</v>
      </c>
      <c r="AO123" s="131">
        <v>0</v>
      </c>
      <c r="AP123" s="131">
        <v>0</v>
      </c>
      <c r="AQ123" s="131">
        <v>0</v>
      </c>
      <c r="AR123" s="131">
        <v>0</v>
      </c>
      <c r="AS123" t="s">
        <v>58</v>
      </c>
    </row>
    <row r="124" spans="1:45" ht="30" x14ac:dyDescent="0.25">
      <c r="A124">
        <v>2019</v>
      </c>
      <c r="B124">
        <v>307</v>
      </c>
      <c r="C124">
        <v>10301040245</v>
      </c>
      <c r="D124">
        <v>138</v>
      </c>
      <c r="E124" t="s">
        <v>2800</v>
      </c>
      <c r="F124">
        <v>10301040245</v>
      </c>
      <c r="G124" s="10" t="s">
        <v>2801</v>
      </c>
      <c r="H124" t="s">
        <v>2573</v>
      </c>
      <c r="I124" s="131">
        <v>0</v>
      </c>
      <c r="J124" s="131">
        <v>0</v>
      </c>
      <c r="K124" s="131">
        <v>376346041</v>
      </c>
      <c r="L124" s="131">
        <v>0</v>
      </c>
      <c r="M124" s="131">
        <v>376346041</v>
      </c>
      <c r="N124" s="131">
        <v>376346041</v>
      </c>
      <c r="O124" s="131">
        <v>0</v>
      </c>
      <c r="P124" s="131">
        <v>376346041</v>
      </c>
      <c r="Q124" s="131">
        <v>0</v>
      </c>
      <c r="R124" s="131">
        <v>0</v>
      </c>
      <c r="S124" s="131">
        <v>0</v>
      </c>
      <c r="T124" s="131">
        <v>0</v>
      </c>
      <c r="U124" s="131">
        <v>0</v>
      </c>
      <c r="V124" s="131">
        <v>0</v>
      </c>
      <c r="W124" s="131">
        <v>376346041</v>
      </c>
      <c r="X124" s="131">
        <v>0</v>
      </c>
      <c r="Y124" s="131">
        <v>376346041</v>
      </c>
      <c r="Z124" s="131">
        <v>0</v>
      </c>
      <c r="AA124" s="131">
        <v>0</v>
      </c>
      <c r="AB124" s="131">
        <v>0</v>
      </c>
      <c r="AC124" s="131">
        <v>0</v>
      </c>
      <c r="AD124" s="131">
        <v>0</v>
      </c>
      <c r="AE124" s="131">
        <v>0</v>
      </c>
      <c r="AF124" s="131">
        <v>376346041</v>
      </c>
      <c r="AG124" s="131">
        <v>0</v>
      </c>
      <c r="AH124" s="131">
        <v>376346041</v>
      </c>
      <c r="AI124" s="131">
        <v>376346041</v>
      </c>
      <c r="AJ124" s="131">
        <v>376346041</v>
      </c>
      <c r="AK124" s="131">
        <v>376346041</v>
      </c>
      <c r="AM124" s="131">
        <v>0</v>
      </c>
      <c r="AN124" s="131">
        <v>0</v>
      </c>
      <c r="AO124" s="131">
        <v>0</v>
      </c>
      <c r="AP124" s="131">
        <v>0</v>
      </c>
      <c r="AQ124" s="131">
        <v>0</v>
      </c>
      <c r="AR124" s="131">
        <v>0</v>
      </c>
      <c r="AS124" t="s">
        <v>2721</v>
      </c>
    </row>
    <row r="125" spans="1:45" x14ac:dyDescent="0.25">
      <c r="A125">
        <v>2019</v>
      </c>
      <c r="B125">
        <v>307</v>
      </c>
      <c r="C125">
        <v>10301040247</v>
      </c>
      <c r="D125">
        <v>158</v>
      </c>
      <c r="E125" t="s">
        <v>2802</v>
      </c>
      <c r="F125">
        <v>10301040247</v>
      </c>
      <c r="G125" s="10" t="s">
        <v>2803</v>
      </c>
      <c r="H125" t="s">
        <v>2573</v>
      </c>
      <c r="I125" s="131">
        <v>0</v>
      </c>
      <c r="J125" s="131">
        <v>0</v>
      </c>
      <c r="K125" s="131">
        <v>32171030</v>
      </c>
      <c r="L125" s="131">
        <v>0</v>
      </c>
      <c r="M125" s="131">
        <v>32171030</v>
      </c>
      <c r="N125" s="131">
        <v>32171030</v>
      </c>
      <c r="O125" s="131">
        <v>0</v>
      </c>
      <c r="P125" s="131">
        <v>32171030</v>
      </c>
      <c r="Q125" s="131">
        <v>0</v>
      </c>
      <c r="R125" s="131">
        <v>0</v>
      </c>
      <c r="S125" s="131">
        <v>0</v>
      </c>
      <c r="T125" s="131">
        <v>0</v>
      </c>
      <c r="U125" s="131">
        <v>0</v>
      </c>
      <c r="V125" s="131">
        <v>0</v>
      </c>
      <c r="W125" s="131">
        <v>32171030</v>
      </c>
      <c r="X125" s="131">
        <v>0</v>
      </c>
      <c r="Y125" s="131">
        <v>32171030</v>
      </c>
      <c r="Z125" s="131">
        <v>0</v>
      </c>
      <c r="AA125" s="131">
        <v>0</v>
      </c>
      <c r="AB125" s="131">
        <v>0</v>
      </c>
      <c r="AC125" s="131">
        <v>0</v>
      </c>
      <c r="AD125" s="131">
        <v>0</v>
      </c>
      <c r="AE125" s="131">
        <v>0</v>
      </c>
      <c r="AF125" s="131">
        <v>32171030</v>
      </c>
      <c r="AG125" s="131">
        <v>0</v>
      </c>
      <c r="AH125" s="131">
        <v>32171030</v>
      </c>
      <c r="AI125" s="131">
        <v>32171030</v>
      </c>
      <c r="AJ125" s="131">
        <v>32171030</v>
      </c>
      <c r="AK125" s="131">
        <v>32171030</v>
      </c>
      <c r="AM125" s="131">
        <v>0</v>
      </c>
      <c r="AN125" s="131">
        <v>0</v>
      </c>
      <c r="AO125" s="131">
        <v>0</v>
      </c>
      <c r="AP125" s="131">
        <v>0</v>
      </c>
      <c r="AQ125" s="131">
        <v>0</v>
      </c>
      <c r="AR125" s="131">
        <v>0</v>
      </c>
      <c r="AS125" t="s">
        <v>80</v>
      </c>
    </row>
    <row r="126" spans="1:45" ht="30" x14ac:dyDescent="0.25">
      <c r="A126">
        <v>2019</v>
      </c>
      <c r="B126">
        <v>307</v>
      </c>
      <c r="C126">
        <v>10302</v>
      </c>
      <c r="D126" t="s">
        <v>226</v>
      </c>
      <c r="E126" t="s">
        <v>2804</v>
      </c>
      <c r="F126">
        <v>10302</v>
      </c>
      <c r="G126" s="10" t="s">
        <v>1162</v>
      </c>
      <c r="H126" t="s">
        <v>2573</v>
      </c>
      <c r="I126" s="131">
        <v>913200000</v>
      </c>
      <c r="J126" s="131">
        <v>913200000</v>
      </c>
      <c r="K126" s="131">
        <v>0</v>
      </c>
      <c r="L126" s="131">
        <v>0</v>
      </c>
      <c r="M126" s="131">
        <v>0</v>
      </c>
      <c r="N126" s="131">
        <v>0</v>
      </c>
      <c r="O126" s="131">
        <v>0</v>
      </c>
      <c r="P126" s="131">
        <v>913200000</v>
      </c>
      <c r="Q126" s="131">
        <v>0</v>
      </c>
      <c r="R126" s="131">
        <v>0</v>
      </c>
      <c r="S126" s="131">
        <v>0</v>
      </c>
      <c r="T126" s="131">
        <v>0</v>
      </c>
      <c r="U126" s="131">
        <v>0</v>
      </c>
      <c r="V126" s="131">
        <v>0</v>
      </c>
      <c r="W126" s="131">
        <v>562448565.49000001</v>
      </c>
      <c r="X126" s="131">
        <v>3690934.69</v>
      </c>
      <c r="Y126" s="131">
        <v>558757630.79999995</v>
      </c>
      <c r="Z126" s="131">
        <v>0</v>
      </c>
      <c r="AA126" s="131">
        <v>0</v>
      </c>
      <c r="AB126" s="131">
        <v>0</v>
      </c>
      <c r="AC126" s="131">
        <v>0</v>
      </c>
      <c r="AD126" s="131">
        <v>0</v>
      </c>
      <c r="AE126" s="131">
        <v>0</v>
      </c>
      <c r="AF126" s="131">
        <v>562448565.49000001</v>
      </c>
      <c r="AG126" s="131">
        <v>3690934.69</v>
      </c>
      <c r="AH126" s="131">
        <v>558757630.79999995</v>
      </c>
      <c r="AI126" s="131">
        <v>558757630.79999995</v>
      </c>
      <c r="AJ126" s="131">
        <v>0</v>
      </c>
      <c r="AK126" s="131">
        <v>0</v>
      </c>
      <c r="AM126" s="131">
        <v>558757630.79999995</v>
      </c>
      <c r="AN126" s="131">
        <v>562448565.49000001</v>
      </c>
      <c r="AO126" s="131">
        <v>3690934.69</v>
      </c>
      <c r="AP126" s="131">
        <v>562448565.49000001</v>
      </c>
      <c r="AQ126" s="131">
        <v>0</v>
      </c>
      <c r="AR126" s="131">
        <v>3690934.69</v>
      </c>
      <c r="AS126" t="s">
        <v>1709</v>
      </c>
    </row>
    <row r="127" spans="1:45" x14ac:dyDescent="0.25">
      <c r="A127">
        <v>2019</v>
      </c>
      <c r="B127">
        <v>307</v>
      </c>
      <c r="C127">
        <v>1030201</v>
      </c>
      <c r="D127" t="s">
        <v>226</v>
      </c>
      <c r="E127" t="s">
        <v>2805</v>
      </c>
      <c r="F127">
        <v>1030201</v>
      </c>
      <c r="G127" s="10" t="s">
        <v>1163</v>
      </c>
      <c r="H127" t="s">
        <v>2573</v>
      </c>
      <c r="I127" s="131">
        <v>913200000</v>
      </c>
      <c r="J127" s="131">
        <v>913200000</v>
      </c>
      <c r="K127" s="131">
        <v>0</v>
      </c>
      <c r="L127" s="131">
        <v>0</v>
      </c>
      <c r="M127" s="131">
        <v>0</v>
      </c>
      <c r="N127" s="131">
        <v>0</v>
      </c>
      <c r="O127" s="131">
        <v>0</v>
      </c>
      <c r="P127" s="131">
        <v>913200000</v>
      </c>
      <c r="Q127" s="131">
        <v>0</v>
      </c>
      <c r="R127" s="131">
        <v>0</v>
      </c>
      <c r="S127" s="131">
        <v>0</v>
      </c>
      <c r="T127" s="131">
        <v>0</v>
      </c>
      <c r="U127" s="131">
        <v>0</v>
      </c>
      <c r="V127" s="131">
        <v>0</v>
      </c>
      <c r="W127" s="131">
        <v>562448565.49000001</v>
      </c>
      <c r="X127" s="131">
        <v>3690934.69</v>
      </c>
      <c r="Y127" s="131">
        <v>558757630.79999995</v>
      </c>
      <c r="Z127" s="131">
        <v>0</v>
      </c>
      <c r="AA127" s="131">
        <v>0</v>
      </c>
      <c r="AB127" s="131">
        <v>0</v>
      </c>
      <c r="AC127" s="131">
        <v>0</v>
      </c>
      <c r="AD127" s="131">
        <v>0</v>
      </c>
      <c r="AE127" s="131">
        <v>0</v>
      </c>
      <c r="AF127" s="131">
        <v>562448565.49000001</v>
      </c>
      <c r="AG127" s="131">
        <v>3690934.69</v>
      </c>
      <c r="AH127" s="131">
        <v>558757630.79999995</v>
      </c>
      <c r="AI127" s="131">
        <v>558757630.79999995</v>
      </c>
      <c r="AJ127" s="131">
        <v>0</v>
      </c>
      <c r="AK127" s="131">
        <v>0</v>
      </c>
      <c r="AM127" s="131">
        <v>558757630.79999995</v>
      </c>
      <c r="AN127" s="131">
        <v>562448565.49000001</v>
      </c>
      <c r="AO127" s="131">
        <v>3690934.69</v>
      </c>
      <c r="AP127" s="131">
        <v>562448565.49000001</v>
      </c>
      <c r="AQ127" s="131">
        <v>0</v>
      </c>
      <c r="AR127" s="131">
        <v>3690934.69</v>
      </c>
      <c r="AS127" t="s">
        <v>1709</v>
      </c>
    </row>
    <row r="128" spans="1:45" x14ac:dyDescent="0.25">
      <c r="A128">
        <v>2019</v>
      </c>
      <c r="B128">
        <v>307</v>
      </c>
      <c r="C128">
        <v>103020101</v>
      </c>
      <c r="D128" t="s">
        <v>226</v>
      </c>
      <c r="E128" t="s">
        <v>2806</v>
      </c>
      <c r="F128">
        <v>103020101</v>
      </c>
      <c r="G128" s="10" t="s">
        <v>2807</v>
      </c>
      <c r="H128" t="s">
        <v>2573</v>
      </c>
      <c r="I128" s="131">
        <v>557000000</v>
      </c>
      <c r="J128" s="131">
        <v>557000000</v>
      </c>
      <c r="K128" s="131">
        <v>0</v>
      </c>
      <c r="L128" s="131">
        <v>0</v>
      </c>
      <c r="M128" s="131">
        <v>0</v>
      </c>
      <c r="N128" s="131">
        <v>0</v>
      </c>
      <c r="O128" s="131">
        <v>0</v>
      </c>
      <c r="P128" s="131">
        <v>557000000</v>
      </c>
      <c r="Q128" s="131">
        <v>0</v>
      </c>
      <c r="R128" s="131">
        <v>0</v>
      </c>
      <c r="S128" s="131">
        <v>0</v>
      </c>
      <c r="T128" s="131">
        <v>0</v>
      </c>
      <c r="U128" s="131">
        <v>0</v>
      </c>
      <c r="V128" s="131">
        <v>0</v>
      </c>
      <c r="W128" s="131">
        <v>389302535.26999998</v>
      </c>
      <c r="X128" s="131">
        <v>3690388.69</v>
      </c>
      <c r="Y128" s="131">
        <v>385612146.57999998</v>
      </c>
      <c r="Z128" s="131">
        <v>0</v>
      </c>
      <c r="AA128" s="131">
        <v>0</v>
      </c>
      <c r="AB128" s="131">
        <v>0</v>
      </c>
      <c r="AC128" s="131">
        <v>0</v>
      </c>
      <c r="AD128" s="131">
        <v>0</v>
      </c>
      <c r="AE128" s="131">
        <v>0</v>
      </c>
      <c r="AF128" s="131">
        <v>389302535.26999998</v>
      </c>
      <c r="AG128" s="131">
        <v>3690388.69</v>
      </c>
      <c r="AH128" s="131">
        <v>385612146.57999998</v>
      </c>
      <c r="AI128" s="131">
        <v>385612146.57999998</v>
      </c>
      <c r="AJ128" s="131">
        <v>0</v>
      </c>
      <c r="AK128" s="131">
        <v>0</v>
      </c>
      <c r="AM128" s="131">
        <v>385612146.57999998</v>
      </c>
      <c r="AN128" s="131">
        <v>389302535.26999998</v>
      </c>
      <c r="AO128" s="131">
        <v>3690388.69</v>
      </c>
      <c r="AP128" s="131">
        <v>389302535.26999998</v>
      </c>
      <c r="AQ128" s="131">
        <v>0</v>
      </c>
      <c r="AR128" s="131">
        <v>3690388.69</v>
      </c>
      <c r="AS128" t="s">
        <v>1709</v>
      </c>
    </row>
    <row r="129" spans="1:45" ht="30" x14ac:dyDescent="0.25">
      <c r="A129">
        <v>2019</v>
      </c>
      <c r="B129">
        <v>307</v>
      </c>
      <c r="C129">
        <v>10302010104</v>
      </c>
      <c r="D129">
        <v>20</v>
      </c>
      <c r="E129" t="s">
        <v>2808</v>
      </c>
      <c r="F129">
        <v>10302010104</v>
      </c>
      <c r="G129" s="10" t="s">
        <v>2809</v>
      </c>
      <c r="H129" t="s">
        <v>2573</v>
      </c>
      <c r="I129" s="131">
        <v>557000000</v>
      </c>
      <c r="J129" s="131">
        <v>557000000</v>
      </c>
      <c r="K129" s="131">
        <v>0</v>
      </c>
      <c r="L129" s="131">
        <v>0</v>
      </c>
      <c r="M129" s="131">
        <v>0</v>
      </c>
      <c r="N129" s="131">
        <v>0</v>
      </c>
      <c r="O129" s="131">
        <v>0</v>
      </c>
      <c r="P129" s="131">
        <v>557000000</v>
      </c>
      <c r="Q129" s="131">
        <v>0</v>
      </c>
      <c r="R129" s="131">
        <v>0</v>
      </c>
      <c r="S129" s="131">
        <v>0</v>
      </c>
      <c r="T129" s="131">
        <v>0</v>
      </c>
      <c r="U129" s="131">
        <v>0</v>
      </c>
      <c r="V129" s="131">
        <v>0</v>
      </c>
      <c r="W129" s="131">
        <v>389302535.26999998</v>
      </c>
      <c r="X129" s="131">
        <v>3690388.69</v>
      </c>
      <c r="Y129" s="131">
        <v>385612146.57999998</v>
      </c>
      <c r="Z129" s="131">
        <v>0</v>
      </c>
      <c r="AA129" s="131">
        <v>0</v>
      </c>
      <c r="AB129" s="131">
        <v>0</v>
      </c>
      <c r="AC129" s="131">
        <v>0</v>
      </c>
      <c r="AD129" s="131">
        <v>0</v>
      </c>
      <c r="AE129" s="131">
        <v>0</v>
      </c>
      <c r="AF129" s="131">
        <v>389302535.26999998</v>
      </c>
      <c r="AG129" s="131">
        <v>3690388.69</v>
      </c>
      <c r="AH129" s="131">
        <v>385612146.57999998</v>
      </c>
      <c r="AI129" s="131">
        <v>385612146.57999998</v>
      </c>
      <c r="AJ129" s="131">
        <v>0</v>
      </c>
      <c r="AK129" s="131">
        <v>0</v>
      </c>
      <c r="AM129" s="131">
        <v>385612146.57999998</v>
      </c>
      <c r="AN129" s="131">
        <v>389302535.26999998</v>
      </c>
      <c r="AO129" s="131">
        <v>3690388.69</v>
      </c>
      <c r="AP129" s="131">
        <v>389302535.26999998</v>
      </c>
      <c r="AQ129" s="131">
        <v>0</v>
      </c>
      <c r="AR129" s="131">
        <v>3690388.69</v>
      </c>
      <c r="AS129" t="s">
        <v>140</v>
      </c>
    </row>
    <row r="130" spans="1:45" ht="30" x14ac:dyDescent="0.25">
      <c r="A130">
        <v>2019</v>
      </c>
      <c r="B130">
        <v>307</v>
      </c>
      <c r="C130">
        <v>103020102</v>
      </c>
      <c r="D130" t="s">
        <v>226</v>
      </c>
      <c r="E130" t="s">
        <v>2810</v>
      </c>
      <c r="F130">
        <v>103020102</v>
      </c>
      <c r="G130" s="10" t="s">
        <v>2811</v>
      </c>
      <c r="H130" t="s">
        <v>2573</v>
      </c>
      <c r="I130" s="131">
        <v>356200000</v>
      </c>
      <c r="J130" s="131">
        <v>356200000</v>
      </c>
      <c r="K130" s="131">
        <v>0</v>
      </c>
      <c r="L130" s="131">
        <v>0</v>
      </c>
      <c r="M130" s="131">
        <v>0</v>
      </c>
      <c r="N130" s="131">
        <v>0</v>
      </c>
      <c r="O130" s="131">
        <v>0</v>
      </c>
      <c r="P130" s="131">
        <v>356200000</v>
      </c>
      <c r="Q130" s="131">
        <v>0</v>
      </c>
      <c r="R130" s="131">
        <v>0</v>
      </c>
      <c r="S130" s="131">
        <v>0</v>
      </c>
      <c r="T130" s="131">
        <v>0</v>
      </c>
      <c r="U130" s="131">
        <v>0</v>
      </c>
      <c r="V130" s="131">
        <v>0</v>
      </c>
      <c r="W130" s="131">
        <v>173146030.22</v>
      </c>
      <c r="X130" s="131">
        <v>546</v>
      </c>
      <c r="Y130" s="131">
        <v>173145484.22</v>
      </c>
      <c r="Z130" s="131">
        <v>0</v>
      </c>
      <c r="AA130" s="131">
        <v>0</v>
      </c>
      <c r="AB130" s="131">
        <v>0</v>
      </c>
      <c r="AC130" s="131">
        <v>0</v>
      </c>
      <c r="AD130" s="131">
        <v>0</v>
      </c>
      <c r="AE130" s="131">
        <v>0</v>
      </c>
      <c r="AF130" s="131">
        <v>173146030.22</v>
      </c>
      <c r="AG130" s="131">
        <v>546</v>
      </c>
      <c r="AH130" s="131">
        <v>173145484.22</v>
      </c>
      <c r="AI130" s="131">
        <v>173145484.22</v>
      </c>
      <c r="AJ130" s="131">
        <v>0</v>
      </c>
      <c r="AK130" s="131">
        <v>0</v>
      </c>
      <c r="AM130" s="131">
        <v>173145484.22</v>
      </c>
      <c r="AN130" s="131">
        <v>173146030.22</v>
      </c>
      <c r="AO130" s="131">
        <v>546</v>
      </c>
      <c r="AP130" s="131">
        <v>173146030.22</v>
      </c>
      <c r="AQ130" s="131">
        <v>0</v>
      </c>
      <c r="AR130" s="131">
        <v>546</v>
      </c>
      <c r="AS130" t="s">
        <v>1709</v>
      </c>
    </row>
    <row r="131" spans="1:45" ht="30" x14ac:dyDescent="0.25">
      <c r="A131">
        <v>2019</v>
      </c>
      <c r="B131">
        <v>307</v>
      </c>
      <c r="C131">
        <v>10302010201</v>
      </c>
      <c r="D131">
        <v>4</v>
      </c>
      <c r="E131" t="s">
        <v>2812</v>
      </c>
      <c r="F131">
        <v>10302010201</v>
      </c>
      <c r="G131" s="10" t="s">
        <v>2813</v>
      </c>
      <c r="H131" t="s">
        <v>2573</v>
      </c>
      <c r="I131" s="131">
        <v>76050000</v>
      </c>
      <c r="J131" s="131">
        <v>76050000</v>
      </c>
      <c r="K131" s="131">
        <v>0</v>
      </c>
      <c r="L131" s="131">
        <v>0</v>
      </c>
      <c r="M131" s="131">
        <v>0</v>
      </c>
      <c r="N131" s="131">
        <v>0</v>
      </c>
      <c r="O131" s="131">
        <v>0</v>
      </c>
      <c r="P131" s="131">
        <v>76050000</v>
      </c>
      <c r="Q131" s="131">
        <v>0</v>
      </c>
      <c r="R131" s="131">
        <v>0</v>
      </c>
      <c r="S131" s="131">
        <v>0</v>
      </c>
      <c r="T131" s="131">
        <v>0</v>
      </c>
      <c r="U131" s="131">
        <v>0</v>
      </c>
      <c r="V131" s="131">
        <v>0</v>
      </c>
      <c r="W131" s="131">
        <v>15150697.939999999</v>
      </c>
      <c r="X131" s="131">
        <v>0</v>
      </c>
      <c r="Y131" s="131">
        <v>15150697.939999999</v>
      </c>
      <c r="Z131" s="131">
        <v>0</v>
      </c>
      <c r="AA131" s="131">
        <v>0</v>
      </c>
      <c r="AB131" s="131">
        <v>0</v>
      </c>
      <c r="AC131" s="131">
        <v>0</v>
      </c>
      <c r="AD131" s="131">
        <v>0</v>
      </c>
      <c r="AE131" s="131">
        <v>0</v>
      </c>
      <c r="AF131" s="131">
        <v>15150697.939999999</v>
      </c>
      <c r="AG131" s="131">
        <v>0</v>
      </c>
      <c r="AH131" s="131">
        <v>15150697.939999999</v>
      </c>
      <c r="AI131" s="131">
        <v>15150697.939999999</v>
      </c>
      <c r="AJ131" s="131">
        <v>0</v>
      </c>
      <c r="AK131" s="131">
        <v>0</v>
      </c>
      <c r="AM131" s="131">
        <v>15150697.939999999</v>
      </c>
      <c r="AN131" s="131">
        <v>15150697.939999999</v>
      </c>
      <c r="AO131" s="131">
        <v>0</v>
      </c>
      <c r="AP131" s="131">
        <v>15150697.939999999</v>
      </c>
      <c r="AQ131" s="131">
        <v>0</v>
      </c>
      <c r="AR131" s="131">
        <v>0</v>
      </c>
      <c r="AS131" t="s">
        <v>32</v>
      </c>
    </row>
    <row r="132" spans="1:45" ht="30" x14ac:dyDescent="0.25">
      <c r="A132">
        <v>2019</v>
      </c>
      <c r="B132">
        <v>307</v>
      </c>
      <c r="C132">
        <v>10302010205</v>
      </c>
      <c r="D132">
        <v>42</v>
      </c>
      <c r="E132" t="s">
        <v>2814</v>
      </c>
      <c r="F132">
        <v>10302010205</v>
      </c>
      <c r="G132" s="10" t="s">
        <v>1170</v>
      </c>
      <c r="H132" t="s">
        <v>2573</v>
      </c>
      <c r="I132" s="131">
        <v>160000000</v>
      </c>
      <c r="J132" s="131">
        <v>160000000</v>
      </c>
      <c r="K132" s="131">
        <v>0</v>
      </c>
      <c r="L132" s="131">
        <v>0</v>
      </c>
      <c r="M132" s="131">
        <v>0</v>
      </c>
      <c r="N132" s="131">
        <v>0</v>
      </c>
      <c r="O132" s="131">
        <v>0</v>
      </c>
      <c r="P132" s="131">
        <v>160000000</v>
      </c>
      <c r="Q132" s="131">
        <v>0</v>
      </c>
      <c r="R132" s="131">
        <v>0</v>
      </c>
      <c r="S132" s="131">
        <v>0</v>
      </c>
      <c r="T132" s="131">
        <v>0</v>
      </c>
      <c r="U132" s="131">
        <v>0</v>
      </c>
      <c r="V132" s="131">
        <v>0</v>
      </c>
      <c r="W132" s="131">
        <v>71809531.689999998</v>
      </c>
      <c r="X132" s="131">
        <v>0</v>
      </c>
      <c r="Y132" s="131">
        <v>71809531.689999998</v>
      </c>
      <c r="Z132" s="131">
        <v>0</v>
      </c>
      <c r="AA132" s="131">
        <v>0</v>
      </c>
      <c r="AB132" s="131">
        <v>0</v>
      </c>
      <c r="AC132" s="131">
        <v>0</v>
      </c>
      <c r="AD132" s="131">
        <v>0</v>
      </c>
      <c r="AE132" s="131">
        <v>0</v>
      </c>
      <c r="AF132" s="131">
        <v>71809531.689999998</v>
      </c>
      <c r="AG132" s="131">
        <v>0</v>
      </c>
      <c r="AH132" s="131">
        <v>71809531.689999998</v>
      </c>
      <c r="AI132" s="131">
        <v>71809531.689999998</v>
      </c>
      <c r="AJ132" s="131">
        <v>0</v>
      </c>
      <c r="AK132" s="131">
        <v>0</v>
      </c>
      <c r="AM132" s="131">
        <v>71809531.689999998</v>
      </c>
      <c r="AN132" s="131">
        <v>71809531.689999998</v>
      </c>
      <c r="AO132" s="131">
        <v>0</v>
      </c>
      <c r="AP132" s="131">
        <v>71809531.689999998</v>
      </c>
      <c r="AQ132" s="131">
        <v>0</v>
      </c>
      <c r="AR132" s="131">
        <v>0</v>
      </c>
      <c r="AS132" t="s">
        <v>163</v>
      </c>
    </row>
    <row r="133" spans="1:45" x14ac:dyDescent="0.25">
      <c r="A133">
        <v>2019</v>
      </c>
      <c r="B133">
        <v>307</v>
      </c>
      <c r="C133">
        <v>10302010206</v>
      </c>
      <c r="D133">
        <v>23</v>
      </c>
      <c r="E133" t="s">
        <v>2815</v>
      </c>
      <c r="F133">
        <v>10302010206</v>
      </c>
      <c r="G133" s="10" t="s">
        <v>1171</v>
      </c>
      <c r="H133" t="s">
        <v>2573</v>
      </c>
      <c r="I133" s="131">
        <v>1000000</v>
      </c>
      <c r="J133" s="131">
        <v>1000000</v>
      </c>
      <c r="K133" s="131">
        <v>0</v>
      </c>
      <c r="L133" s="131">
        <v>0</v>
      </c>
      <c r="M133" s="131">
        <v>0</v>
      </c>
      <c r="N133" s="131">
        <v>0</v>
      </c>
      <c r="O133" s="131">
        <v>0</v>
      </c>
      <c r="P133" s="131">
        <v>1000000</v>
      </c>
      <c r="Q133" s="131">
        <v>0</v>
      </c>
      <c r="R133" s="131">
        <v>0</v>
      </c>
      <c r="S133" s="131">
        <v>0</v>
      </c>
      <c r="T133" s="131">
        <v>0</v>
      </c>
      <c r="U133" s="131">
        <v>0</v>
      </c>
      <c r="V133" s="131">
        <v>0</v>
      </c>
      <c r="W133" s="131">
        <v>513341.79</v>
      </c>
      <c r="X133" s="131">
        <v>0</v>
      </c>
      <c r="Y133" s="131">
        <v>513341.79</v>
      </c>
      <c r="Z133" s="131">
        <v>0</v>
      </c>
      <c r="AA133" s="131">
        <v>0</v>
      </c>
      <c r="AB133" s="131">
        <v>0</v>
      </c>
      <c r="AC133" s="131">
        <v>0</v>
      </c>
      <c r="AD133" s="131">
        <v>0</v>
      </c>
      <c r="AE133" s="131">
        <v>0</v>
      </c>
      <c r="AF133" s="131">
        <v>513341.79</v>
      </c>
      <c r="AG133" s="131">
        <v>0</v>
      </c>
      <c r="AH133" s="131">
        <v>513341.79</v>
      </c>
      <c r="AI133" s="131">
        <v>513341.79</v>
      </c>
      <c r="AJ133" s="131">
        <v>0</v>
      </c>
      <c r="AK133" s="131">
        <v>0</v>
      </c>
      <c r="AM133" s="131">
        <v>513341.79</v>
      </c>
      <c r="AN133" s="131">
        <v>513341.79</v>
      </c>
      <c r="AO133" s="131">
        <v>0</v>
      </c>
      <c r="AP133" s="131">
        <v>513341.79</v>
      </c>
      <c r="AQ133" s="131">
        <v>0</v>
      </c>
      <c r="AR133" s="131">
        <v>0</v>
      </c>
      <c r="AS133" t="s">
        <v>145</v>
      </c>
    </row>
    <row r="134" spans="1:45" x14ac:dyDescent="0.25">
      <c r="A134">
        <v>2019</v>
      </c>
      <c r="B134">
        <v>307</v>
      </c>
      <c r="C134">
        <v>10302010209</v>
      </c>
      <c r="D134">
        <v>145</v>
      </c>
      <c r="E134" t="s">
        <v>2816</v>
      </c>
      <c r="F134">
        <v>10302010209</v>
      </c>
      <c r="G134" s="10" t="s">
        <v>1172</v>
      </c>
      <c r="H134" t="s">
        <v>2573</v>
      </c>
      <c r="I134" s="131">
        <v>13000000</v>
      </c>
      <c r="J134" s="131">
        <v>13000000</v>
      </c>
      <c r="K134" s="131">
        <v>0</v>
      </c>
      <c r="L134" s="131">
        <v>0</v>
      </c>
      <c r="M134" s="131">
        <v>0</v>
      </c>
      <c r="N134" s="131">
        <v>0</v>
      </c>
      <c r="O134" s="131">
        <v>0</v>
      </c>
      <c r="P134" s="131">
        <v>13000000</v>
      </c>
      <c r="Q134" s="131">
        <v>0</v>
      </c>
      <c r="R134" s="131">
        <v>0</v>
      </c>
      <c r="S134" s="131">
        <v>0</v>
      </c>
      <c r="T134" s="131">
        <v>0</v>
      </c>
      <c r="U134" s="131">
        <v>0</v>
      </c>
      <c r="V134" s="131">
        <v>0</v>
      </c>
      <c r="W134" s="131">
        <v>2375500.21</v>
      </c>
      <c r="X134" s="131">
        <v>0</v>
      </c>
      <c r="Y134" s="131">
        <v>2375500.21</v>
      </c>
      <c r="Z134" s="131">
        <v>0</v>
      </c>
      <c r="AA134" s="131">
        <v>0</v>
      </c>
      <c r="AB134" s="131">
        <v>0</v>
      </c>
      <c r="AC134" s="131">
        <v>0</v>
      </c>
      <c r="AD134" s="131">
        <v>0</v>
      </c>
      <c r="AE134" s="131">
        <v>0</v>
      </c>
      <c r="AF134" s="131">
        <v>2375500.21</v>
      </c>
      <c r="AG134" s="131">
        <v>0</v>
      </c>
      <c r="AH134" s="131">
        <v>2375500.21</v>
      </c>
      <c r="AI134" s="131">
        <v>2375500.21</v>
      </c>
      <c r="AJ134" s="131">
        <v>0</v>
      </c>
      <c r="AK134" s="131">
        <v>0</v>
      </c>
      <c r="AM134" s="131">
        <v>2375500.21</v>
      </c>
      <c r="AN134" s="131">
        <v>2375500.21</v>
      </c>
      <c r="AO134" s="131">
        <v>0</v>
      </c>
      <c r="AP134" s="131">
        <v>2375500.21</v>
      </c>
      <c r="AQ134" s="131">
        <v>0</v>
      </c>
      <c r="AR134" s="131">
        <v>0</v>
      </c>
      <c r="AS134" t="s">
        <v>66</v>
      </c>
    </row>
    <row r="135" spans="1:45" ht="30" x14ac:dyDescent="0.25">
      <c r="A135">
        <v>2019</v>
      </c>
      <c r="B135">
        <v>307</v>
      </c>
      <c r="C135">
        <v>10302010210</v>
      </c>
      <c r="D135">
        <v>27</v>
      </c>
      <c r="E135" t="s">
        <v>2817</v>
      </c>
      <c r="F135">
        <v>10302010210</v>
      </c>
      <c r="G135" s="10" t="s">
        <v>1173</v>
      </c>
      <c r="H135" t="s">
        <v>2573</v>
      </c>
      <c r="I135" s="131">
        <v>4200000</v>
      </c>
      <c r="J135" s="131">
        <v>4200000</v>
      </c>
      <c r="K135" s="131">
        <v>0</v>
      </c>
      <c r="L135" s="131">
        <v>0</v>
      </c>
      <c r="M135" s="131">
        <v>0</v>
      </c>
      <c r="N135" s="131">
        <v>0</v>
      </c>
      <c r="O135" s="131">
        <v>0</v>
      </c>
      <c r="P135" s="131">
        <v>4200000</v>
      </c>
      <c r="Q135" s="131">
        <v>0</v>
      </c>
      <c r="R135" s="131">
        <v>0</v>
      </c>
      <c r="S135" s="131">
        <v>0</v>
      </c>
      <c r="T135" s="131">
        <v>0</v>
      </c>
      <c r="U135" s="131">
        <v>0</v>
      </c>
      <c r="V135" s="131">
        <v>0</v>
      </c>
      <c r="W135" s="131">
        <v>1672883.23</v>
      </c>
      <c r="X135" s="131">
        <v>0</v>
      </c>
      <c r="Y135" s="131">
        <v>1672883.23</v>
      </c>
      <c r="Z135" s="131">
        <v>0</v>
      </c>
      <c r="AA135" s="131">
        <v>0</v>
      </c>
      <c r="AB135" s="131">
        <v>0</v>
      </c>
      <c r="AC135" s="131">
        <v>0</v>
      </c>
      <c r="AD135" s="131">
        <v>0</v>
      </c>
      <c r="AE135" s="131">
        <v>0</v>
      </c>
      <c r="AF135" s="131">
        <v>1672883.23</v>
      </c>
      <c r="AG135" s="131">
        <v>0</v>
      </c>
      <c r="AH135" s="131">
        <v>1672883.23</v>
      </c>
      <c r="AI135" s="131">
        <v>1672883.23</v>
      </c>
      <c r="AJ135" s="131">
        <v>0</v>
      </c>
      <c r="AK135" s="131">
        <v>0</v>
      </c>
      <c r="AM135" s="131">
        <v>1672883.23</v>
      </c>
      <c r="AN135" s="131">
        <v>1672883.23</v>
      </c>
      <c r="AO135" s="131">
        <v>0</v>
      </c>
      <c r="AP135" s="131">
        <v>1672883.23</v>
      </c>
      <c r="AQ135" s="131">
        <v>0</v>
      </c>
      <c r="AR135" s="131">
        <v>0</v>
      </c>
      <c r="AS135" t="s">
        <v>1710</v>
      </c>
    </row>
    <row r="136" spans="1:45" ht="30" x14ac:dyDescent="0.25">
      <c r="A136">
        <v>2019</v>
      </c>
      <c r="B136">
        <v>307</v>
      </c>
      <c r="C136">
        <v>10302010213</v>
      </c>
      <c r="D136">
        <v>134</v>
      </c>
      <c r="E136" t="s">
        <v>2818</v>
      </c>
      <c r="F136">
        <v>10302010213</v>
      </c>
      <c r="G136" s="10" t="s">
        <v>1175</v>
      </c>
      <c r="H136" t="s">
        <v>2573</v>
      </c>
      <c r="I136" s="131">
        <v>0</v>
      </c>
      <c r="J136" s="131">
        <v>0</v>
      </c>
      <c r="K136" s="131">
        <v>0</v>
      </c>
      <c r="L136" s="131">
        <v>0</v>
      </c>
      <c r="M136" s="131">
        <v>0</v>
      </c>
      <c r="N136" s="131">
        <v>0</v>
      </c>
      <c r="O136" s="131">
        <v>0</v>
      </c>
      <c r="P136" s="131">
        <v>0</v>
      </c>
      <c r="Q136" s="131">
        <v>0</v>
      </c>
      <c r="R136" s="131">
        <v>0</v>
      </c>
      <c r="S136" s="131">
        <v>0</v>
      </c>
      <c r="T136" s="131">
        <v>0</v>
      </c>
      <c r="U136" s="131">
        <v>0</v>
      </c>
      <c r="V136" s="131">
        <v>0</v>
      </c>
      <c r="W136" s="131">
        <v>882.69</v>
      </c>
      <c r="X136" s="131">
        <v>0</v>
      </c>
      <c r="Y136" s="131">
        <v>882.69</v>
      </c>
      <c r="Z136" s="131">
        <v>0</v>
      </c>
      <c r="AA136" s="131">
        <v>0</v>
      </c>
      <c r="AB136" s="131">
        <v>0</v>
      </c>
      <c r="AC136" s="131">
        <v>0</v>
      </c>
      <c r="AD136" s="131">
        <v>0</v>
      </c>
      <c r="AE136" s="131">
        <v>0</v>
      </c>
      <c r="AF136" s="131">
        <v>882.69</v>
      </c>
      <c r="AG136" s="131">
        <v>0</v>
      </c>
      <c r="AH136" s="131">
        <v>882.69</v>
      </c>
      <c r="AI136" s="131">
        <v>882.69</v>
      </c>
      <c r="AJ136" s="131">
        <v>0</v>
      </c>
      <c r="AK136" s="131">
        <v>0</v>
      </c>
      <c r="AM136" s="131">
        <v>882.69</v>
      </c>
      <c r="AN136" s="131">
        <v>882.69</v>
      </c>
      <c r="AO136" s="131">
        <v>0</v>
      </c>
      <c r="AP136" s="131">
        <v>882.69</v>
      </c>
      <c r="AQ136" s="131">
        <v>0</v>
      </c>
      <c r="AR136" s="131">
        <v>0</v>
      </c>
      <c r="AS136" t="s">
        <v>60</v>
      </c>
    </row>
    <row r="137" spans="1:45" x14ac:dyDescent="0.25">
      <c r="A137">
        <v>2019</v>
      </c>
      <c r="B137">
        <v>307</v>
      </c>
      <c r="C137">
        <v>10302010214</v>
      </c>
      <c r="D137">
        <v>136</v>
      </c>
      <c r="E137" t="s">
        <v>2819</v>
      </c>
      <c r="F137">
        <v>10302010214</v>
      </c>
      <c r="G137" s="10" t="s">
        <v>1174</v>
      </c>
      <c r="H137" t="s">
        <v>2573</v>
      </c>
      <c r="I137" s="131">
        <v>0</v>
      </c>
      <c r="J137" s="131">
        <v>0</v>
      </c>
      <c r="K137" s="131">
        <v>0</v>
      </c>
      <c r="L137" s="131">
        <v>0</v>
      </c>
      <c r="M137" s="131">
        <v>0</v>
      </c>
      <c r="N137" s="131">
        <v>0</v>
      </c>
      <c r="O137" s="131">
        <v>0</v>
      </c>
      <c r="P137" s="131">
        <v>0</v>
      </c>
      <c r="Q137" s="131">
        <v>0</v>
      </c>
      <c r="R137" s="131">
        <v>0</v>
      </c>
      <c r="S137" s="131">
        <v>0</v>
      </c>
      <c r="T137" s="131">
        <v>0</v>
      </c>
      <c r="U137" s="131">
        <v>0</v>
      </c>
      <c r="V137" s="131">
        <v>0</v>
      </c>
      <c r="W137" s="131">
        <v>48747082.670000002</v>
      </c>
      <c r="X137" s="131">
        <v>546</v>
      </c>
      <c r="Y137" s="131">
        <v>48746536.670000002</v>
      </c>
      <c r="Z137" s="131">
        <v>0</v>
      </c>
      <c r="AA137" s="131">
        <v>0</v>
      </c>
      <c r="AB137" s="131">
        <v>0</v>
      </c>
      <c r="AC137" s="131">
        <v>0</v>
      </c>
      <c r="AD137" s="131">
        <v>0</v>
      </c>
      <c r="AE137" s="131">
        <v>0</v>
      </c>
      <c r="AF137" s="131">
        <v>48747082.670000002</v>
      </c>
      <c r="AG137" s="131">
        <v>546</v>
      </c>
      <c r="AH137" s="131">
        <v>48746536.670000002</v>
      </c>
      <c r="AI137" s="131">
        <v>48746536.670000002</v>
      </c>
      <c r="AJ137" s="131">
        <v>0</v>
      </c>
      <c r="AK137" s="131">
        <v>0</v>
      </c>
      <c r="AM137" s="131">
        <v>48746536.670000002</v>
      </c>
      <c r="AN137" s="131">
        <v>48747082.670000002</v>
      </c>
      <c r="AO137" s="131">
        <v>546</v>
      </c>
      <c r="AP137" s="131">
        <v>48747082.670000002</v>
      </c>
      <c r="AQ137" s="131">
        <v>0</v>
      </c>
      <c r="AR137" s="131">
        <v>546</v>
      </c>
      <c r="AS137" t="s">
        <v>2689</v>
      </c>
    </row>
    <row r="138" spans="1:45" ht="30" x14ac:dyDescent="0.25">
      <c r="A138">
        <v>2019</v>
      </c>
      <c r="B138">
        <v>307</v>
      </c>
      <c r="C138">
        <v>10302010215</v>
      </c>
      <c r="D138">
        <v>4</v>
      </c>
      <c r="E138" t="s">
        <v>2820</v>
      </c>
      <c r="F138">
        <v>10302010215</v>
      </c>
      <c r="G138" s="10" t="s">
        <v>2821</v>
      </c>
      <c r="H138" t="s">
        <v>2573</v>
      </c>
      <c r="I138" s="131">
        <v>23400000</v>
      </c>
      <c r="J138" s="131">
        <v>23400000</v>
      </c>
      <c r="K138" s="131">
        <v>0</v>
      </c>
      <c r="L138" s="131">
        <v>0</v>
      </c>
      <c r="M138" s="131">
        <v>0</v>
      </c>
      <c r="N138" s="131">
        <v>0</v>
      </c>
      <c r="O138" s="131">
        <v>0</v>
      </c>
      <c r="P138" s="131">
        <v>23400000</v>
      </c>
      <c r="Q138" s="131">
        <v>0</v>
      </c>
      <c r="R138" s="131">
        <v>0</v>
      </c>
      <c r="S138" s="131">
        <v>0</v>
      </c>
      <c r="T138" s="131">
        <v>0</v>
      </c>
      <c r="U138" s="131">
        <v>0</v>
      </c>
      <c r="V138" s="131">
        <v>0</v>
      </c>
      <c r="W138" s="131">
        <v>4661753.17</v>
      </c>
      <c r="X138" s="131">
        <v>0</v>
      </c>
      <c r="Y138" s="131">
        <v>4661753.17</v>
      </c>
      <c r="Z138" s="131">
        <v>0</v>
      </c>
      <c r="AA138" s="131">
        <v>0</v>
      </c>
      <c r="AB138" s="131">
        <v>0</v>
      </c>
      <c r="AC138" s="131">
        <v>0</v>
      </c>
      <c r="AD138" s="131">
        <v>0</v>
      </c>
      <c r="AE138" s="131">
        <v>0</v>
      </c>
      <c r="AF138" s="131">
        <v>4661753.17</v>
      </c>
      <c r="AG138" s="131">
        <v>0</v>
      </c>
      <c r="AH138" s="131">
        <v>4661753.17</v>
      </c>
      <c r="AI138" s="131">
        <v>4661753.17</v>
      </c>
      <c r="AJ138" s="131">
        <v>0</v>
      </c>
      <c r="AK138" s="131">
        <v>0</v>
      </c>
      <c r="AM138" s="131">
        <v>4661753.17</v>
      </c>
      <c r="AN138" s="131">
        <v>4661753.17</v>
      </c>
      <c r="AO138" s="131">
        <v>0</v>
      </c>
      <c r="AP138" s="131">
        <v>4661753.17</v>
      </c>
      <c r="AQ138" s="131">
        <v>0</v>
      </c>
      <c r="AR138" s="131">
        <v>0</v>
      </c>
      <c r="AS138" t="s">
        <v>32</v>
      </c>
    </row>
    <row r="139" spans="1:45" ht="45" x14ac:dyDescent="0.25">
      <c r="A139">
        <v>2019</v>
      </c>
      <c r="B139">
        <v>307</v>
      </c>
      <c r="C139">
        <v>10302010216</v>
      </c>
      <c r="D139">
        <v>4</v>
      </c>
      <c r="E139" t="s">
        <v>2822</v>
      </c>
      <c r="F139">
        <v>10302010216</v>
      </c>
      <c r="G139" s="10" t="s">
        <v>2823</v>
      </c>
      <c r="H139" t="s">
        <v>2573</v>
      </c>
      <c r="I139" s="131">
        <v>17550000</v>
      </c>
      <c r="J139" s="131">
        <v>17550000</v>
      </c>
      <c r="K139" s="131">
        <v>0</v>
      </c>
      <c r="L139" s="131">
        <v>0</v>
      </c>
      <c r="M139" s="131">
        <v>0</v>
      </c>
      <c r="N139" s="131">
        <v>0</v>
      </c>
      <c r="O139" s="131">
        <v>0</v>
      </c>
      <c r="P139" s="131">
        <v>17550000</v>
      </c>
      <c r="Q139" s="131">
        <v>0</v>
      </c>
      <c r="R139" s="131">
        <v>0</v>
      </c>
      <c r="S139" s="131">
        <v>0</v>
      </c>
      <c r="T139" s="131">
        <v>0</v>
      </c>
      <c r="U139" s="131">
        <v>0</v>
      </c>
      <c r="V139" s="131">
        <v>0</v>
      </c>
      <c r="W139" s="131">
        <v>3496314.8799999999</v>
      </c>
      <c r="X139" s="131">
        <v>0</v>
      </c>
      <c r="Y139" s="131">
        <v>3496314.8799999999</v>
      </c>
      <c r="Z139" s="131">
        <v>0</v>
      </c>
      <c r="AA139" s="131">
        <v>0</v>
      </c>
      <c r="AB139" s="131">
        <v>0</v>
      </c>
      <c r="AC139" s="131">
        <v>0</v>
      </c>
      <c r="AD139" s="131">
        <v>0</v>
      </c>
      <c r="AE139" s="131">
        <v>0</v>
      </c>
      <c r="AF139" s="131">
        <v>3496314.8799999999</v>
      </c>
      <c r="AG139" s="131">
        <v>0</v>
      </c>
      <c r="AH139" s="131">
        <v>3496314.8799999999</v>
      </c>
      <c r="AI139" s="131">
        <v>3496314.8799999999</v>
      </c>
      <c r="AJ139" s="131">
        <v>0</v>
      </c>
      <c r="AK139" s="131">
        <v>0</v>
      </c>
      <c r="AM139" s="131">
        <v>3496314.8799999999</v>
      </c>
      <c r="AN139" s="131">
        <v>3496314.8799999999</v>
      </c>
      <c r="AO139" s="131">
        <v>0</v>
      </c>
      <c r="AP139" s="131">
        <v>3496314.8799999999</v>
      </c>
      <c r="AQ139" s="131">
        <v>0</v>
      </c>
      <c r="AR139" s="131">
        <v>0</v>
      </c>
      <c r="AS139" t="s">
        <v>32</v>
      </c>
    </row>
    <row r="140" spans="1:45" ht="30" x14ac:dyDescent="0.25">
      <c r="A140">
        <v>2019</v>
      </c>
      <c r="B140">
        <v>307</v>
      </c>
      <c r="C140">
        <v>10302010217</v>
      </c>
      <c r="D140">
        <v>5</v>
      </c>
      <c r="E140" t="s">
        <v>2824</v>
      </c>
      <c r="F140">
        <v>10302010217</v>
      </c>
      <c r="G140" s="10" t="s">
        <v>2825</v>
      </c>
      <c r="H140" t="s">
        <v>2573</v>
      </c>
      <c r="I140" s="131">
        <v>9200000</v>
      </c>
      <c r="J140" s="131">
        <v>9200000</v>
      </c>
      <c r="K140" s="131">
        <v>0</v>
      </c>
      <c r="L140" s="131">
        <v>0</v>
      </c>
      <c r="M140" s="131">
        <v>0</v>
      </c>
      <c r="N140" s="131">
        <v>0</v>
      </c>
      <c r="O140" s="131">
        <v>0</v>
      </c>
      <c r="P140" s="131">
        <v>9200000</v>
      </c>
      <c r="Q140" s="131">
        <v>0</v>
      </c>
      <c r="R140" s="131">
        <v>0</v>
      </c>
      <c r="S140" s="131">
        <v>0</v>
      </c>
      <c r="T140" s="131">
        <v>0</v>
      </c>
      <c r="U140" s="131">
        <v>0</v>
      </c>
      <c r="V140" s="131">
        <v>0</v>
      </c>
      <c r="W140" s="131">
        <v>3976503.65</v>
      </c>
      <c r="X140" s="131">
        <v>0</v>
      </c>
      <c r="Y140" s="131">
        <v>3976503.65</v>
      </c>
      <c r="Z140" s="131">
        <v>0</v>
      </c>
      <c r="AA140" s="131">
        <v>0</v>
      </c>
      <c r="AB140" s="131">
        <v>0</v>
      </c>
      <c r="AC140" s="131">
        <v>0</v>
      </c>
      <c r="AD140" s="131">
        <v>0</v>
      </c>
      <c r="AE140" s="131">
        <v>0</v>
      </c>
      <c r="AF140" s="131">
        <v>3976503.65</v>
      </c>
      <c r="AG140" s="131">
        <v>0</v>
      </c>
      <c r="AH140" s="131">
        <v>3976503.65</v>
      </c>
      <c r="AI140" s="131">
        <v>3976503.65</v>
      </c>
      <c r="AJ140" s="131">
        <v>0</v>
      </c>
      <c r="AK140" s="131">
        <v>0</v>
      </c>
      <c r="AM140" s="131">
        <v>3976503.65</v>
      </c>
      <c r="AN140" s="131">
        <v>3976503.65</v>
      </c>
      <c r="AO140" s="131">
        <v>0</v>
      </c>
      <c r="AP140" s="131">
        <v>3976503.65</v>
      </c>
      <c r="AQ140" s="131">
        <v>0</v>
      </c>
      <c r="AR140" s="131">
        <v>0</v>
      </c>
      <c r="AS140" t="s">
        <v>34</v>
      </c>
    </row>
    <row r="141" spans="1:45" ht="30" x14ac:dyDescent="0.25">
      <c r="A141">
        <v>2019</v>
      </c>
      <c r="B141">
        <v>307</v>
      </c>
      <c r="C141">
        <v>10302010218</v>
      </c>
      <c r="D141">
        <v>33</v>
      </c>
      <c r="E141" t="s">
        <v>2826</v>
      </c>
      <c r="F141">
        <v>10302010218</v>
      </c>
      <c r="G141" s="10" t="s">
        <v>2827</v>
      </c>
      <c r="H141" t="s">
        <v>2573</v>
      </c>
      <c r="I141" s="131">
        <v>4600000</v>
      </c>
      <c r="J141" s="131">
        <v>4600000</v>
      </c>
      <c r="K141" s="131">
        <v>0</v>
      </c>
      <c r="L141" s="131">
        <v>0</v>
      </c>
      <c r="M141" s="131">
        <v>0</v>
      </c>
      <c r="N141" s="131">
        <v>0</v>
      </c>
      <c r="O141" s="131">
        <v>0</v>
      </c>
      <c r="P141" s="131">
        <v>4600000</v>
      </c>
      <c r="Q141" s="131">
        <v>0</v>
      </c>
      <c r="R141" s="131">
        <v>0</v>
      </c>
      <c r="S141" s="131">
        <v>0</v>
      </c>
      <c r="T141" s="131">
        <v>0</v>
      </c>
      <c r="U141" s="131">
        <v>0</v>
      </c>
      <c r="V141" s="131">
        <v>0</v>
      </c>
      <c r="W141" s="131">
        <v>1988251.74</v>
      </c>
      <c r="X141" s="131">
        <v>0</v>
      </c>
      <c r="Y141" s="131">
        <v>1988251.74</v>
      </c>
      <c r="Z141" s="131">
        <v>0</v>
      </c>
      <c r="AA141" s="131">
        <v>0</v>
      </c>
      <c r="AB141" s="131">
        <v>0</v>
      </c>
      <c r="AC141" s="131">
        <v>0</v>
      </c>
      <c r="AD141" s="131">
        <v>0</v>
      </c>
      <c r="AE141" s="131">
        <v>0</v>
      </c>
      <c r="AF141" s="131">
        <v>1988251.74</v>
      </c>
      <c r="AG141" s="131">
        <v>0</v>
      </c>
      <c r="AH141" s="131">
        <v>1988251.74</v>
      </c>
      <c r="AI141" s="131">
        <v>1988251.74</v>
      </c>
      <c r="AJ141" s="131">
        <v>0</v>
      </c>
      <c r="AK141" s="131">
        <v>0</v>
      </c>
      <c r="AM141" s="131">
        <v>1988251.74</v>
      </c>
      <c r="AN141" s="131">
        <v>1988251.74</v>
      </c>
      <c r="AO141" s="131">
        <v>0</v>
      </c>
      <c r="AP141" s="131">
        <v>1988251.74</v>
      </c>
      <c r="AQ141" s="131">
        <v>0</v>
      </c>
      <c r="AR141" s="131">
        <v>0</v>
      </c>
      <c r="AS141" t="s">
        <v>153</v>
      </c>
    </row>
    <row r="142" spans="1:45" ht="30" x14ac:dyDescent="0.25">
      <c r="A142">
        <v>2019</v>
      </c>
      <c r="B142">
        <v>307</v>
      </c>
      <c r="C142">
        <v>10302010219</v>
      </c>
      <c r="D142">
        <v>34</v>
      </c>
      <c r="E142" t="s">
        <v>2828</v>
      </c>
      <c r="F142">
        <v>10302010219</v>
      </c>
      <c r="G142" s="10" t="s">
        <v>2829</v>
      </c>
      <c r="H142" t="s">
        <v>2573</v>
      </c>
      <c r="I142" s="131">
        <v>4600000</v>
      </c>
      <c r="J142" s="131">
        <v>4600000</v>
      </c>
      <c r="K142" s="131">
        <v>0</v>
      </c>
      <c r="L142" s="131">
        <v>0</v>
      </c>
      <c r="M142" s="131">
        <v>0</v>
      </c>
      <c r="N142" s="131">
        <v>0</v>
      </c>
      <c r="O142" s="131">
        <v>0</v>
      </c>
      <c r="P142" s="131">
        <v>4600000</v>
      </c>
      <c r="Q142" s="131">
        <v>0</v>
      </c>
      <c r="R142" s="131">
        <v>0</v>
      </c>
      <c r="S142" s="131">
        <v>0</v>
      </c>
      <c r="T142" s="131">
        <v>0</v>
      </c>
      <c r="U142" s="131">
        <v>0</v>
      </c>
      <c r="V142" s="131">
        <v>0</v>
      </c>
      <c r="W142" s="131">
        <v>1988251.74</v>
      </c>
      <c r="X142" s="131">
        <v>0</v>
      </c>
      <c r="Y142" s="131">
        <v>1988251.74</v>
      </c>
      <c r="Z142" s="131">
        <v>0</v>
      </c>
      <c r="AA142" s="131">
        <v>0</v>
      </c>
      <c r="AB142" s="131">
        <v>0</v>
      </c>
      <c r="AC142" s="131">
        <v>0</v>
      </c>
      <c r="AD142" s="131">
        <v>0</v>
      </c>
      <c r="AE142" s="131">
        <v>0</v>
      </c>
      <c r="AF142" s="131">
        <v>1988251.74</v>
      </c>
      <c r="AG142" s="131">
        <v>0</v>
      </c>
      <c r="AH142" s="131">
        <v>1988251.74</v>
      </c>
      <c r="AI142" s="131">
        <v>1988251.74</v>
      </c>
      <c r="AJ142" s="131">
        <v>0</v>
      </c>
      <c r="AK142" s="131">
        <v>0</v>
      </c>
      <c r="AM142" s="131">
        <v>1988251.74</v>
      </c>
      <c r="AN142" s="131">
        <v>1988251.74</v>
      </c>
      <c r="AO142" s="131">
        <v>0</v>
      </c>
      <c r="AP142" s="131">
        <v>1988251.74</v>
      </c>
      <c r="AQ142" s="131">
        <v>0</v>
      </c>
      <c r="AR142" s="131">
        <v>0</v>
      </c>
      <c r="AS142" t="s">
        <v>155</v>
      </c>
    </row>
    <row r="143" spans="1:45" ht="30" x14ac:dyDescent="0.25">
      <c r="A143">
        <v>2019</v>
      </c>
      <c r="B143">
        <v>307</v>
      </c>
      <c r="C143">
        <v>10302010220</v>
      </c>
      <c r="D143">
        <v>39</v>
      </c>
      <c r="E143" t="s">
        <v>2830</v>
      </c>
      <c r="F143">
        <v>10302010220</v>
      </c>
      <c r="G143" s="10" t="s">
        <v>2831</v>
      </c>
      <c r="H143" t="s">
        <v>2573</v>
      </c>
      <c r="I143" s="131">
        <v>23000000</v>
      </c>
      <c r="J143" s="131">
        <v>23000000</v>
      </c>
      <c r="K143" s="131">
        <v>0</v>
      </c>
      <c r="L143" s="131">
        <v>0</v>
      </c>
      <c r="M143" s="131">
        <v>0</v>
      </c>
      <c r="N143" s="131">
        <v>0</v>
      </c>
      <c r="O143" s="131">
        <v>0</v>
      </c>
      <c r="P143" s="131">
        <v>23000000</v>
      </c>
      <c r="Q143" s="131">
        <v>0</v>
      </c>
      <c r="R143" s="131">
        <v>0</v>
      </c>
      <c r="S143" s="131">
        <v>0</v>
      </c>
      <c r="T143" s="131">
        <v>0</v>
      </c>
      <c r="U143" s="131">
        <v>0</v>
      </c>
      <c r="V143" s="131">
        <v>0</v>
      </c>
      <c r="W143" s="131">
        <v>9941258.9499999993</v>
      </c>
      <c r="X143" s="131">
        <v>0</v>
      </c>
      <c r="Y143" s="131">
        <v>9941258.9499999993</v>
      </c>
      <c r="Z143" s="131">
        <v>0</v>
      </c>
      <c r="AA143" s="131">
        <v>0</v>
      </c>
      <c r="AB143" s="131">
        <v>0</v>
      </c>
      <c r="AC143" s="131">
        <v>0</v>
      </c>
      <c r="AD143" s="131">
        <v>0</v>
      </c>
      <c r="AE143" s="131">
        <v>0</v>
      </c>
      <c r="AF143" s="131">
        <v>9941258.9499999993</v>
      </c>
      <c r="AG143" s="131">
        <v>0</v>
      </c>
      <c r="AH143" s="131">
        <v>9941258.9499999993</v>
      </c>
      <c r="AI143" s="131">
        <v>9941258.9499999993</v>
      </c>
      <c r="AJ143" s="131">
        <v>0</v>
      </c>
      <c r="AK143" s="131">
        <v>0</v>
      </c>
      <c r="AM143" s="131">
        <v>9941258.9499999993</v>
      </c>
      <c r="AN143" s="131">
        <v>9941258.9499999993</v>
      </c>
      <c r="AO143" s="131">
        <v>0</v>
      </c>
      <c r="AP143" s="131">
        <v>9941258.9499999993</v>
      </c>
      <c r="AQ143" s="131">
        <v>0</v>
      </c>
      <c r="AR143" s="131">
        <v>0</v>
      </c>
      <c r="AS143" t="s">
        <v>159</v>
      </c>
    </row>
    <row r="144" spans="1:45" ht="30" x14ac:dyDescent="0.25">
      <c r="A144">
        <v>2019</v>
      </c>
      <c r="B144">
        <v>307</v>
      </c>
      <c r="C144">
        <v>10302010221</v>
      </c>
      <c r="D144">
        <v>41</v>
      </c>
      <c r="E144" t="s">
        <v>2832</v>
      </c>
      <c r="F144">
        <v>10302010221</v>
      </c>
      <c r="G144" s="10" t="s">
        <v>2833</v>
      </c>
      <c r="H144" t="s">
        <v>2573</v>
      </c>
      <c r="I144" s="131">
        <v>4600000</v>
      </c>
      <c r="J144" s="131">
        <v>4600000</v>
      </c>
      <c r="K144" s="131">
        <v>0</v>
      </c>
      <c r="L144" s="131">
        <v>0</v>
      </c>
      <c r="M144" s="131">
        <v>0</v>
      </c>
      <c r="N144" s="131">
        <v>0</v>
      </c>
      <c r="O144" s="131">
        <v>0</v>
      </c>
      <c r="P144" s="131">
        <v>4600000</v>
      </c>
      <c r="Q144" s="131">
        <v>0</v>
      </c>
      <c r="R144" s="131">
        <v>0</v>
      </c>
      <c r="S144" s="131">
        <v>0</v>
      </c>
      <c r="T144" s="131">
        <v>0</v>
      </c>
      <c r="U144" s="131">
        <v>0</v>
      </c>
      <c r="V144" s="131">
        <v>0</v>
      </c>
      <c r="W144" s="131">
        <v>1988251.74</v>
      </c>
      <c r="X144" s="131">
        <v>0</v>
      </c>
      <c r="Y144" s="131">
        <v>1988251.74</v>
      </c>
      <c r="Z144" s="131">
        <v>0</v>
      </c>
      <c r="AA144" s="131">
        <v>0</v>
      </c>
      <c r="AB144" s="131">
        <v>0</v>
      </c>
      <c r="AC144" s="131">
        <v>0</v>
      </c>
      <c r="AD144" s="131">
        <v>0</v>
      </c>
      <c r="AE144" s="131">
        <v>0</v>
      </c>
      <c r="AF144" s="131">
        <v>1988251.74</v>
      </c>
      <c r="AG144" s="131">
        <v>0</v>
      </c>
      <c r="AH144" s="131">
        <v>1988251.74</v>
      </c>
      <c r="AI144" s="131">
        <v>1988251.74</v>
      </c>
      <c r="AJ144" s="131">
        <v>0</v>
      </c>
      <c r="AK144" s="131">
        <v>0</v>
      </c>
      <c r="AM144" s="131">
        <v>1988251.74</v>
      </c>
      <c r="AN144" s="131">
        <v>1988251.74</v>
      </c>
      <c r="AO144" s="131">
        <v>0</v>
      </c>
      <c r="AP144" s="131">
        <v>1988251.74</v>
      </c>
      <c r="AQ144" s="131">
        <v>0</v>
      </c>
      <c r="AR144" s="131">
        <v>0</v>
      </c>
      <c r="AS144" t="s">
        <v>161</v>
      </c>
    </row>
    <row r="145" spans="1:45" ht="30" x14ac:dyDescent="0.25">
      <c r="A145">
        <v>2019</v>
      </c>
      <c r="B145">
        <v>307</v>
      </c>
      <c r="C145">
        <v>10302010222</v>
      </c>
      <c r="D145">
        <v>6</v>
      </c>
      <c r="E145" t="s">
        <v>2834</v>
      </c>
      <c r="F145">
        <v>10302010222</v>
      </c>
      <c r="G145" s="10" t="s">
        <v>2835</v>
      </c>
      <c r="H145" t="s">
        <v>2573</v>
      </c>
      <c r="I145" s="131">
        <v>12000000</v>
      </c>
      <c r="J145" s="131">
        <v>12000000</v>
      </c>
      <c r="K145" s="131">
        <v>0</v>
      </c>
      <c r="L145" s="131">
        <v>0</v>
      </c>
      <c r="M145" s="131">
        <v>0</v>
      </c>
      <c r="N145" s="131">
        <v>0</v>
      </c>
      <c r="O145" s="131">
        <v>0</v>
      </c>
      <c r="P145" s="131">
        <v>12000000</v>
      </c>
      <c r="Q145" s="131">
        <v>0</v>
      </c>
      <c r="R145" s="131">
        <v>0</v>
      </c>
      <c r="S145" s="131">
        <v>0</v>
      </c>
      <c r="T145" s="131">
        <v>0</v>
      </c>
      <c r="U145" s="131">
        <v>0</v>
      </c>
      <c r="V145" s="131">
        <v>0</v>
      </c>
      <c r="W145" s="131">
        <v>2385270.66</v>
      </c>
      <c r="X145" s="131">
        <v>0</v>
      </c>
      <c r="Y145" s="131">
        <v>2385270.66</v>
      </c>
      <c r="Z145" s="131">
        <v>0</v>
      </c>
      <c r="AA145" s="131">
        <v>0</v>
      </c>
      <c r="AB145" s="131">
        <v>0</v>
      </c>
      <c r="AC145" s="131">
        <v>0</v>
      </c>
      <c r="AD145" s="131">
        <v>0</v>
      </c>
      <c r="AE145" s="131">
        <v>0</v>
      </c>
      <c r="AF145" s="131">
        <v>2385270.66</v>
      </c>
      <c r="AG145" s="131">
        <v>0</v>
      </c>
      <c r="AH145" s="131">
        <v>2385270.66</v>
      </c>
      <c r="AI145" s="131">
        <v>2385270.66</v>
      </c>
      <c r="AJ145" s="131">
        <v>0</v>
      </c>
      <c r="AK145" s="131">
        <v>0</v>
      </c>
      <c r="AM145" s="131">
        <v>2385270.66</v>
      </c>
      <c r="AN145" s="131">
        <v>2385270.66</v>
      </c>
      <c r="AO145" s="131">
        <v>0</v>
      </c>
      <c r="AP145" s="131">
        <v>2385270.66</v>
      </c>
      <c r="AQ145" s="131">
        <v>0</v>
      </c>
      <c r="AR145" s="131">
        <v>0</v>
      </c>
      <c r="AS145" t="s">
        <v>36</v>
      </c>
    </row>
    <row r="146" spans="1:45" ht="30" x14ac:dyDescent="0.25">
      <c r="A146">
        <v>2019</v>
      </c>
      <c r="B146">
        <v>307</v>
      </c>
      <c r="C146">
        <v>10302010223</v>
      </c>
      <c r="D146">
        <v>6</v>
      </c>
      <c r="E146" t="s">
        <v>2836</v>
      </c>
      <c r="F146">
        <v>10302010223</v>
      </c>
      <c r="G146" s="10" t="s">
        <v>2837</v>
      </c>
      <c r="H146" t="s">
        <v>2573</v>
      </c>
      <c r="I146" s="131">
        <v>3000000</v>
      </c>
      <c r="J146" s="131">
        <v>3000000</v>
      </c>
      <c r="K146" s="131">
        <v>0</v>
      </c>
      <c r="L146" s="131">
        <v>0</v>
      </c>
      <c r="M146" s="131">
        <v>0</v>
      </c>
      <c r="N146" s="131">
        <v>0</v>
      </c>
      <c r="O146" s="131">
        <v>0</v>
      </c>
      <c r="P146" s="131">
        <v>3000000</v>
      </c>
      <c r="Q146" s="131">
        <v>0</v>
      </c>
      <c r="R146" s="131">
        <v>0</v>
      </c>
      <c r="S146" s="131">
        <v>0</v>
      </c>
      <c r="T146" s="131">
        <v>0</v>
      </c>
      <c r="U146" s="131">
        <v>0</v>
      </c>
      <c r="V146" s="131">
        <v>0</v>
      </c>
      <c r="W146" s="131">
        <v>596317.63</v>
      </c>
      <c r="X146" s="131">
        <v>0</v>
      </c>
      <c r="Y146" s="131">
        <v>596317.63</v>
      </c>
      <c r="Z146" s="131">
        <v>0</v>
      </c>
      <c r="AA146" s="131">
        <v>0</v>
      </c>
      <c r="AB146" s="131">
        <v>0</v>
      </c>
      <c r="AC146" s="131">
        <v>0</v>
      </c>
      <c r="AD146" s="131">
        <v>0</v>
      </c>
      <c r="AE146" s="131">
        <v>0</v>
      </c>
      <c r="AF146" s="131">
        <v>596317.63</v>
      </c>
      <c r="AG146" s="131">
        <v>0</v>
      </c>
      <c r="AH146" s="131">
        <v>596317.63</v>
      </c>
      <c r="AI146" s="131">
        <v>596317.63</v>
      </c>
      <c r="AJ146" s="131">
        <v>0</v>
      </c>
      <c r="AK146" s="131">
        <v>0</v>
      </c>
      <c r="AM146" s="131">
        <v>596317.63</v>
      </c>
      <c r="AN146" s="131">
        <v>596317.63</v>
      </c>
      <c r="AO146" s="131">
        <v>0</v>
      </c>
      <c r="AP146" s="131">
        <v>596317.63</v>
      </c>
      <c r="AQ146" s="131">
        <v>0</v>
      </c>
      <c r="AR146" s="131">
        <v>0</v>
      </c>
      <c r="AS146" t="s">
        <v>36</v>
      </c>
    </row>
    <row r="147" spans="1:45" ht="30" x14ac:dyDescent="0.25">
      <c r="A147">
        <v>2019</v>
      </c>
      <c r="B147">
        <v>307</v>
      </c>
      <c r="C147">
        <v>10302010224</v>
      </c>
      <c r="D147">
        <v>35</v>
      </c>
      <c r="E147" t="s">
        <v>2838</v>
      </c>
      <c r="F147">
        <v>10302010224</v>
      </c>
      <c r="G147" s="10" t="s">
        <v>1176</v>
      </c>
      <c r="H147" t="s">
        <v>2573</v>
      </c>
      <c r="I147" s="131">
        <v>0</v>
      </c>
      <c r="J147" s="131">
        <v>0</v>
      </c>
      <c r="K147" s="131">
        <v>0</v>
      </c>
      <c r="L147" s="131">
        <v>0</v>
      </c>
      <c r="M147" s="131">
        <v>0</v>
      </c>
      <c r="N147" s="131">
        <v>0</v>
      </c>
      <c r="O147" s="131">
        <v>0</v>
      </c>
      <c r="P147" s="131">
        <v>0</v>
      </c>
      <c r="Q147" s="131">
        <v>0</v>
      </c>
      <c r="R147" s="131">
        <v>0</v>
      </c>
      <c r="S147" s="131">
        <v>0</v>
      </c>
      <c r="T147" s="131">
        <v>0</v>
      </c>
      <c r="U147" s="131">
        <v>0</v>
      </c>
      <c r="V147" s="131">
        <v>0</v>
      </c>
      <c r="W147" s="131">
        <v>1853935.84</v>
      </c>
      <c r="X147" s="131">
        <v>0</v>
      </c>
      <c r="Y147" s="131">
        <v>1853935.84</v>
      </c>
      <c r="Z147" s="131">
        <v>0</v>
      </c>
      <c r="AA147" s="131">
        <v>0</v>
      </c>
      <c r="AB147" s="131">
        <v>0</v>
      </c>
      <c r="AC147" s="131">
        <v>0</v>
      </c>
      <c r="AD147" s="131">
        <v>0</v>
      </c>
      <c r="AE147" s="131">
        <v>0</v>
      </c>
      <c r="AF147" s="131">
        <v>1853935.84</v>
      </c>
      <c r="AG147" s="131">
        <v>0</v>
      </c>
      <c r="AH147" s="131">
        <v>1853935.84</v>
      </c>
      <c r="AI147" s="131">
        <v>1853935.84</v>
      </c>
      <c r="AJ147" s="131">
        <v>0</v>
      </c>
      <c r="AK147" s="131">
        <v>0</v>
      </c>
      <c r="AM147" s="131">
        <v>1853935.84</v>
      </c>
      <c r="AN147" s="131">
        <v>1853935.84</v>
      </c>
      <c r="AO147" s="131">
        <v>0</v>
      </c>
      <c r="AP147" s="131">
        <v>1853935.84</v>
      </c>
      <c r="AQ147" s="131">
        <v>0</v>
      </c>
      <c r="AR147" s="131">
        <v>0</v>
      </c>
      <c r="AS147" t="s">
        <v>157</v>
      </c>
    </row>
    <row r="148" spans="1:45" ht="30" x14ac:dyDescent="0.25">
      <c r="A148">
        <v>2019</v>
      </c>
      <c r="B148">
        <v>307</v>
      </c>
      <c r="C148">
        <v>10302010225</v>
      </c>
      <c r="D148">
        <v>145</v>
      </c>
      <c r="E148" t="s">
        <v>2839</v>
      </c>
      <c r="F148">
        <v>10302010225</v>
      </c>
      <c r="G148" s="10" t="s">
        <v>2840</v>
      </c>
      <c r="H148" t="s">
        <v>2573</v>
      </c>
      <c r="I148" s="131">
        <v>0</v>
      </c>
      <c r="J148" s="131">
        <v>0</v>
      </c>
      <c r="K148" s="131">
        <v>0</v>
      </c>
      <c r="L148" s="131">
        <v>0</v>
      </c>
      <c r="M148" s="131">
        <v>0</v>
      </c>
      <c r="N148" s="131">
        <v>0</v>
      </c>
      <c r="O148" s="131">
        <v>0</v>
      </c>
      <c r="P148" s="131">
        <v>0</v>
      </c>
      <c r="Q148" s="131">
        <v>0</v>
      </c>
      <c r="R148" s="131">
        <v>0</v>
      </c>
      <c r="S148" s="131">
        <v>0</v>
      </c>
      <c r="T148" s="131">
        <v>0</v>
      </c>
      <c r="U148" s="131">
        <v>0</v>
      </c>
      <c r="V148" s="131">
        <v>0</v>
      </c>
      <c r="W148" s="131">
        <v>0</v>
      </c>
      <c r="X148" s="131">
        <v>0</v>
      </c>
      <c r="Y148" s="131">
        <v>0</v>
      </c>
      <c r="Z148" s="131">
        <v>0</v>
      </c>
      <c r="AA148" s="131">
        <v>0</v>
      </c>
      <c r="AB148" s="131">
        <v>0</v>
      </c>
      <c r="AC148" s="131">
        <v>0</v>
      </c>
      <c r="AD148" s="131">
        <v>0</v>
      </c>
      <c r="AE148" s="131">
        <v>0</v>
      </c>
      <c r="AF148" s="131">
        <v>0</v>
      </c>
      <c r="AG148" s="131">
        <v>0</v>
      </c>
      <c r="AH148" s="131">
        <v>0</v>
      </c>
      <c r="AI148" s="131">
        <v>0</v>
      </c>
      <c r="AJ148" s="131">
        <v>0</v>
      </c>
      <c r="AK148" s="131">
        <v>0</v>
      </c>
      <c r="AM148" s="131">
        <v>0</v>
      </c>
      <c r="AN148" s="131">
        <v>0</v>
      </c>
      <c r="AO148" s="131">
        <v>0</v>
      </c>
      <c r="AP148" s="131">
        <v>0</v>
      </c>
      <c r="AQ148" s="131">
        <v>0</v>
      </c>
      <c r="AR148" s="131">
        <v>0</v>
      </c>
      <c r="AS148" t="s">
        <v>66</v>
      </c>
    </row>
    <row r="149" spans="1:45" x14ac:dyDescent="0.25">
      <c r="A149">
        <v>2019</v>
      </c>
      <c r="B149">
        <v>307</v>
      </c>
      <c r="C149">
        <v>10303</v>
      </c>
      <c r="D149" t="s">
        <v>226</v>
      </c>
      <c r="E149" t="s">
        <v>2841</v>
      </c>
      <c r="F149">
        <v>10303</v>
      </c>
      <c r="G149" s="10" t="s">
        <v>1182</v>
      </c>
      <c r="H149" t="s">
        <v>2573</v>
      </c>
      <c r="I149" s="131">
        <v>180000000</v>
      </c>
      <c r="J149" s="131">
        <v>180000000</v>
      </c>
      <c r="K149" s="131">
        <v>0</v>
      </c>
      <c r="L149" s="131">
        <v>0</v>
      </c>
      <c r="M149" s="131">
        <v>0</v>
      </c>
      <c r="N149" s="131">
        <v>0</v>
      </c>
      <c r="O149" s="131">
        <v>0</v>
      </c>
      <c r="P149" s="131">
        <v>180000000</v>
      </c>
      <c r="Q149" s="131">
        <v>0</v>
      </c>
      <c r="R149" s="131">
        <v>0</v>
      </c>
      <c r="S149" s="131">
        <v>0</v>
      </c>
      <c r="T149" s="131">
        <v>0</v>
      </c>
      <c r="U149" s="131">
        <v>0</v>
      </c>
      <c r="V149" s="131">
        <v>0</v>
      </c>
      <c r="W149" s="131">
        <v>221403552</v>
      </c>
      <c r="X149" s="131">
        <v>0</v>
      </c>
      <c r="Y149" s="131">
        <v>221403552</v>
      </c>
      <c r="Z149" s="131">
        <v>0</v>
      </c>
      <c r="AA149" s="131">
        <v>0</v>
      </c>
      <c r="AB149" s="131">
        <v>0</v>
      </c>
      <c r="AC149" s="131">
        <v>0</v>
      </c>
      <c r="AD149" s="131">
        <v>0</v>
      </c>
      <c r="AE149" s="131">
        <v>0</v>
      </c>
      <c r="AF149" s="131">
        <v>221403552</v>
      </c>
      <c r="AG149" s="131">
        <v>0</v>
      </c>
      <c r="AH149" s="131">
        <v>221403552</v>
      </c>
      <c r="AI149" s="131">
        <v>221403552</v>
      </c>
      <c r="AJ149" s="131">
        <v>0</v>
      </c>
      <c r="AK149" s="131">
        <v>0</v>
      </c>
      <c r="AM149" s="131">
        <v>221403552</v>
      </c>
      <c r="AN149" s="131">
        <v>221403552</v>
      </c>
      <c r="AO149" s="131">
        <v>0</v>
      </c>
      <c r="AP149" s="131">
        <v>221403552</v>
      </c>
      <c r="AQ149" s="131">
        <v>0</v>
      </c>
      <c r="AR149" s="131">
        <v>0</v>
      </c>
      <c r="AS149" t="s">
        <v>1709</v>
      </c>
    </row>
    <row r="150" spans="1:45" ht="30" x14ac:dyDescent="0.25">
      <c r="A150">
        <v>2019</v>
      </c>
      <c r="B150">
        <v>307</v>
      </c>
      <c r="C150">
        <v>1030304</v>
      </c>
      <c r="D150">
        <v>20</v>
      </c>
      <c r="E150" t="s">
        <v>2842</v>
      </c>
      <c r="F150">
        <v>1030304</v>
      </c>
      <c r="G150" s="10" t="s">
        <v>2843</v>
      </c>
      <c r="H150" t="s">
        <v>2573</v>
      </c>
      <c r="I150" s="131">
        <v>85000000</v>
      </c>
      <c r="J150" s="131">
        <v>85000000</v>
      </c>
      <c r="K150" s="131">
        <v>0</v>
      </c>
      <c r="L150" s="131">
        <v>0</v>
      </c>
      <c r="M150" s="131">
        <v>0</v>
      </c>
      <c r="N150" s="131">
        <v>0</v>
      </c>
      <c r="O150" s="131">
        <v>0</v>
      </c>
      <c r="P150" s="131">
        <v>85000000</v>
      </c>
      <c r="Q150" s="131">
        <v>0</v>
      </c>
      <c r="R150" s="131">
        <v>0</v>
      </c>
      <c r="S150" s="131">
        <v>0</v>
      </c>
      <c r="T150" s="131">
        <v>0</v>
      </c>
      <c r="U150" s="131">
        <v>0</v>
      </c>
      <c r="V150" s="131">
        <v>0</v>
      </c>
      <c r="W150" s="131">
        <v>121403552</v>
      </c>
      <c r="X150" s="131">
        <v>0</v>
      </c>
      <c r="Y150" s="131">
        <v>121403552</v>
      </c>
      <c r="Z150" s="131">
        <v>0</v>
      </c>
      <c r="AA150" s="131">
        <v>0</v>
      </c>
      <c r="AB150" s="131">
        <v>0</v>
      </c>
      <c r="AC150" s="131">
        <v>0</v>
      </c>
      <c r="AD150" s="131">
        <v>0</v>
      </c>
      <c r="AE150" s="131">
        <v>0</v>
      </c>
      <c r="AF150" s="131">
        <v>121403552</v>
      </c>
      <c r="AG150" s="131">
        <v>0</v>
      </c>
      <c r="AH150" s="131">
        <v>121403552</v>
      </c>
      <c r="AI150" s="131">
        <v>121403552</v>
      </c>
      <c r="AJ150" s="131">
        <v>0</v>
      </c>
      <c r="AK150" s="131">
        <v>0</v>
      </c>
      <c r="AM150" s="131">
        <v>121403552</v>
      </c>
      <c r="AN150" s="131">
        <v>121403552</v>
      </c>
      <c r="AO150" s="131">
        <v>0</v>
      </c>
      <c r="AP150" s="131">
        <v>121403552</v>
      </c>
      <c r="AQ150" s="131">
        <v>0</v>
      </c>
      <c r="AR150" s="131">
        <v>0</v>
      </c>
      <c r="AS150" t="s">
        <v>140</v>
      </c>
    </row>
    <row r="151" spans="1:45" x14ac:dyDescent="0.25">
      <c r="A151">
        <v>2019</v>
      </c>
      <c r="B151">
        <v>307</v>
      </c>
      <c r="C151">
        <v>1030305</v>
      </c>
      <c r="D151">
        <v>20</v>
      </c>
      <c r="E151" t="s">
        <v>2844</v>
      </c>
      <c r="F151">
        <v>1030305</v>
      </c>
      <c r="G151" s="10" t="s">
        <v>2845</v>
      </c>
      <c r="H151" t="s">
        <v>2573</v>
      </c>
      <c r="I151" s="131">
        <v>95000000</v>
      </c>
      <c r="J151" s="131">
        <v>95000000</v>
      </c>
      <c r="K151" s="131">
        <v>0</v>
      </c>
      <c r="L151" s="131">
        <v>0</v>
      </c>
      <c r="M151" s="131">
        <v>0</v>
      </c>
      <c r="N151" s="131">
        <v>0</v>
      </c>
      <c r="O151" s="131">
        <v>0</v>
      </c>
      <c r="P151" s="131">
        <v>95000000</v>
      </c>
      <c r="Q151" s="131">
        <v>0</v>
      </c>
      <c r="R151" s="131">
        <v>0</v>
      </c>
      <c r="S151" s="131">
        <v>0</v>
      </c>
      <c r="T151" s="131">
        <v>0</v>
      </c>
      <c r="U151" s="131">
        <v>0</v>
      </c>
      <c r="V151" s="131">
        <v>0</v>
      </c>
      <c r="W151" s="131">
        <v>100000000</v>
      </c>
      <c r="X151" s="131">
        <v>0</v>
      </c>
      <c r="Y151" s="131">
        <v>100000000</v>
      </c>
      <c r="Z151" s="131">
        <v>0</v>
      </c>
      <c r="AA151" s="131">
        <v>0</v>
      </c>
      <c r="AB151" s="131">
        <v>0</v>
      </c>
      <c r="AC151" s="131">
        <v>0</v>
      </c>
      <c r="AD151" s="131">
        <v>0</v>
      </c>
      <c r="AE151" s="131">
        <v>0</v>
      </c>
      <c r="AF151" s="131">
        <v>100000000</v>
      </c>
      <c r="AG151" s="131">
        <v>0</v>
      </c>
      <c r="AH151" s="131">
        <v>100000000</v>
      </c>
      <c r="AI151" s="131">
        <v>100000000</v>
      </c>
      <c r="AJ151" s="131">
        <v>0</v>
      </c>
      <c r="AK151" s="131">
        <v>0</v>
      </c>
      <c r="AM151" s="131">
        <v>100000000</v>
      </c>
      <c r="AN151" s="131">
        <v>100000000</v>
      </c>
      <c r="AO151" s="131">
        <v>0</v>
      </c>
      <c r="AP151" s="131">
        <v>100000000</v>
      </c>
      <c r="AQ151" s="131">
        <v>0</v>
      </c>
      <c r="AR151" s="131">
        <v>0</v>
      </c>
      <c r="AS151" t="s">
        <v>140</v>
      </c>
    </row>
    <row r="152" spans="1:45" x14ac:dyDescent="0.25">
      <c r="A152">
        <v>2019</v>
      </c>
      <c r="B152">
        <v>307</v>
      </c>
      <c r="C152">
        <v>10304</v>
      </c>
      <c r="D152" t="s">
        <v>226</v>
      </c>
      <c r="E152" t="s">
        <v>2846</v>
      </c>
      <c r="F152">
        <v>10304</v>
      </c>
      <c r="G152" s="10" t="s">
        <v>165</v>
      </c>
      <c r="H152" t="s">
        <v>2573</v>
      </c>
      <c r="I152" s="131">
        <v>22370767081</v>
      </c>
      <c r="J152" s="131">
        <v>22370767081</v>
      </c>
      <c r="K152" s="131">
        <v>0</v>
      </c>
      <c r="L152" s="131">
        <v>12443598374.940001</v>
      </c>
      <c r="M152" s="131">
        <v>-12443598374.940001</v>
      </c>
      <c r="N152" s="131">
        <v>0</v>
      </c>
      <c r="O152" s="131">
        <v>12443598374.940001</v>
      </c>
      <c r="P152" s="131">
        <v>9927168706.0599995</v>
      </c>
      <c r="Q152" s="131">
        <v>0</v>
      </c>
      <c r="R152" s="131">
        <v>0</v>
      </c>
      <c r="S152" s="131">
        <v>0</v>
      </c>
      <c r="T152" s="131">
        <v>0</v>
      </c>
      <c r="U152" s="131">
        <v>0</v>
      </c>
      <c r="V152" s="131">
        <v>0</v>
      </c>
      <c r="W152" s="131">
        <v>10434616218</v>
      </c>
      <c r="X152" s="131">
        <v>480958184.5</v>
      </c>
      <c r="Y152" s="131">
        <v>9953658033.5</v>
      </c>
      <c r="Z152" s="131">
        <v>0</v>
      </c>
      <c r="AA152" s="131">
        <v>0</v>
      </c>
      <c r="AB152" s="131">
        <v>0</v>
      </c>
      <c r="AC152" s="131">
        <v>0</v>
      </c>
      <c r="AD152" s="131">
        <v>0</v>
      </c>
      <c r="AE152" s="131">
        <v>0</v>
      </c>
      <c r="AF152" s="131">
        <v>10434616218</v>
      </c>
      <c r="AG152" s="131">
        <v>480958184.5</v>
      </c>
      <c r="AH152" s="131">
        <v>9953658033.5</v>
      </c>
      <c r="AI152" s="131">
        <v>9953658033.5</v>
      </c>
      <c r="AJ152" s="131">
        <v>0</v>
      </c>
      <c r="AK152" s="131">
        <v>0</v>
      </c>
      <c r="AM152" s="131">
        <v>10434616218</v>
      </c>
      <c r="AN152" s="131">
        <v>10434616218</v>
      </c>
      <c r="AO152" s="131">
        <v>0</v>
      </c>
      <c r="AP152" s="131">
        <v>10434616218</v>
      </c>
      <c r="AQ152" s="131">
        <v>0</v>
      </c>
      <c r="AR152" s="131">
        <v>0</v>
      </c>
      <c r="AS152" t="s">
        <v>1709</v>
      </c>
    </row>
    <row r="153" spans="1:45" x14ac:dyDescent="0.25">
      <c r="A153">
        <v>2019</v>
      </c>
      <c r="B153">
        <v>307</v>
      </c>
      <c r="C153">
        <v>1030401</v>
      </c>
      <c r="D153" t="s">
        <v>226</v>
      </c>
      <c r="E153" t="s">
        <v>2847</v>
      </c>
      <c r="F153">
        <v>1030401</v>
      </c>
      <c r="G153" s="10" t="s">
        <v>1150</v>
      </c>
      <c r="H153" t="s">
        <v>2573</v>
      </c>
      <c r="I153" s="131">
        <v>22370767081</v>
      </c>
      <c r="J153" s="131">
        <v>22370767081</v>
      </c>
      <c r="K153" s="131">
        <v>0</v>
      </c>
      <c r="L153" s="131">
        <v>12443598374.940001</v>
      </c>
      <c r="M153" s="131">
        <v>-12443598374.940001</v>
      </c>
      <c r="N153" s="131">
        <v>0</v>
      </c>
      <c r="O153" s="131">
        <v>12443598374.940001</v>
      </c>
      <c r="P153" s="131">
        <v>9927168706.0599995</v>
      </c>
      <c r="Q153" s="131">
        <v>0</v>
      </c>
      <c r="R153" s="131">
        <v>0</v>
      </c>
      <c r="S153" s="131">
        <v>0</v>
      </c>
      <c r="T153" s="131">
        <v>0</v>
      </c>
      <c r="U153" s="131">
        <v>0</v>
      </c>
      <c r="V153" s="131">
        <v>0</v>
      </c>
      <c r="W153" s="131">
        <v>10434616218</v>
      </c>
      <c r="X153" s="131">
        <v>480958184.5</v>
      </c>
      <c r="Y153" s="131">
        <v>9953658033.5</v>
      </c>
      <c r="Z153" s="131">
        <v>0</v>
      </c>
      <c r="AA153" s="131">
        <v>0</v>
      </c>
      <c r="AB153" s="131">
        <v>0</v>
      </c>
      <c r="AC153" s="131">
        <v>0</v>
      </c>
      <c r="AD153" s="131">
        <v>0</v>
      </c>
      <c r="AE153" s="131">
        <v>0</v>
      </c>
      <c r="AF153" s="131">
        <v>10434616218</v>
      </c>
      <c r="AG153" s="131">
        <v>480958184.5</v>
      </c>
      <c r="AH153" s="131">
        <v>9953658033.5</v>
      </c>
      <c r="AI153" s="131">
        <v>9953658033.5</v>
      </c>
      <c r="AJ153" s="131">
        <v>0</v>
      </c>
      <c r="AK153" s="131">
        <v>0</v>
      </c>
      <c r="AM153" s="131">
        <v>10434616218</v>
      </c>
      <c r="AN153" s="131">
        <v>10434616218</v>
      </c>
      <c r="AO153" s="131">
        <v>0</v>
      </c>
      <c r="AP153" s="131">
        <v>10434616218</v>
      </c>
      <c r="AQ153" s="131">
        <v>0</v>
      </c>
      <c r="AR153" s="131">
        <v>0</v>
      </c>
      <c r="AS153" t="s">
        <v>1709</v>
      </c>
    </row>
    <row r="154" spans="1:45" ht="30" x14ac:dyDescent="0.25">
      <c r="A154">
        <v>2019</v>
      </c>
      <c r="B154">
        <v>307</v>
      </c>
      <c r="C154">
        <v>103040101</v>
      </c>
      <c r="D154">
        <v>46</v>
      </c>
      <c r="E154" t="s">
        <v>2848</v>
      </c>
      <c r="F154">
        <v>103040101</v>
      </c>
      <c r="G154" s="10" t="s">
        <v>2849</v>
      </c>
      <c r="H154" t="s">
        <v>2573</v>
      </c>
      <c r="I154" s="131">
        <v>22370767081</v>
      </c>
      <c r="J154" s="131">
        <v>22370767081</v>
      </c>
      <c r="K154" s="131">
        <v>0</v>
      </c>
      <c r="L154" s="131">
        <v>12443598374.940001</v>
      </c>
      <c r="M154" s="131">
        <v>-12443598374.940001</v>
      </c>
      <c r="N154" s="131">
        <v>0</v>
      </c>
      <c r="O154" s="131">
        <v>12443598374.940001</v>
      </c>
      <c r="P154" s="131">
        <v>9927168706.0599995</v>
      </c>
      <c r="Q154" s="131">
        <v>0</v>
      </c>
      <c r="R154" s="131">
        <v>0</v>
      </c>
      <c r="S154" s="131">
        <v>0</v>
      </c>
      <c r="T154" s="131">
        <v>0</v>
      </c>
      <c r="U154" s="131">
        <v>0</v>
      </c>
      <c r="V154" s="131">
        <v>0</v>
      </c>
      <c r="W154" s="131">
        <v>10434616218</v>
      </c>
      <c r="X154" s="131">
        <v>480958184.5</v>
      </c>
      <c r="Y154" s="131">
        <v>9953658033.5</v>
      </c>
      <c r="Z154" s="131">
        <v>0</v>
      </c>
      <c r="AA154" s="131">
        <v>0</v>
      </c>
      <c r="AB154" s="131">
        <v>0</v>
      </c>
      <c r="AC154" s="131">
        <v>0</v>
      </c>
      <c r="AD154" s="131">
        <v>0</v>
      </c>
      <c r="AE154" s="131">
        <v>0</v>
      </c>
      <c r="AF154" s="131">
        <v>10434616218</v>
      </c>
      <c r="AG154" s="131">
        <v>480958184.5</v>
      </c>
      <c r="AH154" s="131">
        <v>9953658033.5</v>
      </c>
      <c r="AI154" s="131">
        <v>9953658033.5</v>
      </c>
      <c r="AJ154" s="131">
        <v>0</v>
      </c>
      <c r="AK154" s="131">
        <v>0</v>
      </c>
      <c r="AM154" s="131">
        <v>10434616218</v>
      </c>
      <c r="AN154" s="131">
        <v>10434616218</v>
      </c>
      <c r="AO154" s="131">
        <v>0</v>
      </c>
      <c r="AP154" s="131">
        <v>10434616218</v>
      </c>
      <c r="AQ154" s="131">
        <v>0</v>
      </c>
      <c r="AR154" s="131">
        <v>0</v>
      </c>
      <c r="AS154" t="s">
        <v>165</v>
      </c>
    </row>
    <row r="155" spans="1:45" x14ac:dyDescent="0.25">
      <c r="A155">
        <v>2019</v>
      </c>
      <c r="B155">
        <v>314</v>
      </c>
      <c r="C155">
        <v>1</v>
      </c>
      <c r="D155" t="s">
        <v>226</v>
      </c>
      <c r="E155" t="s">
        <v>2850</v>
      </c>
      <c r="F155">
        <v>1</v>
      </c>
      <c r="G155" s="10" t="s">
        <v>949</v>
      </c>
      <c r="H155" t="s">
        <v>2851</v>
      </c>
      <c r="I155" s="131">
        <v>158530000000</v>
      </c>
      <c r="J155" s="131">
        <v>158530000000</v>
      </c>
      <c r="K155" s="131">
        <v>10021427901.16</v>
      </c>
      <c r="L155" s="131">
        <v>8776479333.8199997</v>
      </c>
      <c r="M155" s="131">
        <v>1244948567.3399999</v>
      </c>
      <c r="N155" s="131">
        <v>10021427901.16</v>
      </c>
      <c r="O155" s="131">
        <v>8776479333.8199997</v>
      </c>
      <c r="P155" s="131">
        <v>159774948567.34</v>
      </c>
      <c r="Q155" s="131">
        <v>0</v>
      </c>
      <c r="R155" s="131">
        <v>0</v>
      </c>
      <c r="S155" s="131">
        <v>0</v>
      </c>
      <c r="T155" s="131">
        <v>0</v>
      </c>
      <c r="U155" s="131">
        <v>0</v>
      </c>
      <c r="V155" s="131">
        <v>0</v>
      </c>
      <c r="W155" s="131">
        <v>170950842379.01001</v>
      </c>
      <c r="X155" s="131">
        <v>11121249002.67</v>
      </c>
      <c r="Y155" s="131">
        <v>159829593376.34</v>
      </c>
      <c r="Z155" s="131">
        <v>0</v>
      </c>
      <c r="AA155" s="131">
        <v>0</v>
      </c>
      <c r="AB155" s="131">
        <v>0</v>
      </c>
      <c r="AC155" s="131">
        <v>0</v>
      </c>
      <c r="AD155" s="131">
        <v>0</v>
      </c>
      <c r="AE155" s="131">
        <v>0</v>
      </c>
      <c r="AF155" s="131">
        <v>170950842379.01001</v>
      </c>
      <c r="AG155" s="131">
        <v>11121249002.67</v>
      </c>
      <c r="AH155" s="131">
        <v>159829593376.34</v>
      </c>
      <c r="AI155" s="131">
        <v>159829593376.34</v>
      </c>
      <c r="AJ155" s="131">
        <v>24097135815.389999</v>
      </c>
      <c r="AK155" s="131">
        <v>24097135815.389999</v>
      </c>
      <c r="AM155" s="131">
        <v>137928858474.95001</v>
      </c>
      <c r="AN155" s="131">
        <v>146853706563.62</v>
      </c>
      <c r="AO155" s="131">
        <v>8924848088.6700001</v>
      </c>
      <c r="AP155" s="131">
        <v>146853706563.62</v>
      </c>
      <c r="AQ155" s="131">
        <v>0</v>
      </c>
      <c r="AR155" s="131">
        <v>8924848088.6700001</v>
      </c>
      <c r="AS155" t="s">
        <v>1709</v>
      </c>
    </row>
    <row r="156" spans="1:45" x14ac:dyDescent="0.25">
      <c r="A156">
        <v>2019</v>
      </c>
      <c r="B156">
        <v>314</v>
      </c>
      <c r="C156">
        <v>102</v>
      </c>
      <c r="D156" t="s">
        <v>226</v>
      </c>
      <c r="E156" t="s">
        <v>2852</v>
      </c>
      <c r="F156">
        <v>102</v>
      </c>
      <c r="G156" s="10" t="s">
        <v>953</v>
      </c>
      <c r="H156" t="s">
        <v>2851</v>
      </c>
      <c r="I156" s="131">
        <v>158530000000</v>
      </c>
      <c r="J156" s="131">
        <v>158530000000</v>
      </c>
      <c r="K156" s="131">
        <v>10021427901.16</v>
      </c>
      <c r="L156" s="131">
        <v>8776479333.8199997</v>
      </c>
      <c r="M156" s="131">
        <v>1244948567.3399999</v>
      </c>
      <c r="N156" s="131">
        <v>10021427901.16</v>
      </c>
      <c r="O156" s="131">
        <v>8776479333.8199997</v>
      </c>
      <c r="P156" s="131">
        <v>159774948567.34</v>
      </c>
      <c r="Q156" s="131">
        <v>0</v>
      </c>
      <c r="R156" s="131">
        <v>0</v>
      </c>
      <c r="S156" s="131">
        <v>0</v>
      </c>
      <c r="T156" s="131">
        <v>0</v>
      </c>
      <c r="U156" s="131">
        <v>0</v>
      </c>
      <c r="V156" s="131">
        <v>0</v>
      </c>
      <c r="W156" s="131">
        <v>170950842379.01001</v>
      </c>
      <c r="X156" s="131">
        <v>11121249002.67</v>
      </c>
      <c r="Y156" s="131">
        <v>159829593376.34</v>
      </c>
      <c r="Z156" s="131">
        <v>0</v>
      </c>
      <c r="AA156" s="131">
        <v>0</v>
      </c>
      <c r="AB156" s="131">
        <v>0</v>
      </c>
      <c r="AC156" s="131">
        <v>0</v>
      </c>
      <c r="AD156" s="131">
        <v>0</v>
      </c>
      <c r="AE156" s="131">
        <v>0</v>
      </c>
      <c r="AF156" s="131">
        <v>170950842379.01001</v>
      </c>
      <c r="AG156" s="131">
        <v>11121249002.67</v>
      </c>
      <c r="AH156" s="131">
        <v>159829593376.34</v>
      </c>
      <c r="AI156" s="131">
        <v>159829593376.34</v>
      </c>
      <c r="AJ156" s="131">
        <v>24097135815.389999</v>
      </c>
      <c r="AK156" s="131">
        <v>24097135815.389999</v>
      </c>
      <c r="AM156" s="131">
        <v>137928858474.95001</v>
      </c>
      <c r="AN156" s="131">
        <v>146853706563.62</v>
      </c>
      <c r="AO156" s="131">
        <v>8924848088.6700001</v>
      </c>
      <c r="AP156" s="131">
        <v>146853706563.62</v>
      </c>
      <c r="AQ156" s="131">
        <v>0</v>
      </c>
      <c r="AR156" s="131">
        <v>8924848088.6700001</v>
      </c>
      <c r="AS156" t="s">
        <v>1709</v>
      </c>
    </row>
    <row r="157" spans="1:45" ht="30" x14ac:dyDescent="0.25">
      <c r="A157">
        <v>2019</v>
      </c>
      <c r="B157">
        <v>314</v>
      </c>
      <c r="C157">
        <v>10203</v>
      </c>
      <c r="D157" t="s">
        <v>226</v>
      </c>
      <c r="E157" t="s">
        <v>2853</v>
      </c>
      <c r="F157">
        <v>10203</v>
      </c>
      <c r="G157" s="10" t="s">
        <v>1100</v>
      </c>
      <c r="H157" t="s">
        <v>2851</v>
      </c>
      <c r="I157" s="131">
        <v>158530000000</v>
      </c>
      <c r="J157" s="131">
        <v>158530000000</v>
      </c>
      <c r="K157" s="131">
        <v>10021427901.16</v>
      </c>
      <c r="L157" s="131">
        <v>8776479333.8199997</v>
      </c>
      <c r="M157" s="131">
        <v>1244948567.3399999</v>
      </c>
      <c r="N157" s="131">
        <v>10021427901.16</v>
      </c>
      <c r="O157" s="131">
        <v>8776479333.8199997</v>
      </c>
      <c r="P157" s="131">
        <v>159774948567.34</v>
      </c>
      <c r="Q157" s="131">
        <v>0</v>
      </c>
      <c r="R157" s="131">
        <v>0</v>
      </c>
      <c r="S157" s="131">
        <v>0</v>
      </c>
      <c r="T157" s="131">
        <v>0</v>
      </c>
      <c r="U157" s="131">
        <v>0</v>
      </c>
      <c r="V157" s="131">
        <v>0</v>
      </c>
      <c r="W157" s="131">
        <v>170950842379.01001</v>
      </c>
      <c r="X157" s="131">
        <v>11121249002.67</v>
      </c>
      <c r="Y157" s="131">
        <v>159829593376.34</v>
      </c>
      <c r="Z157" s="131">
        <v>0</v>
      </c>
      <c r="AA157" s="131">
        <v>0</v>
      </c>
      <c r="AB157" s="131">
        <v>0</v>
      </c>
      <c r="AC157" s="131">
        <v>0</v>
      </c>
      <c r="AD157" s="131">
        <v>0</v>
      </c>
      <c r="AE157" s="131">
        <v>0</v>
      </c>
      <c r="AF157" s="131">
        <v>170950842379.01001</v>
      </c>
      <c r="AG157" s="131">
        <v>11121249002.67</v>
      </c>
      <c r="AH157" s="131">
        <v>159829593376.34</v>
      </c>
      <c r="AI157" s="131">
        <v>159829593376.34</v>
      </c>
      <c r="AJ157" s="131">
        <v>24097135815.389999</v>
      </c>
      <c r="AK157" s="131">
        <v>24097135815.389999</v>
      </c>
      <c r="AM157" s="131">
        <v>137928858474.95001</v>
      </c>
      <c r="AN157" s="131">
        <v>146853706563.62</v>
      </c>
      <c r="AO157" s="131">
        <v>8924848088.6700001</v>
      </c>
      <c r="AP157" s="131">
        <v>146853706563.62</v>
      </c>
      <c r="AQ157" s="131">
        <v>0</v>
      </c>
      <c r="AR157" s="131">
        <v>8924848088.6700001</v>
      </c>
      <c r="AS157" t="s">
        <v>1709</v>
      </c>
    </row>
    <row r="158" spans="1:45" ht="30" x14ac:dyDescent="0.25">
      <c r="A158">
        <v>2019</v>
      </c>
      <c r="B158">
        <v>314</v>
      </c>
      <c r="C158">
        <v>1020301</v>
      </c>
      <c r="D158" t="s">
        <v>226</v>
      </c>
      <c r="E158" t="s">
        <v>2854</v>
      </c>
      <c r="F158">
        <v>1020301</v>
      </c>
      <c r="G158" s="10" t="s">
        <v>2855</v>
      </c>
      <c r="H158" t="s">
        <v>2851</v>
      </c>
      <c r="I158" s="131">
        <v>149100000000</v>
      </c>
      <c r="J158" s="131">
        <v>149100000000</v>
      </c>
      <c r="K158" s="131">
        <v>4040308178</v>
      </c>
      <c r="L158" s="131">
        <v>8465157078</v>
      </c>
      <c r="M158" s="131">
        <v>-4424848900</v>
      </c>
      <c r="N158" s="131">
        <v>4040308178</v>
      </c>
      <c r="O158" s="131">
        <v>8465157078</v>
      </c>
      <c r="P158" s="131">
        <v>144675151100</v>
      </c>
      <c r="Q158" s="131">
        <v>0</v>
      </c>
      <c r="R158" s="131">
        <v>0</v>
      </c>
      <c r="S158" s="131">
        <v>0</v>
      </c>
      <c r="T158" s="131">
        <v>0</v>
      </c>
      <c r="U158" s="131">
        <v>0</v>
      </c>
      <c r="V158" s="131">
        <v>0</v>
      </c>
      <c r="W158" s="131">
        <v>155785030156</v>
      </c>
      <c r="X158" s="131">
        <v>11109879056</v>
      </c>
      <c r="Y158" s="131">
        <v>144675151100</v>
      </c>
      <c r="Z158" s="131">
        <v>0</v>
      </c>
      <c r="AA158" s="131">
        <v>0</v>
      </c>
      <c r="AB158" s="131">
        <v>0</v>
      </c>
      <c r="AC158" s="131">
        <v>0</v>
      </c>
      <c r="AD158" s="131">
        <v>0</v>
      </c>
      <c r="AE158" s="131">
        <v>0</v>
      </c>
      <c r="AF158" s="131">
        <v>155785030156</v>
      </c>
      <c r="AG158" s="131">
        <v>11109879056</v>
      </c>
      <c r="AH158" s="131">
        <v>144675151100</v>
      </c>
      <c r="AI158" s="131">
        <v>144675151100</v>
      </c>
      <c r="AJ158" s="131">
        <v>21824830614</v>
      </c>
      <c r="AK158" s="131">
        <v>21824830614</v>
      </c>
      <c r="AM158" s="131">
        <v>125043249039</v>
      </c>
      <c r="AN158" s="131">
        <v>133960199542</v>
      </c>
      <c r="AO158" s="131">
        <v>8916950503</v>
      </c>
      <c r="AP158" s="131">
        <v>133960199542</v>
      </c>
      <c r="AQ158" s="131">
        <v>0</v>
      </c>
      <c r="AR158" s="131">
        <v>8916950503</v>
      </c>
      <c r="AS158" t="s">
        <v>1709</v>
      </c>
    </row>
    <row r="159" spans="1:45" ht="30" x14ac:dyDescent="0.25">
      <c r="A159">
        <v>2019</v>
      </c>
      <c r="B159">
        <v>314</v>
      </c>
      <c r="C159">
        <v>102030101</v>
      </c>
      <c r="D159">
        <v>25</v>
      </c>
      <c r="E159" t="s">
        <v>2856</v>
      </c>
      <c r="F159">
        <v>102030101</v>
      </c>
      <c r="G159" s="10" t="s">
        <v>2857</v>
      </c>
      <c r="H159" t="s">
        <v>2851</v>
      </c>
      <c r="I159" s="131">
        <v>123914000000</v>
      </c>
      <c r="J159" s="131">
        <v>123914000000</v>
      </c>
      <c r="K159" s="131">
        <v>954873959</v>
      </c>
      <c r="L159" s="131">
        <v>3294312598</v>
      </c>
      <c r="M159" s="131">
        <v>-2339438639</v>
      </c>
      <c r="N159" s="131">
        <v>954873959</v>
      </c>
      <c r="O159" s="131">
        <v>3294312598</v>
      </c>
      <c r="P159" s="131">
        <v>121574561361</v>
      </c>
      <c r="Q159" s="131">
        <v>0</v>
      </c>
      <c r="R159" s="131">
        <v>0</v>
      </c>
      <c r="S159" s="131">
        <v>0</v>
      </c>
      <c r="T159" s="131">
        <v>0</v>
      </c>
      <c r="U159" s="131">
        <v>0</v>
      </c>
      <c r="V159" s="131">
        <v>0</v>
      </c>
      <c r="W159" s="131">
        <v>131530557765</v>
      </c>
      <c r="X159" s="131">
        <v>9955996404</v>
      </c>
      <c r="Y159" s="131">
        <v>121574561361</v>
      </c>
      <c r="Z159" s="131">
        <v>0</v>
      </c>
      <c r="AA159" s="131">
        <v>0</v>
      </c>
      <c r="AB159" s="131">
        <v>0</v>
      </c>
      <c r="AC159" s="131">
        <v>0</v>
      </c>
      <c r="AD159" s="131">
        <v>0</v>
      </c>
      <c r="AE159" s="131">
        <v>0</v>
      </c>
      <c r="AF159" s="131">
        <v>131530557765</v>
      </c>
      <c r="AG159" s="131">
        <v>9955996404</v>
      </c>
      <c r="AH159" s="131">
        <v>121574561361</v>
      </c>
      <c r="AI159" s="131">
        <v>121574561361</v>
      </c>
      <c r="AJ159" s="131">
        <v>0</v>
      </c>
      <c r="AK159" s="131">
        <v>0</v>
      </c>
      <c r="AM159" s="131">
        <v>122812615955</v>
      </c>
      <c r="AN159" s="131">
        <v>131530557765</v>
      </c>
      <c r="AO159" s="131">
        <v>8717941810</v>
      </c>
      <c r="AP159" s="131">
        <v>131530557765</v>
      </c>
      <c r="AQ159" s="131">
        <v>0</v>
      </c>
      <c r="AR159" s="131">
        <v>8717941810</v>
      </c>
      <c r="AS159" t="s">
        <v>147</v>
      </c>
    </row>
    <row r="160" spans="1:45" ht="30" x14ac:dyDescent="0.25">
      <c r="A160">
        <v>2019</v>
      </c>
      <c r="B160">
        <v>314</v>
      </c>
      <c r="C160">
        <v>102030102</v>
      </c>
      <c r="D160">
        <v>26</v>
      </c>
      <c r="E160" t="s">
        <v>2858</v>
      </c>
      <c r="F160">
        <v>102030102</v>
      </c>
      <c r="G160" s="10" t="s">
        <v>2859</v>
      </c>
      <c r="H160" t="s">
        <v>2851</v>
      </c>
      <c r="I160" s="131">
        <v>15554000000</v>
      </c>
      <c r="J160" s="131">
        <v>15554000000</v>
      </c>
      <c r="K160" s="131">
        <v>2749098635</v>
      </c>
      <c r="L160" s="131">
        <v>3298970521</v>
      </c>
      <c r="M160" s="131">
        <v>-549871886</v>
      </c>
      <c r="N160" s="131">
        <v>2749098635</v>
      </c>
      <c r="O160" s="131">
        <v>3298970521</v>
      </c>
      <c r="P160" s="131">
        <v>15004128114</v>
      </c>
      <c r="Q160" s="131">
        <v>0</v>
      </c>
      <c r="R160" s="131">
        <v>0</v>
      </c>
      <c r="S160" s="131">
        <v>0</v>
      </c>
      <c r="T160" s="131">
        <v>0</v>
      </c>
      <c r="U160" s="131">
        <v>0</v>
      </c>
      <c r="V160" s="131">
        <v>0</v>
      </c>
      <c r="W160" s="131">
        <v>15004128114</v>
      </c>
      <c r="X160" s="131">
        <v>0</v>
      </c>
      <c r="Y160" s="131">
        <v>15004128114</v>
      </c>
      <c r="Z160" s="131">
        <v>0</v>
      </c>
      <c r="AA160" s="131">
        <v>0</v>
      </c>
      <c r="AB160" s="131">
        <v>0</v>
      </c>
      <c r="AC160" s="131">
        <v>0</v>
      </c>
      <c r="AD160" s="131">
        <v>0</v>
      </c>
      <c r="AE160" s="131">
        <v>0</v>
      </c>
      <c r="AF160" s="131">
        <v>15004128114</v>
      </c>
      <c r="AG160" s="131">
        <v>0</v>
      </c>
      <c r="AH160" s="131">
        <v>15004128114</v>
      </c>
      <c r="AI160" s="131">
        <v>15004128114</v>
      </c>
      <c r="AJ160" s="131">
        <v>15004128114</v>
      </c>
      <c r="AK160" s="131">
        <v>15004128114</v>
      </c>
      <c r="AM160" s="131">
        <v>0</v>
      </c>
      <c r="AN160" s="131">
        <v>0</v>
      </c>
      <c r="AO160" s="131">
        <v>0</v>
      </c>
      <c r="AP160" s="131">
        <v>0</v>
      </c>
      <c r="AQ160" s="131">
        <v>0</v>
      </c>
      <c r="AR160" s="131">
        <v>0</v>
      </c>
      <c r="AS160" t="s">
        <v>149</v>
      </c>
    </row>
    <row r="161" spans="1:45" ht="30" x14ac:dyDescent="0.25">
      <c r="A161">
        <v>2019</v>
      </c>
      <c r="B161">
        <v>314</v>
      </c>
      <c r="C161">
        <v>102030103</v>
      </c>
      <c r="D161">
        <v>26</v>
      </c>
      <c r="E161" t="s">
        <v>2860</v>
      </c>
      <c r="F161">
        <v>102030103</v>
      </c>
      <c r="G161" s="10" t="s">
        <v>2861</v>
      </c>
      <c r="H161" t="s">
        <v>2851</v>
      </c>
      <c r="I161" s="131">
        <v>6607000000</v>
      </c>
      <c r="J161" s="131">
        <v>6607000000</v>
      </c>
      <c r="K161" s="131">
        <v>213702500</v>
      </c>
      <c r="L161" s="131">
        <v>0</v>
      </c>
      <c r="M161" s="131">
        <v>213702500</v>
      </c>
      <c r="N161" s="131">
        <v>213702500</v>
      </c>
      <c r="O161" s="131">
        <v>0</v>
      </c>
      <c r="P161" s="131">
        <v>6820702500</v>
      </c>
      <c r="Q161" s="131">
        <v>0</v>
      </c>
      <c r="R161" s="131">
        <v>0</v>
      </c>
      <c r="S161" s="131">
        <v>0</v>
      </c>
      <c r="T161" s="131">
        <v>0</v>
      </c>
      <c r="U161" s="131">
        <v>0</v>
      </c>
      <c r="V161" s="131">
        <v>0</v>
      </c>
      <c r="W161" s="131">
        <v>6820702500</v>
      </c>
      <c r="X161" s="131">
        <v>0</v>
      </c>
      <c r="Y161" s="131">
        <v>6820702500</v>
      </c>
      <c r="Z161" s="131">
        <v>0</v>
      </c>
      <c r="AA161" s="131">
        <v>0</v>
      </c>
      <c r="AB161" s="131">
        <v>0</v>
      </c>
      <c r="AC161" s="131">
        <v>0</v>
      </c>
      <c r="AD161" s="131">
        <v>0</v>
      </c>
      <c r="AE161" s="131">
        <v>0</v>
      </c>
      <c r="AF161" s="131">
        <v>6820702500</v>
      </c>
      <c r="AG161" s="131">
        <v>0</v>
      </c>
      <c r="AH161" s="131">
        <v>6820702500</v>
      </c>
      <c r="AI161" s="131">
        <v>6820702500</v>
      </c>
      <c r="AJ161" s="131">
        <v>6820702500</v>
      </c>
      <c r="AK161" s="131">
        <v>6820702500</v>
      </c>
      <c r="AM161" s="131">
        <v>0</v>
      </c>
      <c r="AN161" s="131">
        <v>0</v>
      </c>
      <c r="AO161" s="131">
        <v>0</v>
      </c>
      <c r="AP161" s="131">
        <v>0</v>
      </c>
      <c r="AQ161" s="131">
        <v>0</v>
      </c>
      <c r="AR161" s="131">
        <v>0</v>
      </c>
      <c r="AS161" t="s">
        <v>149</v>
      </c>
    </row>
    <row r="162" spans="1:45" ht="30" x14ac:dyDescent="0.25">
      <c r="A162">
        <v>2019</v>
      </c>
      <c r="B162">
        <v>314</v>
      </c>
      <c r="C162">
        <v>102030104</v>
      </c>
      <c r="D162">
        <v>146</v>
      </c>
      <c r="E162" t="s">
        <v>2862</v>
      </c>
      <c r="F162">
        <v>102030104</v>
      </c>
      <c r="G162" s="10" t="s">
        <v>1104</v>
      </c>
      <c r="H162" t="s">
        <v>2851</v>
      </c>
      <c r="I162" s="131">
        <v>917000000</v>
      </c>
      <c r="J162" s="131">
        <v>917000000</v>
      </c>
      <c r="K162" s="131">
        <v>0</v>
      </c>
      <c r="L162" s="131">
        <v>917000000</v>
      </c>
      <c r="M162" s="131">
        <v>-917000000</v>
      </c>
      <c r="N162" s="131">
        <v>0</v>
      </c>
      <c r="O162" s="131">
        <v>917000000</v>
      </c>
      <c r="P162" s="131">
        <v>0</v>
      </c>
      <c r="Q162" s="131">
        <v>0</v>
      </c>
      <c r="R162" s="131">
        <v>0</v>
      </c>
      <c r="S162" s="131">
        <v>0</v>
      </c>
      <c r="T162" s="131">
        <v>0</v>
      </c>
      <c r="U162" s="131">
        <v>0</v>
      </c>
      <c r="V162" s="131">
        <v>0</v>
      </c>
      <c r="W162" s="131">
        <v>0</v>
      </c>
      <c r="X162" s="131">
        <v>0</v>
      </c>
      <c r="Y162" s="131">
        <v>0</v>
      </c>
      <c r="Z162" s="131">
        <v>0</v>
      </c>
      <c r="AA162" s="131">
        <v>0</v>
      </c>
      <c r="AB162" s="131">
        <v>0</v>
      </c>
      <c r="AC162" s="131">
        <v>0</v>
      </c>
      <c r="AD162" s="131">
        <v>0</v>
      </c>
      <c r="AE162" s="131">
        <v>0</v>
      </c>
      <c r="AF162" s="131">
        <v>0</v>
      </c>
      <c r="AG162" s="131">
        <v>0</v>
      </c>
      <c r="AH162" s="131">
        <v>0</v>
      </c>
      <c r="AI162" s="131">
        <v>0</v>
      </c>
      <c r="AJ162" s="131">
        <v>0</v>
      </c>
      <c r="AK162" s="131">
        <v>0</v>
      </c>
      <c r="AM162" s="131">
        <v>0</v>
      </c>
      <c r="AN162" s="131">
        <v>0</v>
      </c>
      <c r="AO162" s="131">
        <v>0</v>
      </c>
      <c r="AP162" s="131">
        <v>0</v>
      </c>
      <c r="AQ162" s="131">
        <v>0</v>
      </c>
      <c r="AR162" s="131">
        <v>0</v>
      </c>
      <c r="AS162" t="s">
        <v>2863</v>
      </c>
    </row>
    <row r="163" spans="1:45" ht="30" x14ac:dyDescent="0.25">
      <c r="A163">
        <v>2019</v>
      </c>
      <c r="B163">
        <v>314</v>
      </c>
      <c r="C163">
        <v>102030105</v>
      </c>
      <c r="D163">
        <v>25</v>
      </c>
      <c r="E163" t="s">
        <v>2864</v>
      </c>
      <c r="F163">
        <v>102030105</v>
      </c>
      <c r="G163" s="10" t="s">
        <v>1105</v>
      </c>
      <c r="H163" t="s">
        <v>2851</v>
      </c>
      <c r="I163" s="131">
        <v>600000000</v>
      </c>
      <c r="J163" s="131">
        <v>600000000</v>
      </c>
      <c r="K163" s="131">
        <v>56195624</v>
      </c>
      <c r="L163" s="131">
        <v>447415475</v>
      </c>
      <c r="M163" s="131">
        <v>-391219851</v>
      </c>
      <c r="N163" s="131">
        <v>56195624</v>
      </c>
      <c r="O163" s="131">
        <v>447415475</v>
      </c>
      <c r="P163" s="131">
        <v>208780149</v>
      </c>
      <c r="Q163" s="131">
        <v>0</v>
      </c>
      <c r="R163" s="131">
        <v>0</v>
      </c>
      <c r="S163" s="131">
        <v>0</v>
      </c>
      <c r="T163" s="131">
        <v>0</v>
      </c>
      <c r="U163" s="131">
        <v>0</v>
      </c>
      <c r="V163" s="131">
        <v>0</v>
      </c>
      <c r="W163" s="131">
        <v>855204317</v>
      </c>
      <c r="X163" s="131">
        <v>646424168</v>
      </c>
      <c r="Y163" s="131">
        <v>208780149</v>
      </c>
      <c r="Z163" s="131">
        <v>0</v>
      </c>
      <c r="AA163" s="131">
        <v>0</v>
      </c>
      <c r="AB163" s="131">
        <v>0</v>
      </c>
      <c r="AC163" s="131">
        <v>0</v>
      </c>
      <c r="AD163" s="131">
        <v>0</v>
      </c>
      <c r="AE163" s="131">
        <v>0</v>
      </c>
      <c r="AF163" s="131">
        <v>855204317</v>
      </c>
      <c r="AG163" s="131">
        <v>646424168</v>
      </c>
      <c r="AH163" s="131">
        <v>208780149</v>
      </c>
      <c r="AI163" s="131">
        <v>208780149</v>
      </c>
      <c r="AJ163" s="131">
        <v>0</v>
      </c>
      <c r="AK163" s="131">
        <v>0</v>
      </c>
      <c r="AM163" s="131">
        <v>656195624</v>
      </c>
      <c r="AN163" s="131">
        <v>855204317</v>
      </c>
      <c r="AO163" s="131">
        <v>199008693</v>
      </c>
      <c r="AP163" s="131">
        <v>855204317</v>
      </c>
      <c r="AQ163" s="131">
        <v>0</v>
      </c>
      <c r="AR163" s="131">
        <v>199008693</v>
      </c>
      <c r="AS163" t="s">
        <v>147</v>
      </c>
    </row>
    <row r="164" spans="1:45" ht="45" x14ac:dyDescent="0.25">
      <c r="A164">
        <v>2019</v>
      </c>
      <c r="B164">
        <v>314</v>
      </c>
      <c r="C164">
        <v>102030110</v>
      </c>
      <c r="D164">
        <v>25</v>
      </c>
      <c r="E164" t="s">
        <v>2865</v>
      </c>
      <c r="F164">
        <v>102030110</v>
      </c>
      <c r="G164" s="10" t="s">
        <v>2866</v>
      </c>
      <c r="H164" t="s">
        <v>2851</v>
      </c>
      <c r="I164" s="131">
        <v>1508000000</v>
      </c>
      <c r="J164" s="131">
        <v>1508000000</v>
      </c>
      <c r="K164" s="131">
        <v>66437460</v>
      </c>
      <c r="L164" s="131">
        <v>507458484</v>
      </c>
      <c r="M164" s="131">
        <v>-441021024</v>
      </c>
      <c r="N164" s="131">
        <v>66437460</v>
      </c>
      <c r="O164" s="131">
        <v>507458484</v>
      </c>
      <c r="P164" s="131">
        <v>1066978976</v>
      </c>
      <c r="Q164" s="131">
        <v>0</v>
      </c>
      <c r="R164" s="131">
        <v>0</v>
      </c>
      <c r="S164" s="131">
        <v>0</v>
      </c>
      <c r="T164" s="131">
        <v>0</v>
      </c>
      <c r="U164" s="131">
        <v>0</v>
      </c>
      <c r="V164" s="131">
        <v>0</v>
      </c>
      <c r="W164" s="131">
        <v>1574437460</v>
      </c>
      <c r="X164" s="131">
        <v>507458484</v>
      </c>
      <c r="Y164" s="131">
        <v>1066978976</v>
      </c>
      <c r="Z164" s="131">
        <v>0</v>
      </c>
      <c r="AA164" s="131">
        <v>0</v>
      </c>
      <c r="AB164" s="131">
        <v>0</v>
      </c>
      <c r="AC164" s="131">
        <v>0</v>
      </c>
      <c r="AD164" s="131">
        <v>0</v>
      </c>
      <c r="AE164" s="131">
        <v>0</v>
      </c>
      <c r="AF164" s="131">
        <v>1574437460</v>
      </c>
      <c r="AG164" s="131">
        <v>507458484</v>
      </c>
      <c r="AH164" s="131">
        <v>1066978976</v>
      </c>
      <c r="AI164" s="131">
        <v>1066978976</v>
      </c>
      <c r="AJ164" s="131">
        <v>0</v>
      </c>
      <c r="AK164" s="131">
        <v>0</v>
      </c>
      <c r="AM164" s="131">
        <v>1574437460</v>
      </c>
      <c r="AN164" s="131">
        <v>1574437460</v>
      </c>
      <c r="AO164" s="131">
        <v>0</v>
      </c>
      <c r="AP164" s="131">
        <v>1574437460</v>
      </c>
      <c r="AQ164" s="131">
        <v>0</v>
      </c>
      <c r="AR164" s="131">
        <v>0</v>
      </c>
      <c r="AS164" t="s">
        <v>147</v>
      </c>
    </row>
    <row r="165" spans="1:45" x14ac:dyDescent="0.25">
      <c r="A165">
        <v>2019</v>
      </c>
      <c r="B165">
        <v>314</v>
      </c>
      <c r="C165">
        <v>1020302</v>
      </c>
      <c r="D165" t="s">
        <v>226</v>
      </c>
      <c r="E165" t="s">
        <v>2867</v>
      </c>
      <c r="F165">
        <v>1020302</v>
      </c>
      <c r="G165" s="10" t="s">
        <v>954</v>
      </c>
      <c r="H165" t="s">
        <v>2851</v>
      </c>
      <c r="I165" s="131">
        <v>280000000</v>
      </c>
      <c r="J165" s="131">
        <v>280000000</v>
      </c>
      <c r="K165" s="131">
        <v>694447781.14999998</v>
      </c>
      <c r="L165" s="131">
        <v>219850342.77000001</v>
      </c>
      <c r="M165" s="131">
        <v>474597438.38</v>
      </c>
      <c r="N165" s="131">
        <v>694447781.14999998</v>
      </c>
      <c r="O165" s="131">
        <v>219850342.77000001</v>
      </c>
      <c r="P165" s="131">
        <v>754597438.38</v>
      </c>
      <c r="Q165" s="131">
        <v>0</v>
      </c>
      <c r="R165" s="131">
        <v>0</v>
      </c>
      <c r="S165" s="131">
        <v>0</v>
      </c>
      <c r="T165" s="131">
        <v>0</v>
      </c>
      <c r="U165" s="131">
        <v>0</v>
      </c>
      <c r="V165" s="131">
        <v>0</v>
      </c>
      <c r="W165" s="131">
        <v>761541157.23000002</v>
      </c>
      <c r="X165" s="131">
        <v>6943718.8499999996</v>
      </c>
      <c r="Y165" s="131">
        <v>754597438.38</v>
      </c>
      <c r="Z165" s="131">
        <v>0</v>
      </c>
      <c r="AA165" s="131">
        <v>0</v>
      </c>
      <c r="AB165" s="131">
        <v>0</v>
      </c>
      <c r="AC165" s="131">
        <v>0</v>
      </c>
      <c r="AD165" s="131">
        <v>0</v>
      </c>
      <c r="AE165" s="131">
        <v>0</v>
      </c>
      <c r="AF165" s="131">
        <v>761541157.23000002</v>
      </c>
      <c r="AG165" s="131">
        <v>6943718.8499999996</v>
      </c>
      <c r="AH165" s="131">
        <v>754597438.38</v>
      </c>
      <c r="AI165" s="131">
        <v>754597438.38</v>
      </c>
      <c r="AJ165" s="131">
        <v>694447781.14999998</v>
      </c>
      <c r="AK165" s="131">
        <v>694447781.14999998</v>
      </c>
      <c r="AM165" s="131">
        <v>63622018.229999997</v>
      </c>
      <c r="AN165" s="131">
        <v>67093376.079999998</v>
      </c>
      <c r="AO165" s="131">
        <v>3471357.85</v>
      </c>
      <c r="AP165" s="131">
        <v>67093376.079999998</v>
      </c>
      <c r="AQ165" s="131">
        <v>0</v>
      </c>
      <c r="AR165" s="131">
        <v>3471357.85</v>
      </c>
      <c r="AS165" t="s">
        <v>1709</v>
      </c>
    </row>
    <row r="166" spans="1:45" ht="30" x14ac:dyDescent="0.25">
      <c r="A166">
        <v>2019</v>
      </c>
      <c r="B166">
        <v>314</v>
      </c>
      <c r="C166">
        <v>102030201</v>
      </c>
      <c r="D166" t="s">
        <v>226</v>
      </c>
      <c r="E166" t="s">
        <v>2868</v>
      </c>
      <c r="F166">
        <v>102030201</v>
      </c>
      <c r="G166" s="10" t="s">
        <v>2869</v>
      </c>
      <c r="H166" t="s">
        <v>2851</v>
      </c>
      <c r="I166" s="131">
        <v>200000000</v>
      </c>
      <c r="J166" s="131">
        <v>200000000</v>
      </c>
      <c r="K166" s="131">
        <v>0</v>
      </c>
      <c r="L166" s="131">
        <v>161367079.77000001</v>
      </c>
      <c r="M166" s="131">
        <v>-161367079.77000001</v>
      </c>
      <c r="N166" s="131">
        <v>0</v>
      </c>
      <c r="O166" s="131">
        <v>161367079.77000001</v>
      </c>
      <c r="P166" s="131">
        <v>38632920.229999997</v>
      </c>
      <c r="Q166" s="131">
        <v>0</v>
      </c>
      <c r="R166" s="131">
        <v>0</v>
      </c>
      <c r="S166" s="131">
        <v>0</v>
      </c>
      <c r="T166" s="131">
        <v>0</v>
      </c>
      <c r="U166" s="131">
        <v>0</v>
      </c>
      <c r="V166" s="131">
        <v>0</v>
      </c>
      <c r="W166" s="131">
        <v>45576639.079999998</v>
      </c>
      <c r="X166" s="131">
        <v>6943718.8499999996</v>
      </c>
      <c r="Y166" s="131">
        <v>38632920.229999997</v>
      </c>
      <c r="Z166" s="131">
        <v>0</v>
      </c>
      <c r="AA166" s="131">
        <v>0</v>
      </c>
      <c r="AB166" s="131">
        <v>0</v>
      </c>
      <c r="AC166" s="131">
        <v>0</v>
      </c>
      <c r="AD166" s="131">
        <v>0</v>
      </c>
      <c r="AE166" s="131">
        <v>0</v>
      </c>
      <c r="AF166" s="131">
        <v>45576639.079999998</v>
      </c>
      <c r="AG166" s="131">
        <v>6943718.8499999996</v>
      </c>
      <c r="AH166" s="131">
        <v>38632920.229999997</v>
      </c>
      <c r="AI166" s="131">
        <v>38632920.229999997</v>
      </c>
      <c r="AJ166" s="131">
        <v>0</v>
      </c>
      <c r="AK166" s="131">
        <v>0</v>
      </c>
      <c r="AM166" s="131">
        <v>42105281.229999997</v>
      </c>
      <c r="AN166" s="131">
        <v>45576639.079999998</v>
      </c>
      <c r="AO166" s="131">
        <v>3471357.85</v>
      </c>
      <c r="AP166" s="131">
        <v>45576639.079999998</v>
      </c>
      <c r="AQ166" s="131">
        <v>0</v>
      </c>
      <c r="AR166" s="131">
        <v>3471357.85</v>
      </c>
      <c r="AS166" t="s">
        <v>1709</v>
      </c>
    </row>
    <row r="167" spans="1:45" ht="30" x14ac:dyDescent="0.25">
      <c r="A167">
        <v>2019</v>
      </c>
      <c r="B167">
        <v>314</v>
      </c>
      <c r="C167">
        <v>10203020105</v>
      </c>
      <c r="D167">
        <v>21</v>
      </c>
      <c r="E167" t="s">
        <v>2870</v>
      </c>
      <c r="F167">
        <v>10203020105</v>
      </c>
      <c r="G167" s="10" t="s">
        <v>2871</v>
      </c>
      <c r="H167" t="s">
        <v>2851</v>
      </c>
      <c r="I167" s="131">
        <v>200000000</v>
      </c>
      <c r="J167" s="131">
        <v>200000000</v>
      </c>
      <c r="K167" s="131">
        <v>0</v>
      </c>
      <c r="L167" s="131">
        <v>161367079.77000001</v>
      </c>
      <c r="M167" s="131">
        <v>-161367079.77000001</v>
      </c>
      <c r="N167" s="131">
        <v>0</v>
      </c>
      <c r="O167" s="131">
        <v>161367079.77000001</v>
      </c>
      <c r="P167" s="131">
        <v>38632920.229999997</v>
      </c>
      <c r="Q167" s="131">
        <v>0</v>
      </c>
      <c r="R167" s="131">
        <v>0</v>
      </c>
      <c r="S167" s="131">
        <v>0</v>
      </c>
      <c r="T167" s="131">
        <v>0</v>
      </c>
      <c r="U167" s="131">
        <v>0</v>
      </c>
      <c r="V167" s="131">
        <v>0</v>
      </c>
      <c r="W167" s="131">
        <v>45576639.079999998</v>
      </c>
      <c r="X167" s="131">
        <v>6943718.8499999996</v>
      </c>
      <c r="Y167" s="131">
        <v>38632920.229999997</v>
      </c>
      <c r="Z167" s="131">
        <v>0</v>
      </c>
      <c r="AA167" s="131">
        <v>0</v>
      </c>
      <c r="AB167" s="131">
        <v>0</v>
      </c>
      <c r="AC167" s="131">
        <v>0</v>
      </c>
      <c r="AD167" s="131">
        <v>0</v>
      </c>
      <c r="AE167" s="131">
        <v>0</v>
      </c>
      <c r="AF167" s="131">
        <v>45576639.079999998</v>
      </c>
      <c r="AG167" s="131">
        <v>6943718.8499999996</v>
      </c>
      <c r="AH167" s="131">
        <v>38632920.229999997</v>
      </c>
      <c r="AI167" s="131">
        <v>38632920.229999997</v>
      </c>
      <c r="AJ167" s="131">
        <v>0</v>
      </c>
      <c r="AK167" s="131">
        <v>0</v>
      </c>
      <c r="AM167" s="131">
        <v>42105281.229999997</v>
      </c>
      <c r="AN167" s="131">
        <v>45576639.079999998</v>
      </c>
      <c r="AO167" s="131">
        <v>3471357.85</v>
      </c>
      <c r="AP167" s="131">
        <v>45576639.079999998</v>
      </c>
      <c r="AQ167" s="131">
        <v>0</v>
      </c>
      <c r="AR167" s="131">
        <v>3471357.85</v>
      </c>
      <c r="AS167" t="s">
        <v>144</v>
      </c>
    </row>
    <row r="168" spans="1:45" x14ac:dyDescent="0.25">
      <c r="A168">
        <v>2019</v>
      </c>
      <c r="B168">
        <v>314</v>
      </c>
      <c r="C168">
        <v>102030202</v>
      </c>
      <c r="D168" t="s">
        <v>226</v>
      </c>
      <c r="E168" t="s">
        <v>2872</v>
      </c>
      <c r="F168">
        <v>102030202</v>
      </c>
      <c r="G168" s="10" t="s">
        <v>2736</v>
      </c>
      <c r="H168" t="s">
        <v>2851</v>
      </c>
      <c r="I168" s="131">
        <v>0</v>
      </c>
      <c r="J168" s="131">
        <v>0</v>
      </c>
      <c r="K168" s="131">
        <v>694447781.14999998</v>
      </c>
      <c r="L168" s="131">
        <v>0</v>
      </c>
      <c r="M168" s="131">
        <v>694447781.14999998</v>
      </c>
      <c r="N168" s="131">
        <v>694447781.14999998</v>
      </c>
      <c r="O168" s="131">
        <v>0</v>
      </c>
      <c r="P168" s="131">
        <v>694447781.14999998</v>
      </c>
      <c r="Q168" s="131">
        <v>0</v>
      </c>
      <c r="R168" s="131">
        <v>0</v>
      </c>
      <c r="S168" s="131">
        <v>0</v>
      </c>
      <c r="T168" s="131">
        <v>0</v>
      </c>
      <c r="U168" s="131">
        <v>0</v>
      </c>
      <c r="V168" s="131">
        <v>0</v>
      </c>
      <c r="W168" s="131">
        <v>694447781.14999998</v>
      </c>
      <c r="X168" s="131">
        <v>0</v>
      </c>
      <c r="Y168" s="131">
        <v>694447781.14999998</v>
      </c>
      <c r="Z168" s="131">
        <v>0</v>
      </c>
      <c r="AA168" s="131">
        <v>0</v>
      </c>
      <c r="AB168" s="131">
        <v>0</v>
      </c>
      <c r="AC168" s="131">
        <v>0</v>
      </c>
      <c r="AD168" s="131">
        <v>0</v>
      </c>
      <c r="AE168" s="131">
        <v>0</v>
      </c>
      <c r="AF168" s="131">
        <v>694447781.14999998</v>
      </c>
      <c r="AG168" s="131">
        <v>0</v>
      </c>
      <c r="AH168" s="131">
        <v>694447781.14999998</v>
      </c>
      <c r="AI168" s="131">
        <v>694447781.14999998</v>
      </c>
      <c r="AJ168" s="131">
        <v>694447781.14999998</v>
      </c>
      <c r="AK168" s="131">
        <v>694447781.14999998</v>
      </c>
      <c r="AM168" s="131">
        <v>0</v>
      </c>
      <c r="AN168" s="131">
        <v>0</v>
      </c>
      <c r="AO168" s="131">
        <v>0</v>
      </c>
      <c r="AP168" s="131">
        <v>0</v>
      </c>
      <c r="AQ168" s="131">
        <v>0</v>
      </c>
      <c r="AR168" s="131">
        <v>0</v>
      </c>
      <c r="AS168" t="s">
        <v>1709</v>
      </c>
    </row>
    <row r="169" spans="1:45" x14ac:dyDescent="0.25">
      <c r="A169">
        <v>2019</v>
      </c>
      <c r="B169">
        <v>314</v>
      </c>
      <c r="C169">
        <v>10203020201</v>
      </c>
      <c r="D169" t="s">
        <v>226</v>
      </c>
      <c r="E169" t="s">
        <v>2873</v>
      </c>
      <c r="F169">
        <v>10203020201</v>
      </c>
      <c r="G169" s="10" t="s">
        <v>2766</v>
      </c>
      <c r="H169" t="s">
        <v>2851</v>
      </c>
      <c r="I169" s="131">
        <v>0</v>
      </c>
      <c r="J169" s="131">
        <v>0</v>
      </c>
      <c r="K169" s="131">
        <v>694447781.14999998</v>
      </c>
      <c r="L169" s="131">
        <v>0</v>
      </c>
      <c r="M169" s="131">
        <v>694447781.14999998</v>
      </c>
      <c r="N169" s="131">
        <v>694447781.14999998</v>
      </c>
      <c r="O169" s="131">
        <v>0</v>
      </c>
      <c r="P169" s="131">
        <v>694447781.14999998</v>
      </c>
      <c r="Q169" s="131">
        <v>0</v>
      </c>
      <c r="R169" s="131">
        <v>0</v>
      </c>
      <c r="S169" s="131">
        <v>0</v>
      </c>
      <c r="T169" s="131">
        <v>0</v>
      </c>
      <c r="U169" s="131">
        <v>0</v>
      </c>
      <c r="V169" s="131">
        <v>0</v>
      </c>
      <c r="W169" s="131">
        <v>694447781.14999998</v>
      </c>
      <c r="X169" s="131">
        <v>0</v>
      </c>
      <c r="Y169" s="131">
        <v>694447781.14999998</v>
      </c>
      <c r="Z169" s="131">
        <v>0</v>
      </c>
      <c r="AA169" s="131">
        <v>0</v>
      </c>
      <c r="AB169" s="131">
        <v>0</v>
      </c>
      <c r="AC169" s="131">
        <v>0</v>
      </c>
      <c r="AD169" s="131">
        <v>0</v>
      </c>
      <c r="AE169" s="131">
        <v>0</v>
      </c>
      <c r="AF169" s="131">
        <v>694447781.14999998</v>
      </c>
      <c r="AG169" s="131">
        <v>0</v>
      </c>
      <c r="AH169" s="131">
        <v>694447781.14999998</v>
      </c>
      <c r="AI169" s="131">
        <v>694447781.14999998</v>
      </c>
      <c r="AJ169" s="131">
        <v>694447781.14999998</v>
      </c>
      <c r="AK169" s="131">
        <v>694447781.14999998</v>
      </c>
      <c r="AM169" s="131">
        <v>0</v>
      </c>
      <c r="AN169" s="131">
        <v>0</v>
      </c>
      <c r="AO169" s="131">
        <v>0</v>
      </c>
      <c r="AP169" s="131">
        <v>0</v>
      </c>
      <c r="AQ169" s="131">
        <v>0</v>
      </c>
      <c r="AR169" s="131">
        <v>0</v>
      </c>
      <c r="AS169" t="s">
        <v>1709</v>
      </c>
    </row>
    <row r="170" spans="1:45" ht="30" x14ac:dyDescent="0.25">
      <c r="A170">
        <v>2019</v>
      </c>
      <c r="B170">
        <v>314</v>
      </c>
      <c r="C170">
        <v>1020302020101</v>
      </c>
      <c r="D170" t="s">
        <v>226</v>
      </c>
      <c r="E170" t="s">
        <v>2874</v>
      </c>
      <c r="F170">
        <v>1020302020101</v>
      </c>
      <c r="G170" s="10" t="s">
        <v>2771</v>
      </c>
      <c r="H170" t="s">
        <v>2851</v>
      </c>
      <c r="I170" s="131">
        <v>0</v>
      </c>
      <c r="J170" s="131">
        <v>0</v>
      </c>
      <c r="K170" s="131">
        <v>694447781.14999998</v>
      </c>
      <c r="L170" s="131">
        <v>0</v>
      </c>
      <c r="M170" s="131">
        <v>694447781.14999998</v>
      </c>
      <c r="N170" s="131">
        <v>694447781.14999998</v>
      </c>
      <c r="O170" s="131">
        <v>0</v>
      </c>
      <c r="P170" s="131">
        <v>694447781.14999998</v>
      </c>
      <c r="Q170" s="131">
        <v>0</v>
      </c>
      <c r="R170" s="131">
        <v>0</v>
      </c>
      <c r="S170" s="131">
        <v>0</v>
      </c>
      <c r="T170" s="131">
        <v>0</v>
      </c>
      <c r="U170" s="131">
        <v>0</v>
      </c>
      <c r="V170" s="131">
        <v>0</v>
      </c>
      <c r="W170" s="131">
        <v>694447781.14999998</v>
      </c>
      <c r="X170" s="131">
        <v>0</v>
      </c>
      <c r="Y170" s="131">
        <v>694447781.14999998</v>
      </c>
      <c r="Z170" s="131">
        <v>0</v>
      </c>
      <c r="AA170" s="131">
        <v>0</v>
      </c>
      <c r="AB170" s="131">
        <v>0</v>
      </c>
      <c r="AC170" s="131">
        <v>0</v>
      </c>
      <c r="AD170" s="131">
        <v>0</v>
      </c>
      <c r="AE170" s="131">
        <v>0</v>
      </c>
      <c r="AF170" s="131">
        <v>694447781.14999998</v>
      </c>
      <c r="AG170" s="131">
        <v>0</v>
      </c>
      <c r="AH170" s="131">
        <v>694447781.14999998</v>
      </c>
      <c r="AI170" s="131">
        <v>694447781.14999998</v>
      </c>
      <c r="AJ170" s="131">
        <v>694447781.14999998</v>
      </c>
      <c r="AK170" s="131">
        <v>694447781.14999998</v>
      </c>
      <c r="AM170" s="131">
        <v>0</v>
      </c>
      <c r="AN170" s="131">
        <v>0</v>
      </c>
      <c r="AO170" s="131">
        <v>0</v>
      </c>
      <c r="AP170" s="131">
        <v>0</v>
      </c>
      <c r="AQ170" s="131">
        <v>0</v>
      </c>
      <c r="AR170" s="131">
        <v>0</v>
      </c>
      <c r="AS170" t="s">
        <v>1709</v>
      </c>
    </row>
    <row r="171" spans="1:45" x14ac:dyDescent="0.25">
      <c r="A171">
        <v>2019</v>
      </c>
      <c r="B171">
        <v>314</v>
      </c>
      <c r="C171">
        <v>102030202010103</v>
      </c>
      <c r="D171">
        <v>21</v>
      </c>
      <c r="E171" t="s">
        <v>2875</v>
      </c>
      <c r="F171">
        <v>102030202010103</v>
      </c>
      <c r="G171" s="10" t="s">
        <v>2876</v>
      </c>
      <c r="H171" t="s">
        <v>2851</v>
      </c>
      <c r="I171" s="131">
        <v>0</v>
      </c>
      <c r="J171" s="131">
        <v>0</v>
      </c>
      <c r="K171" s="131">
        <v>31988604.859999999</v>
      </c>
      <c r="L171" s="131">
        <v>0</v>
      </c>
      <c r="M171" s="131">
        <v>31988604.859999999</v>
      </c>
      <c r="N171" s="131">
        <v>31988604.859999999</v>
      </c>
      <c r="O171" s="131">
        <v>0</v>
      </c>
      <c r="P171" s="131">
        <v>31988604.859999999</v>
      </c>
      <c r="Q171" s="131">
        <v>0</v>
      </c>
      <c r="R171" s="131">
        <v>0</v>
      </c>
      <c r="S171" s="131">
        <v>0</v>
      </c>
      <c r="T171" s="131">
        <v>0</v>
      </c>
      <c r="U171" s="131">
        <v>0</v>
      </c>
      <c r="V171" s="131">
        <v>0</v>
      </c>
      <c r="W171" s="131">
        <v>31988604.859999999</v>
      </c>
      <c r="X171" s="131">
        <v>0</v>
      </c>
      <c r="Y171" s="131">
        <v>31988604.859999999</v>
      </c>
      <c r="Z171" s="131">
        <v>0</v>
      </c>
      <c r="AA171" s="131">
        <v>0</v>
      </c>
      <c r="AB171" s="131">
        <v>0</v>
      </c>
      <c r="AC171" s="131">
        <v>0</v>
      </c>
      <c r="AD171" s="131">
        <v>0</v>
      </c>
      <c r="AE171" s="131">
        <v>0</v>
      </c>
      <c r="AF171" s="131">
        <v>31988604.859999999</v>
      </c>
      <c r="AG171" s="131">
        <v>0</v>
      </c>
      <c r="AH171" s="131">
        <v>31988604.859999999</v>
      </c>
      <c r="AI171" s="131">
        <v>31988604.859999999</v>
      </c>
      <c r="AJ171" s="131">
        <v>31988604.859999999</v>
      </c>
      <c r="AK171" s="131">
        <v>31988604.859999999</v>
      </c>
      <c r="AM171" s="131">
        <v>0</v>
      </c>
      <c r="AN171" s="131">
        <v>0</v>
      </c>
      <c r="AO171" s="131">
        <v>0</v>
      </c>
      <c r="AP171" s="131">
        <v>0</v>
      </c>
      <c r="AQ171" s="131">
        <v>0</v>
      </c>
      <c r="AR171" s="131">
        <v>0</v>
      </c>
      <c r="AS171" t="s">
        <v>144</v>
      </c>
    </row>
    <row r="172" spans="1:45" x14ac:dyDescent="0.25">
      <c r="A172">
        <v>2019</v>
      </c>
      <c r="B172">
        <v>314</v>
      </c>
      <c r="C172">
        <v>102030202010107</v>
      </c>
      <c r="D172">
        <v>9</v>
      </c>
      <c r="E172" t="s">
        <v>2877</v>
      </c>
      <c r="F172">
        <v>102030202010107</v>
      </c>
      <c r="G172" s="10" t="s">
        <v>2878</v>
      </c>
      <c r="H172" t="s">
        <v>2851</v>
      </c>
      <c r="I172" s="131">
        <v>0</v>
      </c>
      <c r="J172" s="131">
        <v>0</v>
      </c>
      <c r="K172" s="131">
        <v>662459176.28999996</v>
      </c>
      <c r="L172" s="131">
        <v>0</v>
      </c>
      <c r="M172" s="131">
        <v>662459176.28999996</v>
      </c>
      <c r="N172" s="131">
        <v>662459176.28999996</v>
      </c>
      <c r="O172" s="131">
        <v>0</v>
      </c>
      <c r="P172" s="131">
        <v>662459176.28999996</v>
      </c>
      <c r="Q172" s="131">
        <v>0</v>
      </c>
      <c r="R172" s="131">
        <v>0</v>
      </c>
      <c r="S172" s="131">
        <v>0</v>
      </c>
      <c r="T172" s="131">
        <v>0</v>
      </c>
      <c r="U172" s="131">
        <v>0</v>
      </c>
      <c r="V172" s="131">
        <v>0</v>
      </c>
      <c r="W172" s="131">
        <v>662459176.28999996</v>
      </c>
      <c r="X172" s="131">
        <v>0</v>
      </c>
      <c r="Y172" s="131">
        <v>662459176.28999996</v>
      </c>
      <c r="Z172" s="131">
        <v>0</v>
      </c>
      <c r="AA172" s="131">
        <v>0</v>
      </c>
      <c r="AB172" s="131">
        <v>0</v>
      </c>
      <c r="AC172" s="131">
        <v>0</v>
      </c>
      <c r="AD172" s="131">
        <v>0</v>
      </c>
      <c r="AE172" s="131">
        <v>0</v>
      </c>
      <c r="AF172" s="131">
        <v>662459176.28999996</v>
      </c>
      <c r="AG172" s="131">
        <v>0</v>
      </c>
      <c r="AH172" s="131">
        <v>662459176.28999996</v>
      </c>
      <c r="AI172" s="131">
        <v>662459176.28999996</v>
      </c>
      <c r="AJ172" s="131">
        <v>662459176.28999996</v>
      </c>
      <c r="AK172" s="131">
        <v>662459176.28999996</v>
      </c>
      <c r="AM172" s="131">
        <v>0</v>
      </c>
      <c r="AN172" s="131">
        <v>0</v>
      </c>
      <c r="AO172" s="131">
        <v>0</v>
      </c>
      <c r="AP172" s="131">
        <v>0</v>
      </c>
      <c r="AQ172" s="131">
        <v>0</v>
      </c>
      <c r="AR172" s="131">
        <v>0</v>
      </c>
      <c r="AS172" t="s">
        <v>40</v>
      </c>
    </row>
    <row r="173" spans="1:45" x14ac:dyDescent="0.25">
      <c r="A173">
        <v>2019</v>
      </c>
      <c r="B173">
        <v>314</v>
      </c>
      <c r="C173">
        <v>102030203</v>
      </c>
      <c r="D173" t="s">
        <v>226</v>
      </c>
      <c r="E173" t="s">
        <v>2879</v>
      </c>
      <c r="F173">
        <v>102030203</v>
      </c>
      <c r="G173" s="10" t="s">
        <v>2880</v>
      </c>
      <c r="H173" t="s">
        <v>2851</v>
      </c>
      <c r="I173" s="131">
        <v>80000000</v>
      </c>
      <c r="J173" s="131">
        <v>80000000</v>
      </c>
      <c r="K173" s="131">
        <v>0</v>
      </c>
      <c r="L173" s="131">
        <v>58483263</v>
      </c>
      <c r="M173" s="131">
        <v>-58483263</v>
      </c>
      <c r="N173" s="131">
        <v>0</v>
      </c>
      <c r="O173" s="131">
        <v>58483263</v>
      </c>
      <c r="P173" s="131">
        <v>21516737</v>
      </c>
      <c r="Q173" s="131">
        <v>0</v>
      </c>
      <c r="R173" s="131">
        <v>0</v>
      </c>
      <c r="S173" s="131">
        <v>0</v>
      </c>
      <c r="T173" s="131">
        <v>0</v>
      </c>
      <c r="U173" s="131">
        <v>0</v>
      </c>
      <c r="V173" s="131">
        <v>0</v>
      </c>
      <c r="W173" s="131">
        <v>21516737</v>
      </c>
      <c r="X173" s="131">
        <v>0</v>
      </c>
      <c r="Y173" s="131">
        <v>21516737</v>
      </c>
      <c r="Z173" s="131">
        <v>0</v>
      </c>
      <c r="AA173" s="131">
        <v>0</v>
      </c>
      <c r="AB173" s="131">
        <v>0</v>
      </c>
      <c r="AC173" s="131">
        <v>0</v>
      </c>
      <c r="AD173" s="131">
        <v>0</v>
      </c>
      <c r="AE173" s="131">
        <v>0</v>
      </c>
      <c r="AF173" s="131">
        <v>21516737</v>
      </c>
      <c r="AG173" s="131">
        <v>0</v>
      </c>
      <c r="AH173" s="131">
        <v>21516737</v>
      </c>
      <c r="AI173" s="131">
        <v>21516737</v>
      </c>
      <c r="AJ173" s="131">
        <v>0</v>
      </c>
      <c r="AK173" s="131">
        <v>0</v>
      </c>
      <c r="AM173" s="131">
        <v>21516737</v>
      </c>
      <c r="AN173" s="131">
        <v>21516737</v>
      </c>
      <c r="AO173" s="131">
        <v>0</v>
      </c>
      <c r="AP173" s="131">
        <v>21516737</v>
      </c>
      <c r="AQ173" s="131">
        <v>0</v>
      </c>
      <c r="AR173" s="131">
        <v>0</v>
      </c>
      <c r="AS173" t="s">
        <v>1709</v>
      </c>
    </row>
    <row r="174" spans="1:45" ht="30" x14ac:dyDescent="0.25">
      <c r="A174">
        <v>2019</v>
      </c>
      <c r="B174">
        <v>314</v>
      </c>
      <c r="C174">
        <v>10203020305</v>
      </c>
      <c r="D174">
        <v>9</v>
      </c>
      <c r="E174" t="s">
        <v>2881</v>
      </c>
      <c r="F174">
        <v>10203020305</v>
      </c>
      <c r="G174" s="10" t="s">
        <v>2882</v>
      </c>
      <c r="H174" t="s">
        <v>2851</v>
      </c>
      <c r="I174" s="131">
        <v>80000000</v>
      </c>
      <c r="J174" s="131">
        <v>80000000</v>
      </c>
      <c r="K174" s="131">
        <v>0</v>
      </c>
      <c r="L174" s="131">
        <v>58483263</v>
      </c>
      <c r="M174" s="131">
        <v>-58483263</v>
      </c>
      <c r="N174" s="131">
        <v>0</v>
      </c>
      <c r="O174" s="131">
        <v>58483263</v>
      </c>
      <c r="P174" s="131">
        <v>21516737</v>
      </c>
      <c r="Q174" s="131">
        <v>0</v>
      </c>
      <c r="R174" s="131">
        <v>0</v>
      </c>
      <c r="S174" s="131">
        <v>0</v>
      </c>
      <c r="T174" s="131">
        <v>0</v>
      </c>
      <c r="U174" s="131">
        <v>0</v>
      </c>
      <c r="V174" s="131">
        <v>0</v>
      </c>
      <c r="W174" s="131">
        <v>21516737</v>
      </c>
      <c r="X174" s="131">
        <v>0</v>
      </c>
      <c r="Y174" s="131">
        <v>21516737</v>
      </c>
      <c r="Z174" s="131">
        <v>0</v>
      </c>
      <c r="AA174" s="131">
        <v>0</v>
      </c>
      <c r="AB174" s="131">
        <v>0</v>
      </c>
      <c r="AC174" s="131">
        <v>0</v>
      </c>
      <c r="AD174" s="131">
        <v>0</v>
      </c>
      <c r="AE174" s="131">
        <v>0</v>
      </c>
      <c r="AF174" s="131">
        <v>21516737</v>
      </c>
      <c r="AG174" s="131">
        <v>0</v>
      </c>
      <c r="AH174" s="131">
        <v>21516737</v>
      </c>
      <c r="AI174" s="131">
        <v>21516737</v>
      </c>
      <c r="AJ174" s="131">
        <v>0</v>
      </c>
      <c r="AK174" s="131">
        <v>0</v>
      </c>
      <c r="AM174" s="131">
        <v>21516737</v>
      </c>
      <c r="AN174" s="131">
        <v>21516737</v>
      </c>
      <c r="AO174" s="131">
        <v>0</v>
      </c>
      <c r="AP174" s="131">
        <v>21516737</v>
      </c>
      <c r="AQ174" s="131">
        <v>0</v>
      </c>
      <c r="AR174" s="131">
        <v>0</v>
      </c>
      <c r="AS174" t="s">
        <v>40</v>
      </c>
    </row>
    <row r="175" spans="1:45" ht="30" x14ac:dyDescent="0.25">
      <c r="A175">
        <v>2019</v>
      </c>
      <c r="B175">
        <v>314</v>
      </c>
      <c r="C175">
        <v>1020303</v>
      </c>
      <c r="D175" t="s">
        <v>226</v>
      </c>
      <c r="E175" t="s">
        <v>2883</v>
      </c>
      <c r="F175">
        <v>1020303</v>
      </c>
      <c r="G175" s="10" t="s">
        <v>2884</v>
      </c>
      <c r="H175" t="s">
        <v>2851</v>
      </c>
      <c r="I175" s="131">
        <v>9150000000</v>
      </c>
      <c r="J175" s="131">
        <v>9150000000</v>
      </c>
      <c r="K175" s="131">
        <v>5286671942.0100002</v>
      </c>
      <c r="L175" s="131">
        <v>91471913.049999997</v>
      </c>
      <c r="M175" s="131">
        <v>5195200028.96</v>
      </c>
      <c r="N175" s="131">
        <v>5286671942.0100002</v>
      </c>
      <c r="O175" s="131">
        <v>91471913.049999997</v>
      </c>
      <c r="P175" s="131">
        <v>14345200028.959999</v>
      </c>
      <c r="Q175" s="131">
        <v>0</v>
      </c>
      <c r="R175" s="131">
        <v>0</v>
      </c>
      <c r="S175" s="131">
        <v>0</v>
      </c>
      <c r="T175" s="131">
        <v>0</v>
      </c>
      <c r="U175" s="131">
        <v>0</v>
      </c>
      <c r="V175" s="131">
        <v>0</v>
      </c>
      <c r="W175" s="131">
        <v>14404271065.780001</v>
      </c>
      <c r="X175" s="131">
        <v>4426227.82</v>
      </c>
      <c r="Y175" s="131">
        <v>14399844837.959999</v>
      </c>
      <c r="Z175" s="131">
        <v>0</v>
      </c>
      <c r="AA175" s="131">
        <v>0</v>
      </c>
      <c r="AB175" s="131">
        <v>0</v>
      </c>
      <c r="AC175" s="131">
        <v>0</v>
      </c>
      <c r="AD175" s="131">
        <v>0</v>
      </c>
      <c r="AE175" s="131">
        <v>0</v>
      </c>
      <c r="AF175" s="131">
        <v>14404271065.780001</v>
      </c>
      <c r="AG175" s="131">
        <v>4426227.82</v>
      </c>
      <c r="AH175" s="131">
        <v>14399844837.959999</v>
      </c>
      <c r="AI175" s="131">
        <v>14399844837.959999</v>
      </c>
      <c r="AJ175" s="131">
        <v>1577857420.24</v>
      </c>
      <c r="AK175" s="131">
        <v>1577857420.24</v>
      </c>
      <c r="AM175" s="131">
        <v>12821987417.719999</v>
      </c>
      <c r="AN175" s="131">
        <v>12826413645.540001</v>
      </c>
      <c r="AO175" s="131">
        <v>4426227.82</v>
      </c>
      <c r="AP175" s="131">
        <v>12826413645.540001</v>
      </c>
      <c r="AQ175" s="131">
        <v>0</v>
      </c>
      <c r="AR175" s="131">
        <v>4426227.82</v>
      </c>
      <c r="AS175" t="s">
        <v>1709</v>
      </c>
    </row>
    <row r="176" spans="1:45" ht="45" x14ac:dyDescent="0.25">
      <c r="A176">
        <v>2019</v>
      </c>
      <c r="B176">
        <v>314</v>
      </c>
      <c r="C176">
        <v>102030301</v>
      </c>
      <c r="D176">
        <v>81</v>
      </c>
      <c r="E176" t="s">
        <v>2885</v>
      </c>
      <c r="F176">
        <v>102030301</v>
      </c>
      <c r="G176" s="10" t="s">
        <v>1110</v>
      </c>
      <c r="H176" t="s">
        <v>2851</v>
      </c>
      <c r="I176" s="131">
        <v>9000000000</v>
      </c>
      <c r="J176" s="131">
        <v>9000000000</v>
      </c>
      <c r="K176" s="131">
        <v>2799431057</v>
      </c>
      <c r="L176" s="131">
        <v>0</v>
      </c>
      <c r="M176" s="131">
        <v>2799431057</v>
      </c>
      <c r="N176" s="131">
        <v>2799431057</v>
      </c>
      <c r="O176" s="131">
        <v>0</v>
      </c>
      <c r="P176" s="131">
        <v>11799431057</v>
      </c>
      <c r="Q176" s="131">
        <v>0</v>
      </c>
      <c r="R176" s="131">
        <v>0</v>
      </c>
      <c r="S176" s="131">
        <v>0</v>
      </c>
      <c r="T176" s="131">
        <v>0</v>
      </c>
      <c r="U176" s="131">
        <v>0</v>
      </c>
      <c r="V176" s="131">
        <v>0</v>
      </c>
      <c r="W176" s="131">
        <v>11854075866</v>
      </c>
      <c r="X176" s="131">
        <v>0</v>
      </c>
      <c r="Y176" s="131">
        <v>11854075866</v>
      </c>
      <c r="Z176" s="131">
        <v>0</v>
      </c>
      <c r="AA176" s="131">
        <v>0</v>
      </c>
      <c r="AB176" s="131">
        <v>0</v>
      </c>
      <c r="AC176" s="131">
        <v>0</v>
      </c>
      <c r="AD176" s="131">
        <v>0</v>
      </c>
      <c r="AE176" s="131">
        <v>0</v>
      </c>
      <c r="AF176" s="131">
        <v>11854075866</v>
      </c>
      <c r="AG176" s="131">
        <v>0</v>
      </c>
      <c r="AH176" s="131">
        <v>11854075866</v>
      </c>
      <c r="AI176" s="131">
        <v>11854075866</v>
      </c>
      <c r="AJ176" s="131">
        <v>0</v>
      </c>
      <c r="AK176" s="131">
        <v>0</v>
      </c>
      <c r="AM176" s="131">
        <v>11854075866</v>
      </c>
      <c r="AN176" s="131">
        <v>11854075866</v>
      </c>
      <c r="AO176" s="131">
        <v>0</v>
      </c>
      <c r="AP176" s="131">
        <v>11854075866</v>
      </c>
      <c r="AQ176" s="131">
        <v>0</v>
      </c>
      <c r="AR176" s="131">
        <v>0</v>
      </c>
      <c r="AS176" t="s">
        <v>189</v>
      </c>
    </row>
    <row r="177" spans="1:45" ht="30" x14ac:dyDescent="0.25">
      <c r="A177">
        <v>2019</v>
      </c>
      <c r="B177">
        <v>314</v>
      </c>
      <c r="C177">
        <v>102030302</v>
      </c>
      <c r="D177">
        <v>56</v>
      </c>
      <c r="E177" t="s">
        <v>2886</v>
      </c>
      <c r="F177">
        <v>102030302</v>
      </c>
      <c r="G177" s="10" t="s">
        <v>2887</v>
      </c>
      <c r="H177" t="s">
        <v>2851</v>
      </c>
      <c r="I177" s="131">
        <v>0</v>
      </c>
      <c r="J177" s="131">
        <v>0</v>
      </c>
      <c r="K177" s="131">
        <v>909383464.76999998</v>
      </c>
      <c r="L177" s="131">
        <v>0</v>
      </c>
      <c r="M177" s="131">
        <v>909383464.76999998</v>
      </c>
      <c r="N177" s="131">
        <v>909383464.76999998</v>
      </c>
      <c r="O177" s="131">
        <v>0</v>
      </c>
      <c r="P177" s="131">
        <v>909383464.76999998</v>
      </c>
      <c r="Q177" s="131">
        <v>0</v>
      </c>
      <c r="R177" s="131">
        <v>0</v>
      </c>
      <c r="S177" s="131">
        <v>0</v>
      </c>
      <c r="T177" s="131">
        <v>0</v>
      </c>
      <c r="U177" s="131">
        <v>0</v>
      </c>
      <c r="V177" s="131">
        <v>0</v>
      </c>
      <c r="W177" s="131">
        <v>909383464.76999998</v>
      </c>
      <c r="X177" s="131">
        <v>0</v>
      </c>
      <c r="Y177" s="131">
        <v>909383464.76999998</v>
      </c>
      <c r="Z177" s="131">
        <v>0</v>
      </c>
      <c r="AA177" s="131">
        <v>0</v>
      </c>
      <c r="AB177" s="131">
        <v>0</v>
      </c>
      <c r="AC177" s="131">
        <v>0</v>
      </c>
      <c r="AD177" s="131">
        <v>0</v>
      </c>
      <c r="AE177" s="131">
        <v>0</v>
      </c>
      <c r="AF177" s="131">
        <v>909383464.76999998</v>
      </c>
      <c r="AG177" s="131">
        <v>0</v>
      </c>
      <c r="AH177" s="131">
        <v>909383464.76999998</v>
      </c>
      <c r="AI177" s="131">
        <v>909383464.76999998</v>
      </c>
      <c r="AJ177" s="131">
        <v>0</v>
      </c>
      <c r="AK177" s="131">
        <v>0</v>
      </c>
      <c r="AM177" s="131">
        <v>909383464.76999998</v>
      </c>
      <c r="AN177" s="131">
        <v>909383464.76999998</v>
      </c>
      <c r="AO177" s="131">
        <v>0</v>
      </c>
      <c r="AP177" s="131">
        <v>909383464.76999998</v>
      </c>
      <c r="AQ177" s="131">
        <v>0</v>
      </c>
      <c r="AR177" s="131">
        <v>0</v>
      </c>
      <c r="AS177" t="s">
        <v>1716</v>
      </c>
    </row>
    <row r="178" spans="1:45" x14ac:dyDescent="0.25">
      <c r="A178">
        <v>2019</v>
      </c>
      <c r="B178">
        <v>314</v>
      </c>
      <c r="C178">
        <v>102030303</v>
      </c>
      <c r="D178">
        <v>81</v>
      </c>
      <c r="E178" t="s">
        <v>2888</v>
      </c>
      <c r="F178">
        <v>102030303</v>
      </c>
      <c r="G178" s="10" t="s">
        <v>685</v>
      </c>
      <c r="H178" t="s">
        <v>2851</v>
      </c>
      <c r="I178" s="131">
        <v>150000000</v>
      </c>
      <c r="J178" s="131">
        <v>150000000</v>
      </c>
      <c r="K178" s="131">
        <v>0</v>
      </c>
      <c r="L178" s="131">
        <v>91471913.049999997</v>
      </c>
      <c r="M178" s="131">
        <v>-91471913.049999997</v>
      </c>
      <c r="N178" s="131">
        <v>0</v>
      </c>
      <c r="O178" s="131">
        <v>91471913.049999997</v>
      </c>
      <c r="P178" s="131">
        <v>58528086.950000003</v>
      </c>
      <c r="Q178" s="131">
        <v>0</v>
      </c>
      <c r="R178" s="131">
        <v>0</v>
      </c>
      <c r="S178" s="131">
        <v>0</v>
      </c>
      <c r="T178" s="131">
        <v>0</v>
      </c>
      <c r="U178" s="131">
        <v>0</v>
      </c>
      <c r="V178" s="131">
        <v>0</v>
      </c>
      <c r="W178" s="131">
        <v>62954314.770000003</v>
      </c>
      <c r="X178" s="131">
        <v>4426227.82</v>
      </c>
      <c r="Y178" s="131">
        <v>58528086.950000003</v>
      </c>
      <c r="Z178" s="131">
        <v>0</v>
      </c>
      <c r="AA178" s="131">
        <v>0</v>
      </c>
      <c r="AB178" s="131">
        <v>0</v>
      </c>
      <c r="AC178" s="131">
        <v>0</v>
      </c>
      <c r="AD178" s="131">
        <v>0</v>
      </c>
      <c r="AE178" s="131">
        <v>0</v>
      </c>
      <c r="AF178" s="131">
        <v>62954314.770000003</v>
      </c>
      <c r="AG178" s="131">
        <v>4426227.82</v>
      </c>
      <c r="AH178" s="131">
        <v>58528086.950000003</v>
      </c>
      <c r="AI178" s="131">
        <v>58528086.950000003</v>
      </c>
      <c r="AJ178" s="131">
        <v>0</v>
      </c>
      <c r="AK178" s="131">
        <v>0</v>
      </c>
      <c r="AM178" s="131">
        <v>58528086.950000003</v>
      </c>
      <c r="AN178" s="131">
        <v>62954314.770000003</v>
      </c>
      <c r="AO178" s="131">
        <v>4426227.82</v>
      </c>
      <c r="AP178" s="131">
        <v>62954314.770000003</v>
      </c>
      <c r="AQ178" s="131">
        <v>0</v>
      </c>
      <c r="AR178" s="131">
        <v>4426227.82</v>
      </c>
      <c r="AS178" t="s">
        <v>189</v>
      </c>
    </row>
    <row r="179" spans="1:45" ht="30" x14ac:dyDescent="0.25">
      <c r="A179">
        <v>2019</v>
      </c>
      <c r="B179">
        <v>314</v>
      </c>
      <c r="C179">
        <v>102030304</v>
      </c>
      <c r="D179">
        <v>137</v>
      </c>
      <c r="E179" t="s">
        <v>2889</v>
      </c>
      <c r="F179">
        <v>102030304</v>
      </c>
      <c r="G179" s="10" t="s">
        <v>2890</v>
      </c>
      <c r="H179" t="s">
        <v>2851</v>
      </c>
      <c r="I179" s="131">
        <v>0</v>
      </c>
      <c r="J179" s="131">
        <v>0</v>
      </c>
      <c r="K179" s="131">
        <v>1577857420.24</v>
      </c>
      <c r="L179" s="131">
        <v>0</v>
      </c>
      <c r="M179" s="131">
        <v>1577857420.24</v>
      </c>
      <c r="N179" s="131">
        <v>1577857420.24</v>
      </c>
      <c r="O179" s="131">
        <v>0</v>
      </c>
      <c r="P179" s="131">
        <v>1577857420.24</v>
      </c>
      <c r="Q179" s="131">
        <v>0</v>
      </c>
      <c r="R179" s="131">
        <v>0</v>
      </c>
      <c r="S179" s="131">
        <v>0</v>
      </c>
      <c r="T179" s="131">
        <v>0</v>
      </c>
      <c r="U179" s="131">
        <v>0</v>
      </c>
      <c r="V179" s="131">
        <v>0</v>
      </c>
      <c r="W179" s="131">
        <v>1577857420.24</v>
      </c>
      <c r="X179" s="131">
        <v>0</v>
      </c>
      <c r="Y179" s="131">
        <v>1577857420.24</v>
      </c>
      <c r="Z179" s="131">
        <v>0</v>
      </c>
      <c r="AA179" s="131">
        <v>0</v>
      </c>
      <c r="AB179" s="131">
        <v>0</v>
      </c>
      <c r="AC179" s="131">
        <v>0</v>
      </c>
      <c r="AD179" s="131">
        <v>0</v>
      </c>
      <c r="AE179" s="131">
        <v>0</v>
      </c>
      <c r="AF179" s="131">
        <v>1577857420.24</v>
      </c>
      <c r="AG179" s="131">
        <v>0</v>
      </c>
      <c r="AH179" s="131">
        <v>1577857420.24</v>
      </c>
      <c r="AI179" s="131">
        <v>1577857420.24</v>
      </c>
      <c r="AJ179" s="131">
        <v>1577857420.24</v>
      </c>
      <c r="AK179" s="131">
        <v>1577857420.24</v>
      </c>
      <c r="AM179" s="131">
        <v>0</v>
      </c>
      <c r="AN179" s="131">
        <v>0</v>
      </c>
      <c r="AO179" s="131">
        <v>0</v>
      </c>
      <c r="AP179" s="131">
        <v>0</v>
      </c>
      <c r="AQ179" s="131">
        <v>0</v>
      </c>
      <c r="AR179" s="131">
        <v>0</v>
      </c>
      <c r="AS179" t="s">
        <v>1735</v>
      </c>
    </row>
    <row r="180" spans="1:45" x14ac:dyDescent="0.25">
      <c r="A180">
        <v>2019</v>
      </c>
      <c r="B180">
        <v>318</v>
      </c>
      <c r="C180">
        <v>1</v>
      </c>
      <c r="D180" t="s">
        <v>226</v>
      </c>
      <c r="E180" t="s">
        <v>2583</v>
      </c>
      <c r="F180">
        <v>1</v>
      </c>
      <c r="G180" s="10" t="s">
        <v>949</v>
      </c>
      <c r="H180" t="s">
        <v>2584</v>
      </c>
      <c r="I180" s="131">
        <v>44638467770</v>
      </c>
      <c r="J180" s="131">
        <v>44638467770</v>
      </c>
      <c r="K180" s="131">
        <v>10888783857.690001</v>
      </c>
      <c r="L180" s="131">
        <v>1477260760</v>
      </c>
      <c r="M180" s="131">
        <v>9411523097.6900005</v>
      </c>
      <c r="N180" s="131">
        <v>10888783857.690001</v>
      </c>
      <c r="O180" s="131">
        <v>1477260760</v>
      </c>
      <c r="P180" s="131">
        <v>54049990867.690002</v>
      </c>
      <c r="Q180" s="131">
        <v>0</v>
      </c>
      <c r="R180" s="131">
        <v>0</v>
      </c>
      <c r="S180" s="131">
        <v>0</v>
      </c>
      <c r="T180" s="131">
        <v>0</v>
      </c>
      <c r="U180" s="131">
        <v>0</v>
      </c>
      <c r="V180" s="131">
        <v>0</v>
      </c>
      <c r="W180" s="131">
        <v>57449316917.400002</v>
      </c>
      <c r="X180" s="131">
        <v>1621230535.0999999</v>
      </c>
      <c r="Y180" s="131">
        <v>55828086382.300003</v>
      </c>
      <c r="Z180" s="131">
        <v>0</v>
      </c>
      <c r="AA180" s="131">
        <v>0</v>
      </c>
      <c r="AB180" s="131">
        <v>0</v>
      </c>
      <c r="AC180" s="131">
        <v>0</v>
      </c>
      <c r="AD180" s="131">
        <v>0</v>
      </c>
      <c r="AE180" s="131">
        <v>0</v>
      </c>
      <c r="AF180" s="131">
        <v>57449316917.400002</v>
      </c>
      <c r="AG180" s="131">
        <v>1621230535.0999999</v>
      </c>
      <c r="AH180" s="131">
        <v>55828086382.300003</v>
      </c>
      <c r="AI180" s="131">
        <v>55828086382.300003</v>
      </c>
      <c r="AJ180" s="131">
        <v>20760222081.470001</v>
      </c>
      <c r="AK180" s="131">
        <v>20760222081.470001</v>
      </c>
      <c r="AM180" s="131">
        <v>35070504665.830002</v>
      </c>
      <c r="AN180" s="131">
        <v>35606901647.830002</v>
      </c>
      <c r="AO180" s="131">
        <v>536396982</v>
      </c>
      <c r="AP180" s="131">
        <v>35606901647.830002</v>
      </c>
      <c r="AQ180" s="131">
        <v>0</v>
      </c>
      <c r="AR180" s="131">
        <v>536396982</v>
      </c>
      <c r="AS180" t="s">
        <v>1709</v>
      </c>
    </row>
    <row r="181" spans="1:45" x14ac:dyDescent="0.25">
      <c r="A181">
        <v>2019</v>
      </c>
      <c r="B181">
        <v>318</v>
      </c>
      <c r="C181">
        <v>102</v>
      </c>
      <c r="D181" t="s">
        <v>226</v>
      </c>
      <c r="E181" t="s">
        <v>2585</v>
      </c>
      <c r="F181">
        <v>102</v>
      </c>
      <c r="G181" s="10" t="s">
        <v>953</v>
      </c>
      <c r="H181" t="s">
        <v>2584</v>
      </c>
      <c r="I181" s="131">
        <v>44638467770</v>
      </c>
      <c r="J181" s="131">
        <v>44638467770</v>
      </c>
      <c r="K181" s="131">
        <v>10888783857.690001</v>
      </c>
      <c r="L181" s="131">
        <v>1477260760</v>
      </c>
      <c r="M181" s="131">
        <v>9411523097.6900005</v>
      </c>
      <c r="N181" s="131">
        <v>10888783857.690001</v>
      </c>
      <c r="O181" s="131">
        <v>1477260760</v>
      </c>
      <c r="P181" s="131">
        <v>54049990867.690002</v>
      </c>
      <c r="Q181" s="131">
        <v>0</v>
      </c>
      <c r="R181" s="131">
        <v>0</v>
      </c>
      <c r="S181" s="131">
        <v>0</v>
      </c>
      <c r="T181" s="131">
        <v>0</v>
      </c>
      <c r="U181" s="131">
        <v>0</v>
      </c>
      <c r="V181" s="131">
        <v>0</v>
      </c>
      <c r="W181" s="131">
        <v>57449316917.400002</v>
      </c>
      <c r="X181" s="131">
        <v>1621230535.0999999</v>
      </c>
      <c r="Y181" s="131">
        <v>55828086382.300003</v>
      </c>
      <c r="Z181" s="131">
        <v>0</v>
      </c>
      <c r="AA181" s="131">
        <v>0</v>
      </c>
      <c r="AB181" s="131">
        <v>0</v>
      </c>
      <c r="AC181" s="131">
        <v>0</v>
      </c>
      <c r="AD181" s="131">
        <v>0</v>
      </c>
      <c r="AE181" s="131">
        <v>0</v>
      </c>
      <c r="AF181" s="131">
        <v>57449316917.400002</v>
      </c>
      <c r="AG181" s="131">
        <v>1621230535.0999999</v>
      </c>
      <c r="AH181" s="131">
        <v>55828086382.300003</v>
      </c>
      <c r="AI181" s="131">
        <v>55828086382.300003</v>
      </c>
      <c r="AJ181" s="131">
        <v>20760222081.470001</v>
      </c>
      <c r="AK181" s="131">
        <v>20760222081.470001</v>
      </c>
      <c r="AM181" s="131">
        <v>35070504665.830002</v>
      </c>
      <c r="AN181" s="131">
        <v>35606901647.830002</v>
      </c>
      <c r="AO181" s="131">
        <v>536396982</v>
      </c>
      <c r="AP181" s="131">
        <v>35606901647.830002</v>
      </c>
      <c r="AQ181" s="131">
        <v>0</v>
      </c>
      <c r="AR181" s="131">
        <v>536396982</v>
      </c>
      <c r="AS181" t="s">
        <v>1709</v>
      </c>
    </row>
    <row r="182" spans="1:45" x14ac:dyDescent="0.25">
      <c r="A182">
        <v>2019</v>
      </c>
      <c r="B182">
        <v>318</v>
      </c>
      <c r="C182">
        <v>10204</v>
      </c>
      <c r="D182" t="s">
        <v>226</v>
      </c>
      <c r="E182" t="s">
        <v>2586</v>
      </c>
      <c r="F182">
        <v>10204</v>
      </c>
      <c r="G182" s="10" t="s">
        <v>1116</v>
      </c>
      <c r="H182" t="s">
        <v>2584</v>
      </c>
      <c r="I182" s="131">
        <v>44638467770</v>
      </c>
      <c r="J182" s="131">
        <v>44638467770</v>
      </c>
      <c r="K182" s="131">
        <v>10888783857.690001</v>
      </c>
      <c r="L182" s="131">
        <v>1477260760</v>
      </c>
      <c r="M182" s="131">
        <v>9411523097.6900005</v>
      </c>
      <c r="N182" s="131">
        <v>10888783857.690001</v>
      </c>
      <c r="O182" s="131">
        <v>1477260760</v>
      </c>
      <c r="P182" s="131">
        <v>54049990867.690002</v>
      </c>
      <c r="Q182" s="131">
        <v>0</v>
      </c>
      <c r="R182" s="131">
        <v>0</v>
      </c>
      <c r="S182" s="131">
        <v>0</v>
      </c>
      <c r="T182" s="131">
        <v>0</v>
      </c>
      <c r="U182" s="131">
        <v>0</v>
      </c>
      <c r="V182" s="131">
        <v>0</v>
      </c>
      <c r="W182" s="131">
        <v>57449316917.400002</v>
      </c>
      <c r="X182" s="131">
        <v>1621230535.0999999</v>
      </c>
      <c r="Y182" s="131">
        <v>55828086382.300003</v>
      </c>
      <c r="Z182" s="131">
        <v>0</v>
      </c>
      <c r="AA182" s="131">
        <v>0</v>
      </c>
      <c r="AB182" s="131">
        <v>0</v>
      </c>
      <c r="AC182" s="131">
        <v>0</v>
      </c>
      <c r="AD182" s="131">
        <v>0</v>
      </c>
      <c r="AE182" s="131">
        <v>0</v>
      </c>
      <c r="AF182" s="131">
        <v>57449316917.400002</v>
      </c>
      <c r="AG182" s="131">
        <v>1621230535.0999999</v>
      </c>
      <c r="AH182" s="131">
        <v>55828086382.300003</v>
      </c>
      <c r="AI182" s="131">
        <v>55828086382.300003</v>
      </c>
      <c r="AJ182" s="131">
        <v>20760222081.470001</v>
      </c>
      <c r="AK182" s="131">
        <v>20760222081.470001</v>
      </c>
      <c r="AM182" s="131">
        <v>35070504665.830002</v>
      </c>
      <c r="AN182" s="131">
        <v>35606901647.830002</v>
      </c>
      <c r="AO182" s="131">
        <v>536396982</v>
      </c>
      <c r="AP182" s="131">
        <v>35606901647.830002</v>
      </c>
      <c r="AQ182" s="131">
        <v>0</v>
      </c>
      <c r="AR182" s="131">
        <v>536396982</v>
      </c>
      <c r="AS182" t="s">
        <v>1709</v>
      </c>
    </row>
    <row r="183" spans="1:45" ht="60" x14ac:dyDescent="0.25">
      <c r="A183">
        <v>2019</v>
      </c>
      <c r="B183">
        <v>318</v>
      </c>
      <c r="C183">
        <v>1020401</v>
      </c>
      <c r="D183" t="s">
        <v>226</v>
      </c>
      <c r="E183" t="s">
        <v>2587</v>
      </c>
      <c r="F183">
        <v>1020401</v>
      </c>
      <c r="G183" s="10" t="s">
        <v>2588</v>
      </c>
      <c r="H183" t="s">
        <v>2584</v>
      </c>
      <c r="I183" s="131">
        <v>12344412919</v>
      </c>
      <c r="J183" s="131">
        <v>12344412919</v>
      </c>
      <c r="K183" s="131">
        <v>5935562171.6899996</v>
      </c>
      <c r="L183" s="131">
        <v>112885557</v>
      </c>
      <c r="M183" s="131">
        <v>5822676614.6899996</v>
      </c>
      <c r="N183" s="131">
        <v>5935562171.6899996</v>
      </c>
      <c r="O183" s="131">
        <v>112885557</v>
      </c>
      <c r="P183" s="131">
        <v>18167089533.689999</v>
      </c>
      <c r="Q183" s="131">
        <v>0</v>
      </c>
      <c r="R183" s="131">
        <v>0</v>
      </c>
      <c r="S183" s="131">
        <v>0</v>
      </c>
      <c r="T183" s="131">
        <v>0</v>
      </c>
      <c r="U183" s="131">
        <v>0</v>
      </c>
      <c r="V183" s="131">
        <v>0</v>
      </c>
      <c r="W183" s="131">
        <v>18682120626.490002</v>
      </c>
      <c r="X183" s="131">
        <v>349853958.75</v>
      </c>
      <c r="Y183" s="131">
        <v>18332266667.740002</v>
      </c>
      <c r="Z183" s="131">
        <v>0</v>
      </c>
      <c r="AA183" s="131">
        <v>0</v>
      </c>
      <c r="AB183" s="131">
        <v>0</v>
      </c>
      <c r="AC183" s="131">
        <v>0</v>
      </c>
      <c r="AD183" s="131">
        <v>0</v>
      </c>
      <c r="AE183" s="131">
        <v>0</v>
      </c>
      <c r="AF183" s="131">
        <v>18682120626.490002</v>
      </c>
      <c r="AG183" s="131">
        <v>349853958.75</v>
      </c>
      <c r="AH183" s="131">
        <v>18332266667.740002</v>
      </c>
      <c r="AI183" s="131">
        <v>18332266667.740002</v>
      </c>
      <c r="AJ183" s="131">
        <v>6104556543.3699999</v>
      </c>
      <c r="AK183" s="131">
        <v>6104556543.3699999</v>
      </c>
      <c r="AM183" s="131">
        <v>12227710124.370001</v>
      </c>
      <c r="AN183" s="131">
        <v>12577564083.120001</v>
      </c>
      <c r="AO183" s="131">
        <v>349853958.75</v>
      </c>
      <c r="AP183" s="131">
        <v>12577564083.120001</v>
      </c>
      <c r="AQ183" s="131">
        <v>0</v>
      </c>
      <c r="AR183" s="131">
        <v>349853958.75</v>
      </c>
      <c r="AS183" t="s">
        <v>1709</v>
      </c>
    </row>
    <row r="184" spans="1:45" x14ac:dyDescent="0.25">
      <c r="A184">
        <v>2019</v>
      </c>
      <c r="B184">
        <v>318</v>
      </c>
      <c r="C184">
        <v>102040101</v>
      </c>
      <c r="D184" t="s">
        <v>226</v>
      </c>
      <c r="E184" t="s">
        <v>2589</v>
      </c>
      <c r="F184">
        <v>102040101</v>
      </c>
      <c r="G184" s="10" t="s">
        <v>2590</v>
      </c>
      <c r="H184" t="s">
        <v>2584</v>
      </c>
      <c r="I184" s="131">
        <v>3114728803</v>
      </c>
      <c r="J184" s="131">
        <v>3114728803</v>
      </c>
      <c r="K184" s="131">
        <v>0</v>
      </c>
      <c r="L184" s="131">
        <v>0</v>
      </c>
      <c r="M184" s="131">
        <v>0</v>
      </c>
      <c r="N184" s="131">
        <v>0</v>
      </c>
      <c r="O184" s="131">
        <v>0</v>
      </c>
      <c r="P184" s="131">
        <v>3114728803</v>
      </c>
      <c r="Q184" s="131">
        <v>0</v>
      </c>
      <c r="R184" s="131">
        <v>0</v>
      </c>
      <c r="S184" s="131">
        <v>0</v>
      </c>
      <c r="T184" s="131">
        <v>0</v>
      </c>
      <c r="U184" s="131">
        <v>0</v>
      </c>
      <c r="V184" s="131">
        <v>0</v>
      </c>
      <c r="W184" s="131">
        <v>3351748027.75</v>
      </c>
      <c r="X184" s="131">
        <v>59127849.75</v>
      </c>
      <c r="Y184" s="131">
        <v>3292620178</v>
      </c>
      <c r="Z184" s="131">
        <v>0</v>
      </c>
      <c r="AA184" s="131">
        <v>0</v>
      </c>
      <c r="AB184" s="131">
        <v>0</v>
      </c>
      <c r="AC184" s="131">
        <v>0</v>
      </c>
      <c r="AD184" s="131">
        <v>0</v>
      </c>
      <c r="AE184" s="131">
        <v>0</v>
      </c>
      <c r="AF184" s="131">
        <v>3351748027.75</v>
      </c>
      <c r="AG184" s="131">
        <v>59127849.75</v>
      </c>
      <c r="AH184" s="131">
        <v>3292620178</v>
      </c>
      <c r="AI184" s="131">
        <v>3292620178</v>
      </c>
      <c r="AJ184" s="131">
        <v>0</v>
      </c>
      <c r="AK184" s="131">
        <v>0</v>
      </c>
      <c r="AM184" s="131">
        <v>3292620178</v>
      </c>
      <c r="AN184" s="131">
        <v>3351748027.75</v>
      </c>
      <c r="AO184" s="131">
        <v>59127849.75</v>
      </c>
      <c r="AP184" s="131">
        <v>3351748027.75</v>
      </c>
      <c r="AQ184" s="131">
        <v>0</v>
      </c>
      <c r="AR184" s="131">
        <v>59127849.75</v>
      </c>
      <c r="AS184" t="s">
        <v>1709</v>
      </c>
    </row>
    <row r="185" spans="1:45" ht="30" x14ac:dyDescent="0.25">
      <c r="A185">
        <v>2019</v>
      </c>
      <c r="B185">
        <v>318</v>
      </c>
      <c r="C185">
        <v>10204010101</v>
      </c>
      <c r="D185">
        <v>58</v>
      </c>
      <c r="E185" t="s">
        <v>2891</v>
      </c>
      <c r="F185">
        <v>10204010101</v>
      </c>
      <c r="G185" s="10" t="s">
        <v>734</v>
      </c>
      <c r="H185" t="s">
        <v>2584</v>
      </c>
      <c r="I185" s="131">
        <v>807417947</v>
      </c>
      <c r="J185" s="131">
        <v>807417947</v>
      </c>
      <c r="K185" s="131">
        <v>0</v>
      </c>
      <c r="L185" s="131">
        <v>0</v>
      </c>
      <c r="M185" s="131">
        <v>0</v>
      </c>
      <c r="N185" s="131">
        <v>0</v>
      </c>
      <c r="O185" s="131">
        <v>0</v>
      </c>
      <c r="P185" s="131">
        <v>807417947</v>
      </c>
      <c r="Q185" s="131">
        <v>0</v>
      </c>
      <c r="R185" s="131">
        <v>0</v>
      </c>
      <c r="S185" s="131">
        <v>0</v>
      </c>
      <c r="T185" s="131">
        <v>0</v>
      </c>
      <c r="U185" s="131">
        <v>0</v>
      </c>
      <c r="V185" s="131">
        <v>0</v>
      </c>
      <c r="W185" s="131">
        <v>837962821</v>
      </c>
      <c r="X185" s="131">
        <v>47836250</v>
      </c>
      <c r="Y185" s="131">
        <v>790126571</v>
      </c>
      <c r="Z185" s="131">
        <v>0</v>
      </c>
      <c r="AA185" s="131">
        <v>0</v>
      </c>
      <c r="AB185" s="131">
        <v>0</v>
      </c>
      <c r="AC185" s="131">
        <v>0</v>
      </c>
      <c r="AD185" s="131">
        <v>0</v>
      </c>
      <c r="AE185" s="131">
        <v>0</v>
      </c>
      <c r="AF185" s="131">
        <v>837962821</v>
      </c>
      <c r="AG185" s="131">
        <v>47836250</v>
      </c>
      <c r="AH185" s="131">
        <v>790126571</v>
      </c>
      <c r="AI185" s="131">
        <v>790126571</v>
      </c>
      <c r="AJ185" s="131">
        <v>0</v>
      </c>
      <c r="AK185" s="131">
        <v>0</v>
      </c>
      <c r="AM185" s="131">
        <v>790126571</v>
      </c>
      <c r="AN185" s="131">
        <v>837962821</v>
      </c>
      <c r="AO185" s="131">
        <v>47836250</v>
      </c>
      <c r="AP185" s="131">
        <v>837962821</v>
      </c>
      <c r="AQ185" s="131">
        <v>0</v>
      </c>
      <c r="AR185" s="131">
        <v>47836250</v>
      </c>
      <c r="AS185" t="s">
        <v>175</v>
      </c>
    </row>
    <row r="186" spans="1:45" ht="30" x14ac:dyDescent="0.25">
      <c r="A186">
        <v>2019</v>
      </c>
      <c r="B186">
        <v>318</v>
      </c>
      <c r="C186">
        <v>10204010102</v>
      </c>
      <c r="D186">
        <v>58</v>
      </c>
      <c r="E186" t="s">
        <v>2892</v>
      </c>
      <c r="F186">
        <v>10204010102</v>
      </c>
      <c r="G186" s="10" t="s">
        <v>739</v>
      </c>
      <c r="H186" t="s">
        <v>2584</v>
      </c>
      <c r="I186" s="131">
        <v>32362037</v>
      </c>
      <c r="J186" s="131">
        <v>32362037</v>
      </c>
      <c r="K186" s="131">
        <v>0</v>
      </c>
      <c r="L186" s="131">
        <v>0</v>
      </c>
      <c r="M186" s="131">
        <v>0</v>
      </c>
      <c r="N186" s="131">
        <v>0</v>
      </c>
      <c r="O186" s="131">
        <v>0</v>
      </c>
      <c r="P186" s="131">
        <v>32362037</v>
      </c>
      <c r="Q186" s="131">
        <v>0</v>
      </c>
      <c r="R186" s="131">
        <v>0</v>
      </c>
      <c r="S186" s="131">
        <v>0</v>
      </c>
      <c r="T186" s="131">
        <v>0</v>
      </c>
      <c r="U186" s="131">
        <v>0</v>
      </c>
      <c r="V186" s="131">
        <v>0</v>
      </c>
      <c r="W186" s="131">
        <v>38827507</v>
      </c>
      <c r="X186" s="131">
        <v>1777750</v>
      </c>
      <c r="Y186" s="131">
        <v>37049757</v>
      </c>
      <c r="Z186" s="131">
        <v>0</v>
      </c>
      <c r="AA186" s="131">
        <v>0</v>
      </c>
      <c r="AB186" s="131">
        <v>0</v>
      </c>
      <c r="AC186" s="131">
        <v>0</v>
      </c>
      <c r="AD186" s="131">
        <v>0</v>
      </c>
      <c r="AE186" s="131">
        <v>0</v>
      </c>
      <c r="AF186" s="131">
        <v>38827507</v>
      </c>
      <c r="AG186" s="131">
        <v>1777750</v>
      </c>
      <c r="AH186" s="131">
        <v>37049757</v>
      </c>
      <c r="AI186" s="131">
        <v>37049757</v>
      </c>
      <c r="AJ186" s="131">
        <v>0</v>
      </c>
      <c r="AK186" s="131">
        <v>0</v>
      </c>
      <c r="AM186" s="131">
        <v>37049757</v>
      </c>
      <c r="AN186" s="131">
        <v>38827507</v>
      </c>
      <c r="AO186" s="131">
        <v>1777750</v>
      </c>
      <c r="AP186" s="131">
        <v>38827507</v>
      </c>
      <c r="AQ186" s="131">
        <v>0</v>
      </c>
      <c r="AR186" s="131">
        <v>1777750</v>
      </c>
      <c r="AS186" t="s">
        <v>175</v>
      </c>
    </row>
    <row r="187" spans="1:45" ht="30" x14ac:dyDescent="0.25">
      <c r="A187">
        <v>2019</v>
      </c>
      <c r="B187">
        <v>318</v>
      </c>
      <c r="C187">
        <v>10204010103</v>
      </c>
      <c r="D187">
        <v>58</v>
      </c>
      <c r="E187" t="s">
        <v>2591</v>
      </c>
      <c r="F187">
        <v>10204010103</v>
      </c>
      <c r="G187" s="10" t="s">
        <v>833</v>
      </c>
      <c r="H187" t="s">
        <v>2584</v>
      </c>
      <c r="I187" s="131">
        <v>1662686826</v>
      </c>
      <c r="J187" s="131">
        <v>1662686826</v>
      </c>
      <c r="K187" s="131">
        <v>0</v>
      </c>
      <c r="L187" s="131">
        <v>0</v>
      </c>
      <c r="M187" s="131">
        <v>0</v>
      </c>
      <c r="N187" s="131">
        <v>0</v>
      </c>
      <c r="O187" s="131">
        <v>0</v>
      </c>
      <c r="P187" s="131">
        <v>1662686826</v>
      </c>
      <c r="Q187" s="131">
        <v>0</v>
      </c>
      <c r="R187" s="131">
        <v>0</v>
      </c>
      <c r="S187" s="131">
        <v>0</v>
      </c>
      <c r="T187" s="131">
        <v>0</v>
      </c>
      <c r="U187" s="131">
        <v>0</v>
      </c>
      <c r="V187" s="131">
        <v>0</v>
      </c>
      <c r="W187" s="131">
        <v>1759445391.72</v>
      </c>
      <c r="X187" s="131">
        <v>7943261</v>
      </c>
      <c r="Y187" s="131">
        <v>1751502130.72</v>
      </c>
      <c r="Z187" s="131">
        <v>0</v>
      </c>
      <c r="AA187" s="131">
        <v>0</v>
      </c>
      <c r="AB187" s="131">
        <v>0</v>
      </c>
      <c r="AC187" s="131">
        <v>0</v>
      </c>
      <c r="AD187" s="131">
        <v>0</v>
      </c>
      <c r="AE187" s="131">
        <v>0</v>
      </c>
      <c r="AF187" s="131">
        <v>1759445391.72</v>
      </c>
      <c r="AG187" s="131">
        <v>7943261</v>
      </c>
      <c r="AH187" s="131">
        <v>1751502130.72</v>
      </c>
      <c r="AI187" s="131">
        <v>1751502130.72</v>
      </c>
      <c r="AJ187" s="131">
        <v>0</v>
      </c>
      <c r="AK187" s="131">
        <v>0</v>
      </c>
      <c r="AM187" s="131">
        <v>1751502130.72</v>
      </c>
      <c r="AN187" s="131">
        <v>1759445391.72</v>
      </c>
      <c r="AO187" s="131">
        <v>7943261</v>
      </c>
      <c r="AP187" s="131">
        <v>1759445391.72</v>
      </c>
      <c r="AQ187" s="131">
        <v>0</v>
      </c>
      <c r="AR187" s="131">
        <v>7943261</v>
      </c>
      <c r="AS187" t="s">
        <v>175</v>
      </c>
    </row>
    <row r="188" spans="1:45" ht="45" x14ac:dyDescent="0.25">
      <c r="A188">
        <v>2019</v>
      </c>
      <c r="B188">
        <v>318</v>
      </c>
      <c r="C188">
        <v>10204010104</v>
      </c>
      <c r="D188">
        <v>58</v>
      </c>
      <c r="E188" t="s">
        <v>2893</v>
      </c>
      <c r="F188">
        <v>10204010104</v>
      </c>
      <c r="G188" s="10" t="s">
        <v>728</v>
      </c>
      <c r="H188" t="s">
        <v>2584</v>
      </c>
      <c r="I188" s="131">
        <v>123734321</v>
      </c>
      <c r="J188" s="131">
        <v>123734321</v>
      </c>
      <c r="K188" s="131">
        <v>0</v>
      </c>
      <c r="L188" s="131">
        <v>0</v>
      </c>
      <c r="M188" s="131">
        <v>0</v>
      </c>
      <c r="N188" s="131">
        <v>0</v>
      </c>
      <c r="O188" s="131">
        <v>0</v>
      </c>
      <c r="P188" s="131">
        <v>123734321</v>
      </c>
      <c r="Q188" s="131">
        <v>0</v>
      </c>
      <c r="R188" s="131">
        <v>0</v>
      </c>
      <c r="S188" s="131">
        <v>0</v>
      </c>
      <c r="T188" s="131">
        <v>0</v>
      </c>
      <c r="U188" s="131">
        <v>0</v>
      </c>
      <c r="V188" s="131">
        <v>0</v>
      </c>
      <c r="W188" s="131">
        <v>108728759.28</v>
      </c>
      <c r="X188" s="131">
        <v>1570588.75</v>
      </c>
      <c r="Y188" s="131">
        <v>107158170.53</v>
      </c>
      <c r="Z188" s="131">
        <v>0</v>
      </c>
      <c r="AA188" s="131">
        <v>0</v>
      </c>
      <c r="AB188" s="131">
        <v>0</v>
      </c>
      <c r="AC188" s="131">
        <v>0</v>
      </c>
      <c r="AD188" s="131">
        <v>0</v>
      </c>
      <c r="AE188" s="131">
        <v>0</v>
      </c>
      <c r="AF188" s="131">
        <v>108728759.28</v>
      </c>
      <c r="AG188" s="131">
        <v>1570588.75</v>
      </c>
      <c r="AH188" s="131">
        <v>107158170.53</v>
      </c>
      <c r="AI188" s="131">
        <v>107158170.53</v>
      </c>
      <c r="AJ188" s="131">
        <v>0</v>
      </c>
      <c r="AK188" s="131">
        <v>0</v>
      </c>
      <c r="AM188" s="131">
        <v>107158170.53</v>
      </c>
      <c r="AN188" s="131">
        <v>108728759.28</v>
      </c>
      <c r="AO188" s="131">
        <v>1570588.75</v>
      </c>
      <c r="AP188" s="131">
        <v>108728759.28</v>
      </c>
      <c r="AQ188" s="131">
        <v>0</v>
      </c>
      <c r="AR188" s="131">
        <v>1570588.75</v>
      </c>
      <c r="AS188" t="s">
        <v>175</v>
      </c>
    </row>
    <row r="189" spans="1:45" ht="45" x14ac:dyDescent="0.25">
      <c r="A189">
        <v>2019</v>
      </c>
      <c r="B189">
        <v>318</v>
      </c>
      <c r="C189">
        <v>10204010105</v>
      </c>
      <c r="D189">
        <v>58</v>
      </c>
      <c r="E189" t="s">
        <v>2894</v>
      </c>
      <c r="F189">
        <v>10204010105</v>
      </c>
      <c r="G189" s="10" t="s">
        <v>723</v>
      </c>
      <c r="H189" t="s">
        <v>2584</v>
      </c>
      <c r="I189" s="131">
        <v>488527672</v>
      </c>
      <c r="J189" s="131">
        <v>488527672</v>
      </c>
      <c r="K189" s="131">
        <v>0</v>
      </c>
      <c r="L189" s="131">
        <v>0</v>
      </c>
      <c r="M189" s="131">
        <v>0</v>
      </c>
      <c r="N189" s="131">
        <v>0</v>
      </c>
      <c r="O189" s="131">
        <v>0</v>
      </c>
      <c r="P189" s="131">
        <v>488527672</v>
      </c>
      <c r="Q189" s="131">
        <v>0</v>
      </c>
      <c r="R189" s="131">
        <v>0</v>
      </c>
      <c r="S189" s="131">
        <v>0</v>
      </c>
      <c r="T189" s="131">
        <v>0</v>
      </c>
      <c r="U189" s="131">
        <v>0</v>
      </c>
      <c r="V189" s="131">
        <v>0</v>
      </c>
      <c r="W189" s="131">
        <v>606783548.75</v>
      </c>
      <c r="X189" s="131">
        <v>0</v>
      </c>
      <c r="Y189" s="131">
        <v>606783548.75</v>
      </c>
      <c r="Z189" s="131">
        <v>0</v>
      </c>
      <c r="AA189" s="131">
        <v>0</v>
      </c>
      <c r="AB189" s="131">
        <v>0</v>
      </c>
      <c r="AC189" s="131">
        <v>0</v>
      </c>
      <c r="AD189" s="131">
        <v>0</v>
      </c>
      <c r="AE189" s="131">
        <v>0</v>
      </c>
      <c r="AF189" s="131">
        <v>606783548.75</v>
      </c>
      <c r="AG189" s="131">
        <v>0</v>
      </c>
      <c r="AH189" s="131">
        <v>606783548.75</v>
      </c>
      <c r="AI189" s="131">
        <v>606783548.75</v>
      </c>
      <c r="AJ189" s="131">
        <v>0</v>
      </c>
      <c r="AK189" s="131">
        <v>0</v>
      </c>
      <c r="AM189" s="131">
        <v>606783548.75</v>
      </c>
      <c r="AN189" s="131">
        <v>606783548.75</v>
      </c>
      <c r="AO189" s="131">
        <v>0</v>
      </c>
      <c r="AP189" s="131">
        <v>606783548.75</v>
      </c>
      <c r="AQ189" s="131">
        <v>0</v>
      </c>
      <c r="AR189" s="131">
        <v>0</v>
      </c>
      <c r="AS189" t="s">
        <v>175</v>
      </c>
    </row>
    <row r="190" spans="1:45" ht="30" x14ac:dyDescent="0.25">
      <c r="A190">
        <v>2019</v>
      </c>
      <c r="B190">
        <v>318</v>
      </c>
      <c r="C190">
        <v>102040102</v>
      </c>
      <c r="D190" t="s">
        <v>226</v>
      </c>
      <c r="E190" t="s">
        <v>2895</v>
      </c>
      <c r="F190">
        <v>102040102</v>
      </c>
      <c r="G190" s="10" t="s">
        <v>2896</v>
      </c>
      <c r="H190" t="s">
        <v>2584</v>
      </c>
      <c r="I190" s="131">
        <v>8024000000</v>
      </c>
      <c r="J190" s="131">
        <v>8024000000</v>
      </c>
      <c r="K190" s="131">
        <v>1353644949</v>
      </c>
      <c r="L190" s="131">
        <v>112885557</v>
      </c>
      <c r="M190" s="131">
        <v>1240759392</v>
      </c>
      <c r="N190" s="131">
        <v>1353644949</v>
      </c>
      <c r="O190" s="131">
        <v>112885557</v>
      </c>
      <c r="P190" s="131">
        <v>9264759392</v>
      </c>
      <c r="Q190" s="131">
        <v>0</v>
      </c>
      <c r="R190" s="131">
        <v>0</v>
      </c>
      <c r="S190" s="131">
        <v>0</v>
      </c>
      <c r="T190" s="131">
        <v>0</v>
      </c>
      <c r="U190" s="131">
        <v>0</v>
      </c>
      <c r="V190" s="131">
        <v>0</v>
      </c>
      <c r="W190" s="131">
        <v>9264759392</v>
      </c>
      <c r="X190" s="131">
        <v>0</v>
      </c>
      <c r="Y190" s="131">
        <v>9264759392</v>
      </c>
      <c r="Z190" s="131">
        <v>0</v>
      </c>
      <c r="AA190" s="131">
        <v>0</v>
      </c>
      <c r="AB190" s="131">
        <v>0</v>
      </c>
      <c r="AC190" s="131">
        <v>0</v>
      </c>
      <c r="AD190" s="131">
        <v>0</v>
      </c>
      <c r="AE190" s="131">
        <v>0</v>
      </c>
      <c r="AF190" s="131">
        <v>9264759392</v>
      </c>
      <c r="AG190" s="131">
        <v>0</v>
      </c>
      <c r="AH190" s="131">
        <v>9264759392</v>
      </c>
      <c r="AI190" s="131">
        <v>9264759392</v>
      </c>
      <c r="AJ190" s="131">
        <v>3775114443</v>
      </c>
      <c r="AK190" s="131">
        <v>3775114443</v>
      </c>
      <c r="AM190" s="131">
        <v>5489644949</v>
      </c>
      <c r="AN190" s="131">
        <v>5489644949</v>
      </c>
      <c r="AO190" s="131">
        <v>0</v>
      </c>
      <c r="AP190" s="131">
        <v>5489644949</v>
      </c>
      <c r="AQ190" s="131">
        <v>0</v>
      </c>
      <c r="AR190" s="131">
        <v>0</v>
      </c>
      <c r="AS190" t="s">
        <v>1709</v>
      </c>
    </row>
    <row r="191" spans="1:45" x14ac:dyDescent="0.25">
      <c r="A191">
        <v>2019</v>
      </c>
      <c r="B191">
        <v>318</v>
      </c>
      <c r="C191">
        <v>10204010201</v>
      </c>
      <c r="D191">
        <v>59</v>
      </c>
      <c r="E191" t="s">
        <v>2897</v>
      </c>
      <c r="F191">
        <v>10204010201</v>
      </c>
      <c r="G191" s="10" t="s">
        <v>2898</v>
      </c>
      <c r="H191" t="s">
        <v>2584</v>
      </c>
      <c r="I191" s="131">
        <v>4136000000</v>
      </c>
      <c r="J191" s="131">
        <v>4136000000</v>
      </c>
      <c r="K191" s="131">
        <v>1353644949</v>
      </c>
      <c r="L191" s="131">
        <v>0</v>
      </c>
      <c r="M191" s="131">
        <v>1353644949</v>
      </c>
      <c r="N191" s="131">
        <v>1353644949</v>
      </c>
      <c r="O191" s="131">
        <v>0</v>
      </c>
      <c r="P191" s="131">
        <v>5489644949</v>
      </c>
      <c r="Q191" s="131">
        <v>0</v>
      </c>
      <c r="R191" s="131">
        <v>0</v>
      </c>
      <c r="S191" s="131">
        <v>0</v>
      </c>
      <c r="T191" s="131">
        <v>0</v>
      </c>
      <c r="U191" s="131">
        <v>0</v>
      </c>
      <c r="V191" s="131">
        <v>0</v>
      </c>
      <c r="W191" s="131">
        <v>5489644949</v>
      </c>
      <c r="X191" s="131">
        <v>0</v>
      </c>
      <c r="Y191" s="131">
        <v>5489644949</v>
      </c>
      <c r="Z191" s="131">
        <v>0</v>
      </c>
      <c r="AA191" s="131">
        <v>0</v>
      </c>
      <c r="AB191" s="131">
        <v>0</v>
      </c>
      <c r="AC191" s="131">
        <v>0</v>
      </c>
      <c r="AD191" s="131">
        <v>0</v>
      </c>
      <c r="AE191" s="131">
        <v>0</v>
      </c>
      <c r="AF191" s="131">
        <v>5489644949</v>
      </c>
      <c r="AG191" s="131">
        <v>0</v>
      </c>
      <c r="AH191" s="131">
        <v>5489644949</v>
      </c>
      <c r="AI191" s="131">
        <v>5489644949</v>
      </c>
      <c r="AJ191" s="131">
        <v>0</v>
      </c>
      <c r="AK191" s="131">
        <v>0</v>
      </c>
      <c r="AM191" s="131">
        <v>5489644949</v>
      </c>
      <c r="AN191" s="131">
        <v>5489644949</v>
      </c>
      <c r="AO191" s="131">
        <v>0</v>
      </c>
      <c r="AP191" s="131">
        <v>5489644949</v>
      </c>
      <c r="AQ191" s="131">
        <v>0</v>
      </c>
      <c r="AR191" s="131">
        <v>0</v>
      </c>
      <c r="AS191" t="s">
        <v>177</v>
      </c>
    </row>
    <row r="192" spans="1:45" ht="30" x14ac:dyDescent="0.25">
      <c r="A192">
        <v>2019</v>
      </c>
      <c r="B192">
        <v>318</v>
      </c>
      <c r="C192">
        <v>10204010202</v>
      </c>
      <c r="D192">
        <v>60</v>
      </c>
      <c r="E192" t="s">
        <v>2899</v>
      </c>
      <c r="F192">
        <v>10204010202</v>
      </c>
      <c r="G192" s="10" t="s">
        <v>2900</v>
      </c>
      <c r="H192" t="s">
        <v>2584</v>
      </c>
      <c r="I192" s="131">
        <v>3888000000</v>
      </c>
      <c r="J192" s="131">
        <v>3888000000</v>
      </c>
      <c r="K192" s="131">
        <v>0</v>
      </c>
      <c r="L192" s="131">
        <v>112885557</v>
      </c>
      <c r="M192" s="131">
        <v>-112885557</v>
      </c>
      <c r="N192" s="131">
        <v>0</v>
      </c>
      <c r="O192" s="131">
        <v>112885557</v>
      </c>
      <c r="P192" s="131">
        <v>3775114443</v>
      </c>
      <c r="Q192" s="131">
        <v>0</v>
      </c>
      <c r="R192" s="131">
        <v>0</v>
      </c>
      <c r="S192" s="131">
        <v>0</v>
      </c>
      <c r="T192" s="131">
        <v>0</v>
      </c>
      <c r="U192" s="131">
        <v>0</v>
      </c>
      <c r="V192" s="131">
        <v>0</v>
      </c>
      <c r="W192" s="131">
        <v>3775114443</v>
      </c>
      <c r="X192" s="131">
        <v>0</v>
      </c>
      <c r="Y192" s="131">
        <v>3775114443</v>
      </c>
      <c r="Z192" s="131">
        <v>0</v>
      </c>
      <c r="AA192" s="131">
        <v>0</v>
      </c>
      <c r="AB192" s="131">
        <v>0</v>
      </c>
      <c r="AC192" s="131">
        <v>0</v>
      </c>
      <c r="AD192" s="131">
        <v>0</v>
      </c>
      <c r="AE192" s="131">
        <v>0</v>
      </c>
      <c r="AF192" s="131">
        <v>3775114443</v>
      </c>
      <c r="AG192" s="131">
        <v>0</v>
      </c>
      <c r="AH192" s="131">
        <v>3775114443</v>
      </c>
      <c r="AI192" s="131">
        <v>3775114443</v>
      </c>
      <c r="AJ192" s="131">
        <v>3775114443</v>
      </c>
      <c r="AK192" s="131">
        <v>3775114443</v>
      </c>
      <c r="AM192" s="131">
        <v>0</v>
      </c>
      <c r="AN192" s="131">
        <v>0</v>
      </c>
      <c r="AO192" s="131">
        <v>0</v>
      </c>
      <c r="AP192" s="131">
        <v>0</v>
      </c>
      <c r="AQ192" s="131">
        <v>0</v>
      </c>
      <c r="AR192" s="131">
        <v>0</v>
      </c>
      <c r="AS192" t="s">
        <v>2901</v>
      </c>
    </row>
    <row r="193" spans="1:45" x14ac:dyDescent="0.25">
      <c r="A193">
        <v>2019</v>
      </c>
      <c r="B193">
        <v>318</v>
      </c>
      <c r="C193">
        <v>102040103</v>
      </c>
      <c r="D193" t="s">
        <v>226</v>
      </c>
      <c r="E193" t="s">
        <v>2902</v>
      </c>
      <c r="F193">
        <v>102040103</v>
      </c>
      <c r="G193" s="10" t="s">
        <v>954</v>
      </c>
      <c r="H193" t="s">
        <v>2584</v>
      </c>
      <c r="I193" s="131">
        <v>108130021</v>
      </c>
      <c r="J193" s="131">
        <v>108130021</v>
      </c>
      <c r="K193" s="131">
        <v>3670015372.6900001</v>
      </c>
      <c r="L193" s="131">
        <v>0</v>
      </c>
      <c r="M193" s="131">
        <v>3670015372.6900001</v>
      </c>
      <c r="N193" s="131">
        <v>3670015372.6900001</v>
      </c>
      <c r="O193" s="131">
        <v>0</v>
      </c>
      <c r="P193" s="131">
        <v>3778145393.6900001</v>
      </c>
      <c r="Q193" s="131">
        <v>0</v>
      </c>
      <c r="R193" s="131">
        <v>0</v>
      </c>
      <c r="S193" s="131">
        <v>0</v>
      </c>
      <c r="T193" s="131">
        <v>0</v>
      </c>
      <c r="U193" s="131">
        <v>0</v>
      </c>
      <c r="V193" s="131">
        <v>0</v>
      </c>
      <c r="W193" s="131">
        <v>3743936152.7399998</v>
      </c>
      <c r="X193" s="131">
        <v>0</v>
      </c>
      <c r="Y193" s="131">
        <v>3743936152.7399998</v>
      </c>
      <c r="Z193" s="131">
        <v>0</v>
      </c>
      <c r="AA193" s="131">
        <v>0</v>
      </c>
      <c r="AB193" s="131">
        <v>0</v>
      </c>
      <c r="AC193" s="131">
        <v>0</v>
      </c>
      <c r="AD193" s="131">
        <v>0</v>
      </c>
      <c r="AE193" s="131">
        <v>0</v>
      </c>
      <c r="AF193" s="131">
        <v>3743936152.7399998</v>
      </c>
      <c r="AG193" s="131">
        <v>0</v>
      </c>
      <c r="AH193" s="131">
        <v>3743936152.7399998</v>
      </c>
      <c r="AI193" s="131">
        <v>3743936152.7399998</v>
      </c>
      <c r="AJ193" s="131">
        <v>1863470264.3699999</v>
      </c>
      <c r="AK193" s="131">
        <v>1863470264.3699999</v>
      </c>
      <c r="AM193" s="131">
        <v>1880465888.3699999</v>
      </c>
      <c r="AN193" s="131">
        <v>1880465888.3699999</v>
      </c>
      <c r="AO193" s="131">
        <v>0</v>
      </c>
      <c r="AP193" s="131">
        <v>1880465888.3699999</v>
      </c>
      <c r="AQ193" s="131">
        <v>0</v>
      </c>
      <c r="AR193" s="131">
        <v>0</v>
      </c>
      <c r="AS193" t="s">
        <v>1709</v>
      </c>
    </row>
    <row r="194" spans="1:45" x14ac:dyDescent="0.25">
      <c r="A194">
        <v>2019</v>
      </c>
      <c r="B194">
        <v>318</v>
      </c>
      <c r="C194">
        <v>10204010301</v>
      </c>
      <c r="D194" t="s">
        <v>226</v>
      </c>
      <c r="E194" t="s">
        <v>2903</v>
      </c>
      <c r="F194">
        <v>10204010301</v>
      </c>
      <c r="G194" s="10" t="s">
        <v>2736</v>
      </c>
      <c r="H194" t="s">
        <v>2584</v>
      </c>
      <c r="I194" s="131">
        <v>0</v>
      </c>
      <c r="J194" s="131">
        <v>0</v>
      </c>
      <c r="K194" s="131">
        <v>3530267966.77</v>
      </c>
      <c r="L194" s="131">
        <v>0</v>
      </c>
      <c r="M194" s="131">
        <v>3530267966.77</v>
      </c>
      <c r="N194" s="131">
        <v>3530267966.77</v>
      </c>
      <c r="O194" s="131">
        <v>0</v>
      </c>
      <c r="P194" s="131">
        <v>3530267966.77</v>
      </c>
      <c r="Q194" s="131">
        <v>0</v>
      </c>
      <c r="R194" s="131">
        <v>0</v>
      </c>
      <c r="S194" s="131">
        <v>0</v>
      </c>
      <c r="T194" s="131">
        <v>0</v>
      </c>
      <c r="U194" s="131">
        <v>0</v>
      </c>
      <c r="V194" s="131">
        <v>0</v>
      </c>
      <c r="W194" s="131">
        <v>3534680487.77</v>
      </c>
      <c r="X194" s="131">
        <v>0</v>
      </c>
      <c r="Y194" s="131">
        <v>3534680487.77</v>
      </c>
      <c r="Z194" s="131">
        <v>0</v>
      </c>
      <c r="AA194" s="131">
        <v>0</v>
      </c>
      <c r="AB194" s="131">
        <v>0</v>
      </c>
      <c r="AC194" s="131">
        <v>0</v>
      </c>
      <c r="AD194" s="131">
        <v>0</v>
      </c>
      <c r="AE194" s="131">
        <v>0</v>
      </c>
      <c r="AF194" s="131">
        <v>3534680487.77</v>
      </c>
      <c r="AG194" s="131">
        <v>0</v>
      </c>
      <c r="AH194" s="131">
        <v>3534680487.77</v>
      </c>
      <c r="AI194" s="131">
        <v>3534680487.77</v>
      </c>
      <c r="AJ194" s="131">
        <v>1863470264.3699999</v>
      </c>
      <c r="AK194" s="131">
        <v>1863470264.3699999</v>
      </c>
      <c r="AM194" s="131">
        <v>1671210223.4000001</v>
      </c>
      <c r="AN194" s="131">
        <v>1671210223.4000001</v>
      </c>
      <c r="AO194" s="131">
        <v>0</v>
      </c>
      <c r="AP194" s="131">
        <v>1671210223.4000001</v>
      </c>
      <c r="AQ194" s="131">
        <v>0</v>
      </c>
      <c r="AR194" s="131">
        <v>0</v>
      </c>
      <c r="AS194" t="s">
        <v>1709</v>
      </c>
    </row>
    <row r="195" spans="1:45" x14ac:dyDescent="0.25">
      <c r="A195">
        <v>2019</v>
      </c>
      <c r="B195">
        <v>318</v>
      </c>
      <c r="C195">
        <v>1020401030101</v>
      </c>
      <c r="D195" t="s">
        <v>226</v>
      </c>
      <c r="E195" t="s">
        <v>2904</v>
      </c>
      <c r="F195">
        <v>1020401030101</v>
      </c>
      <c r="G195" s="10" t="s">
        <v>2766</v>
      </c>
      <c r="H195" t="s">
        <v>2584</v>
      </c>
      <c r="I195" s="131">
        <v>0</v>
      </c>
      <c r="J195" s="131">
        <v>0</v>
      </c>
      <c r="K195" s="131">
        <v>3530267966.77</v>
      </c>
      <c r="L195" s="131">
        <v>0</v>
      </c>
      <c r="M195" s="131">
        <v>3530267966.77</v>
      </c>
      <c r="N195" s="131">
        <v>3530267966.77</v>
      </c>
      <c r="O195" s="131">
        <v>0</v>
      </c>
      <c r="P195" s="131">
        <v>3530267966.77</v>
      </c>
      <c r="Q195" s="131">
        <v>0</v>
      </c>
      <c r="R195" s="131">
        <v>0</v>
      </c>
      <c r="S195" s="131">
        <v>0</v>
      </c>
      <c r="T195" s="131">
        <v>0</v>
      </c>
      <c r="U195" s="131">
        <v>0</v>
      </c>
      <c r="V195" s="131">
        <v>0</v>
      </c>
      <c r="W195" s="131">
        <v>3534680487.77</v>
      </c>
      <c r="X195" s="131">
        <v>0</v>
      </c>
      <c r="Y195" s="131">
        <v>3534680487.77</v>
      </c>
      <c r="Z195" s="131">
        <v>0</v>
      </c>
      <c r="AA195" s="131">
        <v>0</v>
      </c>
      <c r="AB195" s="131">
        <v>0</v>
      </c>
      <c r="AC195" s="131">
        <v>0</v>
      </c>
      <c r="AD195" s="131">
        <v>0</v>
      </c>
      <c r="AE195" s="131">
        <v>0</v>
      </c>
      <c r="AF195" s="131">
        <v>3534680487.77</v>
      </c>
      <c r="AG195" s="131">
        <v>0</v>
      </c>
      <c r="AH195" s="131">
        <v>3534680487.77</v>
      </c>
      <c r="AI195" s="131">
        <v>3534680487.77</v>
      </c>
      <c r="AJ195" s="131">
        <v>1863470264.3699999</v>
      </c>
      <c r="AK195" s="131">
        <v>1863470264.3699999</v>
      </c>
      <c r="AM195" s="131">
        <v>1671210223.4000001</v>
      </c>
      <c r="AN195" s="131">
        <v>1671210223.4000001</v>
      </c>
      <c r="AO195" s="131">
        <v>0</v>
      </c>
      <c r="AP195" s="131">
        <v>1671210223.4000001</v>
      </c>
      <c r="AQ195" s="131">
        <v>0</v>
      </c>
      <c r="AR195" s="131">
        <v>0</v>
      </c>
      <c r="AS195" t="s">
        <v>1709</v>
      </c>
    </row>
    <row r="196" spans="1:45" ht="30" x14ac:dyDescent="0.25">
      <c r="A196">
        <v>2019</v>
      </c>
      <c r="B196">
        <v>318</v>
      </c>
      <c r="C196">
        <v>102040103010101</v>
      </c>
      <c r="D196" t="s">
        <v>226</v>
      </c>
      <c r="E196" t="s">
        <v>2905</v>
      </c>
      <c r="F196">
        <v>102040103010101</v>
      </c>
      <c r="G196" s="10" t="s">
        <v>2906</v>
      </c>
      <c r="H196" t="s">
        <v>2584</v>
      </c>
      <c r="I196" s="131">
        <v>0</v>
      </c>
      <c r="J196" s="131">
        <v>0</v>
      </c>
      <c r="K196" s="131">
        <v>3530267966.77</v>
      </c>
      <c r="L196" s="131">
        <v>0</v>
      </c>
      <c r="M196" s="131">
        <v>3530267966.77</v>
      </c>
      <c r="N196" s="131">
        <v>3530267966.77</v>
      </c>
      <c r="O196" s="131">
        <v>0</v>
      </c>
      <c r="P196" s="131">
        <v>3530267966.77</v>
      </c>
      <c r="Q196" s="131">
        <v>0</v>
      </c>
      <c r="R196" s="131">
        <v>0</v>
      </c>
      <c r="S196" s="131">
        <v>0</v>
      </c>
      <c r="T196" s="131">
        <v>0</v>
      </c>
      <c r="U196" s="131">
        <v>0</v>
      </c>
      <c r="V196" s="131">
        <v>0</v>
      </c>
      <c r="W196" s="131">
        <v>3534680487.77</v>
      </c>
      <c r="X196" s="131">
        <v>0</v>
      </c>
      <c r="Y196" s="131">
        <v>3534680487.77</v>
      </c>
      <c r="Z196" s="131">
        <v>0</v>
      </c>
      <c r="AA196" s="131">
        <v>0</v>
      </c>
      <c r="AB196" s="131">
        <v>0</v>
      </c>
      <c r="AC196" s="131">
        <v>0</v>
      </c>
      <c r="AD196" s="131">
        <v>0</v>
      </c>
      <c r="AE196" s="131">
        <v>0</v>
      </c>
      <c r="AF196" s="131">
        <v>3534680487.77</v>
      </c>
      <c r="AG196" s="131">
        <v>0</v>
      </c>
      <c r="AH196" s="131">
        <v>3534680487.77</v>
      </c>
      <c r="AI196" s="131">
        <v>3534680487.77</v>
      </c>
      <c r="AJ196" s="131">
        <v>1863470264.3699999</v>
      </c>
      <c r="AK196" s="131">
        <v>1863470264.3699999</v>
      </c>
      <c r="AM196" s="131">
        <v>1671210223.4000001</v>
      </c>
      <c r="AN196" s="131">
        <v>1671210223.4000001</v>
      </c>
      <c r="AO196" s="131">
        <v>0</v>
      </c>
      <c r="AP196" s="131">
        <v>1671210223.4000001</v>
      </c>
      <c r="AQ196" s="131">
        <v>0</v>
      </c>
      <c r="AR196" s="131">
        <v>0</v>
      </c>
      <c r="AS196" t="s">
        <v>1709</v>
      </c>
    </row>
    <row r="197" spans="1:45" x14ac:dyDescent="0.25">
      <c r="A197">
        <v>2019</v>
      </c>
      <c r="B197">
        <v>318</v>
      </c>
      <c r="C197">
        <v>1.02040103010101E+16</v>
      </c>
      <c r="D197">
        <v>96</v>
      </c>
      <c r="E197" t="s">
        <v>2907</v>
      </c>
      <c r="F197">
        <v>1.02040103010101E+16</v>
      </c>
      <c r="G197" s="10" t="s">
        <v>2908</v>
      </c>
      <c r="H197" t="s">
        <v>2584</v>
      </c>
      <c r="I197" s="131">
        <v>0</v>
      </c>
      <c r="J197" s="131">
        <v>0</v>
      </c>
      <c r="K197" s="131">
        <v>928453642.37</v>
      </c>
      <c r="L197" s="131">
        <v>0</v>
      </c>
      <c r="M197" s="131">
        <v>928453642.37</v>
      </c>
      <c r="N197" s="131">
        <v>928453642.37</v>
      </c>
      <c r="O197" s="131">
        <v>0</v>
      </c>
      <c r="P197" s="131">
        <v>928453642.37</v>
      </c>
      <c r="Q197" s="131">
        <v>0</v>
      </c>
      <c r="R197" s="131">
        <v>0</v>
      </c>
      <c r="S197" s="131">
        <v>0</v>
      </c>
      <c r="T197" s="131">
        <v>0</v>
      </c>
      <c r="U197" s="131">
        <v>0</v>
      </c>
      <c r="V197" s="131">
        <v>0</v>
      </c>
      <c r="W197" s="131">
        <v>928453642.37</v>
      </c>
      <c r="X197" s="131">
        <v>0</v>
      </c>
      <c r="Y197" s="131">
        <v>928453642.37</v>
      </c>
      <c r="Z197" s="131">
        <v>0</v>
      </c>
      <c r="AA197" s="131">
        <v>0</v>
      </c>
      <c r="AB197" s="131">
        <v>0</v>
      </c>
      <c r="AC197" s="131">
        <v>0</v>
      </c>
      <c r="AD197" s="131">
        <v>0</v>
      </c>
      <c r="AE197" s="131">
        <v>0</v>
      </c>
      <c r="AF197" s="131">
        <v>928453642.37</v>
      </c>
      <c r="AG197" s="131">
        <v>0</v>
      </c>
      <c r="AH197" s="131">
        <v>928453642.37</v>
      </c>
      <c r="AI197" s="131">
        <v>928453642.37</v>
      </c>
      <c r="AJ197" s="131">
        <v>928453642.37</v>
      </c>
      <c r="AK197" s="131">
        <v>928453642.37</v>
      </c>
      <c r="AM197" s="131">
        <v>0</v>
      </c>
      <c r="AN197" s="131">
        <v>0</v>
      </c>
      <c r="AO197" s="131">
        <v>0</v>
      </c>
      <c r="AP197" s="131">
        <v>0</v>
      </c>
      <c r="AQ197" s="131">
        <v>0</v>
      </c>
      <c r="AR197" s="131">
        <v>0</v>
      </c>
      <c r="AS197" t="s">
        <v>215</v>
      </c>
    </row>
    <row r="198" spans="1:45" ht="30" x14ac:dyDescent="0.25">
      <c r="A198">
        <v>2019</v>
      </c>
      <c r="B198">
        <v>318</v>
      </c>
      <c r="C198">
        <v>1.02040103010101E+16</v>
      </c>
      <c r="D198">
        <v>97</v>
      </c>
      <c r="E198" t="s">
        <v>2909</v>
      </c>
      <c r="F198">
        <v>1.02040103010101E+16</v>
      </c>
      <c r="G198" s="10" t="s">
        <v>2910</v>
      </c>
      <c r="H198" t="s">
        <v>2584</v>
      </c>
      <c r="I198" s="131">
        <v>0</v>
      </c>
      <c r="J198" s="131">
        <v>0</v>
      </c>
      <c r="K198" s="131">
        <v>573833621</v>
      </c>
      <c r="L198" s="131">
        <v>0</v>
      </c>
      <c r="M198" s="131">
        <v>573833621</v>
      </c>
      <c r="N198" s="131">
        <v>573833621</v>
      </c>
      <c r="O198" s="131">
        <v>0</v>
      </c>
      <c r="P198" s="131">
        <v>573833621</v>
      </c>
      <c r="Q198" s="131">
        <v>0</v>
      </c>
      <c r="R198" s="131">
        <v>0</v>
      </c>
      <c r="S198" s="131">
        <v>0</v>
      </c>
      <c r="T198" s="131">
        <v>0</v>
      </c>
      <c r="U198" s="131">
        <v>0</v>
      </c>
      <c r="V198" s="131">
        <v>0</v>
      </c>
      <c r="W198" s="131">
        <v>573833621</v>
      </c>
      <c r="X198" s="131">
        <v>0</v>
      </c>
      <c r="Y198" s="131">
        <v>573833621</v>
      </c>
      <c r="Z198" s="131">
        <v>0</v>
      </c>
      <c r="AA198" s="131">
        <v>0</v>
      </c>
      <c r="AB198" s="131">
        <v>0</v>
      </c>
      <c r="AC198" s="131">
        <v>0</v>
      </c>
      <c r="AD198" s="131">
        <v>0</v>
      </c>
      <c r="AE198" s="131">
        <v>0</v>
      </c>
      <c r="AF198" s="131">
        <v>573833621</v>
      </c>
      <c r="AG198" s="131">
        <v>0</v>
      </c>
      <c r="AH198" s="131">
        <v>573833621</v>
      </c>
      <c r="AI198" s="131">
        <v>573833621</v>
      </c>
      <c r="AJ198" s="131">
        <v>573833621</v>
      </c>
      <c r="AK198" s="131">
        <v>573833621</v>
      </c>
      <c r="AM198" s="131">
        <v>0</v>
      </c>
      <c r="AN198" s="131">
        <v>0</v>
      </c>
      <c r="AO198" s="131">
        <v>0</v>
      </c>
      <c r="AP198" s="131">
        <v>0</v>
      </c>
      <c r="AQ198" s="131">
        <v>0</v>
      </c>
      <c r="AR198" s="131">
        <v>0</v>
      </c>
      <c r="AS198" t="s">
        <v>217</v>
      </c>
    </row>
    <row r="199" spans="1:45" ht="30" x14ac:dyDescent="0.25">
      <c r="A199">
        <v>2019</v>
      </c>
      <c r="B199">
        <v>318</v>
      </c>
      <c r="C199">
        <v>1.02040103010101E+16</v>
      </c>
      <c r="D199">
        <v>65</v>
      </c>
      <c r="E199" t="s">
        <v>2911</v>
      </c>
      <c r="F199">
        <v>1.02040103010101E+16</v>
      </c>
      <c r="G199" s="10" t="s">
        <v>2912</v>
      </c>
      <c r="H199" t="s">
        <v>2584</v>
      </c>
      <c r="I199" s="131">
        <v>0</v>
      </c>
      <c r="J199" s="131">
        <v>0</v>
      </c>
      <c r="K199" s="131">
        <v>6866202</v>
      </c>
      <c r="L199" s="131">
        <v>0</v>
      </c>
      <c r="M199" s="131">
        <v>6866202</v>
      </c>
      <c r="N199" s="131">
        <v>6866202</v>
      </c>
      <c r="O199" s="131">
        <v>0</v>
      </c>
      <c r="P199" s="131">
        <v>6866202</v>
      </c>
      <c r="Q199" s="131">
        <v>0</v>
      </c>
      <c r="R199" s="131">
        <v>0</v>
      </c>
      <c r="S199" s="131">
        <v>0</v>
      </c>
      <c r="T199" s="131">
        <v>0</v>
      </c>
      <c r="U199" s="131">
        <v>0</v>
      </c>
      <c r="V199" s="131">
        <v>0</v>
      </c>
      <c r="W199" s="131">
        <v>6866202</v>
      </c>
      <c r="X199" s="131">
        <v>0</v>
      </c>
      <c r="Y199" s="131">
        <v>6866202</v>
      </c>
      <c r="Z199" s="131">
        <v>0</v>
      </c>
      <c r="AA199" s="131">
        <v>0</v>
      </c>
      <c r="AB199" s="131">
        <v>0</v>
      </c>
      <c r="AC199" s="131">
        <v>0</v>
      </c>
      <c r="AD199" s="131">
        <v>0</v>
      </c>
      <c r="AE199" s="131">
        <v>0</v>
      </c>
      <c r="AF199" s="131">
        <v>6866202</v>
      </c>
      <c r="AG199" s="131">
        <v>0</v>
      </c>
      <c r="AH199" s="131">
        <v>6866202</v>
      </c>
      <c r="AI199" s="131">
        <v>6866202</v>
      </c>
      <c r="AJ199" s="131">
        <v>6866202</v>
      </c>
      <c r="AK199" s="131">
        <v>6866202</v>
      </c>
      <c r="AM199" s="131">
        <v>0</v>
      </c>
      <c r="AN199" s="131">
        <v>0</v>
      </c>
      <c r="AO199" s="131">
        <v>0</v>
      </c>
      <c r="AP199" s="131">
        <v>0</v>
      </c>
      <c r="AQ199" s="131">
        <v>0</v>
      </c>
      <c r="AR199" s="131">
        <v>0</v>
      </c>
      <c r="AS199" t="s">
        <v>183</v>
      </c>
    </row>
    <row r="200" spans="1:45" ht="30" x14ac:dyDescent="0.25">
      <c r="A200">
        <v>2019</v>
      </c>
      <c r="B200">
        <v>318</v>
      </c>
      <c r="C200">
        <v>1.02040103010101E+16</v>
      </c>
      <c r="D200">
        <v>102</v>
      </c>
      <c r="E200" t="s">
        <v>2913</v>
      </c>
      <c r="F200">
        <v>1.02040103010101E+16</v>
      </c>
      <c r="G200" s="10" t="s">
        <v>2914</v>
      </c>
      <c r="H200" t="s">
        <v>2584</v>
      </c>
      <c r="I200" s="131">
        <v>0</v>
      </c>
      <c r="J200" s="131">
        <v>0</v>
      </c>
      <c r="K200" s="131">
        <v>68256639</v>
      </c>
      <c r="L200" s="131">
        <v>0</v>
      </c>
      <c r="M200" s="131">
        <v>68256639</v>
      </c>
      <c r="N200" s="131">
        <v>68256639</v>
      </c>
      <c r="O200" s="131">
        <v>0</v>
      </c>
      <c r="P200" s="131">
        <v>68256639</v>
      </c>
      <c r="Q200" s="131">
        <v>0</v>
      </c>
      <c r="R200" s="131">
        <v>0</v>
      </c>
      <c r="S200" s="131">
        <v>0</v>
      </c>
      <c r="T200" s="131">
        <v>0</v>
      </c>
      <c r="U200" s="131">
        <v>0</v>
      </c>
      <c r="V200" s="131">
        <v>0</v>
      </c>
      <c r="W200" s="131">
        <v>68256639</v>
      </c>
      <c r="X200" s="131">
        <v>0</v>
      </c>
      <c r="Y200" s="131">
        <v>68256639</v>
      </c>
      <c r="Z200" s="131">
        <v>0</v>
      </c>
      <c r="AA200" s="131">
        <v>0</v>
      </c>
      <c r="AB200" s="131">
        <v>0</v>
      </c>
      <c r="AC200" s="131">
        <v>0</v>
      </c>
      <c r="AD200" s="131">
        <v>0</v>
      </c>
      <c r="AE200" s="131">
        <v>0</v>
      </c>
      <c r="AF200" s="131">
        <v>68256639</v>
      </c>
      <c r="AG200" s="131">
        <v>0</v>
      </c>
      <c r="AH200" s="131">
        <v>68256639</v>
      </c>
      <c r="AI200" s="131">
        <v>68256639</v>
      </c>
      <c r="AJ200" s="131">
        <v>68256639</v>
      </c>
      <c r="AK200" s="131">
        <v>68256639</v>
      </c>
      <c r="AM200" s="131">
        <v>0</v>
      </c>
      <c r="AN200" s="131">
        <v>0</v>
      </c>
      <c r="AO200" s="131">
        <v>0</v>
      </c>
      <c r="AP200" s="131">
        <v>0</v>
      </c>
      <c r="AQ200" s="131">
        <v>0</v>
      </c>
      <c r="AR200" s="131">
        <v>0</v>
      </c>
      <c r="AS200" t="s">
        <v>1750</v>
      </c>
    </row>
    <row r="201" spans="1:45" ht="30" x14ac:dyDescent="0.25">
      <c r="A201">
        <v>2019</v>
      </c>
      <c r="B201">
        <v>318</v>
      </c>
      <c r="C201">
        <v>1.02040103010101E+16</v>
      </c>
      <c r="D201">
        <v>148</v>
      </c>
      <c r="E201" t="s">
        <v>2915</v>
      </c>
      <c r="F201">
        <v>1.02040103010101E+16</v>
      </c>
      <c r="G201" s="10" t="s">
        <v>2916</v>
      </c>
      <c r="H201" t="s">
        <v>2584</v>
      </c>
      <c r="I201" s="131">
        <v>0</v>
      </c>
      <c r="J201" s="131">
        <v>0</v>
      </c>
      <c r="K201" s="131">
        <v>151028573</v>
      </c>
      <c r="L201" s="131">
        <v>0</v>
      </c>
      <c r="M201" s="131">
        <v>151028573</v>
      </c>
      <c r="N201" s="131">
        <v>151028573</v>
      </c>
      <c r="O201" s="131">
        <v>0</v>
      </c>
      <c r="P201" s="131">
        <v>151028573</v>
      </c>
      <c r="Q201" s="131">
        <v>0</v>
      </c>
      <c r="R201" s="131">
        <v>0</v>
      </c>
      <c r="S201" s="131">
        <v>0</v>
      </c>
      <c r="T201" s="131">
        <v>0</v>
      </c>
      <c r="U201" s="131">
        <v>0</v>
      </c>
      <c r="V201" s="131">
        <v>0</v>
      </c>
      <c r="W201" s="131">
        <v>151028573</v>
      </c>
      <c r="X201" s="131">
        <v>0</v>
      </c>
      <c r="Y201" s="131">
        <v>151028573</v>
      </c>
      <c r="Z201" s="131">
        <v>0</v>
      </c>
      <c r="AA201" s="131">
        <v>0</v>
      </c>
      <c r="AB201" s="131">
        <v>0</v>
      </c>
      <c r="AC201" s="131">
        <v>0</v>
      </c>
      <c r="AD201" s="131">
        <v>0</v>
      </c>
      <c r="AE201" s="131">
        <v>0</v>
      </c>
      <c r="AF201" s="131">
        <v>151028573</v>
      </c>
      <c r="AG201" s="131">
        <v>0</v>
      </c>
      <c r="AH201" s="131">
        <v>151028573</v>
      </c>
      <c r="AI201" s="131">
        <v>151028573</v>
      </c>
      <c r="AJ201" s="131">
        <v>151028573</v>
      </c>
      <c r="AK201" s="131">
        <v>151028573</v>
      </c>
      <c r="AM201" s="131">
        <v>0</v>
      </c>
      <c r="AN201" s="131">
        <v>0</v>
      </c>
      <c r="AO201" s="131">
        <v>0</v>
      </c>
      <c r="AP201" s="131">
        <v>0</v>
      </c>
      <c r="AQ201" s="131">
        <v>0</v>
      </c>
      <c r="AR201" s="131">
        <v>0</v>
      </c>
      <c r="AS201" t="s">
        <v>2917</v>
      </c>
    </row>
    <row r="202" spans="1:45" ht="45" x14ac:dyDescent="0.25">
      <c r="A202">
        <v>2019</v>
      </c>
      <c r="B202">
        <v>318</v>
      </c>
      <c r="C202">
        <v>1.02040103010101E+16</v>
      </c>
      <c r="D202">
        <v>152</v>
      </c>
      <c r="E202" t="s">
        <v>2918</v>
      </c>
      <c r="F202">
        <v>1.02040103010101E+16</v>
      </c>
      <c r="G202" s="10" t="s">
        <v>2919</v>
      </c>
      <c r="H202" t="s">
        <v>2584</v>
      </c>
      <c r="I202" s="131">
        <v>0</v>
      </c>
      <c r="J202" s="131">
        <v>0</v>
      </c>
      <c r="K202" s="131">
        <v>903327</v>
      </c>
      <c r="L202" s="131">
        <v>0</v>
      </c>
      <c r="M202" s="131">
        <v>903327</v>
      </c>
      <c r="N202" s="131">
        <v>903327</v>
      </c>
      <c r="O202" s="131">
        <v>0</v>
      </c>
      <c r="P202" s="131">
        <v>903327</v>
      </c>
      <c r="Q202" s="131">
        <v>0</v>
      </c>
      <c r="R202" s="131">
        <v>0</v>
      </c>
      <c r="S202" s="131">
        <v>0</v>
      </c>
      <c r="T202" s="131">
        <v>0</v>
      </c>
      <c r="U202" s="131">
        <v>0</v>
      </c>
      <c r="V202" s="131">
        <v>0</v>
      </c>
      <c r="W202" s="131">
        <v>903327</v>
      </c>
      <c r="X202" s="131">
        <v>0</v>
      </c>
      <c r="Y202" s="131">
        <v>903327</v>
      </c>
      <c r="Z202" s="131">
        <v>0</v>
      </c>
      <c r="AA202" s="131">
        <v>0</v>
      </c>
      <c r="AB202" s="131">
        <v>0</v>
      </c>
      <c r="AC202" s="131">
        <v>0</v>
      </c>
      <c r="AD202" s="131">
        <v>0</v>
      </c>
      <c r="AE202" s="131">
        <v>0</v>
      </c>
      <c r="AF202" s="131">
        <v>903327</v>
      </c>
      <c r="AG202" s="131">
        <v>0</v>
      </c>
      <c r="AH202" s="131">
        <v>903327</v>
      </c>
      <c r="AI202" s="131">
        <v>903327</v>
      </c>
      <c r="AJ202" s="131">
        <v>903327</v>
      </c>
      <c r="AK202" s="131">
        <v>903327</v>
      </c>
      <c r="AM202" s="131">
        <v>0</v>
      </c>
      <c r="AN202" s="131">
        <v>0</v>
      </c>
      <c r="AO202" s="131">
        <v>0</v>
      </c>
      <c r="AP202" s="131">
        <v>0</v>
      </c>
      <c r="AQ202" s="131">
        <v>0</v>
      </c>
      <c r="AR202" s="131">
        <v>0</v>
      </c>
      <c r="AS202" t="s">
        <v>72</v>
      </c>
    </row>
    <row r="203" spans="1:45" ht="30" x14ac:dyDescent="0.25">
      <c r="A203">
        <v>2019</v>
      </c>
      <c r="B203">
        <v>318</v>
      </c>
      <c r="C203">
        <v>1.02040103010101E+16</v>
      </c>
      <c r="D203">
        <v>156</v>
      </c>
      <c r="E203" t="s">
        <v>2920</v>
      </c>
      <c r="F203">
        <v>1.02040103010101E+16</v>
      </c>
      <c r="G203" s="10" t="s">
        <v>2921</v>
      </c>
      <c r="H203" t="s">
        <v>2584</v>
      </c>
      <c r="I203" s="131">
        <v>0</v>
      </c>
      <c r="J203" s="131">
        <v>0</v>
      </c>
      <c r="K203" s="131">
        <v>134128260</v>
      </c>
      <c r="L203" s="131">
        <v>0</v>
      </c>
      <c r="M203" s="131">
        <v>134128260</v>
      </c>
      <c r="N203" s="131">
        <v>134128260</v>
      </c>
      <c r="O203" s="131">
        <v>0</v>
      </c>
      <c r="P203" s="131">
        <v>134128260</v>
      </c>
      <c r="Q203" s="131">
        <v>0</v>
      </c>
      <c r="R203" s="131">
        <v>0</v>
      </c>
      <c r="S203" s="131">
        <v>0</v>
      </c>
      <c r="T203" s="131">
        <v>0</v>
      </c>
      <c r="U203" s="131">
        <v>0</v>
      </c>
      <c r="V203" s="131">
        <v>0</v>
      </c>
      <c r="W203" s="131">
        <v>134128260</v>
      </c>
      <c r="X203" s="131">
        <v>0</v>
      </c>
      <c r="Y203" s="131">
        <v>134128260</v>
      </c>
      <c r="Z203" s="131">
        <v>0</v>
      </c>
      <c r="AA203" s="131">
        <v>0</v>
      </c>
      <c r="AB203" s="131">
        <v>0</v>
      </c>
      <c r="AC203" s="131">
        <v>0</v>
      </c>
      <c r="AD203" s="131">
        <v>0</v>
      </c>
      <c r="AE203" s="131">
        <v>0</v>
      </c>
      <c r="AF203" s="131">
        <v>134128260</v>
      </c>
      <c r="AG203" s="131">
        <v>0</v>
      </c>
      <c r="AH203" s="131">
        <v>134128260</v>
      </c>
      <c r="AI203" s="131">
        <v>134128260</v>
      </c>
      <c r="AJ203" s="131">
        <v>134128260</v>
      </c>
      <c r="AK203" s="131">
        <v>134128260</v>
      </c>
      <c r="AM203" s="131">
        <v>0</v>
      </c>
      <c r="AN203" s="131">
        <v>0</v>
      </c>
      <c r="AO203" s="131">
        <v>0</v>
      </c>
      <c r="AP203" s="131">
        <v>0</v>
      </c>
      <c r="AQ203" s="131">
        <v>0</v>
      </c>
      <c r="AR203" s="131">
        <v>0</v>
      </c>
      <c r="AS203" t="s">
        <v>2922</v>
      </c>
    </row>
    <row r="204" spans="1:45" ht="30" x14ac:dyDescent="0.25">
      <c r="A204">
        <v>2019</v>
      </c>
      <c r="B204">
        <v>318</v>
      </c>
      <c r="C204">
        <v>1.02040103010101E+16</v>
      </c>
      <c r="D204">
        <v>96</v>
      </c>
      <c r="E204" t="s">
        <v>2923</v>
      </c>
      <c r="F204">
        <v>1.02040103010101E+16</v>
      </c>
      <c r="G204" s="10" t="s">
        <v>2924</v>
      </c>
      <c r="H204" t="s">
        <v>2584</v>
      </c>
      <c r="I204" s="131">
        <v>0</v>
      </c>
      <c r="J204" s="131">
        <v>0</v>
      </c>
      <c r="K204" s="131">
        <v>1666797702.4000001</v>
      </c>
      <c r="L204" s="131">
        <v>0</v>
      </c>
      <c r="M204" s="131">
        <v>1666797702.4000001</v>
      </c>
      <c r="N204" s="131">
        <v>1666797702.4000001</v>
      </c>
      <c r="O204" s="131">
        <v>0</v>
      </c>
      <c r="P204" s="131">
        <v>1666797702.4000001</v>
      </c>
      <c r="Q204" s="131">
        <v>0</v>
      </c>
      <c r="R204" s="131">
        <v>0</v>
      </c>
      <c r="S204" s="131">
        <v>0</v>
      </c>
      <c r="T204" s="131">
        <v>0</v>
      </c>
      <c r="U204" s="131">
        <v>0</v>
      </c>
      <c r="V204" s="131">
        <v>0</v>
      </c>
      <c r="W204" s="131">
        <v>1666797702.4000001</v>
      </c>
      <c r="X204" s="131">
        <v>0</v>
      </c>
      <c r="Y204" s="131">
        <v>1666797702.4000001</v>
      </c>
      <c r="Z204" s="131">
        <v>0</v>
      </c>
      <c r="AA204" s="131">
        <v>0</v>
      </c>
      <c r="AB204" s="131">
        <v>0</v>
      </c>
      <c r="AC204" s="131">
        <v>0</v>
      </c>
      <c r="AD204" s="131">
        <v>0</v>
      </c>
      <c r="AE204" s="131">
        <v>0</v>
      </c>
      <c r="AF204" s="131">
        <v>1666797702.4000001</v>
      </c>
      <c r="AG204" s="131">
        <v>0</v>
      </c>
      <c r="AH204" s="131">
        <v>1666797702.4000001</v>
      </c>
      <c r="AI204" s="131">
        <v>1666797702.4000001</v>
      </c>
      <c r="AJ204" s="131">
        <v>0</v>
      </c>
      <c r="AK204" s="131">
        <v>0</v>
      </c>
      <c r="AM204" s="131">
        <v>1666797702.4000001</v>
      </c>
      <c r="AN204" s="131">
        <v>1666797702.4000001</v>
      </c>
      <c r="AO204" s="131">
        <v>0</v>
      </c>
      <c r="AP204" s="131">
        <v>1666797702.4000001</v>
      </c>
      <c r="AQ204" s="131">
        <v>0</v>
      </c>
      <c r="AR204" s="131">
        <v>0</v>
      </c>
      <c r="AS204" t="s">
        <v>215</v>
      </c>
    </row>
    <row r="205" spans="1:45" ht="30" x14ac:dyDescent="0.25">
      <c r="A205">
        <v>2019</v>
      </c>
      <c r="B205">
        <v>318</v>
      </c>
      <c r="C205">
        <v>1.02040103010101E+16</v>
      </c>
      <c r="D205">
        <v>167</v>
      </c>
      <c r="E205" t="s">
        <v>2925</v>
      </c>
      <c r="F205">
        <v>1.02040103010101E+16</v>
      </c>
      <c r="G205" s="10" t="s">
        <v>2926</v>
      </c>
      <c r="H205" t="s">
        <v>2584</v>
      </c>
      <c r="I205" s="131">
        <v>0</v>
      </c>
      <c r="J205" s="131">
        <v>0</v>
      </c>
      <c r="K205" s="131">
        <v>0</v>
      </c>
      <c r="L205" s="131">
        <v>0</v>
      </c>
      <c r="M205" s="131">
        <v>0</v>
      </c>
      <c r="N205" s="131">
        <v>0</v>
      </c>
      <c r="O205" s="131">
        <v>0</v>
      </c>
      <c r="P205" s="131">
        <v>0</v>
      </c>
      <c r="Q205" s="131">
        <v>0</v>
      </c>
      <c r="R205" s="131">
        <v>0</v>
      </c>
      <c r="S205" s="131">
        <v>0</v>
      </c>
      <c r="T205" s="131">
        <v>0</v>
      </c>
      <c r="U205" s="131">
        <v>0</v>
      </c>
      <c r="V205" s="131">
        <v>0</v>
      </c>
      <c r="W205" s="131">
        <v>4412521</v>
      </c>
      <c r="X205" s="131">
        <v>0</v>
      </c>
      <c r="Y205" s="131">
        <v>4412521</v>
      </c>
      <c r="Z205" s="131">
        <v>0</v>
      </c>
      <c r="AA205" s="131">
        <v>0</v>
      </c>
      <c r="AB205" s="131">
        <v>0</v>
      </c>
      <c r="AC205" s="131">
        <v>0</v>
      </c>
      <c r="AD205" s="131">
        <v>0</v>
      </c>
      <c r="AE205" s="131">
        <v>0</v>
      </c>
      <c r="AF205" s="131">
        <v>4412521</v>
      </c>
      <c r="AG205" s="131">
        <v>0</v>
      </c>
      <c r="AH205" s="131">
        <v>4412521</v>
      </c>
      <c r="AI205" s="131">
        <v>4412521</v>
      </c>
      <c r="AJ205" s="131">
        <v>0</v>
      </c>
      <c r="AK205" s="131">
        <v>0</v>
      </c>
      <c r="AM205" s="131">
        <v>4412521</v>
      </c>
      <c r="AN205" s="131">
        <v>4412521</v>
      </c>
      <c r="AO205" s="131">
        <v>0</v>
      </c>
      <c r="AP205" s="131">
        <v>4412521</v>
      </c>
      <c r="AQ205" s="131">
        <v>0</v>
      </c>
      <c r="AR205" s="131">
        <v>0</v>
      </c>
      <c r="AS205" t="s">
        <v>82</v>
      </c>
    </row>
    <row r="206" spans="1:45" ht="30" x14ac:dyDescent="0.25">
      <c r="A206">
        <v>2019</v>
      </c>
      <c r="B206">
        <v>318</v>
      </c>
      <c r="C206">
        <v>10204010302</v>
      </c>
      <c r="D206" t="s">
        <v>226</v>
      </c>
      <c r="E206" t="s">
        <v>2927</v>
      </c>
      <c r="F206">
        <v>10204010302</v>
      </c>
      <c r="G206" s="10" t="s">
        <v>1162</v>
      </c>
      <c r="H206" t="s">
        <v>2584</v>
      </c>
      <c r="I206" s="131">
        <v>108130021</v>
      </c>
      <c r="J206" s="131">
        <v>108130021</v>
      </c>
      <c r="K206" s="131">
        <v>0</v>
      </c>
      <c r="L206" s="131">
        <v>0</v>
      </c>
      <c r="M206" s="131">
        <v>0</v>
      </c>
      <c r="N206" s="131">
        <v>0</v>
      </c>
      <c r="O206" s="131">
        <v>0</v>
      </c>
      <c r="P206" s="131">
        <v>108130021</v>
      </c>
      <c r="Q206" s="131">
        <v>0</v>
      </c>
      <c r="R206" s="131">
        <v>0</v>
      </c>
      <c r="S206" s="131">
        <v>0</v>
      </c>
      <c r="T206" s="131">
        <v>0</v>
      </c>
      <c r="U206" s="131">
        <v>0</v>
      </c>
      <c r="V206" s="131">
        <v>0</v>
      </c>
      <c r="W206" s="131">
        <v>69508259.049999997</v>
      </c>
      <c r="X206" s="131">
        <v>0</v>
      </c>
      <c r="Y206" s="131">
        <v>69508259.049999997</v>
      </c>
      <c r="Z206" s="131">
        <v>0</v>
      </c>
      <c r="AA206" s="131">
        <v>0</v>
      </c>
      <c r="AB206" s="131">
        <v>0</v>
      </c>
      <c r="AC206" s="131">
        <v>0</v>
      </c>
      <c r="AD206" s="131">
        <v>0</v>
      </c>
      <c r="AE206" s="131">
        <v>0</v>
      </c>
      <c r="AF206" s="131">
        <v>69508259.049999997</v>
      </c>
      <c r="AG206" s="131">
        <v>0</v>
      </c>
      <c r="AH206" s="131">
        <v>69508259.049999997</v>
      </c>
      <c r="AI206" s="131">
        <v>69508259.049999997</v>
      </c>
      <c r="AJ206" s="131">
        <v>0</v>
      </c>
      <c r="AK206" s="131">
        <v>0</v>
      </c>
      <c r="AM206" s="131">
        <v>69508259.049999997</v>
      </c>
      <c r="AN206" s="131">
        <v>69508259.049999997</v>
      </c>
      <c r="AO206" s="131">
        <v>0</v>
      </c>
      <c r="AP206" s="131">
        <v>69508259.049999997</v>
      </c>
      <c r="AQ206" s="131">
        <v>0</v>
      </c>
      <c r="AR206" s="131">
        <v>0</v>
      </c>
      <c r="AS206" t="s">
        <v>1709</v>
      </c>
    </row>
    <row r="207" spans="1:45" x14ac:dyDescent="0.25">
      <c r="A207">
        <v>2019</v>
      </c>
      <c r="B207">
        <v>318</v>
      </c>
      <c r="C207">
        <v>1020401030201</v>
      </c>
      <c r="D207">
        <v>58</v>
      </c>
      <c r="E207" t="s">
        <v>2928</v>
      </c>
      <c r="F207">
        <v>1020401030201</v>
      </c>
      <c r="G207" s="10" t="s">
        <v>857</v>
      </c>
      <c r="H207" t="s">
        <v>2584</v>
      </c>
      <c r="I207" s="131">
        <v>81073317</v>
      </c>
      <c r="J207" s="131">
        <v>81073317</v>
      </c>
      <c r="K207" s="131">
        <v>0</v>
      </c>
      <c r="L207" s="131">
        <v>0</v>
      </c>
      <c r="M207" s="131">
        <v>0</v>
      </c>
      <c r="N207" s="131">
        <v>0</v>
      </c>
      <c r="O207" s="131">
        <v>0</v>
      </c>
      <c r="P207" s="131">
        <v>81073317</v>
      </c>
      <c r="Q207" s="131">
        <v>0</v>
      </c>
      <c r="R207" s="131">
        <v>0</v>
      </c>
      <c r="S207" s="131">
        <v>0</v>
      </c>
      <c r="T207" s="131">
        <v>0</v>
      </c>
      <c r="U207" s="131">
        <v>0</v>
      </c>
      <c r="V207" s="131">
        <v>0</v>
      </c>
      <c r="W207" s="131">
        <v>21913721.59</v>
      </c>
      <c r="X207" s="131">
        <v>0</v>
      </c>
      <c r="Y207" s="131">
        <v>21913721.59</v>
      </c>
      <c r="Z207" s="131">
        <v>0</v>
      </c>
      <c r="AA207" s="131">
        <v>0</v>
      </c>
      <c r="AB207" s="131">
        <v>0</v>
      </c>
      <c r="AC207" s="131">
        <v>0</v>
      </c>
      <c r="AD207" s="131">
        <v>0</v>
      </c>
      <c r="AE207" s="131">
        <v>0</v>
      </c>
      <c r="AF207" s="131">
        <v>21913721.59</v>
      </c>
      <c r="AG207" s="131">
        <v>0</v>
      </c>
      <c r="AH207" s="131">
        <v>21913721.59</v>
      </c>
      <c r="AI207" s="131">
        <v>21913721.59</v>
      </c>
      <c r="AJ207" s="131">
        <v>0</v>
      </c>
      <c r="AK207" s="131">
        <v>0</v>
      </c>
      <c r="AM207" s="131">
        <v>21913721.59</v>
      </c>
      <c r="AN207" s="131">
        <v>21913721.59</v>
      </c>
      <c r="AO207" s="131">
        <v>0</v>
      </c>
      <c r="AP207" s="131">
        <v>21913721.59</v>
      </c>
      <c r="AQ207" s="131">
        <v>0</v>
      </c>
      <c r="AR207" s="131">
        <v>0</v>
      </c>
      <c r="AS207" t="s">
        <v>175</v>
      </c>
    </row>
    <row r="208" spans="1:45" ht="30" x14ac:dyDescent="0.25">
      <c r="A208">
        <v>2019</v>
      </c>
      <c r="B208">
        <v>318</v>
      </c>
      <c r="C208">
        <v>1020401030202</v>
      </c>
      <c r="D208">
        <v>59</v>
      </c>
      <c r="E208" t="s">
        <v>2929</v>
      </c>
      <c r="F208">
        <v>1020401030202</v>
      </c>
      <c r="G208" s="10" t="s">
        <v>2930</v>
      </c>
      <c r="H208" t="s">
        <v>2584</v>
      </c>
      <c r="I208" s="131">
        <v>27056704</v>
      </c>
      <c r="J208" s="131">
        <v>27056704</v>
      </c>
      <c r="K208" s="131">
        <v>0</v>
      </c>
      <c r="L208" s="131">
        <v>0</v>
      </c>
      <c r="M208" s="131">
        <v>0</v>
      </c>
      <c r="N208" s="131">
        <v>0</v>
      </c>
      <c r="O208" s="131">
        <v>0</v>
      </c>
      <c r="P208" s="131">
        <v>27056704</v>
      </c>
      <c r="Q208" s="131">
        <v>0</v>
      </c>
      <c r="R208" s="131">
        <v>0</v>
      </c>
      <c r="S208" s="131">
        <v>0</v>
      </c>
      <c r="T208" s="131">
        <v>0</v>
      </c>
      <c r="U208" s="131">
        <v>0</v>
      </c>
      <c r="V208" s="131">
        <v>0</v>
      </c>
      <c r="W208" s="131">
        <v>37680300.539999999</v>
      </c>
      <c r="X208" s="131">
        <v>0</v>
      </c>
      <c r="Y208" s="131">
        <v>37680300.539999999</v>
      </c>
      <c r="Z208" s="131">
        <v>0</v>
      </c>
      <c r="AA208" s="131">
        <v>0</v>
      </c>
      <c r="AB208" s="131">
        <v>0</v>
      </c>
      <c r="AC208" s="131">
        <v>0</v>
      </c>
      <c r="AD208" s="131">
        <v>0</v>
      </c>
      <c r="AE208" s="131">
        <v>0</v>
      </c>
      <c r="AF208" s="131">
        <v>37680300.539999999</v>
      </c>
      <c r="AG208" s="131">
        <v>0</v>
      </c>
      <c r="AH208" s="131">
        <v>37680300.539999999</v>
      </c>
      <c r="AI208" s="131">
        <v>37680300.539999999</v>
      </c>
      <c r="AJ208" s="131">
        <v>0</v>
      </c>
      <c r="AK208" s="131">
        <v>0</v>
      </c>
      <c r="AM208" s="131">
        <v>37680300.539999999</v>
      </c>
      <c r="AN208" s="131">
        <v>37680300.539999999</v>
      </c>
      <c r="AO208" s="131">
        <v>0</v>
      </c>
      <c r="AP208" s="131">
        <v>37680300.539999999</v>
      </c>
      <c r="AQ208" s="131">
        <v>0</v>
      </c>
      <c r="AR208" s="131">
        <v>0</v>
      </c>
      <c r="AS208" t="s">
        <v>177</v>
      </c>
    </row>
    <row r="209" spans="1:45" x14ac:dyDescent="0.25">
      <c r="A209">
        <v>2019</v>
      </c>
      <c r="B209">
        <v>318</v>
      </c>
      <c r="C209">
        <v>1020401030203</v>
      </c>
      <c r="D209">
        <v>65</v>
      </c>
      <c r="E209" t="s">
        <v>2931</v>
      </c>
      <c r="F209">
        <v>1020401030203</v>
      </c>
      <c r="G209" s="10" t="s">
        <v>2932</v>
      </c>
      <c r="H209" t="s">
        <v>2584</v>
      </c>
      <c r="I209" s="131">
        <v>0</v>
      </c>
      <c r="J209" s="131">
        <v>0</v>
      </c>
      <c r="K209" s="131">
        <v>0</v>
      </c>
      <c r="L209" s="131">
        <v>0</v>
      </c>
      <c r="M209" s="131">
        <v>0</v>
      </c>
      <c r="N209" s="131">
        <v>0</v>
      </c>
      <c r="O209" s="131">
        <v>0</v>
      </c>
      <c r="P209" s="131">
        <v>0</v>
      </c>
      <c r="Q209" s="131">
        <v>0</v>
      </c>
      <c r="R209" s="131">
        <v>0</v>
      </c>
      <c r="S209" s="131">
        <v>0</v>
      </c>
      <c r="T209" s="131">
        <v>0</v>
      </c>
      <c r="U209" s="131">
        <v>0</v>
      </c>
      <c r="V209" s="131">
        <v>0</v>
      </c>
      <c r="W209" s="131">
        <v>986418.44</v>
      </c>
      <c r="X209" s="131">
        <v>0</v>
      </c>
      <c r="Y209" s="131">
        <v>986418.44</v>
      </c>
      <c r="Z209" s="131">
        <v>0</v>
      </c>
      <c r="AA209" s="131">
        <v>0</v>
      </c>
      <c r="AB209" s="131">
        <v>0</v>
      </c>
      <c r="AC209" s="131">
        <v>0</v>
      </c>
      <c r="AD209" s="131">
        <v>0</v>
      </c>
      <c r="AE209" s="131">
        <v>0</v>
      </c>
      <c r="AF209" s="131">
        <v>986418.44</v>
      </c>
      <c r="AG209" s="131">
        <v>0</v>
      </c>
      <c r="AH209" s="131">
        <v>986418.44</v>
      </c>
      <c r="AI209" s="131">
        <v>986418.44</v>
      </c>
      <c r="AJ209" s="131">
        <v>0</v>
      </c>
      <c r="AK209" s="131">
        <v>0</v>
      </c>
      <c r="AM209" s="131">
        <v>986418.44</v>
      </c>
      <c r="AN209" s="131">
        <v>986418.44</v>
      </c>
      <c r="AO209" s="131">
        <v>0</v>
      </c>
      <c r="AP209" s="131">
        <v>986418.44</v>
      </c>
      <c r="AQ209" s="131">
        <v>0</v>
      </c>
      <c r="AR209" s="131">
        <v>0</v>
      </c>
      <c r="AS209" t="s">
        <v>183</v>
      </c>
    </row>
    <row r="210" spans="1:45" ht="45" x14ac:dyDescent="0.25">
      <c r="A210">
        <v>2019</v>
      </c>
      <c r="B210">
        <v>318</v>
      </c>
      <c r="C210">
        <v>1020401030204</v>
      </c>
      <c r="D210">
        <v>152</v>
      </c>
      <c r="E210" t="s">
        <v>2933</v>
      </c>
      <c r="F210">
        <v>1020401030204</v>
      </c>
      <c r="G210" s="10" t="s">
        <v>2934</v>
      </c>
      <c r="H210" t="s">
        <v>2584</v>
      </c>
      <c r="I210" s="131">
        <v>0</v>
      </c>
      <c r="J210" s="131">
        <v>0</v>
      </c>
      <c r="K210" s="131">
        <v>0</v>
      </c>
      <c r="L210" s="131">
        <v>0</v>
      </c>
      <c r="M210" s="131">
        <v>0</v>
      </c>
      <c r="N210" s="131">
        <v>0</v>
      </c>
      <c r="O210" s="131">
        <v>0</v>
      </c>
      <c r="P210" s="131">
        <v>0</v>
      </c>
      <c r="Q210" s="131">
        <v>0</v>
      </c>
      <c r="R210" s="131">
        <v>0</v>
      </c>
      <c r="S210" s="131">
        <v>0</v>
      </c>
      <c r="T210" s="131">
        <v>0</v>
      </c>
      <c r="U210" s="131">
        <v>0</v>
      </c>
      <c r="V210" s="131">
        <v>0</v>
      </c>
      <c r="W210" s="131">
        <v>1200095.24</v>
      </c>
      <c r="X210" s="131">
        <v>0</v>
      </c>
      <c r="Y210" s="131">
        <v>1200095.24</v>
      </c>
      <c r="Z210" s="131">
        <v>0</v>
      </c>
      <c r="AA210" s="131">
        <v>0</v>
      </c>
      <c r="AB210" s="131">
        <v>0</v>
      </c>
      <c r="AC210" s="131">
        <v>0</v>
      </c>
      <c r="AD210" s="131">
        <v>0</v>
      </c>
      <c r="AE210" s="131">
        <v>0</v>
      </c>
      <c r="AF210" s="131">
        <v>1200095.24</v>
      </c>
      <c r="AG210" s="131">
        <v>0</v>
      </c>
      <c r="AH210" s="131">
        <v>1200095.24</v>
      </c>
      <c r="AI210" s="131">
        <v>1200095.24</v>
      </c>
      <c r="AJ210" s="131">
        <v>0</v>
      </c>
      <c r="AK210" s="131">
        <v>0</v>
      </c>
      <c r="AM210" s="131">
        <v>1200095.24</v>
      </c>
      <c r="AN210" s="131">
        <v>1200095.24</v>
      </c>
      <c r="AO210" s="131">
        <v>0</v>
      </c>
      <c r="AP210" s="131">
        <v>1200095.24</v>
      </c>
      <c r="AQ210" s="131">
        <v>0</v>
      </c>
      <c r="AR210" s="131">
        <v>0</v>
      </c>
      <c r="AS210" t="s">
        <v>72</v>
      </c>
    </row>
    <row r="211" spans="1:45" ht="30" x14ac:dyDescent="0.25">
      <c r="A211">
        <v>2019</v>
      </c>
      <c r="B211">
        <v>318</v>
      </c>
      <c r="C211">
        <v>1020401030205</v>
      </c>
      <c r="D211">
        <v>148</v>
      </c>
      <c r="E211" t="s">
        <v>2935</v>
      </c>
      <c r="F211">
        <v>1020401030205</v>
      </c>
      <c r="G211" s="10" t="s">
        <v>2936</v>
      </c>
      <c r="H211" t="s">
        <v>2584</v>
      </c>
      <c r="I211" s="131">
        <v>0</v>
      </c>
      <c r="J211" s="131">
        <v>0</v>
      </c>
      <c r="K211" s="131">
        <v>0</v>
      </c>
      <c r="L211" s="131">
        <v>0</v>
      </c>
      <c r="M211" s="131">
        <v>0</v>
      </c>
      <c r="N211" s="131">
        <v>0</v>
      </c>
      <c r="O211" s="131">
        <v>0</v>
      </c>
      <c r="P211" s="131">
        <v>0</v>
      </c>
      <c r="Q211" s="131">
        <v>0</v>
      </c>
      <c r="R211" s="131">
        <v>0</v>
      </c>
      <c r="S211" s="131">
        <v>0</v>
      </c>
      <c r="T211" s="131">
        <v>0</v>
      </c>
      <c r="U211" s="131">
        <v>0</v>
      </c>
      <c r="V211" s="131">
        <v>0</v>
      </c>
      <c r="W211" s="131">
        <v>0</v>
      </c>
      <c r="X211" s="131">
        <v>0</v>
      </c>
      <c r="Y211" s="131">
        <v>0</v>
      </c>
      <c r="Z211" s="131">
        <v>0</v>
      </c>
      <c r="AA211" s="131">
        <v>0</v>
      </c>
      <c r="AB211" s="131">
        <v>0</v>
      </c>
      <c r="AC211" s="131">
        <v>0</v>
      </c>
      <c r="AD211" s="131">
        <v>0</v>
      </c>
      <c r="AE211" s="131">
        <v>0</v>
      </c>
      <c r="AF211" s="131">
        <v>0</v>
      </c>
      <c r="AG211" s="131">
        <v>0</v>
      </c>
      <c r="AH211" s="131">
        <v>0</v>
      </c>
      <c r="AI211" s="131">
        <v>0</v>
      </c>
      <c r="AJ211" s="131">
        <v>0</v>
      </c>
      <c r="AK211" s="131">
        <v>0</v>
      </c>
      <c r="AM211" s="131">
        <v>0</v>
      </c>
      <c r="AN211" s="131">
        <v>0</v>
      </c>
      <c r="AO211" s="131">
        <v>0</v>
      </c>
      <c r="AP211" s="131">
        <v>0</v>
      </c>
      <c r="AQ211" s="131">
        <v>0</v>
      </c>
      <c r="AR211" s="131">
        <v>0</v>
      </c>
      <c r="AS211" t="s">
        <v>2917</v>
      </c>
    </row>
    <row r="212" spans="1:45" ht="30" x14ac:dyDescent="0.25">
      <c r="A212">
        <v>2019</v>
      </c>
      <c r="B212">
        <v>318</v>
      </c>
      <c r="C212">
        <v>1020401030206</v>
      </c>
      <c r="D212">
        <v>96</v>
      </c>
      <c r="E212" t="s">
        <v>2937</v>
      </c>
      <c r="F212">
        <v>1020401030206</v>
      </c>
      <c r="G212" s="10" t="s">
        <v>2938</v>
      </c>
      <c r="H212" t="s">
        <v>2584</v>
      </c>
      <c r="I212" s="131">
        <v>0</v>
      </c>
      <c r="J212" s="131">
        <v>0</v>
      </c>
      <c r="K212" s="131">
        <v>0</v>
      </c>
      <c r="L212" s="131">
        <v>0</v>
      </c>
      <c r="M212" s="131">
        <v>0</v>
      </c>
      <c r="N212" s="131">
        <v>0</v>
      </c>
      <c r="O212" s="131">
        <v>0</v>
      </c>
      <c r="P212" s="131">
        <v>0</v>
      </c>
      <c r="Q212" s="131">
        <v>0</v>
      </c>
      <c r="R212" s="131">
        <v>0</v>
      </c>
      <c r="S212" s="131">
        <v>0</v>
      </c>
      <c r="T212" s="131">
        <v>0</v>
      </c>
      <c r="U212" s="131">
        <v>0</v>
      </c>
      <c r="V212" s="131">
        <v>0</v>
      </c>
      <c r="W212" s="131">
        <v>7692081.8600000003</v>
      </c>
      <c r="X212" s="131">
        <v>0</v>
      </c>
      <c r="Y212" s="131">
        <v>7692081.8600000003</v>
      </c>
      <c r="Z212" s="131">
        <v>0</v>
      </c>
      <c r="AA212" s="131">
        <v>0</v>
      </c>
      <c r="AB212" s="131">
        <v>0</v>
      </c>
      <c r="AC212" s="131">
        <v>0</v>
      </c>
      <c r="AD212" s="131">
        <v>0</v>
      </c>
      <c r="AE212" s="131">
        <v>0</v>
      </c>
      <c r="AF212" s="131">
        <v>7692081.8600000003</v>
      </c>
      <c r="AG212" s="131">
        <v>0</v>
      </c>
      <c r="AH212" s="131">
        <v>7692081.8600000003</v>
      </c>
      <c r="AI212" s="131">
        <v>7692081.8600000003</v>
      </c>
      <c r="AJ212" s="131">
        <v>0</v>
      </c>
      <c r="AK212" s="131">
        <v>0</v>
      </c>
      <c r="AM212" s="131">
        <v>7692081.8600000003</v>
      </c>
      <c r="AN212" s="131">
        <v>7692081.8600000003</v>
      </c>
      <c r="AO212" s="131">
        <v>0</v>
      </c>
      <c r="AP212" s="131">
        <v>7692081.8600000003</v>
      </c>
      <c r="AQ212" s="131">
        <v>0</v>
      </c>
      <c r="AR212" s="131">
        <v>0</v>
      </c>
      <c r="AS212" t="s">
        <v>215</v>
      </c>
    </row>
    <row r="213" spans="1:45" ht="30" x14ac:dyDescent="0.25">
      <c r="A213">
        <v>2019</v>
      </c>
      <c r="B213">
        <v>318</v>
      </c>
      <c r="C213">
        <v>1020401030207</v>
      </c>
      <c r="D213">
        <v>167</v>
      </c>
      <c r="E213" t="s">
        <v>2939</v>
      </c>
      <c r="F213">
        <v>1020401030207</v>
      </c>
      <c r="G213" s="10" t="s">
        <v>2940</v>
      </c>
      <c r="H213" t="s">
        <v>2584</v>
      </c>
      <c r="I213" s="131">
        <v>0</v>
      </c>
      <c r="J213" s="131">
        <v>0</v>
      </c>
      <c r="K213" s="131">
        <v>0</v>
      </c>
      <c r="L213" s="131">
        <v>0</v>
      </c>
      <c r="M213" s="131">
        <v>0</v>
      </c>
      <c r="N213" s="131">
        <v>0</v>
      </c>
      <c r="O213" s="131">
        <v>0</v>
      </c>
      <c r="P213" s="131">
        <v>0</v>
      </c>
      <c r="Q213" s="131">
        <v>0</v>
      </c>
      <c r="R213" s="131">
        <v>0</v>
      </c>
      <c r="S213" s="131">
        <v>0</v>
      </c>
      <c r="T213" s="131">
        <v>0</v>
      </c>
      <c r="U213" s="131">
        <v>0</v>
      </c>
      <c r="V213" s="131">
        <v>0</v>
      </c>
      <c r="W213" s="131">
        <v>14561.18</v>
      </c>
      <c r="X213" s="131">
        <v>0</v>
      </c>
      <c r="Y213" s="131">
        <v>14561.18</v>
      </c>
      <c r="Z213" s="131">
        <v>0</v>
      </c>
      <c r="AA213" s="131">
        <v>0</v>
      </c>
      <c r="AB213" s="131">
        <v>0</v>
      </c>
      <c r="AC213" s="131">
        <v>0</v>
      </c>
      <c r="AD213" s="131">
        <v>0</v>
      </c>
      <c r="AE213" s="131">
        <v>0</v>
      </c>
      <c r="AF213" s="131">
        <v>14561.18</v>
      </c>
      <c r="AG213" s="131">
        <v>0</v>
      </c>
      <c r="AH213" s="131">
        <v>14561.18</v>
      </c>
      <c r="AI213" s="131">
        <v>14561.18</v>
      </c>
      <c r="AJ213" s="131">
        <v>0</v>
      </c>
      <c r="AK213" s="131">
        <v>0</v>
      </c>
      <c r="AM213" s="131">
        <v>14561.18</v>
      </c>
      <c r="AN213" s="131">
        <v>14561.18</v>
      </c>
      <c r="AO213" s="131">
        <v>0</v>
      </c>
      <c r="AP213" s="131">
        <v>14561.18</v>
      </c>
      <c r="AQ213" s="131">
        <v>0</v>
      </c>
      <c r="AR213" s="131">
        <v>0</v>
      </c>
      <c r="AS213" t="s">
        <v>82</v>
      </c>
    </row>
    <row r="214" spans="1:45" x14ac:dyDescent="0.25">
      <c r="A214">
        <v>2019</v>
      </c>
      <c r="B214">
        <v>318</v>
      </c>
      <c r="C214">
        <v>1020401030208</v>
      </c>
      <c r="D214">
        <v>169</v>
      </c>
      <c r="E214" t="s">
        <v>2941</v>
      </c>
      <c r="F214">
        <v>1020401030208</v>
      </c>
      <c r="G214" s="10" t="s">
        <v>2942</v>
      </c>
      <c r="H214" t="s">
        <v>2584</v>
      </c>
      <c r="I214" s="131">
        <v>0</v>
      </c>
      <c r="J214" s="131">
        <v>0</v>
      </c>
      <c r="K214" s="131">
        <v>0</v>
      </c>
      <c r="L214" s="131">
        <v>0</v>
      </c>
      <c r="M214" s="131">
        <v>0</v>
      </c>
      <c r="N214" s="131">
        <v>0</v>
      </c>
      <c r="O214" s="131">
        <v>0</v>
      </c>
      <c r="P214" s="131">
        <v>0</v>
      </c>
      <c r="Q214" s="131">
        <v>0</v>
      </c>
      <c r="R214" s="131">
        <v>0</v>
      </c>
      <c r="S214" s="131">
        <v>0</v>
      </c>
      <c r="T214" s="131">
        <v>0</v>
      </c>
      <c r="U214" s="131">
        <v>0</v>
      </c>
      <c r="V214" s="131">
        <v>0</v>
      </c>
      <c r="W214" s="131">
        <v>21080.2</v>
      </c>
      <c r="X214" s="131">
        <v>0</v>
      </c>
      <c r="Y214" s="131">
        <v>21080.2</v>
      </c>
      <c r="Z214" s="131">
        <v>0</v>
      </c>
      <c r="AA214" s="131">
        <v>0</v>
      </c>
      <c r="AB214" s="131">
        <v>0</v>
      </c>
      <c r="AC214" s="131">
        <v>0</v>
      </c>
      <c r="AD214" s="131">
        <v>0</v>
      </c>
      <c r="AE214" s="131">
        <v>0</v>
      </c>
      <c r="AF214" s="131">
        <v>21080.2</v>
      </c>
      <c r="AG214" s="131">
        <v>0</v>
      </c>
      <c r="AH214" s="131">
        <v>21080.2</v>
      </c>
      <c r="AI214" s="131">
        <v>21080.2</v>
      </c>
      <c r="AJ214" s="131">
        <v>0</v>
      </c>
      <c r="AK214" s="131">
        <v>0</v>
      </c>
      <c r="AM214" s="131">
        <v>21080.2</v>
      </c>
      <c r="AN214" s="131">
        <v>21080.2</v>
      </c>
      <c r="AO214" s="131">
        <v>0</v>
      </c>
      <c r="AP214" s="131">
        <v>21080.2</v>
      </c>
      <c r="AQ214" s="131">
        <v>0</v>
      </c>
      <c r="AR214" s="131">
        <v>0</v>
      </c>
      <c r="AS214" t="s">
        <v>2943</v>
      </c>
    </row>
    <row r="215" spans="1:45" x14ac:dyDescent="0.25">
      <c r="A215">
        <v>2019</v>
      </c>
      <c r="B215">
        <v>318</v>
      </c>
      <c r="C215">
        <v>10204010304</v>
      </c>
      <c r="D215" t="s">
        <v>226</v>
      </c>
      <c r="E215" t="s">
        <v>2944</v>
      </c>
      <c r="F215">
        <v>10204010304</v>
      </c>
      <c r="G215" s="10" t="s">
        <v>2945</v>
      </c>
      <c r="H215" t="s">
        <v>2584</v>
      </c>
      <c r="I215" s="131">
        <v>0</v>
      </c>
      <c r="J215" s="131">
        <v>0</v>
      </c>
      <c r="K215" s="131">
        <v>139747405.91999999</v>
      </c>
      <c r="L215" s="131">
        <v>0</v>
      </c>
      <c r="M215" s="131">
        <v>139747405.91999999</v>
      </c>
      <c r="N215" s="131">
        <v>139747405.91999999</v>
      </c>
      <c r="O215" s="131">
        <v>0</v>
      </c>
      <c r="P215" s="131">
        <v>139747405.91999999</v>
      </c>
      <c r="Q215" s="131">
        <v>0</v>
      </c>
      <c r="R215" s="131">
        <v>0</v>
      </c>
      <c r="S215" s="131">
        <v>0</v>
      </c>
      <c r="T215" s="131">
        <v>0</v>
      </c>
      <c r="U215" s="131">
        <v>0</v>
      </c>
      <c r="V215" s="131">
        <v>0</v>
      </c>
      <c r="W215" s="131">
        <v>139747405.91999999</v>
      </c>
      <c r="X215" s="131">
        <v>0</v>
      </c>
      <c r="Y215" s="131">
        <v>139747405.91999999</v>
      </c>
      <c r="Z215" s="131">
        <v>0</v>
      </c>
      <c r="AA215" s="131">
        <v>0</v>
      </c>
      <c r="AB215" s="131">
        <v>0</v>
      </c>
      <c r="AC215" s="131">
        <v>0</v>
      </c>
      <c r="AD215" s="131">
        <v>0</v>
      </c>
      <c r="AE215" s="131">
        <v>0</v>
      </c>
      <c r="AF215" s="131">
        <v>139747405.91999999</v>
      </c>
      <c r="AG215" s="131">
        <v>0</v>
      </c>
      <c r="AH215" s="131">
        <v>139747405.91999999</v>
      </c>
      <c r="AI215" s="131">
        <v>139747405.91999999</v>
      </c>
      <c r="AJ215" s="131">
        <v>0</v>
      </c>
      <c r="AK215" s="131">
        <v>0</v>
      </c>
      <c r="AM215" s="131">
        <v>139747405.91999999</v>
      </c>
      <c r="AN215" s="131">
        <v>139747405.91999999</v>
      </c>
      <c r="AO215" s="131">
        <v>0</v>
      </c>
      <c r="AP215" s="131">
        <v>139747405.91999999</v>
      </c>
      <c r="AQ215" s="131">
        <v>0</v>
      </c>
      <c r="AR215" s="131">
        <v>0</v>
      </c>
      <c r="AS215" t="s">
        <v>1709</v>
      </c>
    </row>
    <row r="216" spans="1:45" ht="30" x14ac:dyDescent="0.25">
      <c r="A216">
        <v>2019</v>
      </c>
      <c r="B216">
        <v>318</v>
      </c>
      <c r="C216">
        <v>1020401030402</v>
      </c>
      <c r="D216" t="s">
        <v>226</v>
      </c>
      <c r="E216" t="s">
        <v>2946</v>
      </c>
      <c r="F216">
        <v>1020401030402</v>
      </c>
      <c r="G216" s="10" t="s">
        <v>2947</v>
      </c>
      <c r="H216" t="s">
        <v>2584</v>
      </c>
      <c r="I216" s="131">
        <v>0</v>
      </c>
      <c r="J216" s="131">
        <v>0</v>
      </c>
      <c r="K216" s="131">
        <v>139747405.91999999</v>
      </c>
      <c r="L216" s="131">
        <v>0</v>
      </c>
      <c r="M216" s="131">
        <v>139747405.91999999</v>
      </c>
      <c r="N216" s="131">
        <v>139747405.91999999</v>
      </c>
      <c r="O216" s="131">
        <v>0</v>
      </c>
      <c r="P216" s="131">
        <v>139747405.91999999</v>
      </c>
      <c r="Q216" s="131">
        <v>0</v>
      </c>
      <c r="R216" s="131">
        <v>0</v>
      </c>
      <c r="S216" s="131">
        <v>0</v>
      </c>
      <c r="T216" s="131">
        <v>0</v>
      </c>
      <c r="U216" s="131">
        <v>0</v>
      </c>
      <c r="V216" s="131">
        <v>0</v>
      </c>
      <c r="W216" s="131">
        <v>139747405.91999999</v>
      </c>
      <c r="X216" s="131">
        <v>0</v>
      </c>
      <c r="Y216" s="131">
        <v>139747405.91999999</v>
      </c>
      <c r="Z216" s="131">
        <v>0</v>
      </c>
      <c r="AA216" s="131">
        <v>0</v>
      </c>
      <c r="AB216" s="131">
        <v>0</v>
      </c>
      <c r="AC216" s="131">
        <v>0</v>
      </c>
      <c r="AD216" s="131">
        <v>0</v>
      </c>
      <c r="AE216" s="131">
        <v>0</v>
      </c>
      <c r="AF216" s="131">
        <v>139747405.91999999</v>
      </c>
      <c r="AG216" s="131">
        <v>0</v>
      </c>
      <c r="AH216" s="131">
        <v>139747405.91999999</v>
      </c>
      <c r="AI216" s="131">
        <v>139747405.91999999</v>
      </c>
      <c r="AJ216" s="131">
        <v>0</v>
      </c>
      <c r="AK216" s="131">
        <v>0</v>
      </c>
      <c r="AM216" s="131">
        <v>139747405.91999999</v>
      </c>
      <c r="AN216" s="131">
        <v>139747405.91999999</v>
      </c>
      <c r="AO216" s="131">
        <v>0</v>
      </c>
      <c r="AP216" s="131">
        <v>139747405.91999999</v>
      </c>
      <c r="AQ216" s="131">
        <v>0</v>
      </c>
      <c r="AR216" s="131">
        <v>0</v>
      </c>
      <c r="AS216" t="s">
        <v>1709</v>
      </c>
    </row>
    <row r="217" spans="1:45" ht="30" x14ac:dyDescent="0.25">
      <c r="A217">
        <v>2019</v>
      </c>
      <c r="B217">
        <v>318</v>
      </c>
      <c r="C217">
        <v>102040103040201</v>
      </c>
      <c r="D217">
        <v>152</v>
      </c>
      <c r="E217" t="s">
        <v>2948</v>
      </c>
      <c r="F217">
        <v>102040103040201</v>
      </c>
      <c r="G217" s="10" t="s">
        <v>864</v>
      </c>
      <c r="H217" t="s">
        <v>2584</v>
      </c>
      <c r="I217" s="131">
        <v>0</v>
      </c>
      <c r="J217" s="131">
        <v>0</v>
      </c>
      <c r="K217" s="131">
        <v>139747405.91999999</v>
      </c>
      <c r="L217" s="131">
        <v>0</v>
      </c>
      <c r="M217" s="131">
        <v>139747405.91999999</v>
      </c>
      <c r="N217" s="131">
        <v>139747405.91999999</v>
      </c>
      <c r="O217" s="131">
        <v>0</v>
      </c>
      <c r="P217" s="131">
        <v>139747405.91999999</v>
      </c>
      <c r="Q217" s="131">
        <v>0</v>
      </c>
      <c r="R217" s="131">
        <v>0</v>
      </c>
      <c r="S217" s="131">
        <v>0</v>
      </c>
      <c r="T217" s="131">
        <v>0</v>
      </c>
      <c r="U217" s="131">
        <v>0</v>
      </c>
      <c r="V217" s="131">
        <v>0</v>
      </c>
      <c r="W217" s="131">
        <v>139747405.91999999</v>
      </c>
      <c r="X217" s="131">
        <v>0</v>
      </c>
      <c r="Y217" s="131">
        <v>139747405.91999999</v>
      </c>
      <c r="Z217" s="131">
        <v>0</v>
      </c>
      <c r="AA217" s="131">
        <v>0</v>
      </c>
      <c r="AB217" s="131">
        <v>0</v>
      </c>
      <c r="AC217" s="131">
        <v>0</v>
      </c>
      <c r="AD217" s="131">
        <v>0</v>
      </c>
      <c r="AE217" s="131">
        <v>0</v>
      </c>
      <c r="AF217" s="131">
        <v>139747405.91999999</v>
      </c>
      <c r="AG217" s="131">
        <v>0</v>
      </c>
      <c r="AH217" s="131">
        <v>139747405.91999999</v>
      </c>
      <c r="AI217" s="131">
        <v>139747405.91999999</v>
      </c>
      <c r="AJ217" s="131">
        <v>0</v>
      </c>
      <c r="AK217" s="131">
        <v>0</v>
      </c>
      <c r="AM217" s="131">
        <v>139747405.91999999</v>
      </c>
      <c r="AN217" s="131">
        <v>139747405.91999999</v>
      </c>
      <c r="AO217" s="131">
        <v>0</v>
      </c>
      <c r="AP217" s="131">
        <v>139747405.91999999</v>
      </c>
      <c r="AQ217" s="131">
        <v>0</v>
      </c>
      <c r="AR217" s="131">
        <v>0</v>
      </c>
      <c r="AS217" t="s">
        <v>72</v>
      </c>
    </row>
    <row r="218" spans="1:45" x14ac:dyDescent="0.25">
      <c r="A218">
        <v>2019</v>
      </c>
      <c r="B218">
        <v>318</v>
      </c>
      <c r="C218">
        <v>102040104</v>
      </c>
      <c r="D218" t="s">
        <v>226</v>
      </c>
      <c r="E218" t="s">
        <v>2949</v>
      </c>
      <c r="F218">
        <v>102040104</v>
      </c>
      <c r="G218" s="10" t="s">
        <v>1087</v>
      </c>
      <c r="H218" t="s">
        <v>2584</v>
      </c>
      <c r="I218" s="131">
        <v>1097554095</v>
      </c>
      <c r="J218" s="131">
        <v>1097554095</v>
      </c>
      <c r="K218" s="131">
        <v>445930014</v>
      </c>
      <c r="L218" s="131">
        <v>0</v>
      </c>
      <c r="M218" s="131">
        <v>445930014</v>
      </c>
      <c r="N218" s="131">
        <v>445930014</v>
      </c>
      <c r="O218" s="131">
        <v>0</v>
      </c>
      <c r="P218" s="131">
        <v>1543484109</v>
      </c>
      <c r="Q218" s="131">
        <v>0</v>
      </c>
      <c r="R218" s="131">
        <v>0</v>
      </c>
      <c r="S218" s="131">
        <v>0</v>
      </c>
      <c r="T218" s="131">
        <v>0</v>
      </c>
      <c r="U218" s="131">
        <v>0</v>
      </c>
      <c r="V218" s="131">
        <v>0</v>
      </c>
      <c r="W218" s="131">
        <v>1855705218</v>
      </c>
      <c r="X218" s="131">
        <v>290726109</v>
      </c>
      <c r="Y218" s="131">
        <v>1564979109</v>
      </c>
      <c r="Z218" s="131">
        <v>0</v>
      </c>
      <c r="AA218" s="131">
        <v>0</v>
      </c>
      <c r="AB218" s="131">
        <v>0</v>
      </c>
      <c r="AC218" s="131">
        <v>0</v>
      </c>
      <c r="AD218" s="131">
        <v>0</v>
      </c>
      <c r="AE218" s="131">
        <v>0</v>
      </c>
      <c r="AF218" s="131">
        <v>1855705218</v>
      </c>
      <c r="AG218" s="131">
        <v>290726109</v>
      </c>
      <c r="AH218" s="131">
        <v>1564979109</v>
      </c>
      <c r="AI218" s="131">
        <v>1564979109</v>
      </c>
      <c r="AJ218" s="131">
        <v>0</v>
      </c>
      <c r="AK218" s="131">
        <v>0</v>
      </c>
      <c r="AM218" s="131">
        <v>1564979109</v>
      </c>
      <c r="AN218" s="131">
        <v>1855705218</v>
      </c>
      <c r="AO218" s="131">
        <v>290726109</v>
      </c>
      <c r="AP218" s="131">
        <v>1855705218</v>
      </c>
      <c r="AQ218" s="131">
        <v>0</v>
      </c>
      <c r="AR218" s="131">
        <v>290726109</v>
      </c>
      <c r="AS218" t="s">
        <v>1709</v>
      </c>
    </row>
    <row r="219" spans="1:45" x14ac:dyDescent="0.25">
      <c r="A219">
        <v>2019</v>
      </c>
      <c r="B219">
        <v>318</v>
      </c>
      <c r="C219">
        <v>10204010401</v>
      </c>
      <c r="D219" t="s">
        <v>226</v>
      </c>
      <c r="E219" t="s">
        <v>2950</v>
      </c>
      <c r="F219">
        <v>10204010401</v>
      </c>
      <c r="G219" s="10" t="s">
        <v>2951</v>
      </c>
      <c r="H219" t="s">
        <v>2584</v>
      </c>
      <c r="I219" s="131">
        <v>1097554095</v>
      </c>
      <c r="J219" s="131">
        <v>1097554095</v>
      </c>
      <c r="K219" s="131">
        <v>445930014</v>
      </c>
      <c r="L219" s="131">
        <v>0</v>
      </c>
      <c r="M219" s="131">
        <v>445930014</v>
      </c>
      <c r="N219" s="131">
        <v>445930014</v>
      </c>
      <c r="O219" s="131">
        <v>0</v>
      </c>
      <c r="P219" s="131">
        <v>1543484109</v>
      </c>
      <c r="Q219" s="131">
        <v>0</v>
      </c>
      <c r="R219" s="131">
        <v>0</v>
      </c>
      <c r="S219" s="131">
        <v>0</v>
      </c>
      <c r="T219" s="131">
        <v>0</v>
      </c>
      <c r="U219" s="131">
        <v>0</v>
      </c>
      <c r="V219" s="131">
        <v>0</v>
      </c>
      <c r="W219" s="131">
        <v>1855705218</v>
      </c>
      <c r="X219" s="131">
        <v>290726109</v>
      </c>
      <c r="Y219" s="131">
        <v>1564979109</v>
      </c>
      <c r="Z219" s="131">
        <v>0</v>
      </c>
      <c r="AA219" s="131">
        <v>0</v>
      </c>
      <c r="AB219" s="131">
        <v>0</v>
      </c>
      <c r="AC219" s="131">
        <v>0</v>
      </c>
      <c r="AD219" s="131">
        <v>0</v>
      </c>
      <c r="AE219" s="131">
        <v>0</v>
      </c>
      <c r="AF219" s="131">
        <v>1855705218</v>
      </c>
      <c r="AG219" s="131">
        <v>290726109</v>
      </c>
      <c r="AH219" s="131">
        <v>1564979109</v>
      </c>
      <c r="AI219" s="131">
        <v>1564979109</v>
      </c>
      <c r="AJ219" s="131">
        <v>0</v>
      </c>
      <c r="AK219" s="131">
        <v>0</v>
      </c>
      <c r="AM219" s="131">
        <v>1564979109</v>
      </c>
      <c r="AN219" s="131">
        <v>1855705218</v>
      </c>
      <c r="AO219" s="131">
        <v>290726109</v>
      </c>
      <c r="AP219" s="131">
        <v>1855705218</v>
      </c>
      <c r="AQ219" s="131">
        <v>0</v>
      </c>
      <c r="AR219" s="131">
        <v>290726109</v>
      </c>
      <c r="AS219" t="s">
        <v>1709</v>
      </c>
    </row>
    <row r="220" spans="1:45" ht="30" x14ac:dyDescent="0.25">
      <c r="A220">
        <v>2019</v>
      </c>
      <c r="B220">
        <v>318</v>
      </c>
      <c r="C220">
        <v>1020401040101</v>
      </c>
      <c r="D220" t="s">
        <v>226</v>
      </c>
      <c r="E220" t="s">
        <v>2952</v>
      </c>
      <c r="F220">
        <v>1020401040101</v>
      </c>
      <c r="G220" s="10" t="s">
        <v>2953</v>
      </c>
      <c r="H220" t="s">
        <v>2584</v>
      </c>
      <c r="I220" s="131">
        <v>1097554095</v>
      </c>
      <c r="J220" s="131">
        <v>1097554095</v>
      </c>
      <c r="K220" s="131">
        <v>445930014</v>
      </c>
      <c r="L220" s="131">
        <v>0</v>
      </c>
      <c r="M220" s="131">
        <v>445930014</v>
      </c>
      <c r="N220" s="131">
        <v>445930014</v>
      </c>
      <c r="O220" s="131">
        <v>0</v>
      </c>
      <c r="P220" s="131">
        <v>1543484109</v>
      </c>
      <c r="Q220" s="131">
        <v>0</v>
      </c>
      <c r="R220" s="131">
        <v>0</v>
      </c>
      <c r="S220" s="131">
        <v>0</v>
      </c>
      <c r="T220" s="131">
        <v>0</v>
      </c>
      <c r="U220" s="131">
        <v>0</v>
      </c>
      <c r="V220" s="131">
        <v>0</v>
      </c>
      <c r="W220" s="131">
        <v>1855705218</v>
      </c>
      <c r="X220" s="131">
        <v>290726109</v>
      </c>
      <c r="Y220" s="131">
        <v>1564979109</v>
      </c>
      <c r="Z220" s="131">
        <v>0</v>
      </c>
      <c r="AA220" s="131">
        <v>0</v>
      </c>
      <c r="AB220" s="131">
        <v>0</v>
      </c>
      <c r="AC220" s="131">
        <v>0</v>
      </c>
      <c r="AD220" s="131">
        <v>0</v>
      </c>
      <c r="AE220" s="131">
        <v>0</v>
      </c>
      <c r="AF220" s="131">
        <v>1855705218</v>
      </c>
      <c r="AG220" s="131">
        <v>290726109</v>
      </c>
      <c r="AH220" s="131">
        <v>1564979109</v>
      </c>
      <c r="AI220" s="131">
        <v>1564979109</v>
      </c>
      <c r="AJ220" s="131">
        <v>0</v>
      </c>
      <c r="AK220" s="131">
        <v>0</v>
      </c>
      <c r="AM220" s="131">
        <v>1564979109</v>
      </c>
      <c r="AN220" s="131">
        <v>1855705218</v>
      </c>
      <c r="AO220" s="131">
        <v>290726109</v>
      </c>
      <c r="AP220" s="131">
        <v>1855705218</v>
      </c>
      <c r="AQ220" s="131">
        <v>0</v>
      </c>
      <c r="AR220" s="131">
        <v>290726109</v>
      </c>
      <c r="AS220" t="s">
        <v>1709</v>
      </c>
    </row>
    <row r="221" spans="1:45" ht="30" x14ac:dyDescent="0.25">
      <c r="A221">
        <v>2019</v>
      </c>
      <c r="B221">
        <v>318</v>
      </c>
      <c r="C221">
        <v>102040104010101</v>
      </c>
      <c r="D221">
        <v>110</v>
      </c>
      <c r="E221" t="s">
        <v>2954</v>
      </c>
      <c r="F221">
        <v>102040104010101</v>
      </c>
      <c r="G221" s="10" t="s">
        <v>2955</v>
      </c>
      <c r="H221" t="s">
        <v>2584</v>
      </c>
      <c r="I221" s="131">
        <v>1097554095</v>
      </c>
      <c r="J221" s="131">
        <v>1097554095</v>
      </c>
      <c r="K221" s="131">
        <v>0</v>
      </c>
      <c r="L221" s="131">
        <v>0</v>
      </c>
      <c r="M221" s="131">
        <v>0</v>
      </c>
      <c r="N221" s="131">
        <v>0</v>
      </c>
      <c r="O221" s="131">
        <v>0</v>
      </c>
      <c r="P221" s="131">
        <v>1097554095</v>
      </c>
      <c r="Q221" s="131">
        <v>0</v>
      </c>
      <c r="R221" s="131">
        <v>0</v>
      </c>
      <c r="S221" s="131">
        <v>0</v>
      </c>
      <c r="T221" s="131">
        <v>0</v>
      </c>
      <c r="U221" s="131">
        <v>0</v>
      </c>
      <c r="V221" s="131">
        <v>0</v>
      </c>
      <c r="W221" s="131">
        <v>1849317218</v>
      </c>
      <c r="X221" s="131">
        <v>290726109</v>
      </c>
      <c r="Y221" s="131">
        <v>1558591109</v>
      </c>
      <c r="Z221" s="131">
        <v>0</v>
      </c>
      <c r="AA221" s="131">
        <v>0</v>
      </c>
      <c r="AB221" s="131">
        <v>0</v>
      </c>
      <c r="AC221" s="131">
        <v>0</v>
      </c>
      <c r="AD221" s="131">
        <v>0</v>
      </c>
      <c r="AE221" s="131">
        <v>0</v>
      </c>
      <c r="AF221" s="131">
        <v>1849317218</v>
      </c>
      <c r="AG221" s="131">
        <v>290726109</v>
      </c>
      <c r="AH221" s="131">
        <v>1558591109</v>
      </c>
      <c r="AI221" s="131">
        <v>1558591109</v>
      </c>
      <c r="AJ221" s="131">
        <v>0</v>
      </c>
      <c r="AK221" s="131">
        <v>0</v>
      </c>
      <c r="AM221" s="131">
        <v>1558591109</v>
      </c>
      <c r="AN221" s="131">
        <v>1849317218</v>
      </c>
      <c r="AO221" s="131">
        <v>290726109</v>
      </c>
      <c r="AP221" s="131">
        <v>1849317218</v>
      </c>
      <c r="AQ221" s="131">
        <v>0</v>
      </c>
      <c r="AR221" s="131">
        <v>290726109</v>
      </c>
      <c r="AS221" t="s">
        <v>42</v>
      </c>
    </row>
    <row r="222" spans="1:45" ht="30" x14ac:dyDescent="0.25">
      <c r="A222">
        <v>2019</v>
      </c>
      <c r="B222">
        <v>318</v>
      </c>
      <c r="C222">
        <v>102040104010104</v>
      </c>
      <c r="D222">
        <v>110</v>
      </c>
      <c r="E222" t="s">
        <v>2956</v>
      </c>
      <c r="F222">
        <v>102040104010104</v>
      </c>
      <c r="G222" s="10" t="s">
        <v>2957</v>
      </c>
      <c r="H222" t="s">
        <v>2584</v>
      </c>
      <c r="I222" s="131">
        <v>0</v>
      </c>
      <c r="J222" s="131">
        <v>0</v>
      </c>
      <c r="K222" s="131">
        <v>155203905</v>
      </c>
      <c r="L222" s="131">
        <v>0</v>
      </c>
      <c r="M222" s="131">
        <v>155203905</v>
      </c>
      <c r="N222" s="131">
        <v>155203905</v>
      </c>
      <c r="O222" s="131">
        <v>0</v>
      </c>
      <c r="P222" s="131">
        <v>155203905</v>
      </c>
      <c r="Q222" s="131">
        <v>0</v>
      </c>
      <c r="R222" s="131">
        <v>0</v>
      </c>
      <c r="S222" s="131">
        <v>0</v>
      </c>
      <c r="T222" s="131">
        <v>0</v>
      </c>
      <c r="U222" s="131">
        <v>0</v>
      </c>
      <c r="V222" s="131">
        <v>0</v>
      </c>
      <c r="W222" s="131">
        <v>0</v>
      </c>
      <c r="X222" s="131">
        <v>0</v>
      </c>
      <c r="Y222" s="131">
        <v>0</v>
      </c>
      <c r="Z222" s="131">
        <v>0</v>
      </c>
      <c r="AA222" s="131">
        <v>0</v>
      </c>
      <c r="AB222" s="131">
        <v>0</v>
      </c>
      <c r="AC222" s="131">
        <v>0</v>
      </c>
      <c r="AD222" s="131">
        <v>0</v>
      </c>
      <c r="AE222" s="131">
        <v>0</v>
      </c>
      <c r="AF222" s="131">
        <v>0</v>
      </c>
      <c r="AG222" s="131">
        <v>0</v>
      </c>
      <c r="AH222" s="131">
        <v>0</v>
      </c>
      <c r="AI222" s="131">
        <v>0</v>
      </c>
      <c r="AJ222" s="131">
        <v>0</v>
      </c>
      <c r="AK222" s="131">
        <v>0</v>
      </c>
      <c r="AM222" s="131">
        <v>0</v>
      </c>
      <c r="AN222" s="131">
        <v>0</v>
      </c>
      <c r="AO222" s="131">
        <v>0</v>
      </c>
      <c r="AP222" s="131">
        <v>0</v>
      </c>
      <c r="AQ222" s="131">
        <v>0</v>
      </c>
      <c r="AR222" s="131">
        <v>0</v>
      </c>
      <c r="AS222" t="s">
        <v>42</v>
      </c>
    </row>
    <row r="223" spans="1:45" ht="30" x14ac:dyDescent="0.25">
      <c r="A223">
        <v>2019</v>
      </c>
      <c r="B223">
        <v>318</v>
      </c>
      <c r="C223">
        <v>102040104010105</v>
      </c>
      <c r="D223">
        <v>110</v>
      </c>
      <c r="E223" t="s">
        <v>2958</v>
      </c>
      <c r="F223">
        <v>102040104010105</v>
      </c>
      <c r="G223" s="10" t="s">
        <v>2959</v>
      </c>
      <c r="H223" t="s">
        <v>2584</v>
      </c>
      <c r="I223" s="131">
        <v>0</v>
      </c>
      <c r="J223" s="131">
        <v>0</v>
      </c>
      <c r="K223" s="131">
        <v>290726109</v>
      </c>
      <c r="L223" s="131">
        <v>0</v>
      </c>
      <c r="M223" s="131">
        <v>290726109</v>
      </c>
      <c r="N223" s="131">
        <v>290726109</v>
      </c>
      <c r="O223" s="131">
        <v>0</v>
      </c>
      <c r="P223" s="131">
        <v>290726109</v>
      </c>
      <c r="Q223" s="131">
        <v>0</v>
      </c>
      <c r="R223" s="131">
        <v>0</v>
      </c>
      <c r="S223" s="131">
        <v>0</v>
      </c>
      <c r="T223" s="131">
        <v>0</v>
      </c>
      <c r="U223" s="131">
        <v>0</v>
      </c>
      <c r="V223" s="131">
        <v>0</v>
      </c>
      <c r="W223" s="131">
        <v>0</v>
      </c>
      <c r="X223" s="131">
        <v>0</v>
      </c>
      <c r="Y223" s="131">
        <v>0</v>
      </c>
      <c r="Z223" s="131">
        <v>0</v>
      </c>
      <c r="AA223" s="131">
        <v>0</v>
      </c>
      <c r="AB223" s="131">
        <v>0</v>
      </c>
      <c r="AC223" s="131">
        <v>0</v>
      </c>
      <c r="AD223" s="131">
        <v>0</v>
      </c>
      <c r="AE223" s="131">
        <v>0</v>
      </c>
      <c r="AF223" s="131">
        <v>0</v>
      </c>
      <c r="AG223" s="131">
        <v>0</v>
      </c>
      <c r="AH223" s="131">
        <v>0</v>
      </c>
      <c r="AI223" s="131">
        <v>0</v>
      </c>
      <c r="AJ223" s="131">
        <v>0</v>
      </c>
      <c r="AK223" s="131">
        <v>0</v>
      </c>
      <c r="AM223" s="131">
        <v>0</v>
      </c>
      <c r="AN223" s="131">
        <v>0</v>
      </c>
      <c r="AO223" s="131">
        <v>0</v>
      </c>
      <c r="AP223" s="131">
        <v>0</v>
      </c>
      <c r="AQ223" s="131">
        <v>0</v>
      </c>
      <c r="AR223" s="131">
        <v>0</v>
      </c>
      <c r="AS223" t="s">
        <v>42</v>
      </c>
    </row>
    <row r="224" spans="1:45" ht="45" x14ac:dyDescent="0.25">
      <c r="A224">
        <v>2019</v>
      </c>
      <c r="B224">
        <v>318</v>
      </c>
      <c r="C224">
        <v>102040104010106</v>
      </c>
      <c r="D224">
        <v>169</v>
      </c>
      <c r="E224" t="s">
        <v>2960</v>
      </c>
      <c r="F224">
        <v>102040104010106</v>
      </c>
      <c r="G224" s="10" t="s">
        <v>2961</v>
      </c>
      <c r="H224" t="s">
        <v>2584</v>
      </c>
      <c r="I224" s="131">
        <v>0</v>
      </c>
      <c r="J224" s="131">
        <v>0</v>
      </c>
      <c r="K224" s="131">
        <v>0</v>
      </c>
      <c r="L224" s="131">
        <v>0</v>
      </c>
      <c r="M224" s="131">
        <v>0</v>
      </c>
      <c r="N224" s="131">
        <v>0</v>
      </c>
      <c r="O224" s="131">
        <v>0</v>
      </c>
      <c r="P224" s="131">
        <v>0</v>
      </c>
      <c r="Q224" s="131">
        <v>0</v>
      </c>
      <c r="R224" s="131">
        <v>0</v>
      </c>
      <c r="S224" s="131">
        <v>0</v>
      </c>
      <c r="T224" s="131">
        <v>0</v>
      </c>
      <c r="U224" s="131">
        <v>0</v>
      </c>
      <c r="V224" s="131">
        <v>0</v>
      </c>
      <c r="W224" s="131">
        <v>6388000</v>
      </c>
      <c r="X224" s="131">
        <v>0</v>
      </c>
      <c r="Y224" s="131">
        <v>6388000</v>
      </c>
      <c r="Z224" s="131">
        <v>0</v>
      </c>
      <c r="AA224" s="131">
        <v>0</v>
      </c>
      <c r="AB224" s="131">
        <v>0</v>
      </c>
      <c r="AC224" s="131">
        <v>0</v>
      </c>
      <c r="AD224" s="131">
        <v>0</v>
      </c>
      <c r="AE224" s="131">
        <v>0</v>
      </c>
      <c r="AF224" s="131">
        <v>6388000</v>
      </c>
      <c r="AG224" s="131">
        <v>0</v>
      </c>
      <c r="AH224" s="131">
        <v>6388000</v>
      </c>
      <c r="AI224" s="131">
        <v>6388000</v>
      </c>
      <c r="AJ224" s="131">
        <v>0</v>
      </c>
      <c r="AK224" s="131">
        <v>0</v>
      </c>
      <c r="AM224" s="131">
        <v>6388000</v>
      </c>
      <c r="AN224" s="131">
        <v>6388000</v>
      </c>
      <c r="AO224" s="131">
        <v>0</v>
      </c>
      <c r="AP224" s="131">
        <v>6388000</v>
      </c>
      <c r="AQ224" s="131">
        <v>0</v>
      </c>
      <c r="AR224" s="131">
        <v>0</v>
      </c>
      <c r="AS224" t="s">
        <v>2943</v>
      </c>
    </row>
    <row r="225" spans="1:45" x14ac:dyDescent="0.25">
      <c r="A225">
        <v>2019</v>
      </c>
      <c r="B225">
        <v>318</v>
      </c>
      <c r="C225">
        <v>102040105</v>
      </c>
      <c r="D225" t="s">
        <v>226</v>
      </c>
      <c r="E225" t="s">
        <v>2962</v>
      </c>
      <c r="F225">
        <v>102040105</v>
      </c>
      <c r="G225" s="10" t="s">
        <v>2963</v>
      </c>
      <c r="H225" t="s">
        <v>2584</v>
      </c>
      <c r="I225" s="131">
        <v>0</v>
      </c>
      <c r="J225" s="131">
        <v>0</v>
      </c>
      <c r="K225" s="131">
        <v>465971836</v>
      </c>
      <c r="L225" s="131">
        <v>0</v>
      </c>
      <c r="M225" s="131">
        <v>465971836</v>
      </c>
      <c r="N225" s="131">
        <v>465971836</v>
      </c>
      <c r="O225" s="131">
        <v>0</v>
      </c>
      <c r="P225" s="131">
        <v>465971836</v>
      </c>
      <c r="Q225" s="131">
        <v>0</v>
      </c>
      <c r="R225" s="131">
        <v>0</v>
      </c>
      <c r="S225" s="131">
        <v>0</v>
      </c>
      <c r="T225" s="131">
        <v>0</v>
      </c>
      <c r="U225" s="131">
        <v>0</v>
      </c>
      <c r="V225" s="131">
        <v>0</v>
      </c>
      <c r="W225" s="131">
        <v>465971836</v>
      </c>
      <c r="X225" s="131">
        <v>0</v>
      </c>
      <c r="Y225" s="131">
        <v>465971836</v>
      </c>
      <c r="Z225" s="131">
        <v>0</v>
      </c>
      <c r="AA225" s="131">
        <v>0</v>
      </c>
      <c r="AB225" s="131">
        <v>0</v>
      </c>
      <c r="AC225" s="131">
        <v>0</v>
      </c>
      <c r="AD225" s="131">
        <v>0</v>
      </c>
      <c r="AE225" s="131">
        <v>0</v>
      </c>
      <c r="AF225" s="131">
        <v>465971836</v>
      </c>
      <c r="AG225" s="131">
        <v>0</v>
      </c>
      <c r="AH225" s="131">
        <v>465971836</v>
      </c>
      <c r="AI225" s="131">
        <v>465971836</v>
      </c>
      <c r="AJ225" s="131">
        <v>465971836</v>
      </c>
      <c r="AK225" s="131">
        <v>465971836</v>
      </c>
      <c r="AM225" s="131">
        <v>0</v>
      </c>
      <c r="AN225" s="131">
        <v>0</v>
      </c>
      <c r="AO225" s="131">
        <v>0</v>
      </c>
      <c r="AP225" s="131">
        <v>0</v>
      </c>
      <c r="AQ225" s="131">
        <v>0</v>
      </c>
      <c r="AR225" s="131">
        <v>0</v>
      </c>
      <c r="AS225" t="s">
        <v>1709</v>
      </c>
    </row>
    <row r="226" spans="1:45" ht="30" x14ac:dyDescent="0.25">
      <c r="A226">
        <v>2019</v>
      </c>
      <c r="B226">
        <v>318</v>
      </c>
      <c r="C226">
        <v>10204010501</v>
      </c>
      <c r="D226">
        <v>97</v>
      </c>
      <c r="E226" t="s">
        <v>2964</v>
      </c>
      <c r="F226">
        <v>10204010501</v>
      </c>
      <c r="G226" s="10" t="s">
        <v>2965</v>
      </c>
      <c r="H226" t="s">
        <v>2584</v>
      </c>
      <c r="I226" s="131">
        <v>0</v>
      </c>
      <c r="J226" s="131">
        <v>0</v>
      </c>
      <c r="K226" s="131">
        <v>465971836</v>
      </c>
      <c r="L226" s="131">
        <v>0</v>
      </c>
      <c r="M226" s="131">
        <v>465971836</v>
      </c>
      <c r="N226" s="131">
        <v>465971836</v>
      </c>
      <c r="O226" s="131">
        <v>0</v>
      </c>
      <c r="P226" s="131">
        <v>465971836</v>
      </c>
      <c r="Q226" s="131">
        <v>0</v>
      </c>
      <c r="R226" s="131">
        <v>0</v>
      </c>
      <c r="S226" s="131">
        <v>0</v>
      </c>
      <c r="T226" s="131">
        <v>0</v>
      </c>
      <c r="U226" s="131">
        <v>0</v>
      </c>
      <c r="V226" s="131">
        <v>0</v>
      </c>
      <c r="W226" s="131">
        <v>465971836</v>
      </c>
      <c r="X226" s="131">
        <v>0</v>
      </c>
      <c r="Y226" s="131">
        <v>465971836</v>
      </c>
      <c r="Z226" s="131">
        <v>0</v>
      </c>
      <c r="AA226" s="131">
        <v>0</v>
      </c>
      <c r="AB226" s="131">
        <v>0</v>
      </c>
      <c r="AC226" s="131">
        <v>0</v>
      </c>
      <c r="AD226" s="131">
        <v>0</v>
      </c>
      <c r="AE226" s="131">
        <v>0</v>
      </c>
      <c r="AF226" s="131">
        <v>465971836</v>
      </c>
      <c r="AG226" s="131">
        <v>0</v>
      </c>
      <c r="AH226" s="131">
        <v>465971836</v>
      </c>
      <c r="AI226" s="131">
        <v>465971836</v>
      </c>
      <c r="AJ226" s="131">
        <v>465971836</v>
      </c>
      <c r="AK226" s="131">
        <v>465971836</v>
      </c>
      <c r="AM226" s="131">
        <v>0</v>
      </c>
      <c r="AN226" s="131">
        <v>0</v>
      </c>
      <c r="AO226" s="131">
        <v>0</v>
      </c>
      <c r="AP226" s="131">
        <v>0</v>
      </c>
      <c r="AQ226" s="131">
        <v>0</v>
      </c>
      <c r="AR226" s="131">
        <v>0</v>
      </c>
      <c r="AS226" t="s">
        <v>217</v>
      </c>
    </row>
    <row r="227" spans="1:45" ht="30" x14ac:dyDescent="0.25">
      <c r="A227">
        <v>2019</v>
      </c>
      <c r="B227">
        <v>318</v>
      </c>
      <c r="C227">
        <v>1020402</v>
      </c>
      <c r="D227" t="s">
        <v>226</v>
      </c>
      <c r="E227" t="s">
        <v>2966</v>
      </c>
      <c r="F227">
        <v>1020402</v>
      </c>
      <c r="G227" s="10" t="s">
        <v>2967</v>
      </c>
      <c r="H227" t="s">
        <v>2584</v>
      </c>
      <c r="I227" s="131">
        <v>5035716433</v>
      </c>
      <c r="J227" s="131">
        <v>5035716433</v>
      </c>
      <c r="K227" s="131">
        <v>1669963280</v>
      </c>
      <c r="L227" s="131">
        <v>6576437</v>
      </c>
      <c r="M227" s="131">
        <v>1663386843</v>
      </c>
      <c r="N227" s="131">
        <v>1669963280</v>
      </c>
      <c r="O227" s="131">
        <v>6576437</v>
      </c>
      <c r="P227" s="131">
        <v>6699103276</v>
      </c>
      <c r="Q227" s="131">
        <v>0</v>
      </c>
      <c r="R227" s="131">
        <v>0</v>
      </c>
      <c r="S227" s="131">
        <v>0</v>
      </c>
      <c r="T227" s="131">
        <v>0</v>
      </c>
      <c r="U227" s="131">
        <v>0</v>
      </c>
      <c r="V227" s="131">
        <v>0</v>
      </c>
      <c r="W227" s="131">
        <v>6774031334.6199999</v>
      </c>
      <c r="X227" s="131">
        <v>4994679</v>
      </c>
      <c r="Y227" s="131">
        <v>6769036655.6199999</v>
      </c>
      <c r="Z227" s="131">
        <v>0</v>
      </c>
      <c r="AA227" s="131">
        <v>0</v>
      </c>
      <c r="AB227" s="131">
        <v>0</v>
      </c>
      <c r="AC227" s="131">
        <v>0</v>
      </c>
      <c r="AD227" s="131">
        <v>0</v>
      </c>
      <c r="AE227" s="131">
        <v>0</v>
      </c>
      <c r="AF227" s="131">
        <v>6774031334.6199999</v>
      </c>
      <c r="AG227" s="131">
        <v>4994679</v>
      </c>
      <c r="AH227" s="131">
        <v>6769036655.6199999</v>
      </c>
      <c r="AI227" s="131">
        <v>6769036655.6199999</v>
      </c>
      <c r="AJ227" s="131">
        <v>1248920177</v>
      </c>
      <c r="AK227" s="131">
        <v>1248920177</v>
      </c>
      <c r="AM227" s="131">
        <v>5520116478.6199999</v>
      </c>
      <c r="AN227" s="131">
        <v>5525111157.6199999</v>
      </c>
      <c r="AO227" s="131">
        <v>4994679</v>
      </c>
      <c r="AP227" s="131">
        <v>5525111157.6199999</v>
      </c>
      <c r="AQ227" s="131">
        <v>0</v>
      </c>
      <c r="AR227" s="131">
        <v>4994679</v>
      </c>
      <c r="AS227" t="s">
        <v>1709</v>
      </c>
    </row>
    <row r="228" spans="1:45" ht="30" x14ac:dyDescent="0.25">
      <c r="A228">
        <v>2019</v>
      </c>
      <c r="B228">
        <v>318</v>
      </c>
      <c r="C228">
        <v>102040201</v>
      </c>
      <c r="D228" t="s">
        <v>226</v>
      </c>
      <c r="E228" t="s">
        <v>2968</v>
      </c>
      <c r="F228">
        <v>102040201</v>
      </c>
      <c r="G228" s="10" t="s">
        <v>2969</v>
      </c>
      <c r="H228" t="s">
        <v>2584</v>
      </c>
      <c r="I228" s="131">
        <v>3759000000</v>
      </c>
      <c r="J228" s="131">
        <v>3759000000</v>
      </c>
      <c r="K228" s="131">
        <v>411349428</v>
      </c>
      <c r="L228" s="131">
        <v>0</v>
      </c>
      <c r="M228" s="131">
        <v>411349428</v>
      </c>
      <c r="N228" s="131">
        <v>411349428</v>
      </c>
      <c r="O228" s="131">
        <v>0</v>
      </c>
      <c r="P228" s="131">
        <v>4170349428</v>
      </c>
      <c r="Q228" s="131">
        <v>0</v>
      </c>
      <c r="R228" s="131">
        <v>0</v>
      </c>
      <c r="S228" s="131">
        <v>0</v>
      </c>
      <c r="T228" s="131">
        <v>0</v>
      </c>
      <c r="U228" s="131">
        <v>0</v>
      </c>
      <c r="V228" s="131">
        <v>0</v>
      </c>
      <c r="W228" s="131">
        <v>4170349428</v>
      </c>
      <c r="X228" s="131">
        <v>0</v>
      </c>
      <c r="Y228" s="131">
        <v>4170349428</v>
      </c>
      <c r="Z228" s="131">
        <v>0</v>
      </c>
      <c r="AA228" s="131">
        <v>0</v>
      </c>
      <c r="AB228" s="131">
        <v>0</v>
      </c>
      <c r="AC228" s="131">
        <v>0</v>
      </c>
      <c r="AD228" s="131">
        <v>0</v>
      </c>
      <c r="AE228" s="131">
        <v>0</v>
      </c>
      <c r="AF228" s="131">
        <v>4170349428</v>
      </c>
      <c r="AG228" s="131">
        <v>0</v>
      </c>
      <c r="AH228" s="131">
        <v>4170349428</v>
      </c>
      <c r="AI228" s="131">
        <v>4170349428</v>
      </c>
      <c r="AJ228" s="131">
        <v>0</v>
      </c>
      <c r="AK228" s="131">
        <v>0</v>
      </c>
      <c r="AM228" s="131">
        <v>4170349428</v>
      </c>
      <c r="AN228" s="131">
        <v>4170349428</v>
      </c>
      <c r="AO228" s="131">
        <v>0</v>
      </c>
      <c r="AP228" s="131">
        <v>4170349428</v>
      </c>
      <c r="AQ228" s="131">
        <v>0</v>
      </c>
      <c r="AR228" s="131">
        <v>0</v>
      </c>
      <c r="AS228" t="s">
        <v>1709</v>
      </c>
    </row>
    <row r="229" spans="1:45" x14ac:dyDescent="0.25">
      <c r="A229">
        <v>2019</v>
      </c>
      <c r="B229">
        <v>318</v>
      </c>
      <c r="C229">
        <v>10204020101</v>
      </c>
      <c r="D229">
        <v>61</v>
      </c>
      <c r="E229" t="s">
        <v>2970</v>
      </c>
      <c r="F229">
        <v>10204020101</v>
      </c>
      <c r="G229" s="10" t="s">
        <v>2971</v>
      </c>
      <c r="H229" t="s">
        <v>2584</v>
      </c>
      <c r="I229" s="131">
        <v>3759000000</v>
      </c>
      <c r="J229" s="131">
        <v>3759000000</v>
      </c>
      <c r="K229" s="131">
        <v>411349428</v>
      </c>
      <c r="L229" s="131">
        <v>0</v>
      </c>
      <c r="M229" s="131">
        <v>411349428</v>
      </c>
      <c r="N229" s="131">
        <v>411349428</v>
      </c>
      <c r="O229" s="131">
        <v>0</v>
      </c>
      <c r="P229" s="131">
        <v>4170349428</v>
      </c>
      <c r="Q229" s="131">
        <v>0</v>
      </c>
      <c r="R229" s="131">
        <v>0</v>
      </c>
      <c r="S229" s="131">
        <v>0</v>
      </c>
      <c r="T229" s="131">
        <v>0</v>
      </c>
      <c r="U229" s="131">
        <v>0</v>
      </c>
      <c r="V229" s="131">
        <v>0</v>
      </c>
      <c r="W229" s="131">
        <v>4170349428</v>
      </c>
      <c r="X229" s="131">
        <v>0</v>
      </c>
      <c r="Y229" s="131">
        <v>4170349428</v>
      </c>
      <c r="Z229" s="131">
        <v>0</v>
      </c>
      <c r="AA229" s="131">
        <v>0</v>
      </c>
      <c r="AB229" s="131">
        <v>0</v>
      </c>
      <c r="AC229" s="131">
        <v>0</v>
      </c>
      <c r="AD229" s="131">
        <v>0</v>
      </c>
      <c r="AE229" s="131">
        <v>0</v>
      </c>
      <c r="AF229" s="131">
        <v>4170349428</v>
      </c>
      <c r="AG229" s="131">
        <v>0</v>
      </c>
      <c r="AH229" s="131">
        <v>4170349428</v>
      </c>
      <c r="AI229" s="131">
        <v>4170349428</v>
      </c>
      <c r="AJ229" s="131">
        <v>0</v>
      </c>
      <c r="AK229" s="131">
        <v>0</v>
      </c>
      <c r="AM229" s="131">
        <v>4170349428</v>
      </c>
      <c r="AN229" s="131">
        <v>4170349428</v>
      </c>
      <c r="AO229" s="131">
        <v>0</v>
      </c>
      <c r="AP229" s="131">
        <v>4170349428</v>
      </c>
      <c r="AQ229" s="131">
        <v>0</v>
      </c>
      <c r="AR229" s="131">
        <v>0</v>
      </c>
      <c r="AS229" t="s">
        <v>179</v>
      </c>
    </row>
    <row r="230" spans="1:45" ht="30" x14ac:dyDescent="0.25">
      <c r="A230">
        <v>2019</v>
      </c>
      <c r="B230">
        <v>318</v>
      </c>
      <c r="C230">
        <v>102040202</v>
      </c>
      <c r="D230" t="s">
        <v>226</v>
      </c>
      <c r="E230" t="s">
        <v>2972</v>
      </c>
      <c r="F230">
        <v>102040202</v>
      </c>
      <c r="G230" s="10" t="s">
        <v>2973</v>
      </c>
      <c r="H230" t="s">
        <v>2584</v>
      </c>
      <c r="I230" s="131">
        <v>820000000</v>
      </c>
      <c r="J230" s="131">
        <v>820000000</v>
      </c>
      <c r="K230" s="131">
        <v>0</v>
      </c>
      <c r="L230" s="131">
        <v>0</v>
      </c>
      <c r="M230" s="131">
        <v>0</v>
      </c>
      <c r="N230" s="131">
        <v>0</v>
      </c>
      <c r="O230" s="131">
        <v>0</v>
      </c>
      <c r="P230" s="131">
        <v>820000000</v>
      </c>
      <c r="Q230" s="131">
        <v>0</v>
      </c>
      <c r="R230" s="131">
        <v>0</v>
      </c>
      <c r="S230" s="131">
        <v>0</v>
      </c>
      <c r="T230" s="131">
        <v>0</v>
      </c>
      <c r="U230" s="131">
        <v>0</v>
      </c>
      <c r="V230" s="131">
        <v>0</v>
      </c>
      <c r="W230" s="131">
        <v>914037871</v>
      </c>
      <c r="X230" s="131">
        <v>4994679</v>
      </c>
      <c r="Y230" s="131">
        <v>909043192</v>
      </c>
      <c r="Z230" s="131">
        <v>0</v>
      </c>
      <c r="AA230" s="131">
        <v>0</v>
      </c>
      <c r="AB230" s="131">
        <v>0</v>
      </c>
      <c r="AC230" s="131">
        <v>0</v>
      </c>
      <c r="AD230" s="131">
        <v>0</v>
      </c>
      <c r="AE230" s="131">
        <v>0</v>
      </c>
      <c r="AF230" s="131">
        <v>914037871</v>
      </c>
      <c r="AG230" s="131">
        <v>4994679</v>
      </c>
      <c r="AH230" s="131">
        <v>909043192</v>
      </c>
      <c r="AI230" s="131">
        <v>909043192</v>
      </c>
      <c r="AJ230" s="131">
        <v>0</v>
      </c>
      <c r="AK230" s="131">
        <v>0</v>
      </c>
      <c r="AM230" s="131">
        <v>909043192</v>
      </c>
      <c r="AN230" s="131">
        <v>914037871</v>
      </c>
      <c r="AO230" s="131">
        <v>4994679</v>
      </c>
      <c r="AP230" s="131">
        <v>914037871</v>
      </c>
      <c r="AQ230" s="131">
        <v>0</v>
      </c>
      <c r="AR230" s="131">
        <v>4994679</v>
      </c>
      <c r="AS230" t="s">
        <v>1709</v>
      </c>
    </row>
    <row r="231" spans="1:45" ht="45" x14ac:dyDescent="0.25">
      <c r="A231">
        <v>2019</v>
      </c>
      <c r="B231">
        <v>318</v>
      </c>
      <c r="C231">
        <v>10204020201</v>
      </c>
      <c r="D231">
        <v>63</v>
      </c>
      <c r="E231" t="s">
        <v>2974</v>
      </c>
      <c r="F231">
        <v>10204020201</v>
      </c>
      <c r="G231" s="10" t="s">
        <v>2975</v>
      </c>
      <c r="H231" t="s">
        <v>2584</v>
      </c>
      <c r="I231" s="131">
        <v>796100000</v>
      </c>
      <c r="J231" s="131">
        <v>796100000</v>
      </c>
      <c r="K231" s="131">
        <v>0</v>
      </c>
      <c r="L231" s="131">
        <v>0</v>
      </c>
      <c r="M231" s="131">
        <v>0</v>
      </c>
      <c r="N231" s="131">
        <v>0</v>
      </c>
      <c r="O231" s="131">
        <v>0</v>
      </c>
      <c r="P231" s="131">
        <v>796100000</v>
      </c>
      <c r="Q231" s="131">
        <v>0</v>
      </c>
      <c r="R231" s="131">
        <v>0</v>
      </c>
      <c r="S231" s="131">
        <v>0</v>
      </c>
      <c r="T231" s="131">
        <v>0</v>
      </c>
      <c r="U231" s="131">
        <v>0</v>
      </c>
      <c r="V231" s="131">
        <v>0</v>
      </c>
      <c r="W231" s="131">
        <v>794206674</v>
      </c>
      <c r="X231" s="131">
        <v>4218326</v>
      </c>
      <c r="Y231" s="131">
        <v>789988348</v>
      </c>
      <c r="Z231" s="131">
        <v>0</v>
      </c>
      <c r="AA231" s="131">
        <v>0</v>
      </c>
      <c r="AB231" s="131">
        <v>0</v>
      </c>
      <c r="AC231" s="131">
        <v>0</v>
      </c>
      <c r="AD231" s="131">
        <v>0</v>
      </c>
      <c r="AE231" s="131">
        <v>0</v>
      </c>
      <c r="AF231" s="131">
        <v>794206674</v>
      </c>
      <c r="AG231" s="131">
        <v>4218326</v>
      </c>
      <c r="AH231" s="131">
        <v>789988348</v>
      </c>
      <c r="AI231" s="131">
        <v>789988348</v>
      </c>
      <c r="AJ231" s="131">
        <v>0</v>
      </c>
      <c r="AK231" s="131">
        <v>0</v>
      </c>
      <c r="AM231" s="131">
        <v>789988348</v>
      </c>
      <c r="AN231" s="131">
        <v>794206674</v>
      </c>
      <c r="AO231" s="131">
        <v>4218326</v>
      </c>
      <c r="AP231" s="131">
        <v>794206674</v>
      </c>
      <c r="AQ231" s="131">
        <v>0</v>
      </c>
      <c r="AR231" s="131">
        <v>4218326</v>
      </c>
      <c r="AS231" t="s">
        <v>181</v>
      </c>
    </row>
    <row r="232" spans="1:45" ht="30" x14ac:dyDescent="0.25">
      <c r="A232">
        <v>2019</v>
      </c>
      <c r="B232">
        <v>318</v>
      </c>
      <c r="C232">
        <v>10204020202</v>
      </c>
      <c r="D232">
        <v>63</v>
      </c>
      <c r="E232" t="s">
        <v>2976</v>
      </c>
      <c r="F232">
        <v>10204020202</v>
      </c>
      <c r="G232" s="10" t="s">
        <v>754</v>
      </c>
      <c r="H232" t="s">
        <v>2584</v>
      </c>
      <c r="I232" s="131">
        <v>22750000</v>
      </c>
      <c r="J232" s="131">
        <v>22750000</v>
      </c>
      <c r="K232" s="131">
        <v>0</v>
      </c>
      <c r="L232" s="131">
        <v>0</v>
      </c>
      <c r="M232" s="131">
        <v>0</v>
      </c>
      <c r="N232" s="131">
        <v>0</v>
      </c>
      <c r="O232" s="131">
        <v>0</v>
      </c>
      <c r="P232" s="131">
        <v>22750000</v>
      </c>
      <c r="Q232" s="131">
        <v>0</v>
      </c>
      <c r="R232" s="131">
        <v>0</v>
      </c>
      <c r="S232" s="131">
        <v>0</v>
      </c>
      <c r="T232" s="131">
        <v>0</v>
      </c>
      <c r="U232" s="131">
        <v>0</v>
      </c>
      <c r="V232" s="131">
        <v>0</v>
      </c>
      <c r="W232" s="131">
        <v>118040297</v>
      </c>
      <c r="X232" s="131">
        <v>776353</v>
      </c>
      <c r="Y232" s="131">
        <v>117263944</v>
      </c>
      <c r="Z232" s="131">
        <v>0</v>
      </c>
      <c r="AA232" s="131">
        <v>0</v>
      </c>
      <c r="AB232" s="131">
        <v>0</v>
      </c>
      <c r="AC232" s="131">
        <v>0</v>
      </c>
      <c r="AD232" s="131">
        <v>0</v>
      </c>
      <c r="AE232" s="131">
        <v>0</v>
      </c>
      <c r="AF232" s="131">
        <v>118040297</v>
      </c>
      <c r="AG232" s="131">
        <v>776353</v>
      </c>
      <c r="AH232" s="131">
        <v>117263944</v>
      </c>
      <c r="AI232" s="131">
        <v>117263944</v>
      </c>
      <c r="AJ232" s="131">
        <v>0</v>
      </c>
      <c r="AK232" s="131">
        <v>0</v>
      </c>
      <c r="AM232" s="131">
        <v>117263944</v>
      </c>
      <c r="AN232" s="131">
        <v>118040297</v>
      </c>
      <c r="AO232" s="131">
        <v>776353</v>
      </c>
      <c r="AP232" s="131">
        <v>118040297</v>
      </c>
      <c r="AQ232" s="131">
        <v>0</v>
      </c>
      <c r="AR232" s="131">
        <v>776353</v>
      </c>
      <c r="AS232" t="s">
        <v>181</v>
      </c>
    </row>
    <row r="233" spans="1:45" ht="45" x14ac:dyDescent="0.25">
      <c r="A233">
        <v>2019</v>
      </c>
      <c r="B233">
        <v>318</v>
      </c>
      <c r="C233">
        <v>10204020203</v>
      </c>
      <c r="D233">
        <v>63</v>
      </c>
      <c r="E233" t="s">
        <v>2977</v>
      </c>
      <c r="F233">
        <v>10204020203</v>
      </c>
      <c r="G233" s="10" t="s">
        <v>756</v>
      </c>
      <c r="H233" t="s">
        <v>2584</v>
      </c>
      <c r="I233" s="131">
        <v>1150000</v>
      </c>
      <c r="J233" s="131">
        <v>1150000</v>
      </c>
      <c r="K233" s="131">
        <v>0</v>
      </c>
      <c r="L233" s="131">
        <v>0</v>
      </c>
      <c r="M233" s="131">
        <v>0</v>
      </c>
      <c r="N233" s="131">
        <v>0</v>
      </c>
      <c r="O233" s="131">
        <v>0</v>
      </c>
      <c r="P233" s="131">
        <v>1150000</v>
      </c>
      <c r="Q233" s="131">
        <v>0</v>
      </c>
      <c r="R233" s="131">
        <v>0</v>
      </c>
      <c r="S233" s="131">
        <v>0</v>
      </c>
      <c r="T233" s="131">
        <v>0</v>
      </c>
      <c r="U233" s="131">
        <v>0</v>
      </c>
      <c r="V233" s="131">
        <v>0</v>
      </c>
      <c r="W233" s="131">
        <v>1790900</v>
      </c>
      <c r="X233" s="131">
        <v>0</v>
      </c>
      <c r="Y233" s="131">
        <v>1790900</v>
      </c>
      <c r="Z233" s="131">
        <v>0</v>
      </c>
      <c r="AA233" s="131">
        <v>0</v>
      </c>
      <c r="AB233" s="131">
        <v>0</v>
      </c>
      <c r="AC233" s="131">
        <v>0</v>
      </c>
      <c r="AD233" s="131">
        <v>0</v>
      </c>
      <c r="AE233" s="131">
        <v>0</v>
      </c>
      <c r="AF233" s="131">
        <v>1790900</v>
      </c>
      <c r="AG233" s="131">
        <v>0</v>
      </c>
      <c r="AH233" s="131">
        <v>1790900</v>
      </c>
      <c r="AI233" s="131">
        <v>1790900</v>
      </c>
      <c r="AJ233" s="131">
        <v>0</v>
      </c>
      <c r="AK233" s="131">
        <v>0</v>
      </c>
      <c r="AM233" s="131">
        <v>1790900</v>
      </c>
      <c r="AN233" s="131">
        <v>1790900</v>
      </c>
      <c r="AO233" s="131">
        <v>0</v>
      </c>
      <c r="AP233" s="131">
        <v>1790900</v>
      </c>
      <c r="AQ233" s="131">
        <v>0</v>
      </c>
      <c r="AR233" s="131">
        <v>0</v>
      </c>
      <c r="AS233" t="s">
        <v>181</v>
      </c>
    </row>
    <row r="234" spans="1:45" x14ac:dyDescent="0.25">
      <c r="A234">
        <v>2019</v>
      </c>
      <c r="B234">
        <v>318</v>
      </c>
      <c r="C234">
        <v>102040203</v>
      </c>
      <c r="D234" t="s">
        <v>226</v>
      </c>
      <c r="E234" t="s">
        <v>2978</v>
      </c>
      <c r="F234">
        <v>102040203</v>
      </c>
      <c r="G234" s="10" t="s">
        <v>954</v>
      </c>
      <c r="H234" t="s">
        <v>2584</v>
      </c>
      <c r="I234" s="131">
        <v>34270528</v>
      </c>
      <c r="J234" s="131">
        <v>34270528</v>
      </c>
      <c r="K234" s="131">
        <v>1248920177</v>
      </c>
      <c r="L234" s="131">
        <v>0</v>
      </c>
      <c r="M234" s="131">
        <v>1248920177</v>
      </c>
      <c r="N234" s="131">
        <v>1248920177</v>
      </c>
      <c r="O234" s="131">
        <v>0</v>
      </c>
      <c r="P234" s="131">
        <v>1283190705</v>
      </c>
      <c r="Q234" s="131">
        <v>0</v>
      </c>
      <c r="R234" s="131">
        <v>0</v>
      </c>
      <c r="S234" s="131">
        <v>0</v>
      </c>
      <c r="T234" s="131">
        <v>0</v>
      </c>
      <c r="U234" s="131">
        <v>0</v>
      </c>
      <c r="V234" s="131">
        <v>0</v>
      </c>
      <c r="W234" s="131">
        <v>1264080892.6199999</v>
      </c>
      <c r="X234" s="131">
        <v>0</v>
      </c>
      <c r="Y234" s="131">
        <v>1264080892.6199999</v>
      </c>
      <c r="Z234" s="131">
        <v>0</v>
      </c>
      <c r="AA234" s="131">
        <v>0</v>
      </c>
      <c r="AB234" s="131">
        <v>0</v>
      </c>
      <c r="AC234" s="131">
        <v>0</v>
      </c>
      <c r="AD234" s="131">
        <v>0</v>
      </c>
      <c r="AE234" s="131">
        <v>0</v>
      </c>
      <c r="AF234" s="131">
        <v>1264080892.6199999</v>
      </c>
      <c r="AG234" s="131">
        <v>0</v>
      </c>
      <c r="AH234" s="131">
        <v>1264080892.6199999</v>
      </c>
      <c r="AI234" s="131">
        <v>1264080892.6199999</v>
      </c>
      <c r="AJ234" s="131">
        <v>1248920177</v>
      </c>
      <c r="AK234" s="131">
        <v>1248920177</v>
      </c>
      <c r="AM234" s="131">
        <v>15160715.619999999</v>
      </c>
      <c r="AN234" s="131">
        <v>15160715.619999999</v>
      </c>
      <c r="AO234" s="131">
        <v>0</v>
      </c>
      <c r="AP234" s="131">
        <v>15160715.619999999</v>
      </c>
      <c r="AQ234" s="131">
        <v>0</v>
      </c>
      <c r="AR234" s="131">
        <v>0</v>
      </c>
      <c r="AS234" t="s">
        <v>1709</v>
      </c>
    </row>
    <row r="235" spans="1:45" x14ac:dyDescent="0.25">
      <c r="A235">
        <v>2019</v>
      </c>
      <c r="B235">
        <v>318</v>
      </c>
      <c r="C235">
        <v>10204020301</v>
      </c>
      <c r="D235" t="s">
        <v>226</v>
      </c>
      <c r="E235" t="s">
        <v>2979</v>
      </c>
      <c r="F235">
        <v>10204020301</v>
      </c>
      <c r="G235" s="10" t="s">
        <v>2736</v>
      </c>
      <c r="H235" t="s">
        <v>2584</v>
      </c>
      <c r="I235" s="131">
        <v>0</v>
      </c>
      <c r="J235" s="131">
        <v>0</v>
      </c>
      <c r="K235" s="131">
        <v>1248920177</v>
      </c>
      <c r="L235" s="131">
        <v>0</v>
      </c>
      <c r="M235" s="131">
        <v>1248920177</v>
      </c>
      <c r="N235" s="131">
        <v>1248920177</v>
      </c>
      <c r="O235" s="131">
        <v>0</v>
      </c>
      <c r="P235" s="131">
        <v>1248920177</v>
      </c>
      <c r="Q235" s="131">
        <v>0</v>
      </c>
      <c r="R235" s="131">
        <v>0</v>
      </c>
      <c r="S235" s="131">
        <v>0</v>
      </c>
      <c r="T235" s="131">
        <v>0</v>
      </c>
      <c r="U235" s="131">
        <v>0</v>
      </c>
      <c r="V235" s="131">
        <v>0</v>
      </c>
      <c r="W235" s="131">
        <v>1248920177</v>
      </c>
      <c r="X235" s="131">
        <v>0</v>
      </c>
      <c r="Y235" s="131">
        <v>1248920177</v>
      </c>
      <c r="Z235" s="131">
        <v>0</v>
      </c>
      <c r="AA235" s="131">
        <v>0</v>
      </c>
      <c r="AB235" s="131">
        <v>0</v>
      </c>
      <c r="AC235" s="131">
        <v>0</v>
      </c>
      <c r="AD235" s="131">
        <v>0</v>
      </c>
      <c r="AE235" s="131">
        <v>0</v>
      </c>
      <c r="AF235" s="131">
        <v>1248920177</v>
      </c>
      <c r="AG235" s="131">
        <v>0</v>
      </c>
      <c r="AH235" s="131">
        <v>1248920177</v>
      </c>
      <c r="AI235" s="131">
        <v>1248920177</v>
      </c>
      <c r="AJ235" s="131">
        <v>1248920177</v>
      </c>
      <c r="AK235" s="131">
        <v>1248920177</v>
      </c>
      <c r="AM235" s="131">
        <v>0</v>
      </c>
      <c r="AN235" s="131">
        <v>0</v>
      </c>
      <c r="AO235" s="131">
        <v>0</v>
      </c>
      <c r="AP235" s="131">
        <v>0</v>
      </c>
      <c r="AQ235" s="131">
        <v>0</v>
      </c>
      <c r="AR235" s="131">
        <v>0</v>
      </c>
      <c r="AS235" t="s">
        <v>1709</v>
      </c>
    </row>
    <row r="236" spans="1:45" x14ac:dyDescent="0.25">
      <c r="A236">
        <v>2019</v>
      </c>
      <c r="B236">
        <v>318</v>
      </c>
      <c r="C236">
        <v>1020402030101</v>
      </c>
      <c r="D236" t="s">
        <v>226</v>
      </c>
      <c r="E236" t="s">
        <v>2980</v>
      </c>
      <c r="F236">
        <v>1020402030101</v>
      </c>
      <c r="G236" s="10" t="s">
        <v>2766</v>
      </c>
      <c r="H236" t="s">
        <v>2584</v>
      </c>
      <c r="I236" s="131">
        <v>0</v>
      </c>
      <c r="J236" s="131">
        <v>0</v>
      </c>
      <c r="K236" s="131">
        <v>1248920177</v>
      </c>
      <c r="L236" s="131">
        <v>0</v>
      </c>
      <c r="M236" s="131">
        <v>1248920177</v>
      </c>
      <c r="N236" s="131">
        <v>1248920177</v>
      </c>
      <c r="O236" s="131">
        <v>0</v>
      </c>
      <c r="P236" s="131">
        <v>1248920177</v>
      </c>
      <c r="Q236" s="131">
        <v>0</v>
      </c>
      <c r="R236" s="131">
        <v>0</v>
      </c>
      <c r="S236" s="131">
        <v>0</v>
      </c>
      <c r="T236" s="131">
        <v>0</v>
      </c>
      <c r="U236" s="131">
        <v>0</v>
      </c>
      <c r="V236" s="131">
        <v>0</v>
      </c>
      <c r="W236" s="131">
        <v>1248920177</v>
      </c>
      <c r="X236" s="131">
        <v>0</v>
      </c>
      <c r="Y236" s="131">
        <v>1248920177</v>
      </c>
      <c r="Z236" s="131">
        <v>0</v>
      </c>
      <c r="AA236" s="131">
        <v>0</v>
      </c>
      <c r="AB236" s="131">
        <v>0</v>
      </c>
      <c r="AC236" s="131">
        <v>0</v>
      </c>
      <c r="AD236" s="131">
        <v>0</v>
      </c>
      <c r="AE236" s="131">
        <v>0</v>
      </c>
      <c r="AF236" s="131">
        <v>1248920177</v>
      </c>
      <c r="AG236" s="131">
        <v>0</v>
      </c>
      <c r="AH236" s="131">
        <v>1248920177</v>
      </c>
      <c r="AI236" s="131">
        <v>1248920177</v>
      </c>
      <c r="AJ236" s="131">
        <v>1248920177</v>
      </c>
      <c r="AK236" s="131">
        <v>1248920177</v>
      </c>
      <c r="AM236" s="131">
        <v>0</v>
      </c>
      <c r="AN236" s="131">
        <v>0</v>
      </c>
      <c r="AO236" s="131">
        <v>0</v>
      </c>
      <c r="AP236" s="131">
        <v>0</v>
      </c>
      <c r="AQ236" s="131">
        <v>0</v>
      </c>
      <c r="AR236" s="131">
        <v>0</v>
      </c>
      <c r="AS236" t="s">
        <v>1709</v>
      </c>
    </row>
    <row r="237" spans="1:45" ht="30" x14ac:dyDescent="0.25">
      <c r="A237">
        <v>2019</v>
      </c>
      <c r="B237">
        <v>318</v>
      </c>
      <c r="C237">
        <v>102040203010101</v>
      </c>
      <c r="D237" t="s">
        <v>226</v>
      </c>
      <c r="E237" t="s">
        <v>2981</v>
      </c>
      <c r="F237">
        <v>102040203010101</v>
      </c>
      <c r="G237" s="10" t="s">
        <v>2771</v>
      </c>
      <c r="H237" t="s">
        <v>2584</v>
      </c>
      <c r="I237" s="131">
        <v>0</v>
      </c>
      <c r="J237" s="131">
        <v>0</v>
      </c>
      <c r="K237" s="131">
        <v>1248920177</v>
      </c>
      <c r="L237" s="131">
        <v>0</v>
      </c>
      <c r="M237" s="131">
        <v>1248920177</v>
      </c>
      <c r="N237" s="131">
        <v>1248920177</v>
      </c>
      <c r="O237" s="131">
        <v>0</v>
      </c>
      <c r="P237" s="131">
        <v>1248920177</v>
      </c>
      <c r="Q237" s="131">
        <v>0</v>
      </c>
      <c r="R237" s="131">
        <v>0</v>
      </c>
      <c r="S237" s="131">
        <v>0</v>
      </c>
      <c r="T237" s="131">
        <v>0</v>
      </c>
      <c r="U237" s="131">
        <v>0</v>
      </c>
      <c r="V237" s="131">
        <v>0</v>
      </c>
      <c r="W237" s="131">
        <v>1248920177</v>
      </c>
      <c r="X237" s="131">
        <v>0</v>
      </c>
      <c r="Y237" s="131">
        <v>1248920177</v>
      </c>
      <c r="Z237" s="131">
        <v>0</v>
      </c>
      <c r="AA237" s="131">
        <v>0</v>
      </c>
      <c r="AB237" s="131">
        <v>0</v>
      </c>
      <c r="AC237" s="131">
        <v>0</v>
      </c>
      <c r="AD237" s="131">
        <v>0</v>
      </c>
      <c r="AE237" s="131">
        <v>0</v>
      </c>
      <c r="AF237" s="131">
        <v>1248920177</v>
      </c>
      <c r="AG237" s="131">
        <v>0</v>
      </c>
      <c r="AH237" s="131">
        <v>1248920177</v>
      </c>
      <c r="AI237" s="131">
        <v>1248920177</v>
      </c>
      <c r="AJ237" s="131">
        <v>1248920177</v>
      </c>
      <c r="AK237" s="131">
        <v>1248920177</v>
      </c>
      <c r="AM237" s="131">
        <v>0</v>
      </c>
      <c r="AN237" s="131">
        <v>0</v>
      </c>
      <c r="AO237" s="131">
        <v>0</v>
      </c>
      <c r="AP237" s="131">
        <v>0</v>
      </c>
      <c r="AQ237" s="131">
        <v>0</v>
      </c>
      <c r="AR237" s="131">
        <v>0</v>
      </c>
      <c r="AS237" t="s">
        <v>1709</v>
      </c>
    </row>
    <row r="238" spans="1:45" x14ac:dyDescent="0.25">
      <c r="A238">
        <v>2019</v>
      </c>
      <c r="B238">
        <v>318</v>
      </c>
      <c r="C238">
        <v>1.02040203010101E+16</v>
      </c>
      <c r="D238">
        <v>98</v>
      </c>
      <c r="E238" t="s">
        <v>2982</v>
      </c>
      <c r="F238">
        <v>1.02040203010101E+16</v>
      </c>
      <c r="G238" s="10" t="s">
        <v>2983</v>
      </c>
      <c r="H238" t="s">
        <v>2584</v>
      </c>
      <c r="I238" s="131">
        <v>0</v>
      </c>
      <c r="J238" s="131">
        <v>0</v>
      </c>
      <c r="K238" s="131">
        <v>511330319</v>
      </c>
      <c r="L238" s="131">
        <v>0</v>
      </c>
      <c r="M238" s="131">
        <v>511330319</v>
      </c>
      <c r="N238" s="131">
        <v>511330319</v>
      </c>
      <c r="O238" s="131">
        <v>0</v>
      </c>
      <c r="P238" s="131">
        <v>511330319</v>
      </c>
      <c r="Q238" s="131">
        <v>0</v>
      </c>
      <c r="R238" s="131">
        <v>0</v>
      </c>
      <c r="S238" s="131">
        <v>0</v>
      </c>
      <c r="T238" s="131">
        <v>0</v>
      </c>
      <c r="U238" s="131">
        <v>0</v>
      </c>
      <c r="V238" s="131">
        <v>0</v>
      </c>
      <c r="W238" s="131">
        <v>511330319</v>
      </c>
      <c r="X238" s="131">
        <v>0</v>
      </c>
      <c r="Y238" s="131">
        <v>511330319</v>
      </c>
      <c r="Z238" s="131">
        <v>0</v>
      </c>
      <c r="AA238" s="131">
        <v>0</v>
      </c>
      <c r="AB238" s="131">
        <v>0</v>
      </c>
      <c r="AC238" s="131">
        <v>0</v>
      </c>
      <c r="AD238" s="131">
        <v>0</v>
      </c>
      <c r="AE238" s="131">
        <v>0</v>
      </c>
      <c r="AF238" s="131">
        <v>511330319</v>
      </c>
      <c r="AG238" s="131">
        <v>0</v>
      </c>
      <c r="AH238" s="131">
        <v>511330319</v>
      </c>
      <c r="AI238" s="131">
        <v>511330319</v>
      </c>
      <c r="AJ238" s="131">
        <v>511330319</v>
      </c>
      <c r="AK238" s="131">
        <v>511330319</v>
      </c>
      <c r="AM238" s="131">
        <v>0</v>
      </c>
      <c r="AN238" s="131">
        <v>0</v>
      </c>
      <c r="AO238" s="131">
        <v>0</v>
      </c>
      <c r="AP238" s="131">
        <v>0</v>
      </c>
      <c r="AQ238" s="131">
        <v>0</v>
      </c>
      <c r="AR238" s="131">
        <v>0</v>
      </c>
      <c r="AS238" t="s">
        <v>219</v>
      </c>
    </row>
    <row r="239" spans="1:45" x14ac:dyDescent="0.25">
      <c r="A239">
        <v>2019</v>
      </c>
      <c r="B239">
        <v>318</v>
      </c>
      <c r="C239">
        <v>1.02040203010101E+16</v>
      </c>
      <c r="D239">
        <v>99</v>
      </c>
      <c r="E239" t="s">
        <v>2984</v>
      </c>
      <c r="F239">
        <v>1.02040203010101E+16</v>
      </c>
      <c r="G239" s="10" t="s">
        <v>1449</v>
      </c>
      <c r="H239" t="s">
        <v>2584</v>
      </c>
      <c r="I239" s="131">
        <v>0</v>
      </c>
      <c r="J239" s="131">
        <v>0</v>
      </c>
      <c r="K239" s="131">
        <v>590675459</v>
      </c>
      <c r="L239" s="131">
        <v>0</v>
      </c>
      <c r="M239" s="131">
        <v>590675459</v>
      </c>
      <c r="N239" s="131">
        <v>590675459</v>
      </c>
      <c r="O239" s="131">
        <v>0</v>
      </c>
      <c r="P239" s="131">
        <v>590675459</v>
      </c>
      <c r="Q239" s="131">
        <v>0</v>
      </c>
      <c r="R239" s="131">
        <v>0</v>
      </c>
      <c r="S239" s="131">
        <v>0</v>
      </c>
      <c r="T239" s="131">
        <v>0</v>
      </c>
      <c r="U239" s="131">
        <v>0</v>
      </c>
      <c r="V239" s="131">
        <v>0</v>
      </c>
      <c r="W239" s="131">
        <v>590675459</v>
      </c>
      <c r="X239" s="131">
        <v>0</v>
      </c>
      <c r="Y239" s="131">
        <v>590675459</v>
      </c>
      <c r="Z239" s="131">
        <v>0</v>
      </c>
      <c r="AA239" s="131">
        <v>0</v>
      </c>
      <c r="AB239" s="131">
        <v>0</v>
      </c>
      <c r="AC239" s="131">
        <v>0</v>
      </c>
      <c r="AD239" s="131">
        <v>0</v>
      </c>
      <c r="AE239" s="131">
        <v>0</v>
      </c>
      <c r="AF239" s="131">
        <v>590675459</v>
      </c>
      <c r="AG239" s="131">
        <v>0</v>
      </c>
      <c r="AH239" s="131">
        <v>590675459</v>
      </c>
      <c r="AI239" s="131">
        <v>590675459</v>
      </c>
      <c r="AJ239" s="131">
        <v>590675459</v>
      </c>
      <c r="AK239" s="131">
        <v>590675459</v>
      </c>
      <c r="AM239" s="131">
        <v>0</v>
      </c>
      <c r="AN239" s="131">
        <v>0</v>
      </c>
      <c r="AO239" s="131">
        <v>0</v>
      </c>
      <c r="AP239" s="131">
        <v>0</v>
      </c>
      <c r="AQ239" s="131">
        <v>0</v>
      </c>
      <c r="AR239" s="131">
        <v>0</v>
      </c>
      <c r="AS239" t="s">
        <v>221</v>
      </c>
    </row>
    <row r="240" spans="1:45" x14ac:dyDescent="0.25">
      <c r="A240">
        <v>2019</v>
      </c>
      <c r="B240">
        <v>318</v>
      </c>
      <c r="C240">
        <v>1.02040203010101E+16</v>
      </c>
      <c r="D240">
        <v>96</v>
      </c>
      <c r="E240" t="s">
        <v>2985</v>
      </c>
      <c r="F240">
        <v>1.02040203010101E+16</v>
      </c>
      <c r="G240" s="10" t="s">
        <v>2908</v>
      </c>
      <c r="H240" t="s">
        <v>2584</v>
      </c>
      <c r="I240" s="131">
        <v>0</v>
      </c>
      <c r="J240" s="131">
        <v>0</v>
      </c>
      <c r="K240" s="131">
        <v>57233390</v>
      </c>
      <c r="L240" s="131">
        <v>0</v>
      </c>
      <c r="M240" s="131">
        <v>57233390</v>
      </c>
      <c r="N240" s="131">
        <v>57233390</v>
      </c>
      <c r="O240" s="131">
        <v>0</v>
      </c>
      <c r="P240" s="131">
        <v>57233390</v>
      </c>
      <c r="Q240" s="131">
        <v>0</v>
      </c>
      <c r="R240" s="131">
        <v>0</v>
      </c>
      <c r="S240" s="131">
        <v>0</v>
      </c>
      <c r="T240" s="131">
        <v>0</v>
      </c>
      <c r="U240" s="131">
        <v>0</v>
      </c>
      <c r="V240" s="131">
        <v>0</v>
      </c>
      <c r="W240" s="131">
        <v>57233390</v>
      </c>
      <c r="X240" s="131">
        <v>0</v>
      </c>
      <c r="Y240" s="131">
        <v>57233390</v>
      </c>
      <c r="Z240" s="131">
        <v>0</v>
      </c>
      <c r="AA240" s="131">
        <v>0</v>
      </c>
      <c r="AB240" s="131">
        <v>0</v>
      </c>
      <c r="AC240" s="131">
        <v>0</v>
      </c>
      <c r="AD240" s="131">
        <v>0</v>
      </c>
      <c r="AE240" s="131">
        <v>0</v>
      </c>
      <c r="AF240" s="131">
        <v>57233390</v>
      </c>
      <c r="AG240" s="131">
        <v>0</v>
      </c>
      <c r="AH240" s="131">
        <v>57233390</v>
      </c>
      <c r="AI240" s="131">
        <v>57233390</v>
      </c>
      <c r="AJ240" s="131">
        <v>57233390</v>
      </c>
      <c r="AK240" s="131">
        <v>57233390</v>
      </c>
      <c r="AM240" s="131">
        <v>0</v>
      </c>
      <c r="AN240" s="131">
        <v>0</v>
      </c>
      <c r="AO240" s="131">
        <v>0</v>
      </c>
      <c r="AP240" s="131">
        <v>0</v>
      </c>
      <c r="AQ240" s="131">
        <v>0</v>
      </c>
      <c r="AR240" s="131">
        <v>0</v>
      </c>
      <c r="AS240" t="s">
        <v>215</v>
      </c>
    </row>
    <row r="241" spans="1:45" ht="45" x14ac:dyDescent="0.25">
      <c r="A241">
        <v>2019</v>
      </c>
      <c r="B241">
        <v>318</v>
      </c>
      <c r="C241">
        <v>1.02040203010101E+16</v>
      </c>
      <c r="D241">
        <v>107</v>
      </c>
      <c r="E241" t="s">
        <v>2986</v>
      </c>
      <c r="F241">
        <v>1.02040203010101E+16</v>
      </c>
      <c r="G241" s="10" t="s">
        <v>2987</v>
      </c>
      <c r="H241" t="s">
        <v>2584</v>
      </c>
      <c r="I241" s="131">
        <v>0</v>
      </c>
      <c r="J241" s="131">
        <v>0</v>
      </c>
      <c r="K241" s="131">
        <v>42719400</v>
      </c>
      <c r="L241" s="131">
        <v>0</v>
      </c>
      <c r="M241" s="131">
        <v>42719400</v>
      </c>
      <c r="N241" s="131">
        <v>42719400</v>
      </c>
      <c r="O241" s="131">
        <v>0</v>
      </c>
      <c r="P241" s="131">
        <v>42719400</v>
      </c>
      <c r="Q241" s="131">
        <v>0</v>
      </c>
      <c r="R241" s="131">
        <v>0</v>
      </c>
      <c r="S241" s="131">
        <v>0</v>
      </c>
      <c r="T241" s="131">
        <v>0</v>
      </c>
      <c r="U241" s="131">
        <v>0</v>
      </c>
      <c r="V241" s="131">
        <v>0</v>
      </c>
      <c r="W241" s="131">
        <v>42719400</v>
      </c>
      <c r="X241" s="131">
        <v>0</v>
      </c>
      <c r="Y241" s="131">
        <v>42719400</v>
      </c>
      <c r="Z241" s="131">
        <v>0</v>
      </c>
      <c r="AA241" s="131">
        <v>0</v>
      </c>
      <c r="AB241" s="131">
        <v>0</v>
      </c>
      <c r="AC241" s="131">
        <v>0</v>
      </c>
      <c r="AD241" s="131">
        <v>0</v>
      </c>
      <c r="AE241" s="131">
        <v>0</v>
      </c>
      <c r="AF241" s="131">
        <v>42719400</v>
      </c>
      <c r="AG241" s="131">
        <v>0</v>
      </c>
      <c r="AH241" s="131">
        <v>42719400</v>
      </c>
      <c r="AI241" s="131">
        <v>42719400</v>
      </c>
      <c r="AJ241" s="131">
        <v>42719400</v>
      </c>
      <c r="AK241" s="131">
        <v>42719400</v>
      </c>
      <c r="AM241" s="131">
        <v>0</v>
      </c>
      <c r="AN241" s="131">
        <v>0</v>
      </c>
      <c r="AO241" s="131">
        <v>0</v>
      </c>
      <c r="AP241" s="131">
        <v>0</v>
      </c>
      <c r="AQ241" s="131">
        <v>0</v>
      </c>
      <c r="AR241" s="131">
        <v>0</v>
      </c>
      <c r="AS241" t="s">
        <v>2988</v>
      </c>
    </row>
    <row r="242" spans="1:45" ht="30" x14ac:dyDescent="0.25">
      <c r="A242">
        <v>2019</v>
      </c>
      <c r="B242">
        <v>318</v>
      </c>
      <c r="C242">
        <v>1.02040203010101E+16</v>
      </c>
      <c r="D242">
        <v>147</v>
      </c>
      <c r="E242" t="s">
        <v>2989</v>
      </c>
      <c r="F242">
        <v>1.02040203010101E+16</v>
      </c>
      <c r="G242" s="10" t="s">
        <v>2990</v>
      </c>
      <c r="H242" t="s">
        <v>2584</v>
      </c>
      <c r="I242" s="131">
        <v>0</v>
      </c>
      <c r="J242" s="131">
        <v>0</v>
      </c>
      <c r="K242" s="131">
        <v>9557695</v>
      </c>
      <c r="L242" s="131">
        <v>0</v>
      </c>
      <c r="M242" s="131">
        <v>9557695</v>
      </c>
      <c r="N242" s="131">
        <v>9557695</v>
      </c>
      <c r="O242" s="131">
        <v>0</v>
      </c>
      <c r="P242" s="131">
        <v>9557695</v>
      </c>
      <c r="Q242" s="131">
        <v>0</v>
      </c>
      <c r="R242" s="131">
        <v>0</v>
      </c>
      <c r="S242" s="131">
        <v>0</v>
      </c>
      <c r="T242" s="131">
        <v>0</v>
      </c>
      <c r="U242" s="131">
        <v>0</v>
      </c>
      <c r="V242" s="131">
        <v>0</v>
      </c>
      <c r="W242" s="131">
        <v>9557695</v>
      </c>
      <c r="X242" s="131">
        <v>0</v>
      </c>
      <c r="Y242" s="131">
        <v>9557695</v>
      </c>
      <c r="Z242" s="131">
        <v>0</v>
      </c>
      <c r="AA242" s="131">
        <v>0</v>
      </c>
      <c r="AB242" s="131">
        <v>0</v>
      </c>
      <c r="AC242" s="131">
        <v>0</v>
      </c>
      <c r="AD242" s="131">
        <v>0</v>
      </c>
      <c r="AE242" s="131">
        <v>0</v>
      </c>
      <c r="AF242" s="131">
        <v>9557695</v>
      </c>
      <c r="AG242" s="131">
        <v>0</v>
      </c>
      <c r="AH242" s="131">
        <v>9557695</v>
      </c>
      <c r="AI242" s="131">
        <v>9557695</v>
      </c>
      <c r="AJ242" s="131">
        <v>9557695</v>
      </c>
      <c r="AK242" s="131">
        <v>9557695</v>
      </c>
      <c r="AM242" s="131">
        <v>0</v>
      </c>
      <c r="AN242" s="131">
        <v>0</v>
      </c>
      <c r="AO242" s="131">
        <v>0</v>
      </c>
      <c r="AP242" s="131">
        <v>0</v>
      </c>
      <c r="AQ242" s="131">
        <v>0</v>
      </c>
      <c r="AR242" s="131">
        <v>0</v>
      </c>
      <c r="AS242" t="s">
        <v>68</v>
      </c>
    </row>
    <row r="243" spans="1:45" ht="30" x14ac:dyDescent="0.25">
      <c r="A243">
        <v>2019</v>
      </c>
      <c r="B243">
        <v>318</v>
      </c>
      <c r="C243">
        <v>1.02040203010101E+16</v>
      </c>
      <c r="D243">
        <v>161</v>
      </c>
      <c r="E243" t="s">
        <v>2991</v>
      </c>
      <c r="F243">
        <v>1.02040203010101E+16</v>
      </c>
      <c r="G243" s="10" t="s">
        <v>2992</v>
      </c>
      <c r="H243" t="s">
        <v>2584</v>
      </c>
      <c r="I243" s="131">
        <v>0</v>
      </c>
      <c r="J243" s="131">
        <v>0</v>
      </c>
      <c r="K243" s="131">
        <v>37403914</v>
      </c>
      <c r="L243" s="131">
        <v>0</v>
      </c>
      <c r="M243" s="131">
        <v>37403914</v>
      </c>
      <c r="N243" s="131">
        <v>37403914</v>
      </c>
      <c r="O243" s="131">
        <v>0</v>
      </c>
      <c r="P243" s="131">
        <v>37403914</v>
      </c>
      <c r="Q243" s="131">
        <v>0</v>
      </c>
      <c r="R243" s="131">
        <v>0</v>
      </c>
      <c r="S243" s="131">
        <v>0</v>
      </c>
      <c r="T243" s="131">
        <v>0</v>
      </c>
      <c r="U243" s="131">
        <v>0</v>
      </c>
      <c r="V243" s="131">
        <v>0</v>
      </c>
      <c r="W243" s="131">
        <v>37403914</v>
      </c>
      <c r="X243" s="131">
        <v>0</v>
      </c>
      <c r="Y243" s="131">
        <v>37403914</v>
      </c>
      <c r="Z243" s="131">
        <v>0</v>
      </c>
      <c r="AA243" s="131">
        <v>0</v>
      </c>
      <c r="AB243" s="131">
        <v>0</v>
      </c>
      <c r="AC243" s="131">
        <v>0</v>
      </c>
      <c r="AD243" s="131">
        <v>0</v>
      </c>
      <c r="AE243" s="131">
        <v>0</v>
      </c>
      <c r="AF243" s="131">
        <v>37403914</v>
      </c>
      <c r="AG243" s="131">
        <v>0</v>
      </c>
      <c r="AH243" s="131">
        <v>37403914</v>
      </c>
      <c r="AI243" s="131">
        <v>37403914</v>
      </c>
      <c r="AJ243" s="131">
        <v>37403914</v>
      </c>
      <c r="AK243" s="131">
        <v>37403914</v>
      </c>
      <c r="AM243" s="131">
        <v>0</v>
      </c>
      <c r="AN243" s="131">
        <v>0</v>
      </c>
      <c r="AO243" s="131">
        <v>0</v>
      </c>
      <c r="AP243" s="131">
        <v>0</v>
      </c>
      <c r="AQ243" s="131">
        <v>0</v>
      </c>
      <c r="AR243" s="131">
        <v>0</v>
      </c>
      <c r="AS243" t="s">
        <v>1749</v>
      </c>
    </row>
    <row r="244" spans="1:45" ht="30" x14ac:dyDescent="0.25">
      <c r="A244">
        <v>2019</v>
      </c>
      <c r="B244">
        <v>318</v>
      </c>
      <c r="C244">
        <v>10204020302</v>
      </c>
      <c r="D244" t="s">
        <v>226</v>
      </c>
      <c r="E244" t="s">
        <v>2993</v>
      </c>
      <c r="F244">
        <v>10204020302</v>
      </c>
      <c r="G244" s="10" t="s">
        <v>1162</v>
      </c>
      <c r="H244" t="s">
        <v>2584</v>
      </c>
      <c r="I244" s="131">
        <v>34270528</v>
      </c>
      <c r="J244" s="131">
        <v>34270528</v>
      </c>
      <c r="K244" s="131">
        <v>0</v>
      </c>
      <c r="L244" s="131">
        <v>0</v>
      </c>
      <c r="M244" s="131">
        <v>0</v>
      </c>
      <c r="N244" s="131">
        <v>0</v>
      </c>
      <c r="O244" s="131">
        <v>0</v>
      </c>
      <c r="P244" s="131">
        <v>34270528</v>
      </c>
      <c r="Q244" s="131">
        <v>0</v>
      </c>
      <c r="R244" s="131">
        <v>0</v>
      </c>
      <c r="S244" s="131">
        <v>0</v>
      </c>
      <c r="T244" s="131">
        <v>0</v>
      </c>
      <c r="U244" s="131">
        <v>0</v>
      </c>
      <c r="V244" s="131">
        <v>0</v>
      </c>
      <c r="W244" s="131">
        <v>15160715.619999999</v>
      </c>
      <c r="X244" s="131">
        <v>0</v>
      </c>
      <c r="Y244" s="131">
        <v>15160715.619999999</v>
      </c>
      <c r="Z244" s="131">
        <v>0</v>
      </c>
      <c r="AA244" s="131">
        <v>0</v>
      </c>
      <c r="AB244" s="131">
        <v>0</v>
      </c>
      <c r="AC244" s="131">
        <v>0</v>
      </c>
      <c r="AD244" s="131">
        <v>0</v>
      </c>
      <c r="AE244" s="131">
        <v>0</v>
      </c>
      <c r="AF244" s="131">
        <v>15160715.619999999</v>
      </c>
      <c r="AG244" s="131">
        <v>0</v>
      </c>
      <c r="AH244" s="131">
        <v>15160715.619999999</v>
      </c>
      <c r="AI244" s="131">
        <v>15160715.619999999</v>
      </c>
      <c r="AJ244" s="131">
        <v>0</v>
      </c>
      <c r="AK244" s="131">
        <v>0</v>
      </c>
      <c r="AM244" s="131">
        <v>15160715.619999999</v>
      </c>
      <c r="AN244" s="131">
        <v>15160715.619999999</v>
      </c>
      <c r="AO244" s="131">
        <v>0</v>
      </c>
      <c r="AP244" s="131">
        <v>15160715.619999999</v>
      </c>
      <c r="AQ244" s="131">
        <v>0</v>
      </c>
      <c r="AR244" s="131">
        <v>0</v>
      </c>
      <c r="AS244" t="s">
        <v>1709</v>
      </c>
    </row>
    <row r="245" spans="1:45" ht="30" x14ac:dyDescent="0.25">
      <c r="A245">
        <v>2019</v>
      </c>
      <c r="B245">
        <v>318</v>
      </c>
      <c r="C245">
        <v>1020402030201</v>
      </c>
      <c r="D245">
        <v>61</v>
      </c>
      <c r="E245" t="s">
        <v>2994</v>
      </c>
      <c r="F245">
        <v>1020402030201</v>
      </c>
      <c r="G245" s="10" t="s">
        <v>2995</v>
      </c>
      <c r="H245" t="s">
        <v>2584</v>
      </c>
      <c r="I245" s="131">
        <v>31470000</v>
      </c>
      <c r="J245" s="131">
        <v>31470000</v>
      </c>
      <c r="K245" s="131">
        <v>0</v>
      </c>
      <c r="L245" s="131">
        <v>0</v>
      </c>
      <c r="M245" s="131">
        <v>0</v>
      </c>
      <c r="N245" s="131">
        <v>0</v>
      </c>
      <c r="O245" s="131">
        <v>0</v>
      </c>
      <c r="P245" s="131">
        <v>31470000</v>
      </c>
      <c r="Q245" s="131">
        <v>0</v>
      </c>
      <c r="R245" s="131">
        <v>0</v>
      </c>
      <c r="S245" s="131">
        <v>0</v>
      </c>
      <c r="T245" s="131">
        <v>0</v>
      </c>
      <c r="U245" s="131">
        <v>0</v>
      </c>
      <c r="V245" s="131">
        <v>0</v>
      </c>
      <c r="W245" s="131">
        <v>12789253.949999999</v>
      </c>
      <c r="X245" s="131">
        <v>0</v>
      </c>
      <c r="Y245" s="131">
        <v>12789253.949999999</v>
      </c>
      <c r="Z245" s="131">
        <v>0</v>
      </c>
      <c r="AA245" s="131">
        <v>0</v>
      </c>
      <c r="AB245" s="131">
        <v>0</v>
      </c>
      <c r="AC245" s="131">
        <v>0</v>
      </c>
      <c r="AD245" s="131">
        <v>0</v>
      </c>
      <c r="AE245" s="131">
        <v>0</v>
      </c>
      <c r="AF245" s="131">
        <v>12789253.949999999</v>
      </c>
      <c r="AG245" s="131">
        <v>0</v>
      </c>
      <c r="AH245" s="131">
        <v>12789253.949999999</v>
      </c>
      <c r="AI245" s="131">
        <v>12789253.949999999</v>
      </c>
      <c r="AJ245" s="131">
        <v>0</v>
      </c>
      <c r="AK245" s="131">
        <v>0</v>
      </c>
      <c r="AM245" s="131">
        <v>12789253.949999999</v>
      </c>
      <c r="AN245" s="131">
        <v>12789253.949999999</v>
      </c>
      <c r="AO245" s="131">
        <v>0</v>
      </c>
      <c r="AP245" s="131">
        <v>12789253.949999999</v>
      </c>
      <c r="AQ245" s="131">
        <v>0</v>
      </c>
      <c r="AR245" s="131">
        <v>0</v>
      </c>
      <c r="AS245" t="s">
        <v>179</v>
      </c>
    </row>
    <row r="246" spans="1:45" ht="30" x14ac:dyDescent="0.25">
      <c r="A246">
        <v>2019</v>
      </c>
      <c r="B246">
        <v>318</v>
      </c>
      <c r="C246">
        <v>1020402030202</v>
      </c>
      <c r="D246">
        <v>63</v>
      </c>
      <c r="E246" t="s">
        <v>2996</v>
      </c>
      <c r="F246">
        <v>1020402030202</v>
      </c>
      <c r="G246" s="10" t="s">
        <v>846</v>
      </c>
      <c r="H246" t="s">
        <v>2584</v>
      </c>
      <c r="I246" s="131">
        <v>2800528</v>
      </c>
      <c r="J246" s="131">
        <v>2800528</v>
      </c>
      <c r="K246" s="131">
        <v>0</v>
      </c>
      <c r="L246" s="131">
        <v>0</v>
      </c>
      <c r="M246" s="131">
        <v>0</v>
      </c>
      <c r="N246" s="131">
        <v>0</v>
      </c>
      <c r="O246" s="131">
        <v>0</v>
      </c>
      <c r="P246" s="131">
        <v>2800528</v>
      </c>
      <c r="Q246" s="131">
        <v>0</v>
      </c>
      <c r="R246" s="131">
        <v>0</v>
      </c>
      <c r="S246" s="131">
        <v>0</v>
      </c>
      <c r="T246" s="131">
        <v>0</v>
      </c>
      <c r="U246" s="131">
        <v>0</v>
      </c>
      <c r="V246" s="131">
        <v>0</v>
      </c>
      <c r="W246" s="131">
        <v>2030599.35</v>
      </c>
      <c r="X246" s="131">
        <v>0</v>
      </c>
      <c r="Y246" s="131">
        <v>2030599.35</v>
      </c>
      <c r="Z246" s="131">
        <v>0</v>
      </c>
      <c r="AA246" s="131">
        <v>0</v>
      </c>
      <c r="AB246" s="131">
        <v>0</v>
      </c>
      <c r="AC246" s="131">
        <v>0</v>
      </c>
      <c r="AD246" s="131">
        <v>0</v>
      </c>
      <c r="AE246" s="131">
        <v>0</v>
      </c>
      <c r="AF246" s="131">
        <v>2030599.35</v>
      </c>
      <c r="AG246" s="131">
        <v>0</v>
      </c>
      <c r="AH246" s="131">
        <v>2030599.35</v>
      </c>
      <c r="AI246" s="131">
        <v>2030599.35</v>
      </c>
      <c r="AJ246" s="131">
        <v>0</v>
      </c>
      <c r="AK246" s="131">
        <v>0</v>
      </c>
      <c r="AM246" s="131">
        <v>2030599.35</v>
      </c>
      <c r="AN246" s="131">
        <v>2030599.35</v>
      </c>
      <c r="AO246" s="131">
        <v>0</v>
      </c>
      <c r="AP246" s="131">
        <v>2030599.35</v>
      </c>
      <c r="AQ246" s="131">
        <v>0</v>
      </c>
      <c r="AR246" s="131">
        <v>0</v>
      </c>
      <c r="AS246" t="s">
        <v>181</v>
      </c>
    </row>
    <row r="247" spans="1:45" ht="30" x14ac:dyDescent="0.25">
      <c r="A247">
        <v>2019</v>
      </c>
      <c r="B247">
        <v>318</v>
      </c>
      <c r="C247">
        <v>1020402030219</v>
      </c>
      <c r="D247">
        <v>102</v>
      </c>
      <c r="E247" t="s">
        <v>2997</v>
      </c>
      <c r="F247">
        <v>1020402030219</v>
      </c>
      <c r="G247" s="10" t="s">
        <v>2998</v>
      </c>
      <c r="H247" t="s">
        <v>2584</v>
      </c>
      <c r="I247" s="131">
        <v>0</v>
      </c>
      <c r="J247" s="131">
        <v>0</v>
      </c>
      <c r="K247" s="131">
        <v>0</v>
      </c>
      <c r="L247" s="131">
        <v>0</v>
      </c>
      <c r="M247" s="131">
        <v>0</v>
      </c>
      <c r="N247" s="131">
        <v>0</v>
      </c>
      <c r="O247" s="131">
        <v>0</v>
      </c>
      <c r="P247" s="131">
        <v>0</v>
      </c>
      <c r="Q247" s="131">
        <v>0</v>
      </c>
      <c r="R247" s="131">
        <v>0</v>
      </c>
      <c r="S247" s="131">
        <v>0</v>
      </c>
      <c r="T247" s="131">
        <v>0</v>
      </c>
      <c r="U247" s="131">
        <v>0</v>
      </c>
      <c r="V247" s="131">
        <v>0</v>
      </c>
      <c r="W247" s="131">
        <v>340862.32</v>
      </c>
      <c r="X247" s="131">
        <v>0</v>
      </c>
      <c r="Y247" s="131">
        <v>340862.32</v>
      </c>
      <c r="Z247" s="131">
        <v>0</v>
      </c>
      <c r="AA247" s="131">
        <v>0</v>
      </c>
      <c r="AB247" s="131">
        <v>0</v>
      </c>
      <c r="AC247" s="131">
        <v>0</v>
      </c>
      <c r="AD247" s="131">
        <v>0</v>
      </c>
      <c r="AE247" s="131">
        <v>0</v>
      </c>
      <c r="AF247" s="131">
        <v>340862.32</v>
      </c>
      <c r="AG247" s="131">
        <v>0</v>
      </c>
      <c r="AH247" s="131">
        <v>340862.32</v>
      </c>
      <c r="AI247" s="131">
        <v>340862.32</v>
      </c>
      <c r="AJ247" s="131">
        <v>0</v>
      </c>
      <c r="AK247" s="131">
        <v>0</v>
      </c>
      <c r="AM247" s="131">
        <v>340862.32</v>
      </c>
      <c r="AN247" s="131">
        <v>340862.32</v>
      </c>
      <c r="AO247" s="131">
        <v>0</v>
      </c>
      <c r="AP247" s="131">
        <v>340862.32</v>
      </c>
      <c r="AQ247" s="131">
        <v>0</v>
      </c>
      <c r="AR247" s="131">
        <v>0</v>
      </c>
      <c r="AS247" t="s">
        <v>1750</v>
      </c>
    </row>
    <row r="248" spans="1:45" x14ac:dyDescent="0.25">
      <c r="A248">
        <v>2019</v>
      </c>
      <c r="B248">
        <v>318</v>
      </c>
      <c r="C248">
        <v>102040204</v>
      </c>
      <c r="D248" t="s">
        <v>226</v>
      </c>
      <c r="E248" t="s">
        <v>2999</v>
      </c>
      <c r="F248">
        <v>102040204</v>
      </c>
      <c r="G248" s="10" t="s">
        <v>1087</v>
      </c>
      <c r="H248" t="s">
        <v>2584</v>
      </c>
      <c r="I248" s="131">
        <v>422445905</v>
      </c>
      <c r="J248" s="131">
        <v>422445905</v>
      </c>
      <c r="K248" s="131">
        <v>9693675</v>
      </c>
      <c r="L248" s="131">
        <v>6576437</v>
      </c>
      <c r="M248" s="131">
        <v>3117238</v>
      </c>
      <c r="N248" s="131">
        <v>9693675</v>
      </c>
      <c r="O248" s="131">
        <v>6576437</v>
      </c>
      <c r="P248" s="131">
        <v>425563143</v>
      </c>
      <c r="Q248" s="131">
        <v>0</v>
      </c>
      <c r="R248" s="131">
        <v>0</v>
      </c>
      <c r="S248" s="131">
        <v>0</v>
      </c>
      <c r="T248" s="131">
        <v>0</v>
      </c>
      <c r="U248" s="131">
        <v>0</v>
      </c>
      <c r="V248" s="131">
        <v>0</v>
      </c>
      <c r="W248" s="131">
        <v>425563143</v>
      </c>
      <c r="X248" s="131">
        <v>0</v>
      </c>
      <c r="Y248" s="131">
        <v>425563143</v>
      </c>
      <c r="Z248" s="131">
        <v>0</v>
      </c>
      <c r="AA248" s="131">
        <v>0</v>
      </c>
      <c r="AB248" s="131">
        <v>0</v>
      </c>
      <c r="AC248" s="131">
        <v>0</v>
      </c>
      <c r="AD248" s="131">
        <v>0</v>
      </c>
      <c r="AE248" s="131">
        <v>0</v>
      </c>
      <c r="AF248" s="131">
        <v>425563143</v>
      </c>
      <c r="AG248" s="131">
        <v>0</v>
      </c>
      <c r="AH248" s="131">
        <v>425563143</v>
      </c>
      <c r="AI248" s="131">
        <v>425563143</v>
      </c>
      <c r="AJ248" s="131">
        <v>0</v>
      </c>
      <c r="AK248" s="131">
        <v>0</v>
      </c>
      <c r="AM248" s="131">
        <v>425563143</v>
      </c>
      <c r="AN248" s="131">
        <v>425563143</v>
      </c>
      <c r="AO248" s="131">
        <v>0</v>
      </c>
      <c r="AP248" s="131">
        <v>425563143</v>
      </c>
      <c r="AQ248" s="131">
        <v>0</v>
      </c>
      <c r="AR248" s="131">
        <v>0</v>
      </c>
      <c r="AS248" t="s">
        <v>1709</v>
      </c>
    </row>
    <row r="249" spans="1:45" x14ac:dyDescent="0.25">
      <c r="A249">
        <v>2019</v>
      </c>
      <c r="B249">
        <v>318</v>
      </c>
      <c r="C249">
        <v>10204020401</v>
      </c>
      <c r="D249" t="s">
        <v>226</v>
      </c>
      <c r="E249" t="s">
        <v>3000</v>
      </c>
      <c r="F249">
        <v>10204020401</v>
      </c>
      <c r="G249" s="10" t="s">
        <v>2951</v>
      </c>
      <c r="H249" t="s">
        <v>2584</v>
      </c>
      <c r="I249" s="131">
        <v>422445905</v>
      </c>
      <c r="J249" s="131">
        <v>422445905</v>
      </c>
      <c r="K249" s="131">
        <v>9693675</v>
      </c>
      <c r="L249" s="131">
        <v>6576437</v>
      </c>
      <c r="M249" s="131">
        <v>3117238</v>
      </c>
      <c r="N249" s="131">
        <v>9693675</v>
      </c>
      <c r="O249" s="131">
        <v>6576437</v>
      </c>
      <c r="P249" s="131">
        <v>425563143</v>
      </c>
      <c r="Q249" s="131">
        <v>0</v>
      </c>
      <c r="R249" s="131">
        <v>0</v>
      </c>
      <c r="S249" s="131">
        <v>0</v>
      </c>
      <c r="T249" s="131">
        <v>0</v>
      </c>
      <c r="U249" s="131">
        <v>0</v>
      </c>
      <c r="V249" s="131">
        <v>0</v>
      </c>
      <c r="W249" s="131">
        <v>425563143</v>
      </c>
      <c r="X249" s="131">
        <v>0</v>
      </c>
      <c r="Y249" s="131">
        <v>425563143</v>
      </c>
      <c r="Z249" s="131">
        <v>0</v>
      </c>
      <c r="AA249" s="131">
        <v>0</v>
      </c>
      <c r="AB249" s="131">
        <v>0</v>
      </c>
      <c r="AC249" s="131">
        <v>0</v>
      </c>
      <c r="AD249" s="131">
        <v>0</v>
      </c>
      <c r="AE249" s="131">
        <v>0</v>
      </c>
      <c r="AF249" s="131">
        <v>425563143</v>
      </c>
      <c r="AG249" s="131">
        <v>0</v>
      </c>
      <c r="AH249" s="131">
        <v>425563143</v>
      </c>
      <c r="AI249" s="131">
        <v>425563143</v>
      </c>
      <c r="AJ249" s="131">
        <v>0</v>
      </c>
      <c r="AK249" s="131">
        <v>0</v>
      </c>
      <c r="AM249" s="131">
        <v>425563143</v>
      </c>
      <c r="AN249" s="131">
        <v>425563143</v>
      </c>
      <c r="AO249" s="131">
        <v>0</v>
      </c>
      <c r="AP249" s="131">
        <v>425563143</v>
      </c>
      <c r="AQ249" s="131">
        <v>0</v>
      </c>
      <c r="AR249" s="131">
        <v>0</v>
      </c>
      <c r="AS249" t="s">
        <v>1709</v>
      </c>
    </row>
    <row r="250" spans="1:45" ht="30" x14ac:dyDescent="0.25">
      <c r="A250">
        <v>2019</v>
      </c>
      <c r="B250">
        <v>318</v>
      </c>
      <c r="C250">
        <v>1020402040101</v>
      </c>
      <c r="D250" t="s">
        <v>226</v>
      </c>
      <c r="E250" t="s">
        <v>3001</v>
      </c>
      <c r="F250">
        <v>1020402040101</v>
      </c>
      <c r="G250" s="10" t="s">
        <v>2953</v>
      </c>
      <c r="H250" t="s">
        <v>2584</v>
      </c>
      <c r="I250" s="131">
        <v>422445905</v>
      </c>
      <c r="J250" s="131">
        <v>422445905</v>
      </c>
      <c r="K250" s="131">
        <v>9693675</v>
      </c>
      <c r="L250" s="131">
        <v>6576437</v>
      </c>
      <c r="M250" s="131">
        <v>3117238</v>
      </c>
      <c r="N250" s="131">
        <v>9693675</v>
      </c>
      <c r="O250" s="131">
        <v>6576437</v>
      </c>
      <c r="P250" s="131">
        <v>425563143</v>
      </c>
      <c r="Q250" s="131">
        <v>0</v>
      </c>
      <c r="R250" s="131">
        <v>0</v>
      </c>
      <c r="S250" s="131">
        <v>0</v>
      </c>
      <c r="T250" s="131">
        <v>0</v>
      </c>
      <c r="U250" s="131">
        <v>0</v>
      </c>
      <c r="V250" s="131">
        <v>0</v>
      </c>
      <c r="W250" s="131">
        <v>425563143</v>
      </c>
      <c r="X250" s="131">
        <v>0</v>
      </c>
      <c r="Y250" s="131">
        <v>425563143</v>
      </c>
      <c r="Z250" s="131">
        <v>0</v>
      </c>
      <c r="AA250" s="131">
        <v>0</v>
      </c>
      <c r="AB250" s="131">
        <v>0</v>
      </c>
      <c r="AC250" s="131">
        <v>0</v>
      </c>
      <c r="AD250" s="131">
        <v>0</v>
      </c>
      <c r="AE250" s="131">
        <v>0</v>
      </c>
      <c r="AF250" s="131">
        <v>425563143</v>
      </c>
      <c r="AG250" s="131">
        <v>0</v>
      </c>
      <c r="AH250" s="131">
        <v>425563143</v>
      </c>
      <c r="AI250" s="131">
        <v>425563143</v>
      </c>
      <c r="AJ250" s="131">
        <v>0</v>
      </c>
      <c r="AK250" s="131">
        <v>0</v>
      </c>
      <c r="AM250" s="131">
        <v>425563143</v>
      </c>
      <c r="AN250" s="131">
        <v>425563143</v>
      </c>
      <c r="AO250" s="131">
        <v>0</v>
      </c>
      <c r="AP250" s="131">
        <v>425563143</v>
      </c>
      <c r="AQ250" s="131">
        <v>0</v>
      </c>
      <c r="AR250" s="131">
        <v>0</v>
      </c>
      <c r="AS250" t="s">
        <v>1709</v>
      </c>
    </row>
    <row r="251" spans="1:45" ht="45" x14ac:dyDescent="0.25">
      <c r="A251">
        <v>2019</v>
      </c>
      <c r="B251">
        <v>318</v>
      </c>
      <c r="C251">
        <v>102040204010105</v>
      </c>
      <c r="D251">
        <v>111</v>
      </c>
      <c r="E251" t="s">
        <v>3002</v>
      </c>
      <c r="F251">
        <v>102040204010105</v>
      </c>
      <c r="G251" s="10" t="s">
        <v>3003</v>
      </c>
      <c r="H251" t="s">
        <v>2584</v>
      </c>
      <c r="I251" s="131">
        <v>242840543</v>
      </c>
      <c r="J251" s="131">
        <v>242840543</v>
      </c>
      <c r="K251" s="131">
        <v>9693675</v>
      </c>
      <c r="L251" s="131">
        <v>0</v>
      </c>
      <c r="M251" s="131">
        <v>9693675</v>
      </c>
      <c r="N251" s="131">
        <v>9693675</v>
      </c>
      <c r="O251" s="131">
        <v>0</v>
      </c>
      <c r="P251" s="131">
        <v>252534218</v>
      </c>
      <c r="Q251" s="131">
        <v>0</v>
      </c>
      <c r="R251" s="131">
        <v>0</v>
      </c>
      <c r="S251" s="131">
        <v>0</v>
      </c>
      <c r="T251" s="131">
        <v>0</v>
      </c>
      <c r="U251" s="131">
        <v>0</v>
      </c>
      <c r="V251" s="131">
        <v>0</v>
      </c>
      <c r="W251" s="131">
        <v>252534218</v>
      </c>
      <c r="X251" s="131">
        <v>0</v>
      </c>
      <c r="Y251" s="131">
        <v>252534218</v>
      </c>
      <c r="Z251" s="131">
        <v>0</v>
      </c>
      <c r="AA251" s="131">
        <v>0</v>
      </c>
      <c r="AB251" s="131">
        <v>0</v>
      </c>
      <c r="AC251" s="131">
        <v>0</v>
      </c>
      <c r="AD251" s="131">
        <v>0</v>
      </c>
      <c r="AE251" s="131">
        <v>0</v>
      </c>
      <c r="AF251" s="131">
        <v>252534218</v>
      </c>
      <c r="AG251" s="131">
        <v>0</v>
      </c>
      <c r="AH251" s="131">
        <v>252534218</v>
      </c>
      <c r="AI251" s="131">
        <v>252534218</v>
      </c>
      <c r="AJ251" s="131">
        <v>0</v>
      </c>
      <c r="AK251" s="131">
        <v>0</v>
      </c>
      <c r="AM251" s="131">
        <v>252534218</v>
      </c>
      <c r="AN251" s="131">
        <v>252534218</v>
      </c>
      <c r="AO251" s="131">
        <v>0</v>
      </c>
      <c r="AP251" s="131">
        <v>252534218</v>
      </c>
      <c r="AQ251" s="131">
        <v>0</v>
      </c>
      <c r="AR251" s="131">
        <v>0</v>
      </c>
      <c r="AS251" t="s">
        <v>3004</v>
      </c>
    </row>
    <row r="252" spans="1:45" ht="30" x14ac:dyDescent="0.25">
      <c r="A252">
        <v>2019</v>
      </c>
      <c r="B252">
        <v>318</v>
      </c>
      <c r="C252">
        <v>102040204010107</v>
      </c>
      <c r="D252">
        <v>113</v>
      </c>
      <c r="E252" t="s">
        <v>3005</v>
      </c>
      <c r="F252">
        <v>102040204010107</v>
      </c>
      <c r="G252" s="10" t="s">
        <v>3006</v>
      </c>
      <c r="H252" t="s">
        <v>2584</v>
      </c>
      <c r="I252" s="131">
        <v>155911543</v>
      </c>
      <c r="J252" s="131">
        <v>155911543</v>
      </c>
      <c r="K252" s="131">
        <v>0</v>
      </c>
      <c r="L252" s="131">
        <v>4541103</v>
      </c>
      <c r="M252" s="131">
        <v>-4541103</v>
      </c>
      <c r="N252" s="131">
        <v>0</v>
      </c>
      <c r="O252" s="131">
        <v>4541103</v>
      </c>
      <c r="P252" s="131">
        <v>151370440</v>
      </c>
      <c r="Q252" s="131">
        <v>0</v>
      </c>
      <c r="R252" s="131">
        <v>0</v>
      </c>
      <c r="S252" s="131">
        <v>0</v>
      </c>
      <c r="T252" s="131">
        <v>0</v>
      </c>
      <c r="U252" s="131">
        <v>0</v>
      </c>
      <c r="V252" s="131">
        <v>0</v>
      </c>
      <c r="W252" s="131">
        <v>151370440</v>
      </c>
      <c r="X252" s="131">
        <v>0</v>
      </c>
      <c r="Y252" s="131">
        <v>151370440</v>
      </c>
      <c r="Z252" s="131">
        <v>0</v>
      </c>
      <c r="AA252" s="131">
        <v>0</v>
      </c>
      <c r="AB252" s="131">
        <v>0</v>
      </c>
      <c r="AC252" s="131">
        <v>0</v>
      </c>
      <c r="AD252" s="131">
        <v>0</v>
      </c>
      <c r="AE252" s="131">
        <v>0</v>
      </c>
      <c r="AF252" s="131">
        <v>151370440</v>
      </c>
      <c r="AG252" s="131">
        <v>0</v>
      </c>
      <c r="AH252" s="131">
        <v>151370440</v>
      </c>
      <c r="AI252" s="131">
        <v>151370440</v>
      </c>
      <c r="AJ252" s="131">
        <v>0</v>
      </c>
      <c r="AK252" s="131">
        <v>0</v>
      </c>
      <c r="AM252" s="131">
        <v>151370440</v>
      </c>
      <c r="AN252" s="131">
        <v>151370440</v>
      </c>
      <c r="AO252" s="131">
        <v>0</v>
      </c>
      <c r="AP252" s="131">
        <v>151370440</v>
      </c>
      <c r="AQ252" s="131">
        <v>0</v>
      </c>
      <c r="AR252" s="131">
        <v>0</v>
      </c>
      <c r="AS252" t="s">
        <v>46</v>
      </c>
    </row>
    <row r="253" spans="1:45" ht="30" x14ac:dyDescent="0.25">
      <c r="A253">
        <v>2019</v>
      </c>
      <c r="B253">
        <v>318</v>
      </c>
      <c r="C253">
        <v>102040204010108</v>
      </c>
      <c r="D253">
        <v>114</v>
      </c>
      <c r="E253" t="s">
        <v>3007</v>
      </c>
      <c r="F253">
        <v>102040204010108</v>
      </c>
      <c r="G253" s="10" t="s">
        <v>3008</v>
      </c>
      <c r="H253" t="s">
        <v>2584</v>
      </c>
      <c r="I253" s="131">
        <v>23693819</v>
      </c>
      <c r="J253" s="131">
        <v>23693819</v>
      </c>
      <c r="K253" s="131">
        <v>0</v>
      </c>
      <c r="L253" s="131">
        <v>2035334</v>
      </c>
      <c r="M253" s="131">
        <v>-2035334</v>
      </c>
      <c r="N253" s="131">
        <v>0</v>
      </c>
      <c r="O253" s="131">
        <v>2035334</v>
      </c>
      <c r="P253" s="131">
        <v>21658485</v>
      </c>
      <c r="Q253" s="131">
        <v>0</v>
      </c>
      <c r="R253" s="131">
        <v>0</v>
      </c>
      <c r="S253" s="131">
        <v>0</v>
      </c>
      <c r="T253" s="131">
        <v>0</v>
      </c>
      <c r="U253" s="131">
        <v>0</v>
      </c>
      <c r="V253" s="131">
        <v>0</v>
      </c>
      <c r="W253" s="131">
        <v>21658485</v>
      </c>
      <c r="X253" s="131">
        <v>0</v>
      </c>
      <c r="Y253" s="131">
        <v>21658485</v>
      </c>
      <c r="Z253" s="131">
        <v>0</v>
      </c>
      <c r="AA253" s="131">
        <v>0</v>
      </c>
      <c r="AB253" s="131">
        <v>0</v>
      </c>
      <c r="AC253" s="131">
        <v>0</v>
      </c>
      <c r="AD253" s="131">
        <v>0</v>
      </c>
      <c r="AE253" s="131">
        <v>0</v>
      </c>
      <c r="AF253" s="131">
        <v>21658485</v>
      </c>
      <c r="AG253" s="131">
        <v>0</v>
      </c>
      <c r="AH253" s="131">
        <v>21658485</v>
      </c>
      <c r="AI253" s="131">
        <v>21658485</v>
      </c>
      <c r="AJ253" s="131">
        <v>0</v>
      </c>
      <c r="AK253" s="131">
        <v>0</v>
      </c>
      <c r="AM253" s="131">
        <v>21658485</v>
      </c>
      <c r="AN253" s="131">
        <v>21658485</v>
      </c>
      <c r="AO253" s="131">
        <v>0</v>
      </c>
      <c r="AP253" s="131">
        <v>21658485</v>
      </c>
      <c r="AQ253" s="131">
        <v>0</v>
      </c>
      <c r="AR253" s="131">
        <v>0</v>
      </c>
      <c r="AS253" t="s">
        <v>48</v>
      </c>
    </row>
    <row r="254" spans="1:45" x14ac:dyDescent="0.25">
      <c r="A254">
        <v>2019</v>
      </c>
      <c r="B254">
        <v>318</v>
      </c>
      <c r="C254">
        <v>1020403</v>
      </c>
      <c r="D254" t="s">
        <v>226</v>
      </c>
      <c r="E254" t="s">
        <v>2592</v>
      </c>
      <c r="F254">
        <v>1020403</v>
      </c>
      <c r="G254" s="10" t="s">
        <v>2593</v>
      </c>
      <c r="H254" t="s">
        <v>2584</v>
      </c>
      <c r="I254" s="131">
        <v>21153943161</v>
      </c>
      <c r="J254" s="131">
        <v>21153943161</v>
      </c>
      <c r="K254" s="131">
        <v>2005231600</v>
      </c>
      <c r="L254" s="131">
        <v>1357798766</v>
      </c>
      <c r="M254" s="131">
        <v>647432834</v>
      </c>
      <c r="N254" s="131">
        <v>2005231600</v>
      </c>
      <c r="O254" s="131">
        <v>1357798766</v>
      </c>
      <c r="P254" s="131">
        <v>21801375995</v>
      </c>
      <c r="Q254" s="131">
        <v>0</v>
      </c>
      <c r="R254" s="131">
        <v>0</v>
      </c>
      <c r="S254" s="131">
        <v>0</v>
      </c>
      <c r="T254" s="131">
        <v>0</v>
      </c>
      <c r="U254" s="131">
        <v>0</v>
      </c>
      <c r="V254" s="131">
        <v>0</v>
      </c>
      <c r="W254" s="131">
        <v>23779077746.66</v>
      </c>
      <c r="X254" s="131">
        <v>1137929290.5999999</v>
      </c>
      <c r="Y254" s="131">
        <v>22641148456.060001</v>
      </c>
      <c r="Z254" s="131">
        <v>0</v>
      </c>
      <c r="AA254" s="131">
        <v>0</v>
      </c>
      <c r="AB254" s="131">
        <v>0</v>
      </c>
      <c r="AC254" s="131">
        <v>0</v>
      </c>
      <c r="AD254" s="131">
        <v>0</v>
      </c>
      <c r="AE254" s="131">
        <v>0</v>
      </c>
      <c r="AF254" s="131">
        <v>23779077746.66</v>
      </c>
      <c r="AG254" s="131">
        <v>1137929290.5999999</v>
      </c>
      <c r="AH254" s="131">
        <v>22641148456.060001</v>
      </c>
      <c r="AI254" s="131">
        <v>22641148456.060001</v>
      </c>
      <c r="AJ254" s="131">
        <v>11561427820.1</v>
      </c>
      <c r="AK254" s="131">
        <v>11561427820.1</v>
      </c>
      <c r="AM254" s="131">
        <v>11079720635.959999</v>
      </c>
      <c r="AN254" s="131">
        <v>11197976333.459999</v>
      </c>
      <c r="AO254" s="131">
        <v>118255697.5</v>
      </c>
      <c r="AP254" s="131">
        <v>11197976333.459999</v>
      </c>
      <c r="AQ254" s="131">
        <v>0</v>
      </c>
      <c r="AR254" s="131">
        <v>118255697.5</v>
      </c>
      <c r="AS254" t="s">
        <v>1709</v>
      </c>
    </row>
    <row r="255" spans="1:45" x14ac:dyDescent="0.25">
      <c r="A255">
        <v>2019</v>
      </c>
      <c r="B255">
        <v>318</v>
      </c>
      <c r="C255">
        <v>102040301</v>
      </c>
      <c r="D255" t="s">
        <v>226</v>
      </c>
      <c r="E255" t="s">
        <v>2594</v>
      </c>
      <c r="F255">
        <v>102040301</v>
      </c>
      <c r="G255" s="10" t="s">
        <v>2590</v>
      </c>
      <c r="H255" t="s">
        <v>2584</v>
      </c>
      <c r="I255" s="131">
        <v>6229457605</v>
      </c>
      <c r="J255" s="131">
        <v>6229457605</v>
      </c>
      <c r="K255" s="131">
        <v>153291909</v>
      </c>
      <c r="L255" s="131">
        <v>0</v>
      </c>
      <c r="M255" s="131">
        <v>153291909</v>
      </c>
      <c r="N255" s="131">
        <v>153291909</v>
      </c>
      <c r="O255" s="131">
        <v>0</v>
      </c>
      <c r="P255" s="131">
        <v>6382749514</v>
      </c>
      <c r="Q255" s="131">
        <v>0</v>
      </c>
      <c r="R255" s="131">
        <v>0</v>
      </c>
      <c r="S255" s="131">
        <v>0</v>
      </c>
      <c r="T255" s="131">
        <v>0</v>
      </c>
      <c r="U255" s="131">
        <v>0</v>
      </c>
      <c r="V255" s="131">
        <v>0</v>
      </c>
      <c r="W255" s="131">
        <v>6832024199.5</v>
      </c>
      <c r="X255" s="131">
        <v>213329826.5</v>
      </c>
      <c r="Y255" s="131">
        <v>6618694373</v>
      </c>
      <c r="Z255" s="131">
        <v>0</v>
      </c>
      <c r="AA255" s="131">
        <v>0</v>
      </c>
      <c r="AB255" s="131">
        <v>0</v>
      </c>
      <c r="AC255" s="131">
        <v>0</v>
      </c>
      <c r="AD255" s="131">
        <v>0</v>
      </c>
      <c r="AE255" s="131">
        <v>0</v>
      </c>
      <c r="AF255" s="131">
        <v>6832024199.5</v>
      </c>
      <c r="AG255" s="131">
        <v>213329826.5</v>
      </c>
      <c r="AH255" s="131">
        <v>6618694373</v>
      </c>
      <c r="AI255" s="131">
        <v>6618694373</v>
      </c>
      <c r="AJ255" s="131">
        <v>1293670781</v>
      </c>
      <c r="AK255" s="131">
        <v>1293670781</v>
      </c>
      <c r="AM255" s="131">
        <v>5325023592</v>
      </c>
      <c r="AN255" s="131">
        <v>5443279289.5</v>
      </c>
      <c r="AO255" s="131">
        <v>118255697.5</v>
      </c>
      <c r="AP255" s="131">
        <v>5443279289.5</v>
      </c>
      <c r="AQ255" s="131">
        <v>0</v>
      </c>
      <c r="AR255" s="131">
        <v>118255697.5</v>
      </c>
      <c r="AS255" t="s">
        <v>1709</v>
      </c>
    </row>
    <row r="256" spans="1:45" ht="45" x14ac:dyDescent="0.25">
      <c r="A256">
        <v>2019</v>
      </c>
      <c r="B256">
        <v>318</v>
      </c>
      <c r="C256">
        <v>10204030101</v>
      </c>
      <c r="D256">
        <v>154</v>
      </c>
      <c r="E256" t="s">
        <v>3009</v>
      </c>
      <c r="F256">
        <v>10204030101</v>
      </c>
      <c r="G256" s="10" t="s">
        <v>3010</v>
      </c>
      <c r="H256" t="s">
        <v>2584</v>
      </c>
      <c r="I256" s="131">
        <v>202604314</v>
      </c>
      <c r="J256" s="131">
        <v>202604314</v>
      </c>
      <c r="K256" s="131">
        <v>0</v>
      </c>
      <c r="L256" s="131">
        <v>0</v>
      </c>
      <c r="M256" s="131">
        <v>0</v>
      </c>
      <c r="N256" s="131">
        <v>0</v>
      </c>
      <c r="O256" s="131">
        <v>0</v>
      </c>
      <c r="P256" s="131">
        <v>202604314</v>
      </c>
      <c r="Q256" s="131">
        <v>0</v>
      </c>
      <c r="R256" s="131">
        <v>0</v>
      </c>
      <c r="S256" s="131">
        <v>0</v>
      </c>
      <c r="T256" s="131">
        <v>0</v>
      </c>
      <c r="U256" s="131">
        <v>0</v>
      </c>
      <c r="V256" s="131">
        <v>0</v>
      </c>
      <c r="W256" s="131">
        <v>1675925642</v>
      </c>
      <c r="X256" s="131">
        <v>95672500</v>
      </c>
      <c r="Y256" s="131">
        <v>1580253142</v>
      </c>
      <c r="Z256" s="131">
        <v>0</v>
      </c>
      <c r="AA256" s="131">
        <v>0</v>
      </c>
      <c r="AB256" s="131">
        <v>0</v>
      </c>
      <c r="AC256" s="131">
        <v>0</v>
      </c>
      <c r="AD256" s="131">
        <v>0</v>
      </c>
      <c r="AE256" s="131">
        <v>0</v>
      </c>
      <c r="AF256" s="131">
        <v>1675925642</v>
      </c>
      <c r="AG256" s="131">
        <v>95672500</v>
      </c>
      <c r="AH256" s="131">
        <v>1580253142</v>
      </c>
      <c r="AI256" s="131">
        <v>1580253142</v>
      </c>
      <c r="AJ256" s="131">
        <v>0</v>
      </c>
      <c r="AK256" s="131">
        <v>0</v>
      </c>
      <c r="AM256" s="131">
        <v>1580253142</v>
      </c>
      <c r="AN256" s="131">
        <v>1675925642</v>
      </c>
      <c r="AO256" s="131">
        <v>95672500</v>
      </c>
      <c r="AP256" s="131">
        <v>1675925642</v>
      </c>
      <c r="AQ256" s="131">
        <v>0</v>
      </c>
      <c r="AR256" s="131">
        <v>95672500</v>
      </c>
      <c r="AS256" t="s">
        <v>74</v>
      </c>
    </row>
    <row r="257" spans="1:45" ht="45" x14ac:dyDescent="0.25">
      <c r="A257">
        <v>2019</v>
      </c>
      <c r="B257">
        <v>318</v>
      </c>
      <c r="C257">
        <v>10204030102</v>
      </c>
      <c r="D257">
        <v>154</v>
      </c>
      <c r="E257" t="s">
        <v>3011</v>
      </c>
      <c r="F257">
        <v>10204030102</v>
      </c>
      <c r="G257" s="10" t="s">
        <v>742</v>
      </c>
      <c r="H257" t="s">
        <v>2584</v>
      </c>
      <c r="I257" s="131">
        <v>1476955654</v>
      </c>
      <c r="J257" s="131">
        <v>1476955654</v>
      </c>
      <c r="K257" s="131">
        <v>0</v>
      </c>
      <c r="L257" s="131">
        <v>0</v>
      </c>
      <c r="M257" s="131">
        <v>0</v>
      </c>
      <c r="N257" s="131">
        <v>0</v>
      </c>
      <c r="O257" s="131">
        <v>0</v>
      </c>
      <c r="P257" s="131">
        <v>1476955654</v>
      </c>
      <c r="Q257" s="131">
        <v>0</v>
      </c>
      <c r="R257" s="131">
        <v>0</v>
      </c>
      <c r="S257" s="131">
        <v>0</v>
      </c>
      <c r="T257" s="131">
        <v>0</v>
      </c>
      <c r="U257" s="131">
        <v>0</v>
      </c>
      <c r="V257" s="131">
        <v>0</v>
      </c>
      <c r="W257" s="131">
        <v>94812855</v>
      </c>
      <c r="X257" s="131">
        <v>9440260</v>
      </c>
      <c r="Y257" s="131">
        <v>85372595</v>
      </c>
      <c r="Z257" s="131">
        <v>0</v>
      </c>
      <c r="AA257" s="131">
        <v>0</v>
      </c>
      <c r="AB257" s="131">
        <v>0</v>
      </c>
      <c r="AC257" s="131">
        <v>0</v>
      </c>
      <c r="AD257" s="131">
        <v>0</v>
      </c>
      <c r="AE257" s="131">
        <v>0</v>
      </c>
      <c r="AF257" s="131">
        <v>94812855</v>
      </c>
      <c r="AG257" s="131">
        <v>9440260</v>
      </c>
      <c r="AH257" s="131">
        <v>85372595</v>
      </c>
      <c r="AI257" s="131">
        <v>85372595</v>
      </c>
      <c r="AJ257" s="131">
        <v>76113993</v>
      </c>
      <c r="AK257" s="131">
        <v>76113993</v>
      </c>
      <c r="AM257" s="131">
        <v>9258602</v>
      </c>
      <c r="AN257" s="131">
        <v>12814102</v>
      </c>
      <c r="AO257" s="131">
        <v>3555500</v>
      </c>
      <c r="AP257" s="131">
        <v>12814102</v>
      </c>
      <c r="AQ257" s="131">
        <v>0</v>
      </c>
      <c r="AR257" s="131">
        <v>3555500</v>
      </c>
      <c r="AS257" t="s">
        <v>74</v>
      </c>
    </row>
    <row r="258" spans="1:45" ht="30" x14ac:dyDescent="0.25">
      <c r="A258">
        <v>2019</v>
      </c>
      <c r="B258">
        <v>318</v>
      </c>
      <c r="C258">
        <v>10204030103</v>
      </c>
      <c r="D258">
        <v>154</v>
      </c>
      <c r="E258" t="s">
        <v>2595</v>
      </c>
      <c r="F258">
        <v>10204030103</v>
      </c>
      <c r="G258" s="10" t="s">
        <v>836</v>
      </c>
      <c r="H258" t="s">
        <v>2584</v>
      </c>
      <c r="I258" s="131">
        <v>3325373650</v>
      </c>
      <c r="J258" s="131">
        <v>3325373650</v>
      </c>
      <c r="K258" s="131">
        <v>0</v>
      </c>
      <c r="L258" s="131">
        <v>0</v>
      </c>
      <c r="M258" s="131">
        <v>0</v>
      </c>
      <c r="N258" s="131">
        <v>0</v>
      </c>
      <c r="O258" s="131">
        <v>0</v>
      </c>
      <c r="P258" s="131">
        <v>3325373650</v>
      </c>
      <c r="Q258" s="131">
        <v>0</v>
      </c>
      <c r="R258" s="131">
        <v>0</v>
      </c>
      <c r="S258" s="131">
        <v>0</v>
      </c>
      <c r="T258" s="131">
        <v>0</v>
      </c>
      <c r="U258" s="131">
        <v>0</v>
      </c>
      <c r="V258" s="131">
        <v>0</v>
      </c>
      <c r="W258" s="131">
        <v>4299948023.46</v>
      </c>
      <c r="X258" s="131">
        <v>76527986</v>
      </c>
      <c r="Y258" s="131">
        <v>4223420037.46</v>
      </c>
      <c r="Z258" s="131">
        <v>0</v>
      </c>
      <c r="AA258" s="131">
        <v>0</v>
      </c>
      <c r="AB258" s="131">
        <v>0</v>
      </c>
      <c r="AC258" s="131">
        <v>0</v>
      </c>
      <c r="AD258" s="131">
        <v>0</v>
      </c>
      <c r="AE258" s="131">
        <v>0</v>
      </c>
      <c r="AF258" s="131">
        <v>4299948023.46</v>
      </c>
      <c r="AG258" s="131">
        <v>76527986</v>
      </c>
      <c r="AH258" s="131">
        <v>4223420037.46</v>
      </c>
      <c r="AI258" s="131">
        <v>4223420037.46</v>
      </c>
      <c r="AJ258" s="131">
        <v>720415778</v>
      </c>
      <c r="AK258" s="131">
        <v>720415778</v>
      </c>
      <c r="AM258" s="131">
        <v>3503004259.46</v>
      </c>
      <c r="AN258" s="131">
        <v>3518890781.46</v>
      </c>
      <c r="AO258" s="131">
        <v>15886522</v>
      </c>
      <c r="AP258" s="131">
        <v>3518890781.46</v>
      </c>
      <c r="AQ258" s="131">
        <v>0</v>
      </c>
      <c r="AR258" s="131">
        <v>15886522</v>
      </c>
      <c r="AS258" t="s">
        <v>74</v>
      </c>
    </row>
    <row r="259" spans="1:45" ht="45" x14ac:dyDescent="0.25">
      <c r="A259">
        <v>2019</v>
      </c>
      <c r="B259">
        <v>318</v>
      </c>
      <c r="C259">
        <v>10204030104</v>
      </c>
      <c r="D259">
        <v>154</v>
      </c>
      <c r="E259" t="s">
        <v>3012</v>
      </c>
      <c r="F259">
        <v>10204030104</v>
      </c>
      <c r="G259" s="10" t="s">
        <v>731</v>
      </c>
      <c r="H259" t="s">
        <v>2584</v>
      </c>
      <c r="I259" s="131">
        <v>503581358</v>
      </c>
      <c r="J259" s="131">
        <v>503581358</v>
      </c>
      <c r="K259" s="131">
        <v>0</v>
      </c>
      <c r="L259" s="131">
        <v>0</v>
      </c>
      <c r="M259" s="131">
        <v>0</v>
      </c>
      <c r="N259" s="131">
        <v>0</v>
      </c>
      <c r="O259" s="131">
        <v>0</v>
      </c>
      <c r="P259" s="131">
        <v>503581358</v>
      </c>
      <c r="Q259" s="131">
        <v>0</v>
      </c>
      <c r="R259" s="131">
        <v>0</v>
      </c>
      <c r="S259" s="131">
        <v>0</v>
      </c>
      <c r="T259" s="131">
        <v>0</v>
      </c>
      <c r="U259" s="131">
        <v>0</v>
      </c>
      <c r="V259" s="131">
        <v>0</v>
      </c>
      <c r="W259" s="131">
        <v>217861036.53999999</v>
      </c>
      <c r="X259" s="131">
        <v>3544943.5</v>
      </c>
      <c r="Y259" s="131">
        <v>214316093.03999999</v>
      </c>
      <c r="Z259" s="131">
        <v>0</v>
      </c>
      <c r="AA259" s="131">
        <v>0</v>
      </c>
      <c r="AB259" s="131">
        <v>0</v>
      </c>
      <c r="AC259" s="131">
        <v>0</v>
      </c>
      <c r="AD259" s="131">
        <v>0</v>
      </c>
      <c r="AE259" s="131">
        <v>0</v>
      </c>
      <c r="AF259" s="131">
        <v>217861036.53999999</v>
      </c>
      <c r="AG259" s="131">
        <v>3544943.5</v>
      </c>
      <c r="AH259" s="131">
        <v>214316093.03999999</v>
      </c>
      <c r="AI259" s="131">
        <v>214316093.03999999</v>
      </c>
      <c r="AJ259" s="131">
        <v>0</v>
      </c>
      <c r="AK259" s="131">
        <v>0</v>
      </c>
      <c r="AM259" s="131">
        <v>214316093.03999999</v>
      </c>
      <c r="AN259" s="131">
        <v>217457268.53999999</v>
      </c>
      <c r="AO259" s="131">
        <v>3141175.5</v>
      </c>
      <c r="AP259" s="131">
        <v>217457268.53999999</v>
      </c>
      <c r="AQ259" s="131">
        <v>0</v>
      </c>
      <c r="AR259" s="131">
        <v>3141175.5</v>
      </c>
      <c r="AS259" t="s">
        <v>74</v>
      </c>
    </row>
    <row r="260" spans="1:45" ht="60" x14ac:dyDescent="0.25">
      <c r="A260">
        <v>2019</v>
      </c>
      <c r="B260">
        <v>318</v>
      </c>
      <c r="C260">
        <v>10204030105</v>
      </c>
      <c r="D260">
        <v>154</v>
      </c>
      <c r="E260" t="s">
        <v>3013</v>
      </c>
      <c r="F260">
        <v>10204030105</v>
      </c>
      <c r="G260" s="10" t="s">
        <v>726</v>
      </c>
      <c r="H260" t="s">
        <v>2584</v>
      </c>
      <c r="I260" s="131">
        <v>720942629</v>
      </c>
      <c r="J260" s="131">
        <v>720942629</v>
      </c>
      <c r="K260" s="131">
        <v>0</v>
      </c>
      <c r="L260" s="131">
        <v>0</v>
      </c>
      <c r="M260" s="131">
        <v>0</v>
      </c>
      <c r="N260" s="131">
        <v>0</v>
      </c>
      <c r="O260" s="131">
        <v>0</v>
      </c>
      <c r="P260" s="131">
        <v>720942629</v>
      </c>
      <c r="Q260" s="131">
        <v>0</v>
      </c>
      <c r="R260" s="131">
        <v>0</v>
      </c>
      <c r="S260" s="131">
        <v>0</v>
      </c>
      <c r="T260" s="131">
        <v>0</v>
      </c>
      <c r="U260" s="131">
        <v>0</v>
      </c>
      <c r="V260" s="131">
        <v>0</v>
      </c>
      <c r="W260" s="131">
        <v>390184733.5</v>
      </c>
      <c r="X260" s="131">
        <v>28144137</v>
      </c>
      <c r="Y260" s="131">
        <v>362040596.5</v>
      </c>
      <c r="Z260" s="131">
        <v>0</v>
      </c>
      <c r="AA260" s="131">
        <v>0</v>
      </c>
      <c r="AB260" s="131">
        <v>0</v>
      </c>
      <c r="AC260" s="131">
        <v>0</v>
      </c>
      <c r="AD260" s="131">
        <v>0</v>
      </c>
      <c r="AE260" s="131">
        <v>0</v>
      </c>
      <c r="AF260" s="131">
        <v>390184733.5</v>
      </c>
      <c r="AG260" s="131">
        <v>28144137</v>
      </c>
      <c r="AH260" s="131">
        <v>362040596.5</v>
      </c>
      <c r="AI260" s="131">
        <v>362040596.5</v>
      </c>
      <c r="AJ260" s="131">
        <v>343849101</v>
      </c>
      <c r="AK260" s="131">
        <v>343849101</v>
      </c>
      <c r="AM260" s="131">
        <v>18191495.5</v>
      </c>
      <c r="AN260" s="131">
        <v>18191495.5</v>
      </c>
      <c r="AO260" s="131">
        <v>0</v>
      </c>
      <c r="AP260" s="131">
        <v>18191495.5</v>
      </c>
      <c r="AQ260" s="131">
        <v>0</v>
      </c>
      <c r="AR260" s="131">
        <v>0</v>
      </c>
      <c r="AS260" t="s">
        <v>74</v>
      </c>
    </row>
    <row r="261" spans="1:45" ht="30" x14ac:dyDescent="0.25">
      <c r="A261">
        <v>2019</v>
      </c>
      <c r="B261">
        <v>318</v>
      </c>
      <c r="C261">
        <v>10204030107</v>
      </c>
      <c r="D261">
        <v>154</v>
      </c>
      <c r="E261" t="s">
        <v>3014</v>
      </c>
      <c r="F261">
        <v>10204030107</v>
      </c>
      <c r="G261" s="10" t="s">
        <v>3015</v>
      </c>
      <c r="H261" t="s">
        <v>2584</v>
      </c>
      <c r="I261" s="131">
        <v>0</v>
      </c>
      <c r="J261" s="131">
        <v>0</v>
      </c>
      <c r="K261" s="131">
        <v>153291909</v>
      </c>
      <c r="L261" s="131">
        <v>0</v>
      </c>
      <c r="M261" s="131">
        <v>153291909</v>
      </c>
      <c r="N261" s="131">
        <v>153291909</v>
      </c>
      <c r="O261" s="131">
        <v>0</v>
      </c>
      <c r="P261" s="131">
        <v>153291909</v>
      </c>
      <c r="Q261" s="131">
        <v>0</v>
      </c>
      <c r="R261" s="131">
        <v>0</v>
      </c>
      <c r="S261" s="131">
        <v>0</v>
      </c>
      <c r="T261" s="131">
        <v>0</v>
      </c>
      <c r="U261" s="131">
        <v>0</v>
      </c>
      <c r="V261" s="131">
        <v>0</v>
      </c>
      <c r="W261" s="131">
        <v>153291909</v>
      </c>
      <c r="X261" s="131">
        <v>0</v>
      </c>
      <c r="Y261" s="131">
        <v>153291909</v>
      </c>
      <c r="Z261" s="131">
        <v>0</v>
      </c>
      <c r="AA261" s="131">
        <v>0</v>
      </c>
      <c r="AB261" s="131">
        <v>0</v>
      </c>
      <c r="AC261" s="131">
        <v>0</v>
      </c>
      <c r="AD261" s="131">
        <v>0</v>
      </c>
      <c r="AE261" s="131">
        <v>0</v>
      </c>
      <c r="AF261" s="131">
        <v>153291909</v>
      </c>
      <c r="AG261" s="131">
        <v>0</v>
      </c>
      <c r="AH261" s="131">
        <v>153291909</v>
      </c>
      <c r="AI261" s="131">
        <v>153291909</v>
      </c>
      <c r="AJ261" s="131">
        <v>153291909</v>
      </c>
      <c r="AK261" s="131">
        <v>153291909</v>
      </c>
      <c r="AM261" s="131">
        <v>0</v>
      </c>
      <c r="AN261" s="131">
        <v>0</v>
      </c>
      <c r="AO261" s="131">
        <v>0</v>
      </c>
      <c r="AP261" s="131">
        <v>0</v>
      </c>
      <c r="AQ261" s="131">
        <v>0</v>
      </c>
      <c r="AR261" s="131">
        <v>0</v>
      </c>
      <c r="AS261" t="s">
        <v>74</v>
      </c>
    </row>
    <row r="262" spans="1:45" x14ac:dyDescent="0.25">
      <c r="A262">
        <v>2019</v>
      </c>
      <c r="B262">
        <v>318</v>
      </c>
      <c r="C262">
        <v>102040302</v>
      </c>
      <c r="D262" t="s">
        <v>226</v>
      </c>
      <c r="E262" t="s">
        <v>3016</v>
      </c>
      <c r="F262">
        <v>102040302</v>
      </c>
      <c r="G262" s="10" t="s">
        <v>3017</v>
      </c>
      <c r="H262" t="s">
        <v>2584</v>
      </c>
      <c r="I262" s="131">
        <v>6288451697</v>
      </c>
      <c r="J262" s="131">
        <v>6288451697</v>
      </c>
      <c r="K262" s="131">
        <v>0</v>
      </c>
      <c r="L262" s="131">
        <v>0</v>
      </c>
      <c r="M262" s="131">
        <v>0</v>
      </c>
      <c r="N262" s="131">
        <v>0</v>
      </c>
      <c r="O262" s="131">
        <v>0</v>
      </c>
      <c r="P262" s="131">
        <v>6288451697</v>
      </c>
      <c r="Q262" s="131">
        <v>0</v>
      </c>
      <c r="R262" s="131">
        <v>0</v>
      </c>
      <c r="S262" s="131">
        <v>0</v>
      </c>
      <c r="T262" s="131">
        <v>0</v>
      </c>
      <c r="U262" s="131">
        <v>0</v>
      </c>
      <c r="V262" s="131">
        <v>0</v>
      </c>
      <c r="W262" s="131">
        <v>7123020079</v>
      </c>
      <c r="X262" s="131">
        <v>637060447</v>
      </c>
      <c r="Y262" s="131">
        <v>6485959632</v>
      </c>
      <c r="Z262" s="131">
        <v>0</v>
      </c>
      <c r="AA262" s="131">
        <v>0</v>
      </c>
      <c r="AB262" s="131">
        <v>0</v>
      </c>
      <c r="AC262" s="131">
        <v>0</v>
      </c>
      <c r="AD262" s="131">
        <v>0</v>
      </c>
      <c r="AE262" s="131">
        <v>0</v>
      </c>
      <c r="AF262" s="131">
        <v>7123020079</v>
      </c>
      <c r="AG262" s="131">
        <v>637060447</v>
      </c>
      <c r="AH262" s="131">
        <v>6485959632</v>
      </c>
      <c r="AI262" s="131">
        <v>6485959632</v>
      </c>
      <c r="AJ262" s="131">
        <v>6482911606</v>
      </c>
      <c r="AK262" s="131">
        <v>6482911606</v>
      </c>
      <c r="AM262" s="131">
        <v>3048026</v>
      </c>
      <c r="AN262" s="131">
        <v>3048026</v>
      </c>
      <c r="AO262" s="131">
        <v>0</v>
      </c>
      <c r="AP262" s="131">
        <v>3048026</v>
      </c>
      <c r="AQ262" s="131">
        <v>0</v>
      </c>
      <c r="AR262" s="131">
        <v>0</v>
      </c>
      <c r="AS262" t="s">
        <v>1709</v>
      </c>
    </row>
    <row r="263" spans="1:45" ht="30" x14ac:dyDescent="0.25">
      <c r="A263">
        <v>2019</v>
      </c>
      <c r="B263">
        <v>318</v>
      </c>
      <c r="C263">
        <v>10204030201</v>
      </c>
      <c r="D263">
        <v>154</v>
      </c>
      <c r="E263" t="s">
        <v>3018</v>
      </c>
      <c r="F263">
        <v>10204030201</v>
      </c>
      <c r="G263" s="10" t="s">
        <v>801</v>
      </c>
      <c r="H263" t="s">
        <v>2584</v>
      </c>
      <c r="I263" s="131">
        <v>3891010890</v>
      </c>
      <c r="J263" s="131">
        <v>3891010890</v>
      </c>
      <c r="K263" s="131">
        <v>0</v>
      </c>
      <c r="L263" s="131">
        <v>0</v>
      </c>
      <c r="M263" s="131">
        <v>0</v>
      </c>
      <c r="N263" s="131">
        <v>0</v>
      </c>
      <c r="O263" s="131">
        <v>0</v>
      </c>
      <c r="P263" s="131">
        <v>3891010890</v>
      </c>
      <c r="Q263" s="131">
        <v>0</v>
      </c>
      <c r="R263" s="131">
        <v>0</v>
      </c>
      <c r="S263" s="131">
        <v>0</v>
      </c>
      <c r="T263" s="131">
        <v>0</v>
      </c>
      <c r="U263" s="131">
        <v>0</v>
      </c>
      <c r="V263" s="131">
        <v>0</v>
      </c>
      <c r="W263" s="131">
        <v>4404566570</v>
      </c>
      <c r="X263" s="131">
        <v>394298989</v>
      </c>
      <c r="Y263" s="131">
        <v>4010267581</v>
      </c>
      <c r="Z263" s="131">
        <v>0</v>
      </c>
      <c r="AA263" s="131">
        <v>0</v>
      </c>
      <c r="AB263" s="131">
        <v>0</v>
      </c>
      <c r="AC263" s="131">
        <v>0</v>
      </c>
      <c r="AD263" s="131">
        <v>0</v>
      </c>
      <c r="AE263" s="131">
        <v>0</v>
      </c>
      <c r="AF263" s="131">
        <v>4404566570</v>
      </c>
      <c r="AG263" s="131">
        <v>394298989</v>
      </c>
      <c r="AH263" s="131">
        <v>4010267581</v>
      </c>
      <c r="AI263" s="131">
        <v>4010267581</v>
      </c>
      <c r="AJ263" s="131">
        <v>4007266087</v>
      </c>
      <c r="AK263" s="131">
        <v>4007266087</v>
      </c>
      <c r="AM263" s="131">
        <v>3001494</v>
      </c>
      <c r="AN263" s="131">
        <v>3001494</v>
      </c>
      <c r="AO263" s="131">
        <v>0</v>
      </c>
      <c r="AP263" s="131">
        <v>3001494</v>
      </c>
      <c r="AQ263" s="131">
        <v>0</v>
      </c>
      <c r="AR263" s="131">
        <v>0</v>
      </c>
      <c r="AS263" t="s">
        <v>74</v>
      </c>
    </row>
    <row r="264" spans="1:45" ht="30" x14ac:dyDescent="0.25">
      <c r="A264">
        <v>2019</v>
      </c>
      <c r="B264">
        <v>318</v>
      </c>
      <c r="C264">
        <v>10204030202</v>
      </c>
      <c r="D264">
        <v>154</v>
      </c>
      <c r="E264" t="s">
        <v>3019</v>
      </c>
      <c r="F264">
        <v>10204030202</v>
      </c>
      <c r="G264" s="10" t="s">
        <v>817</v>
      </c>
      <c r="H264" t="s">
        <v>2584</v>
      </c>
      <c r="I264" s="131">
        <v>34000000</v>
      </c>
      <c r="J264" s="131">
        <v>34000000</v>
      </c>
      <c r="K264" s="131">
        <v>0</v>
      </c>
      <c r="L264" s="131">
        <v>0</v>
      </c>
      <c r="M264" s="131">
        <v>0</v>
      </c>
      <c r="N264" s="131">
        <v>0</v>
      </c>
      <c r="O264" s="131">
        <v>0</v>
      </c>
      <c r="P264" s="131">
        <v>34000000</v>
      </c>
      <c r="Q264" s="131">
        <v>0</v>
      </c>
      <c r="R264" s="131">
        <v>0</v>
      </c>
      <c r="S264" s="131">
        <v>0</v>
      </c>
      <c r="T264" s="131">
        <v>0</v>
      </c>
      <c r="U264" s="131">
        <v>0</v>
      </c>
      <c r="V264" s="131">
        <v>0</v>
      </c>
      <c r="W264" s="131">
        <v>0</v>
      </c>
      <c r="X264" s="131">
        <v>0</v>
      </c>
      <c r="Y264" s="131">
        <v>0</v>
      </c>
      <c r="Z264" s="131">
        <v>0</v>
      </c>
      <c r="AA264" s="131">
        <v>0</v>
      </c>
      <c r="AB264" s="131">
        <v>0</v>
      </c>
      <c r="AC264" s="131">
        <v>0</v>
      </c>
      <c r="AD264" s="131">
        <v>0</v>
      </c>
      <c r="AE264" s="131">
        <v>0</v>
      </c>
      <c r="AF264" s="131">
        <v>0</v>
      </c>
      <c r="AG264" s="131">
        <v>0</v>
      </c>
      <c r="AH264" s="131">
        <v>0</v>
      </c>
      <c r="AI264" s="131">
        <v>0</v>
      </c>
      <c r="AJ264" s="131">
        <v>0</v>
      </c>
      <c r="AK264" s="131">
        <v>0</v>
      </c>
      <c r="AM264" s="131">
        <v>0</v>
      </c>
      <c r="AN264" s="131">
        <v>0</v>
      </c>
      <c r="AO264" s="131">
        <v>0</v>
      </c>
      <c r="AP264" s="131">
        <v>0</v>
      </c>
      <c r="AQ264" s="131">
        <v>0</v>
      </c>
      <c r="AR264" s="131">
        <v>0</v>
      </c>
      <c r="AS264" t="s">
        <v>74</v>
      </c>
    </row>
    <row r="265" spans="1:45" x14ac:dyDescent="0.25">
      <c r="A265">
        <v>2019</v>
      </c>
      <c r="B265">
        <v>318</v>
      </c>
      <c r="C265">
        <v>10204030203</v>
      </c>
      <c r="D265">
        <v>154</v>
      </c>
      <c r="E265" t="s">
        <v>3020</v>
      </c>
      <c r="F265">
        <v>10204030203</v>
      </c>
      <c r="G265" s="10" t="s">
        <v>809</v>
      </c>
      <c r="H265" t="s">
        <v>2584</v>
      </c>
      <c r="I265" s="131">
        <v>54400000</v>
      </c>
      <c r="J265" s="131">
        <v>54400000</v>
      </c>
      <c r="K265" s="131">
        <v>0</v>
      </c>
      <c r="L265" s="131">
        <v>0</v>
      </c>
      <c r="M265" s="131">
        <v>0</v>
      </c>
      <c r="N265" s="131">
        <v>0</v>
      </c>
      <c r="O265" s="131">
        <v>0</v>
      </c>
      <c r="P265" s="131">
        <v>54400000</v>
      </c>
      <c r="Q265" s="131">
        <v>0</v>
      </c>
      <c r="R265" s="131">
        <v>0</v>
      </c>
      <c r="S265" s="131">
        <v>0</v>
      </c>
      <c r="T265" s="131">
        <v>0</v>
      </c>
      <c r="U265" s="131">
        <v>0</v>
      </c>
      <c r="V265" s="131">
        <v>0</v>
      </c>
      <c r="W265" s="131">
        <v>22949983</v>
      </c>
      <c r="X265" s="131">
        <v>1856400</v>
      </c>
      <c r="Y265" s="131">
        <v>21093583</v>
      </c>
      <c r="Z265" s="131">
        <v>0</v>
      </c>
      <c r="AA265" s="131">
        <v>0</v>
      </c>
      <c r="AB265" s="131">
        <v>0</v>
      </c>
      <c r="AC265" s="131">
        <v>0</v>
      </c>
      <c r="AD265" s="131">
        <v>0</v>
      </c>
      <c r="AE265" s="131">
        <v>0</v>
      </c>
      <c r="AF265" s="131">
        <v>22949983</v>
      </c>
      <c r="AG265" s="131">
        <v>1856400</v>
      </c>
      <c r="AH265" s="131">
        <v>21093583</v>
      </c>
      <c r="AI265" s="131">
        <v>21093583</v>
      </c>
      <c r="AJ265" s="131">
        <v>21093583</v>
      </c>
      <c r="AK265" s="131">
        <v>21093583</v>
      </c>
      <c r="AM265" s="131">
        <v>0</v>
      </c>
      <c r="AN265" s="131">
        <v>0</v>
      </c>
      <c r="AO265" s="131">
        <v>0</v>
      </c>
      <c r="AP265" s="131">
        <v>0</v>
      </c>
      <c r="AQ265" s="131">
        <v>0</v>
      </c>
      <c r="AR265" s="131">
        <v>0</v>
      </c>
      <c r="AS265" t="s">
        <v>74</v>
      </c>
    </row>
    <row r="266" spans="1:45" ht="30" x14ac:dyDescent="0.25">
      <c r="A266">
        <v>2019</v>
      </c>
      <c r="B266">
        <v>318</v>
      </c>
      <c r="C266">
        <v>10204030204</v>
      </c>
      <c r="D266">
        <v>154</v>
      </c>
      <c r="E266" t="s">
        <v>3021</v>
      </c>
      <c r="F266">
        <v>10204030204</v>
      </c>
      <c r="G266" s="10" t="s">
        <v>695</v>
      </c>
      <c r="H266" t="s">
        <v>2584</v>
      </c>
      <c r="I266" s="131">
        <v>42044782</v>
      </c>
      <c r="J266" s="131">
        <v>42044782</v>
      </c>
      <c r="K266" s="131">
        <v>0</v>
      </c>
      <c r="L266" s="131">
        <v>0</v>
      </c>
      <c r="M266" s="131">
        <v>0</v>
      </c>
      <c r="N266" s="131">
        <v>0</v>
      </c>
      <c r="O266" s="131">
        <v>0</v>
      </c>
      <c r="P266" s="131">
        <v>42044782</v>
      </c>
      <c r="Q266" s="131">
        <v>0</v>
      </c>
      <c r="R266" s="131">
        <v>0</v>
      </c>
      <c r="S266" s="131">
        <v>0</v>
      </c>
      <c r="T266" s="131">
        <v>0</v>
      </c>
      <c r="U266" s="131">
        <v>0</v>
      </c>
      <c r="V266" s="131">
        <v>0</v>
      </c>
      <c r="W266" s="131">
        <v>32593209</v>
      </c>
      <c r="X266" s="131">
        <v>2566516</v>
      </c>
      <c r="Y266" s="131">
        <v>30026693</v>
      </c>
      <c r="Z266" s="131">
        <v>0</v>
      </c>
      <c r="AA266" s="131">
        <v>0</v>
      </c>
      <c r="AB266" s="131">
        <v>0</v>
      </c>
      <c r="AC266" s="131">
        <v>0</v>
      </c>
      <c r="AD266" s="131">
        <v>0</v>
      </c>
      <c r="AE266" s="131">
        <v>0</v>
      </c>
      <c r="AF266" s="131">
        <v>32593209</v>
      </c>
      <c r="AG266" s="131">
        <v>2566516</v>
      </c>
      <c r="AH266" s="131">
        <v>30026693</v>
      </c>
      <c r="AI266" s="131">
        <v>30026693</v>
      </c>
      <c r="AJ266" s="131">
        <v>30026693</v>
      </c>
      <c r="AK266" s="131">
        <v>30026693</v>
      </c>
      <c r="AM266" s="131">
        <v>0</v>
      </c>
      <c r="AN266" s="131">
        <v>0</v>
      </c>
      <c r="AO266" s="131">
        <v>0</v>
      </c>
      <c r="AP266" s="131">
        <v>0</v>
      </c>
      <c r="AQ266" s="131">
        <v>0</v>
      </c>
      <c r="AR266" s="131">
        <v>0</v>
      </c>
      <c r="AS266" t="s">
        <v>74</v>
      </c>
    </row>
    <row r="267" spans="1:45" ht="30" x14ac:dyDescent="0.25">
      <c r="A267">
        <v>2019</v>
      </c>
      <c r="B267">
        <v>318</v>
      </c>
      <c r="C267">
        <v>10204030205</v>
      </c>
      <c r="D267">
        <v>154</v>
      </c>
      <c r="E267" t="s">
        <v>3022</v>
      </c>
      <c r="F267">
        <v>10204030205</v>
      </c>
      <c r="G267" s="10" t="s">
        <v>697</v>
      </c>
      <c r="H267" t="s">
        <v>2584</v>
      </c>
      <c r="I267" s="131">
        <v>512848441</v>
      </c>
      <c r="J267" s="131">
        <v>512848441</v>
      </c>
      <c r="K267" s="131">
        <v>0</v>
      </c>
      <c r="L267" s="131">
        <v>0</v>
      </c>
      <c r="M267" s="131">
        <v>0</v>
      </c>
      <c r="N267" s="131">
        <v>0</v>
      </c>
      <c r="O267" s="131">
        <v>0</v>
      </c>
      <c r="P267" s="131">
        <v>512848441</v>
      </c>
      <c r="Q267" s="131">
        <v>0</v>
      </c>
      <c r="R267" s="131">
        <v>0</v>
      </c>
      <c r="S267" s="131">
        <v>0</v>
      </c>
      <c r="T267" s="131">
        <v>0</v>
      </c>
      <c r="U267" s="131">
        <v>0</v>
      </c>
      <c r="V267" s="131">
        <v>0</v>
      </c>
      <c r="W267" s="131">
        <v>514335484</v>
      </c>
      <c r="X267" s="131">
        <v>24606490</v>
      </c>
      <c r="Y267" s="131">
        <v>489728994</v>
      </c>
      <c r="Z267" s="131">
        <v>0</v>
      </c>
      <c r="AA267" s="131">
        <v>0</v>
      </c>
      <c r="AB267" s="131">
        <v>0</v>
      </c>
      <c r="AC267" s="131">
        <v>0</v>
      </c>
      <c r="AD267" s="131">
        <v>0</v>
      </c>
      <c r="AE267" s="131">
        <v>0</v>
      </c>
      <c r="AF267" s="131">
        <v>514335484</v>
      </c>
      <c r="AG267" s="131">
        <v>24606490</v>
      </c>
      <c r="AH267" s="131">
        <v>489728994</v>
      </c>
      <c r="AI267" s="131">
        <v>489728994</v>
      </c>
      <c r="AJ267" s="131">
        <v>489682462</v>
      </c>
      <c r="AK267" s="131">
        <v>489682462</v>
      </c>
      <c r="AM267" s="131">
        <v>46532</v>
      </c>
      <c r="AN267" s="131">
        <v>46532</v>
      </c>
      <c r="AO267" s="131">
        <v>0</v>
      </c>
      <c r="AP267" s="131">
        <v>46532</v>
      </c>
      <c r="AQ267" s="131">
        <v>0</v>
      </c>
      <c r="AR267" s="131">
        <v>0</v>
      </c>
      <c r="AS267" t="s">
        <v>74</v>
      </c>
    </row>
    <row r="268" spans="1:45" ht="30" x14ac:dyDescent="0.25">
      <c r="A268">
        <v>2019</v>
      </c>
      <c r="B268">
        <v>318</v>
      </c>
      <c r="C268">
        <v>10204030206</v>
      </c>
      <c r="D268">
        <v>154</v>
      </c>
      <c r="E268" t="s">
        <v>3023</v>
      </c>
      <c r="F268">
        <v>10204030206</v>
      </c>
      <c r="G268" s="10" t="s">
        <v>788</v>
      </c>
      <c r="H268" t="s">
        <v>2584</v>
      </c>
      <c r="I268" s="131">
        <v>123249914</v>
      </c>
      <c r="J268" s="131">
        <v>123249914</v>
      </c>
      <c r="K268" s="131">
        <v>0</v>
      </c>
      <c r="L268" s="131">
        <v>0</v>
      </c>
      <c r="M268" s="131">
        <v>0</v>
      </c>
      <c r="N268" s="131">
        <v>0</v>
      </c>
      <c r="O268" s="131">
        <v>0</v>
      </c>
      <c r="P268" s="131">
        <v>123249914</v>
      </c>
      <c r="Q268" s="131">
        <v>0</v>
      </c>
      <c r="R268" s="131">
        <v>0</v>
      </c>
      <c r="S268" s="131">
        <v>0</v>
      </c>
      <c r="T268" s="131">
        <v>0</v>
      </c>
      <c r="U268" s="131">
        <v>0</v>
      </c>
      <c r="V268" s="131">
        <v>0</v>
      </c>
      <c r="W268" s="131">
        <v>233298852</v>
      </c>
      <c r="X268" s="131">
        <v>38777190</v>
      </c>
      <c r="Y268" s="131">
        <v>194521662</v>
      </c>
      <c r="Z268" s="131">
        <v>0</v>
      </c>
      <c r="AA268" s="131">
        <v>0</v>
      </c>
      <c r="AB268" s="131">
        <v>0</v>
      </c>
      <c r="AC268" s="131">
        <v>0</v>
      </c>
      <c r="AD268" s="131">
        <v>0</v>
      </c>
      <c r="AE268" s="131">
        <v>0</v>
      </c>
      <c r="AF268" s="131">
        <v>233298852</v>
      </c>
      <c r="AG268" s="131">
        <v>38777190</v>
      </c>
      <c r="AH268" s="131">
        <v>194521662</v>
      </c>
      <c r="AI268" s="131">
        <v>194521662</v>
      </c>
      <c r="AJ268" s="131">
        <v>194521662</v>
      </c>
      <c r="AK268" s="131">
        <v>194521662</v>
      </c>
      <c r="AM268" s="131">
        <v>0</v>
      </c>
      <c r="AN268" s="131">
        <v>0</v>
      </c>
      <c r="AO268" s="131">
        <v>0</v>
      </c>
      <c r="AP268" s="131">
        <v>0</v>
      </c>
      <c r="AQ268" s="131">
        <v>0</v>
      </c>
      <c r="AR268" s="131">
        <v>0</v>
      </c>
      <c r="AS268" t="s">
        <v>74</v>
      </c>
    </row>
    <row r="269" spans="1:45" ht="30" x14ac:dyDescent="0.25">
      <c r="A269">
        <v>2019</v>
      </c>
      <c r="B269">
        <v>318</v>
      </c>
      <c r="C269">
        <v>10204030207</v>
      </c>
      <c r="D269">
        <v>154</v>
      </c>
      <c r="E269" t="s">
        <v>3024</v>
      </c>
      <c r="F269">
        <v>10204030207</v>
      </c>
      <c r="G269" s="10" t="s">
        <v>3025</v>
      </c>
      <c r="H269" t="s">
        <v>2584</v>
      </c>
      <c r="I269" s="131">
        <v>1086897670</v>
      </c>
      <c r="J269" s="131">
        <v>1086897670</v>
      </c>
      <c r="K269" s="131">
        <v>0</v>
      </c>
      <c r="L269" s="131">
        <v>0</v>
      </c>
      <c r="M269" s="131">
        <v>0</v>
      </c>
      <c r="N269" s="131">
        <v>0</v>
      </c>
      <c r="O269" s="131">
        <v>0</v>
      </c>
      <c r="P269" s="131">
        <v>1086897670</v>
      </c>
      <c r="Q269" s="131">
        <v>0</v>
      </c>
      <c r="R269" s="131">
        <v>0</v>
      </c>
      <c r="S269" s="131">
        <v>0</v>
      </c>
      <c r="T269" s="131">
        <v>0</v>
      </c>
      <c r="U269" s="131">
        <v>0</v>
      </c>
      <c r="V269" s="131">
        <v>0</v>
      </c>
      <c r="W269" s="131">
        <v>1369417729</v>
      </c>
      <c r="X269" s="131">
        <v>111300768</v>
      </c>
      <c r="Y269" s="131">
        <v>1258116961</v>
      </c>
      <c r="Z269" s="131">
        <v>0</v>
      </c>
      <c r="AA269" s="131">
        <v>0</v>
      </c>
      <c r="AB269" s="131">
        <v>0</v>
      </c>
      <c r="AC269" s="131">
        <v>0</v>
      </c>
      <c r="AD269" s="131">
        <v>0</v>
      </c>
      <c r="AE269" s="131">
        <v>0</v>
      </c>
      <c r="AF269" s="131">
        <v>1369417729</v>
      </c>
      <c r="AG269" s="131">
        <v>111300768</v>
      </c>
      <c r="AH269" s="131">
        <v>1258116961</v>
      </c>
      <c r="AI269" s="131">
        <v>1258116961</v>
      </c>
      <c r="AJ269" s="131">
        <v>1258116961</v>
      </c>
      <c r="AK269" s="131">
        <v>1258116961</v>
      </c>
      <c r="AM269" s="131">
        <v>0</v>
      </c>
      <c r="AN269" s="131">
        <v>0</v>
      </c>
      <c r="AO269" s="131">
        <v>0</v>
      </c>
      <c r="AP269" s="131">
        <v>0</v>
      </c>
      <c r="AQ269" s="131">
        <v>0</v>
      </c>
      <c r="AR269" s="131">
        <v>0</v>
      </c>
      <c r="AS269" t="s">
        <v>74</v>
      </c>
    </row>
    <row r="270" spans="1:45" x14ac:dyDescent="0.25">
      <c r="A270">
        <v>2019</v>
      </c>
      <c r="B270">
        <v>318</v>
      </c>
      <c r="C270">
        <v>10204030208</v>
      </c>
      <c r="D270">
        <v>154</v>
      </c>
      <c r="E270" t="s">
        <v>3026</v>
      </c>
      <c r="F270">
        <v>10204030208</v>
      </c>
      <c r="G270" s="10" t="s">
        <v>3027</v>
      </c>
      <c r="H270" t="s">
        <v>2584</v>
      </c>
      <c r="I270" s="131">
        <v>544000000</v>
      </c>
      <c r="J270" s="131">
        <v>544000000</v>
      </c>
      <c r="K270" s="131">
        <v>0</v>
      </c>
      <c r="L270" s="131">
        <v>0</v>
      </c>
      <c r="M270" s="131">
        <v>0</v>
      </c>
      <c r="N270" s="131">
        <v>0</v>
      </c>
      <c r="O270" s="131">
        <v>0</v>
      </c>
      <c r="P270" s="131">
        <v>544000000</v>
      </c>
      <c r="Q270" s="131">
        <v>0</v>
      </c>
      <c r="R270" s="131">
        <v>0</v>
      </c>
      <c r="S270" s="131">
        <v>0</v>
      </c>
      <c r="T270" s="131">
        <v>0</v>
      </c>
      <c r="U270" s="131">
        <v>0</v>
      </c>
      <c r="V270" s="131">
        <v>0</v>
      </c>
      <c r="W270" s="131">
        <v>545858252</v>
      </c>
      <c r="X270" s="131">
        <v>63654094</v>
      </c>
      <c r="Y270" s="131">
        <v>482204158</v>
      </c>
      <c r="Z270" s="131">
        <v>0</v>
      </c>
      <c r="AA270" s="131">
        <v>0</v>
      </c>
      <c r="AB270" s="131">
        <v>0</v>
      </c>
      <c r="AC270" s="131">
        <v>0</v>
      </c>
      <c r="AD270" s="131">
        <v>0</v>
      </c>
      <c r="AE270" s="131">
        <v>0</v>
      </c>
      <c r="AF270" s="131">
        <v>545858252</v>
      </c>
      <c r="AG270" s="131">
        <v>63654094</v>
      </c>
      <c r="AH270" s="131">
        <v>482204158</v>
      </c>
      <c r="AI270" s="131">
        <v>482204158</v>
      </c>
      <c r="AJ270" s="131">
        <v>482204158</v>
      </c>
      <c r="AK270" s="131">
        <v>482204158</v>
      </c>
      <c r="AM270" s="131">
        <v>0</v>
      </c>
      <c r="AN270" s="131">
        <v>0</v>
      </c>
      <c r="AO270" s="131">
        <v>0</v>
      </c>
      <c r="AP270" s="131">
        <v>0</v>
      </c>
      <c r="AQ270" s="131">
        <v>0</v>
      </c>
      <c r="AR270" s="131">
        <v>0</v>
      </c>
      <c r="AS270" t="s">
        <v>74</v>
      </c>
    </row>
    <row r="271" spans="1:45" x14ac:dyDescent="0.25">
      <c r="A271">
        <v>2019</v>
      </c>
      <c r="B271">
        <v>318</v>
      </c>
      <c r="C271">
        <v>10204030210</v>
      </c>
      <c r="D271">
        <v>154</v>
      </c>
      <c r="E271" t="s">
        <v>3028</v>
      </c>
      <c r="F271">
        <v>10204030210</v>
      </c>
      <c r="G271" s="10" t="s">
        <v>819</v>
      </c>
      <c r="H271" t="s">
        <v>2584</v>
      </c>
      <c r="I271" s="131">
        <v>0</v>
      </c>
      <c r="J271" s="131">
        <v>0</v>
      </c>
      <c r="K271" s="131">
        <v>0</v>
      </c>
      <c r="L271" s="131">
        <v>0</v>
      </c>
      <c r="M271" s="131">
        <v>0</v>
      </c>
      <c r="N271" s="131">
        <v>0</v>
      </c>
      <c r="O271" s="131">
        <v>0</v>
      </c>
      <c r="P271" s="131">
        <v>0</v>
      </c>
      <c r="Q271" s="131">
        <v>0</v>
      </c>
      <c r="R271" s="131">
        <v>0</v>
      </c>
      <c r="S271" s="131">
        <v>0</v>
      </c>
      <c r="T271" s="131">
        <v>0</v>
      </c>
      <c r="U271" s="131">
        <v>0</v>
      </c>
      <c r="V271" s="131">
        <v>0</v>
      </c>
      <c r="W271" s="131">
        <v>0</v>
      </c>
      <c r="X271" s="131">
        <v>0</v>
      </c>
      <c r="Y271" s="131">
        <v>0</v>
      </c>
      <c r="Z271" s="131">
        <v>0</v>
      </c>
      <c r="AA271" s="131">
        <v>0</v>
      </c>
      <c r="AB271" s="131">
        <v>0</v>
      </c>
      <c r="AC271" s="131">
        <v>0</v>
      </c>
      <c r="AD271" s="131">
        <v>0</v>
      </c>
      <c r="AE271" s="131">
        <v>0</v>
      </c>
      <c r="AF271" s="131">
        <v>0</v>
      </c>
      <c r="AG271" s="131">
        <v>0</v>
      </c>
      <c r="AH271" s="131">
        <v>0</v>
      </c>
      <c r="AI271" s="131">
        <v>0</v>
      </c>
      <c r="AJ271" s="131">
        <v>0</v>
      </c>
      <c r="AK271" s="131">
        <v>0</v>
      </c>
      <c r="AM271" s="131">
        <v>0</v>
      </c>
      <c r="AN271" s="131">
        <v>0</v>
      </c>
      <c r="AO271" s="131">
        <v>0</v>
      </c>
      <c r="AP271" s="131">
        <v>0</v>
      </c>
      <c r="AQ271" s="131">
        <v>0</v>
      </c>
      <c r="AR271" s="131">
        <v>0</v>
      </c>
      <c r="AS271" t="s">
        <v>74</v>
      </c>
    </row>
    <row r="272" spans="1:45" x14ac:dyDescent="0.25">
      <c r="A272">
        <v>2019</v>
      </c>
      <c r="B272">
        <v>318</v>
      </c>
      <c r="C272">
        <v>102040303</v>
      </c>
      <c r="D272" t="s">
        <v>226</v>
      </c>
      <c r="E272" t="s">
        <v>3029</v>
      </c>
      <c r="F272">
        <v>102040303</v>
      </c>
      <c r="G272" s="10" t="s">
        <v>3030</v>
      </c>
      <c r="H272" t="s">
        <v>2584</v>
      </c>
      <c r="I272" s="131">
        <v>8557829476</v>
      </c>
      <c r="J272" s="131">
        <v>8557829476</v>
      </c>
      <c r="K272" s="131">
        <v>1357798766</v>
      </c>
      <c r="L272" s="131">
        <v>1357798766</v>
      </c>
      <c r="M272" s="131">
        <v>0</v>
      </c>
      <c r="N272" s="131">
        <v>1357798766</v>
      </c>
      <c r="O272" s="131">
        <v>1357798766</v>
      </c>
      <c r="P272" s="131">
        <v>8557829476</v>
      </c>
      <c r="Q272" s="131">
        <v>0</v>
      </c>
      <c r="R272" s="131">
        <v>0</v>
      </c>
      <c r="S272" s="131">
        <v>0</v>
      </c>
      <c r="T272" s="131">
        <v>0</v>
      </c>
      <c r="U272" s="131">
        <v>0</v>
      </c>
      <c r="V272" s="131">
        <v>0</v>
      </c>
      <c r="W272" s="131">
        <v>8505313759.3800001</v>
      </c>
      <c r="X272" s="131">
        <v>69701547.379999995</v>
      </c>
      <c r="Y272" s="131">
        <v>8435612212</v>
      </c>
      <c r="Z272" s="131">
        <v>0</v>
      </c>
      <c r="AA272" s="131">
        <v>0</v>
      </c>
      <c r="AB272" s="131">
        <v>0</v>
      </c>
      <c r="AC272" s="131">
        <v>0</v>
      </c>
      <c r="AD272" s="131">
        <v>0</v>
      </c>
      <c r="AE272" s="131">
        <v>0</v>
      </c>
      <c r="AF272" s="131">
        <v>8505313759.3800001</v>
      </c>
      <c r="AG272" s="131">
        <v>69701547.379999995</v>
      </c>
      <c r="AH272" s="131">
        <v>8435612212</v>
      </c>
      <c r="AI272" s="131">
        <v>8435612212</v>
      </c>
      <c r="AJ272" s="131">
        <v>2698788869</v>
      </c>
      <c r="AK272" s="131">
        <v>2698788869</v>
      </c>
      <c r="AM272" s="131">
        <v>5736823343</v>
      </c>
      <c r="AN272" s="131">
        <v>5736823343</v>
      </c>
      <c r="AO272" s="131">
        <v>0</v>
      </c>
      <c r="AP272" s="131">
        <v>5736823343</v>
      </c>
      <c r="AQ272" s="131">
        <v>0</v>
      </c>
      <c r="AR272" s="131">
        <v>0</v>
      </c>
      <c r="AS272" t="s">
        <v>1709</v>
      </c>
    </row>
    <row r="273" spans="1:45" ht="45" x14ac:dyDescent="0.25">
      <c r="A273">
        <v>2019</v>
      </c>
      <c r="B273">
        <v>318</v>
      </c>
      <c r="C273">
        <v>10204030301</v>
      </c>
      <c r="D273">
        <v>154</v>
      </c>
      <c r="E273" t="s">
        <v>3031</v>
      </c>
      <c r="F273">
        <v>10204030301</v>
      </c>
      <c r="G273" s="10" t="s">
        <v>3032</v>
      </c>
      <c r="H273" t="s">
        <v>2584</v>
      </c>
      <c r="I273" s="131">
        <v>1264080990</v>
      </c>
      <c r="J273" s="131">
        <v>1264080990</v>
      </c>
      <c r="K273" s="131">
        <v>0</v>
      </c>
      <c r="L273" s="131">
        <v>0</v>
      </c>
      <c r="M273" s="131">
        <v>0</v>
      </c>
      <c r="N273" s="131">
        <v>0</v>
      </c>
      <c r="O273" s="131">
        <v>0</v>
      </c>
      <c r="P273" s="131">
        <v>1264080990</v>
      </c>
      <c r="Q273" s="131">
        <v>0</v>
      </c>
      <c r="R273" s="131">
        <v>0</v>
      </c>
      <c r="S273" s="131">
        <v>0</v>
      </c>
      <c r="T273" s="131">
        <v>0</v>
      </c>
      <c r="U273" s="131">
        <v>0</v>
      </c>
      <c r="V273" s="131">
        <v>0</v>
      </c>
      <c r="W273" s="131">
        <v>2175713000</v>
      </c>
      <c r="X273" s="131">
        <v>0</v>
      </c>
      <c r="Y273" s="131">
        <v>2175713000</v>
      </c>
      <c r="Z273" s="131">
        <v>0</v>
      </c>
      <c r="AA273" s="131">
        <v>0</v>
      </c>
      <c r="AB273" s="131">
        <v>0</v>
      </c>
      <c r="AC273" s="131">
        <v>0</v>
      </c>
      <c r="AD273" s="131">
        <v>0</v>
      </c>
      <c r="AE273" s="131">
        <v>0</v>
      </c>
      <c r="AF273" s="131">
        <v>2175713000</v>
      </c>
      <c r="AG273" s="131">
        <v>0</v>
      </c>
      <c r="AH273" s="131">
        <v>2175713000</v>
      </c>
      <c r="AI273" s="131">
        <v>2175713000</v>
      </c>
      <c r="AJ273" s="131">
        <v>0</v>
      </c>
      <c r="AK273" s="131">
        <v>0</v>
      </c>
      <c r="AM273" s="131">
        <v>2175713000</v>
      </c>
      <c r="AN273" s="131">
        <v>2175713000</v>
      </c>
      <c r="AO273" s="131">
        <v>0</v>
      </c>
      <c r="AP273" s="131">
        <v>2175713000</v>
      </c>
      <c r="AQ273" s="131">
        <v>0</v>
      </c>
      <c r="AR273" s="131">
        <v>0</v>
      </c>
      <c r="AS273" t="s">
        <v>74</v>
      </c>
    </row>
    <row r="274" spans="1:45" ht="45" x14ac:dyDescent="0.25">
      <c r="A274">
        <v>2019</v>
      </c>
      <c r="B274">
        <v>318</v>
      </c>
      <c r="C274">
        <v>10204030302</v>
      </c>
      <c r="D274">
        <v>154</v>
      </c>
      <c r="E274" t="s">
        <v>3033</v>
      </c>
      <c r="F274">
        <v>10204030302</v>
      </c>
      <c r="G274" s="10" t="s">
        <v>3034</v>
      </c>
      <c r="H274" t="s">
        <v>2584</v>
      </c>
      <c r="I274" s="131">
        <v>410498486</v>
      </c>
      <c r="J274" s="131">
        <v>410498486</v>
      </c>
      <c r="K274" s="131">
        <v>0</v>
      </c>
      <c r="L274" s="131">
        <v>0</v>
      </c>
      <c r="M274" s="131">
        <v>0</v>
      </c>
      <c r="N274" s="131">
        <v>0</v>
      </c>
      <c r="O274" s="131">
        <v>0</v>
      </c>
      <c r="P274" s="131">
        <v>410498486</v>
      </c>
      <c r="Q274" s="131">
        <v>0</v>
      </c>
      <c r="R274" s="131">
        <v>0</v>
      </c>
      <c r="S274" s="131">
        <v>0</v>
      </c>
      <c r="T274" s="131">
        <v>0</v>
      </c>
      <c r="U274" s="131">
        <v>0</v>
      </c>
      <c r="V274" s="131">
        <v>0</v>
      </c>
      <c r="W274" s="131">
        <v>1922693537</v>
      </c>
      <c r="X274" s="131">
        <v>2341248</v>
      </c>
      <c r="Y274" s="131">
        <v>1920352289</v>
      </c>
      <c r="Z274" s="131">
        <v>0</v>
      </c>
      <c r="AA274" s="131">
        <v>0</v>
      </c>
      <c r="AB274" s="131">
        <v>0</v>
      </c>
      <c r="AC274" s="131">
        <v>0</v>
      </c>
      <c r="AD274" s="131">
        <v>0</v>
      </c>
      <c r="AE274" s="131">
        <v>0</v>
      </c>
      <c r="AF274" s="131">
        <v>1922693537</v>
      </c>
      <c r="AG274" s="131">
        <v>2341248</v>
      </c>
      <c r="AH274" s="131">
        <v>1920352289</v>
      </c>
      <c r="AI274" s="131">
        <v>1920352289</v>
      </c>
      <c r="AJ274" s="131">
        <v>1913664030</v>
      </c>
      <c r="AK274" s="131">
        <v>1913664030</v>
      </c>
      <c r="AM274" s="131">
        <v>6688259</v>
      </c>
      <c r="AN274" s="131">
        <v>6688259</v>
      </c>
      <c r="AO274" s="131">
        <v>0</v>
      </c>
      <c r="AP274" s="131">
        <v>6688259</v>
      </c>
      <c r="AQ274" s="131">
        <v>0</v>
      </c>
      <c r="AR274" s="131">
        <v>0</v>
      </c>
      <c r="AS274" t="s">
        <v>74</v>
      </c>
    </row>
    <row r="275" spans="1:45" ht="30" x14ac:dyDescent="0.25">
      <c r="A275">
        <v>2019</v>
      </c>
      <c r="B275">
        <v>318</v>
      </c>
      <c r="C275">
        <v>10204030306</v>
      </c>
      <c r="D275">
        <v>154</v>
      </c>
      <c r="E275" t="s">
        <v>3035</v>
      </c>
      <c r="F275">
        <v>10204030306</v>
      </c>
      <c r="G275" s="10" t="s">
        <v>874</v>
      </c>
      <c r="H275" t="s">
        <v>2584</v>
      </c>
      <c r="I275" s="131">
        <v>295435535</v>
      </c>
      <c r="J275" s="131">
        <v>295435535</v>
      </c>
      <c r="K275" s="131">
        <v>0</v>
      </c>
      <c r="L275" s="131">
        <v>0</v>
      </c>
      <c r="M275" s="131">
        <v>0</v>
      </c>
      <c r="N275" s="131">
        <v>0</v>
      </c>
      <c r="O275" s="131">
        <v>0</v>
      </c>
      <c r="P275" s="131">
        <v>295435535</v>
      </c>
      <c r="Q275" s="131">
        <v>0</v>
      </c>
      <c r="R275" s="131">
        <v>0</v>
      </c>
      <c r="S275" s="131">
        <v>0</v>
      </c>
      <c r="T275" s="131">
        <v>0</v>
      </c>
      <c r="U275" s="131">
        <v>0</v>
      </c>
      <c r="V275" s="131">
        <v>0</v>
      </c>
      <c r="W275" s="131">
        <v>576338345</v>
      </c>
      <c r="X275" s="131">
        <v>67360299.379999995</v>
      </c>
      <c r="Y275" s="131">
        <v>508978045.62</v>
      </c>
      <c r="Z275" s="131">
        <v>0</v>
      </c>
      <c r="AA275" s="131">
        <v>0</v>
      </c>
      <c r="AB275" s="131">
        <v>0</v>
      </c>
      <c r="AC275" s="131">
        <v>0</v>
      </c>
      <c r="AD275" s="131">
        <v>0</v>
      </c>
      <c r="AE275" s="131">
        <v>0</v>
      </c>
      <c r="AF275" s="131">
        <v>576338345</v>
      </c>
      <c r="AG275" s="131">
        <v>67360299.379999995</v>
      </c>
      <c r="AH275" s="131">
        <v>508978045.62</v>
      </c>
      <c r="AI275" s="131">
        <v>508978045.62</v>
      </c>
      <c r="AJ275" s="131">
        <v>508978045.62</v>
      </c>
      <c r="AK275" s="131">
        <v>508978045.62</v>
      </c>
      <c r="AM275" s="131">
        <v>0</v>
      </c>
      <c r="AN275" s="131">
        <v>0</v>
      </c>
      <c r="AO275" s="131">
        <v>0</v>
      </c>
      <c r="AP275" s="131">
        <v>0</v>
      </c>
      <c r="AQ275" s="131">
        <v>0</v>
      </c>
      <c r="AR275" s="131">
        <v>0</v>
      </c>
      <c r="AS275" t="s">
        <v>74</v>
      </c>
    </row>
    <row r="276" spans="1:45" ht="45" x14ac:dyDescent="0.25">
      <c r="A276">
        <v>2019</v>
      </c>
      <c r="B276">
        <v>318</v>
      </c>
      <c r="C276">
        <v>10204030307</v>
      </c>
      <c r="D276">
        <v>154</v>
      </c>
      <c r="E276" t="s">
        <v>3036</v>
      </c>
      <c r="F276">
        <v>10204030307</v>
      </c>
      <c r="G276" s="10" t="s">
        <v>876</v>
      </c>
      <c r="H276" t="s">
        <v>2584</v>
      </c>
      <c r="I276" s="131">
        <v>49339925</v>
      </c>
      <c r="J276" s="131">
        <v>49339925</v>
      </c>
      <c r="K276" s="131">
        <v>0</v>
      </c>
      <c r="L276" s="131">
        <v>0</v>
      </c>
      <c r="M276" s="131">
        <v>0</v>
      </c>
      <c r="N276" s="131">
        <v>0</v>
      </c>
      <c r="O276" s="131">
        <v>0</v>
      </c>
      <c r="P276" s="131">
        <v>49339925</v>
      </c>
      <c r="Q276" s="131">
        <v>0</v>
      </c>
      <c r="R276" s="131">
        <v>0</v>
      </c>
      <c r="S276" s="131">
        <v>0</v>
      </c>
      <c r="T276" s="131">
        <v>0</v>
      </c>
      <c r="U276" s="131">
        <v>0</v>
      </c>
      <c r="V276" s="131">
        <v>0</v>
      </c>
      <c r="W276" s="131">
        <v>244754246</v>
      </c>
      <c r="X276" s="131">
        <v>0</v>
      </c>
      <c r="Y276" s="131">
        <v>244754246</v>
      </c>
      <c r="Z276" s="131">
        <v>0</v>
      </c>
      <c r="AA276" s="131">
        <v>0</v>
      </c>
      <c r="AB276" s="131">
        <v>0</v>
      </c>
      <c r="AC276" s="131">
        <v>0</v>
      </c>
      <c r="AD276" s="131">
        <v>0</v>
      </c>
      <c r="AE276" s="131">
        <v>0</v>
      </c>
      <c r="AF276" s="131">
        <v>244754246</v>
      </c>
      <c r="AG276" s="131">
        <v>0</v>
      </c>
      <c r="AH276" s="131">
        <v>244754246</v>
      </c>
      <c r="AI276" s="131">
        <v>244754246</v>
      </c>
      <c r="AJ276" s="131">
        <v>244754246</v>
      </c>
      <c r="AK276" s="131">
        <v>244754246</v>
      </c>
      <c r="AM276" s="131">
        <v>0</v>
      </c>
      <c r="AN276" s="131">
        <v>0</v>
      </c>
      <c r="AO276" s="131">
        <v>0</v>
      </c>
      <c r="AP276" s="131">
        <v>0</v>
      </c>
      <c r="AQ276" s="131">
        <v>0</v>
      </c>
      <c r="AR276" s="131">
        <v>0</v>
      </c>
      <c r="AS276" t="s">
        <v>74</v>
      </c>
    </row>
    <row r="277" spans="1:45" ht="45" x14ac:dyDescent="0.25">
      <c r="A277">
        <v>2019</v>
      </c>
      <c r="B277">
        <v>318</v>
      </c>
      <c r="C277">
        <v>10204030309</v>
      </c>
      <c r="D277">
        <v>154</v>
      </c>
      <c r="E277" t="s">
        <v>3037</v>
      </c>
      <c r="F277">
        <v>10204030309</v>
      </c>
      <c r="G277" s="10" t="s">
        <v>878</v>
      </c>
      <c r="H277" t="s">
        <v>2584</v>
      </c>
      <c r="I277" s="131">
        <v>38474540</v>
      </c>
      <c r="J277" s="131">
        <v>38474540</v>
      </c>
      <c r="K277" s="131">
        <v>0</v>
      </c>
      <c r="L277" s="131">
        <v>0</v>
      </c>
      <c r="M277" s="131">
        <v>0</v>
      </c>
      <c r="N277" s="131">
        <v>0</v>
      </c>
      <c r="O277" s="131">
        <v>0</v>
      </c>
      <c r="P277" s="131">
        <v>38474540</v>
      </c>
      <c r="Q277" s="131">
        <v>0</v>
      </c>
      <c r="R277" s="131">
        <v>0</v>
      </c>
      <c r="S277" s="131">
        <v>0</v>
      </c>
      <c r="T277" s="131">
        <v>0</v>
      </c>
      <c r="U277" s="131">
        <v>0</v>
      </c>
      <c r="V277" s="131">
        <v>0</v>
      </c>
      <c r="W277" s="131">
        <v>31392547.379999999</v>
      </c>
      <c r="X277" s="131">
        <v>0</v>
      </c>
      <c r="Y277" s="131">
        <v>31392547.379999999</v>
      </c>
      <c r="Z277" s="131">
        <v>0</v>
      </c>
      <c r="AA277" s="131">
        <v>0</v>
      </c>
      <c r="AB277" s="131">
        <v>0</v>
      </c>
      <c r="AC277" s="131">
        <v>0</v>
      </c>
      <c r="AD277" s="131">
        <v>0</v>
      </c>
      <c r="AE277" s="131">
        <v>0</v>
      </c>
      <c r="AF277" s="131">
        <v>31392547.379999999</v>
      </c>
      <c r="AG277" s="131">
        <v>0</v>
      </c>
      <c r="AH277" s="131">
        <v>31392547.379999999</v>
      </c>
      <c r="AI277" s="131">
        <v>31392547.379999999</v>
      </c>
      <c r="AJ277" s="131">
        <v>31392547.379999999</v>
      </c>
      <c r="AK277" s="131">
        <v>31392547.379999999</v>
      </c>
      <c r="AM277" s="131">
        <v>0</v>
      </c>
      <c r="AN277" s="131">
        <v>0</v>
      </c>
      <c r="AO277" s="131">
        <v>0</v>
      </c>
      <c r="AP277" s="131">
        <v>0</v>
      </c>
      <c r="AQ277" s="131">
        <v>0</v>
      </c>
      <c r="AR277" s="131">
        <v>0</v>
      </c>
      <c r="AS277" t="s">
        <v>74</v>
      </c>
    </row>
    <row r="278" spans="1:45" ht="45" x14ac:dyDescent="0.25">
      <c r="A278">
        <v>2019</v>
      </c>
      <c r="B278">
        <v>318</v>
      </c>
      <c r="C278">
        <v>10204030312</v>
      </c>
      <c r="D278">
        <v>154</v>
      </c>
      <c r="E278" t="s">
        <v>3038</v>
      </c>
      <c r="F278">
        <v>10204030312</v>
      </c>
      <c r="G278" s="10" t="s">
        <v>3039</v>
      </c>
      <c r="H278" t="s">
        <v>2584</v>
      </c>
      <c r="I278" s="131">
        <v>4906620769</v>
      </c>
      <c r="J278" s="131">
        <v>4906620769</v>
      </c>
      <c r="K278" s="131">
        <v>0</v>
      </c>
      <c r="L278" s="131">
        <v>1357798766</v>
      </c>
      <c r="M278" s="131">
        <v>-1357798766</v>
      </c>
      <c r="N278" s="131">
        <v>0</v>
      </c>
      <c r="O278" s="131">
        <v>1357798766</v>
      </c>
      <c r="P278" s="131">
        <v>3548822003</v>
      </c>
      <c r="Q278" s="131">
        <v>0</v>
      </c>
      <c r="R278" s="131">
        <v>0</v>
      </c>
      <c r="S278" s="131">
        <v>0</v>
      </c>
      <c r="T278" s="131">
        <v>0</v>
      </c>
      <c r="U278" s="131">
        <v>0</v>
      </c>
      <c r="V278" s="131">
        <v>0</v>
      </c>
      <c r="W278" s="131">
        <v>0</v>
      </c>
      <c r="X278" s="131">
        <v>0</v>
      </c>
      <c r="Y278" s="131">
        <v>0</v>
      </c>
      <c r="Z278" s="131">
        <v>0</v>
      </c>
      <c r="AA278" s="131">
        <v>0</v>
      </c>
      <c r="AB278" s="131">
        <v>0</v>
      </c>
      <c r="AC278" s="131">
        <v>0</v>
      </c>
      <c r="AD278" s="131">
        <v>0</v>
      </c>
      <c r="AE278" s="131">
        <v>0</v>
      </c>
      <c r="AF278" s="131">
        <v>0</v>
      </c>
      <c r="AG278" s="131">
        <v>0</v>
      </c>
      <c r="AH278" s="131">
        <v>0</v>
      </c>
      <c r="AI278" s="131">
        <v>0</v>
      </c>
      <c r="AJ278" s="131">
        <v>0</v>
      </c>
      <c r="AK278" s="131">
        <v>0</v>
      </c>
      <c r="AM278" s="131">
        <v>0</v>
      </c>
      <c r="AN278" s="131">
        <v>0</v>
      </c>
      <c r="AO278" s="131">
        <v>0</v>
      </c>
      <c r="AP278" s="131">
        <v>0</v>
      </c>
      <c r="AQ278" s="131">
        <v>0</v>
      </c>
      <c r="AR278" s="131">
        <v>0</v>
      </c>
      <c r="AS278" t="s">
        <v>74</v>
      </c>
    </row>
    <row r="279" spans="1:45" ht="45" x14ac:dyDescent="0.25">
      <c r="A279">
        <v>2019</v>
      </c>
      <c r="B279">
        <v>318</v>
      </c>
      <c r="C279">
        <v>10204030312</v>
      </c>
      <c r="D279">
        <v>64</v>
      </c>
      <c r="E279" t="s">
        <v>3040</v>
      </c>
      <c r="F279">
        <v>10204030312</v>
      </c>
      <c r="G279" s="10" t="s">
        <v>3039</v>
      </c>
      <c r="H279" t="s">
        <v>2584</v>
      </c>
      <c r="I279" s="131">
        <v>0</v>
      </c>
      <c r="J279" s="131">
        <v>0</v>
      </c>
      <c r="K279" s="131">
        <v>1357798766</v>
      </c>
      <c r="L279" s="131">
        <v>0</v>
      </c>
      <c r="M279" s="131">
        <v>1357798766</v>
      </c>
      <c r="N279" s="131">
        <v>1357798766</v>
      </c>
      <c r="O279" s="131">
        <v>0</v>
      </c>
      <c r="P279" s="131">
        <v>1357798766</v>
      </c>
      <c r="Q279" s="131">
        <v>0</v>
      </c>
      <c r="R279" s="131">
        <v>0</v>
      </c>
      <c r="S279" s="131">
        <v>0</v>
      </c>
      <c r="T279" s="131">
        <v>0</v>
      </c>
      <c r="U279" s="131">
        <v>0</v>
      </c>
      <c r="V279" s="131">
        <v>0</v>
      </c>
      <c r="W279" s="131">
        <v>1357798766</v>
      </c>
      <c r="X279" s="131">
        <v>0</v>
      </c>
      <c r="Y279" s="131">
        <v>1357798766</v>
      </c>
      <c r="Z279" s="131">
        <v>0</v>
      </c>
      <c r="AA279" s="131">
        <v>0</v>
      </c>
      <c r="AB279" s="131">
        <v>0</v>
      </c>
      <c r="AC279" s="131">
        <v>0</v>
      </c>
      <c r="AD279" s="131">
        <v>0</v>
      </c>
      <c r="AE279" s="131">
        <v>0</v>
      </c>
      <c r="AF279" s="131">
        <v>1357798766</v>
      </c>
      <c r="AG279" s="131">
        <v>0</v>
      </c>
      <c r="AH279" s="131">
        <v>1357798766</v>
      </c>
      <c r="AI279" s="131">
        <v>1357798766</v>
      </c>
      <c r="AJ279" s="131">
        <v>0</v>
      </c>
      <c r="AK279" s="131">
        <v>0</v>
      </c>
      <c r="AM279" s="131">
        <v>1357798766</v>
      </c>
      <c r="AN279" s="131">
        <v>1357798766</v>
      </c>
      <c r="AO279" s="131">
        <v>0</v>
      </c>
      <c r="AP279" s="131">
        <v>1357798766</v>
      </c>
      <c r="AQ279" s="131">
        <v>0</v>
      </c>
      <c r="AR279" s="131">
        <v>0</v>
      </c>
      <c r="AS279" t="s">
        <v>3041</v>
      </c>
    </row>
    <row r="280" spans="1:45" ht="45" x14ac:dyDescent="0.25">
      <c r="A280">
        <v>2019</v>
      </c>
      <c r="B280">
        <v>318</v>
      </c>
      <c r="C280">
        <v>10204030313</v>
      </c>
      <c r="D280">
        <v>154</v>
      </c>
      <c r="E280" t="s">
        <v>3042</v>
      </c>
      <c r="F280">
        <v>10204030313</v>
      </c>
      <c r="G280" s="10" t="s">
        <v>3043</v>
      </c>
      <c r="H280" t="s">
        <v>2584</v>
      </c>
      <c r="I280" s="131">
        <v>1593379231</v>
      </c>
      <c r="J280" s="131">
        <v>1593379231</v>
      </c>
      <c r="K280" s="131">
        <v>0</v>
      </c>
      <c r="L280" s="131">
        <v>0</v>
      </c>
      <c r="M280" s="131">
        <v>0</v>
      </c>
      <c r="N280" s="131">
        <v>0</v>
      </c>
      <c r="O280" s="131">
        <v>0</v>
      </c>
      <c r="P280" s="131">
        <v>1593379231</v>
      </c>
      <c r="Q280" s="131">
        <v>0</v>
      </c>
      <c r="R280" s="131">
        <v>0</v>
      </c>
      <c r="S280" s="131">
        <v>0</v>
      </c>
      <c r="T280" s="131">
        <v>0</v>
      </c>
      <c r="U280" s="131">
        <v>0</v>
      </c>
      <c r="V280" s="131">
        <v>0</v>
      </c>
      <c r="W280" s="131">
        <v>2196623318</v>
      </c>
      <c r="X280" s="131">
        <v>0</v>
      </c>
      <c r="Y280" s="131">
        <v>2196623318</v>
      </c>
      <c r="Z280" s="131">
        <v>0</v>
      </c>
      <c r="AA280" s="131">
        <v>0</v>
      </c>
      <c r="AB280" s="131">
        <v>0</v>
      </c>
      <c r="AC280" s="131">
        <v>0</v>
      </c>
      <c r="AD280" s="131">
        <v>0</v>
      </c>
      <c r="AE280" s="131">
        <v>0</v>
      </c>
      <c r="AF280" s="131">
        <v>2196623318</v>
      </c>
      <c r="AG280" s="131">
        <v>0</v>
      </c>
      <c r="AH280" s="131">
        <v>2196623318</v>
      </c>
      <c r="AI280" s="131">
        <v>2196623318</v>
      </c>
      <c r="AJ280" s="131">
        <v>0</v>
      </c>
      <c r="AK280" s="131">
        <v>0</v>
      </c>
      <c r="AM280" s="131">
        <v>2196623318</v>
      </c>
      <c r="AN280" s="131">
        <v>2196623318</v>
      </c>
      <c r="AO280" s="131">
        <v>0</v>
      </c>
      <c r="AP280" s="131">
        <v>2196623318</v>
      </c>
      <c r="AQ280" s="131">
        <v>0</v>
      </c>
      <c r="AR280" s="131">
        <v>0</v>
      </c>
      <c r="AS280" t="s">
        <v>74</v>
      </c>
    </row>
    <row r="281" spans="1:45" x14ac:dyDescent="0.25">
      <c r="A281">
        <v>2019</v>
      </c>
      <c r="B281">
        <v>318</v>
      </c>
      <c r="C281">
        <v>102040304</v>
      </c>
      <c r="D281" t="s">
        <v>226</v>
      </c>
      <c r="E281" t="s">
        <v>3044</v>
      </c>
      <c r="F281">
        <v>102040304</v>
      </c>
      <c r="G281" s="10" t="s">
        <v>954</v>
      </c>
      <c r="H281" t="s">
        <v>2584</v>
      </c>
      <c r="I281" s="131">
        <v>78204383</v>
      </c>
      <c r="J281" s="131">
        <v>78204383</v>
      </c>
      <c r="K281" s="131">
        <v>180012439</v>
      </c>
      <c r="L281" s="131">
        <v>0</v>
      </c>
      <c r="M281" s="131">
        <v>180012439</v>
      </c>
      <c r="N281" s="131">
        <v>180012439</v>
      </c>
      <c r="O281" s="131">
        <v>0</v>
      </c>
      <c r="P281" s="131">
        <v>258216822</v>
      </c>
      <c r="Q281" s="131">
        <v>0</v>
      </c>
      <c r="R281" s="131">
        <v>0</v>
      </c>
      <c r="S281" s="131">
        <v>0</v>
      </c>
      <c r="T281" s="131">
        <v>0</v>
      </c>
      <c r="U281" s="131">
        <v>0</v>
      </c>
      <c r="V281" s="131">
        <v>0</v>
      </c>
      <c r="W281" s="131">
        <v>409703140.77999997</v>
      </c>
      <c r="X281" s="131">
        <v>20304834.719999999</v>
      </c>
      <c r="Y281" s="131">
        <v>389398306.06</v>
      </c>
      <c r="Z281" s="131">
        <v>0</v>
      </c>
      <c r="AA281" s="131">
        <v>0</v>
      </c>
      <c r="AB281" s="131">
        <v>0</v>
      </c>
      <c r="AC281" s="131">
        <v>0</v>
      </c>
      <c r="AD281" s="131">
        <v>0</v>
      </c>
      <c r="AE281" s="131">
        <v>0</v>
      </c>
      <c r="AF281" s="131">
        <v>409703140.77999997</v>
      </c>
      <c r="AG281" s="131">
        <v>20304834.719999999</v>
      </c>
      <c r="AH281" s="131">
        <v>389398306.06</v>
      </c>
      <c r="AI281" s="131">
        <v>389398306.06</v>
      </c>
      <c r="AJ281" s="131">
        <v>374572631.10000002</v>
      </c>
      <c r="AK281" s="131">
        <v>374572631.10000002</v>
      </c>
      <c r="AM281" s="131">
        <v>14825674.960000001</v>
      </c>
      <c r="AN281" s="131">
        <v>14825674.960000001</v>
      </c>
      <c r="AO281" s="131">
        <v>0</v>
      </c>
      <c r="AP281" s="131">
        <v>14825674.960000001</v>
      </c>
      <c r="AQ281" s="131">
        <v>0</v>
      </c>
      <c r="AR281" s="131">
        <v>0</v>
      </c>
      <c r="AS281" t="s">
        <v>1709</v>
      </c>
    </row>
    <row r="282" spans="1:45" x14ac:dyDescent="0.25">
      <c r="A282">
        <v>2019</v>
      </c>
      <c r="B282">
        <v>318</v>
      </c>
      <c r="C282">
        <v>10204030401</v>
      </c>
      <c r="D282" t="s">
        <v>226</v>
      </c>
      <c r="E282" t="s">
        <v>3045</v>
      </c>
      <c r="F282">
        <v>10204030401</v>
      </c>
      <c r="G282" s="10" t="s">
        <v>2736</v>
      </c>
      <c r="H282" t="s">
        <v>2584</v>
      </c>
      <c r="I282" s="131">
        <v>0</v>
      </c>
      <c r="J282" s="131">
        <v>0</v>
      </c>
      <c r="K282" s="131">
        <v>180012439</v>
      </c>
      <c r="L282" s="131">
        <v>0</v>
      </c>
      <c r="M282" s="131">
        <v>180012439</v>
      </c>
      <c r="N282" s="131">
        <v>180012439</v>
      </c>
      <c r="O282" s="131">
        <v>0</v>
      </c>
      <c r="P282" s="131">
        <v>180012439</v>
      </c>
      <c r="Q282" s="131">
        <v>0</v>
      </c>
      <c r="R282" s="131">
        <v>0</v>
      </c>
      <c r="S282" s="131">
        <v>0</v>
      </c>
      <c r="T282" s="131">
        <v>0</v>
      </c>
      <c r="U282" s="131">
        <v>0</v>
      </c>
      <c r="V282" s="131">
        <v>0</v>
      </c>
      <c r="W282" s="131">
        <v>180012439</v>
      </c>
      <c r="X282" s="131">
        <v>0</v>
      </c>
      <c r="Y282" s="131">
        <v>180012439</v>
      </c>
      <c r="Z282" s="131">
        <v>0</v>
      </c>
      <c r="AA282" s="131">
        <v>0</v>
      </c>
      <c r="AB282" s="131">
        <v>0</v>
      </c>
      <c r="AC282" s="131">
        <v>0</v>
      </c>
      <c r="AD282" s="131">
        <v>0</v>
      </c>
      <c r="AE282" s="131">
        <v>0</v>
      </c>
      <c r="AF282" s="131">
        <v>180012439</v>
      </c>
      <c r="AG282" s="131">
        <v>0</v>
      </c>
      <c r="AH282" s="131">
        <v>180012439</v>
      </c>
      <c r="AI282" s="131">
        <v>180012439</v>
      </c>
      <c r="AJ282" s="131">
        <v>180012439</v>
      </c>
      <c r="AK282" s="131">
        <v>180012439</v>
      </c>
      <c r="AM282" s="131">
        <v>0</v>
      </c>
      <c r="AN282" s="131">
        <v>0</v>
      </c>
      <c r="AO282" s="131">
        <v>0</v>
      </c>
      <c r="AP282" s="131">
        <v>0</v>
      </c>
      <c r="AQ282" s="131">
        <v>0</v>
      </c>
      <c r="AR282" s="131">
        <v>0</v>
      </c>
      <c r="AS282" t="s">
        <v>1709</v>
      </c>
    </row>
    <row r="283" spans="1:45" x14ac:dyDescent="0.25">
      <c r="A283">
        <v>2019</v>
      </c>
      <c r="B283">
        <v>318</v>
      </c>
      <c r="C283">
        <v>1020403040101</v>
      </c>
      <c r="D283" t="s">
        <v>226</v>
      </c>
      <c r="E283" t="s">
        <v>3046</v>
      </c>
      <c r="F283">
        <v>1020403040101</v>
      </c>
      <c r="G283" s="10" t="s">
        <v>2766</v>
      </c>
      <c r="H283" t="s">
        <v>2584</v>
      </c>
      <c r="I283" s="131">
        <v>0</v>
      </c>
      <c r="J283" s="131">
        <v>0</v>
      </c>
      <c r="K283" s="131">
        <v>180012439</v>
      </c>
      <c r="L283" s="131">
        <v>0</v>
      </c>
      <c r="M283" s="131">
        <v>180012439</v>
      </c>
      <c r="N283" s="131">
        <v>180012439</v>
      </c>
      <c r="O283" s="131">
        <v>0</v>
      </c>
      <c r="P283" s="131">
        <v>180012439</v>
      </c>
      <c r="Q283" s="131">
        <v>0</v>
      </c>
      <c r="R283" s="131">
        <v>0</v>
      </c>
      <c r="S283" s="131">
        <v>0</v>
      </c>
      <c r="T283" s="131">
        <v>0</v>
      </c>
      <c r="U283" s="131">
        <v>0</v>
      </c>
      <c r="V283" s="131">
        <v>0</v>
      </c>
      <c r="W283" s="131">
        <v>180012439</v>
      </c>
      <c r="X283" s="131">
        <v>0</v>
      </c>
      <c r="Y283" s="131">
        <v>180012439</v>
      </c>
      <c r="Z283" s="131">
        <v>0</v>
      </c>
      <c r="AA283" s="131">
        <v>0</v>
      </c>
      <c r="AB283" s="131">
        <v>0</v>
      </c>
      <c r="AC283" s="131">
        <v>0</v>
      </c>
      <c r="AD283" s="131">
        <v>0</v>
      </c>
      <c r="AE283" s="131">
        <v>0</v>
      </c>
      <c r="AF283" s="131">
        <v>180012439</v>
      </c>
      <c r="AG283" s="131">
        <v>0</v>
      </c>
      <c r="AH283" s="131">
        <v>180012439</v>
      </c>
      <c r="AI283" s="131">
        <v>180012439</v>
      </c>
      <c r="AJ283" s="131">
        <v>180012439</v>
      </c>
      <c r="AK283" s="131">
        <v>180012439</v>
      </c>
      <c r="AM283" s="131">
        <v>0</v>
      </c>
      <c r="AN283" s="131">
        <v>0</v>
      </c>
      <c r="AO283" s="131">
        <v>0</v>
      </c>
      <c r="AP283" s="131">
        <v>0</v>
      </c>
      <c r="AQ283" s="131">
        <v>0</v>
      </c>
      <c r="AR283" s="131">
        <v>0</v>
      </c>
      <c r="AS283" t="s">
        <v>1709</v>
      </c>
    </row>
    <row r="284" spans="1:45" ht="30" x14ac:dyDescent="0.25">
      <c r="A284">
        <v>2019</v>
      </c>
      <c r="B284">
        <v>318</v>
      </c>
      <c r="C284">
        <v>102040304010101</v>
      </c>
      <c r="D284" t="s">
        <v>226</v>
      </c>
      <c r="E284" t="s">
        <v>3047</v>
      </c>
      <c r="F284">
        <v>102040304010101</v>
      </c>
      <c r="G284" s="10" t="s">
        <v>2906</v>
      </c>
      <c r="H284" t="s">
        <v>2584</v>
      </c>
      <c r="I284" s="131">
        <v>0</v>
      </c>
      <c r="J284" s="131">
        <v>0</v>
      </c>
      <c r="K284" s="131">
        <v>180012439</v>
      </c>
      <c r="L284" s="131">
        <v>0</v>
      </c>
      <c r="M284" s="131">
        <v>180012439</v>
      </c>
      <c r="N284" s="131">
        <v>180012439</v>
      </c>
      <c r="O284" s="131">
        <v>0</v>
      </c>
      <c r="P284" s="131">
        <v>180012439</v>
      </c>
      <c r="Q284" s="131">
        <v>0</v>
      </c>
      <c r="R284" s="131">
        <v>0</v>
      </c>
      <c r="S284" s="131">
        <v>0</v>
      </c>
      <c r="T284" s="131">
        <v>0</v>
      </c>
      <c r="U284" s="131">
        <v>0</v>
      </c>
      <c r="V284" s="131">
        <v>0</v>
      </c>
      <c r="W284" s="131">
        <v>180012439</v>
      </c>
      <c r="X284" s="131">
        <v>0</v>
      </c>
      <c r="Y284" s="131">
        <v>180012439</v>
      </c>
      <c r="Z284" s="131">
        <v>0</v>
      </c>
      <c r="AA284" s="131">
        <v>0</v>
      </c>
      <c r="AB284" s="131">
        <v>0</v>
      </c>
      <c r="AC284" s="131">
        <v>0</v>
      </c>
      <c r="AD284" s="131">
        <v>0</v>
      </c>
      <c r="AE284" s="131">
        <v>0</v>
      </c>
      <c r="AF284" s="131">
        <v>180012439</v>
      </c>
      <c r="AG284" s="131">
        <v>0</v>
      </c>
      <c r="AH284" s="131">
        <v>180012439</v>
      </c>
      <c r="AI284" s="131">
        <v>180012439</v>
      </c>
      <c r="AJ284" s="131">
        <v>180012439</v>
      </c>
      <c r="AK284" s="131">
        <v>180012439</v>
      </c>
      <c r="AM284" s="131">
        <v>0</v>
      </c>
      <c r="AN284" s="131">
        <v>0</v>
      </c>
      <c r="AO284" s="131">
        <v>0</v>
      </c>
      <c r="AP284" s="131">
        <v>0</v>
      </c>
      <c r="AQ284" s="131">
        <v>0</v>
      </c>
      <c r="AR284" s="131">
        <v>0</v>
      </c>
      <c r="AS284" t="s">
        <v>1709</v>
      </c>
    </row>
    <row r="285" spans="1:45" ht="30" x14ac:dyDescent="0.25">
      <c r="A285">
        <v>2019</v>
      </c>
      <c r="B285">
        <v>318</v>
      </c>
      <c r="C285">
        <v>1.02040304010101E+16</v>
      </c>
      <c r="D285">
        <v>148</v>
      </c>
      <c r="E285" t="s">
        <v>3048</v>
      </c>
      <c r="F285">
        <v>1.02040304010101E+16</v>
      </c>
      <c r="G285" s="10" t="s">
        <v>2916</v>
      </c>
      <c r="H285" t="s">
        <v>2584</v>
      </c>
      <c r="I285" s="131">
        <v>0</v>
      </c>
      <c r="J285" s="131">
        <v>0</v>
      </c>
      <c r="K285" s="131">
        <v>180012439</v>
      </c>
      <c r="L285" s="131">
        <v>0</v>
      </c>
      <c r="M285" s="131">
        <v>180012439</v>
      </c>
      <c r="N285" s="131">
        <v>180012439</v>
      </c>
      <c r="O285" s="131">
        <v>0</v>
      </c>
      <c r="P285" s="131">
        <v>180012439</v>
      </c>
      <c r="Q285" s="131">
        <v>0</v>
      </c>
      <c r="R285" s="131">
        <v>0</v>
      </c>
      <c r="S285" s="131">
        <v>0</v>
      </c>
      <c r="T285" s="131">
        <v>0</v>
      </c>
      <c r="U285" s="131">
        <v>0</v>
      </c>
      <c r="V285" s="131">
        <v>0</v>
      </c>
      <c r="W285" s="131">
        <v>180012439</v>
      </c>
      <c r="X285" s="131">
        <v>0</v>
      </c>
      <c r="Y285" s="131">
        <v>180012439</v>
      </c>
      <c r="Z285" s="131">
        <v>0</v>
      </c>
      <c r="AA285" s="131">
        <v>0</v>
      </c>
      <c r="AB285" s="131">
        <v>0</v>
      </c>
      <c r="AC285" s="131">
        <v>0</v>
      </c>
      <c r="AD285" s="131">
        <v>0</v>
      </c>
      <c r="AE285" s="131">
        <v>0</v>
      </c>
      <c r="AF285" s="131">
        <v>180012439</v>
      </c>
      <c r="AG285" s="131">
        <v>0</v>
      </c>
      <c r="AH285" s="131">
        <v>180012439</v>
      </c>
      <c r="AI285" s="131">
        <v>180012439</v>
      </c>
      <c r="AJ285" s="131">
        <v>180012439</v>
      </c>
      <c r="AK285" s="131">
        <v>180012439</v>
      </c>
      <c r="AM285" s="131">
        <v>0</v>
      </c>
      <c r="AN285" s="131">
        <v>0</v>
      </c>
      <c r="AO285" s="131">
        <v>0</v>
      </c>
      <c r="AP285" s="131">
        <v>0</v>
      </c>
      <c r="AQ285" s="131">
        <v>0</v>
      </c>
      <c r="AR285" s="131">
        <v>0</v>
      </c>
      <c r="AS285" t="s">
        <v>2917</v>
      </c>
    </row>
    <row r="286" spans="1:45" ht="30" x14ac:dyDescent="0.25">
      <c r="A286">
        <v>2019</v>
      </c>
      <c r="B286">
        <v>318</v>
      </c>
      <c r="C286">
        <v>10204030402</v>
      </c>
      <c r="D286" t="s">
        <v>226</v>
      </c>
      <c r="E286" t="s">
        <v>3049</v>
      </c>
      <c r="F286">
        <v>10204030402</v>
      </c>
      <c r="G286" s="10" t="s">
        <v>1162</v>
      </c>
      <c r="H286" t="s">
        <v>2584</v>
      </c>
      <c r="I286" s="131">
        <v>78204383</v>
      </c>
      <c r="J286" s="131">
        <v>78204383</v>
      </c>
      <c r="K286" s="131">
        <v>0</v>
      </c>
      <c r="L286" s="131">
        <v>0</v>
      </c>
      <c r="M286" s="131">
        <v>0</v>
      </c>
      <c r="N286" s="131">
        <v>0</v>
      </c>
      <c r="O286" s="131">
        <v>0</v>
      </c>
      <c r="P286" s="131">
        <v>78204383</v>
      </c>
      <c r="Q286" s="131">
        <v>0</v>
      </c>
      <c r="R286" s="131">
        <v>0</v>
      </c>
      <c r="S286" s="131">
        <v>0</v>
      </c>
      <c r="T286" s="131">
        <v>0</v>
      </c>
      <c r="U286" s="131">
        <v>0</v>
      </c>
      <c r="V286" s="131">
        <v>0</v>
      </c>
      <c r="W286" s="131">
        <v>229690701.78</v>
      </c>
      <c r="X286" s="131">
        <v>20304834.719999999</v>
      </c>
      <c r="Y286" s="131">
        <v>209385867.06</v>
      </c>
      <c r="Z286" s="131">
        <v>0</v>
      </c>
      <c r="AA286" s="131">
        <v>0</v>
      </c>
      <c r="AB286" s="131">
        <v>0</v>
      </c>
      <c r="AC286" s="131">
        <v>0</v>
      </c>
      <c r="AD286" s="131">
        <v>0</v>
      </c>
      <c r="AE286" s="131">
        <v>0</v>
      </c>
      <c r="AF286" s="131">
        <v>229690701.78</v>
      </c>
      <c r="AG286" s="131">
        <v>20304834.719999999</v>
      </c>
      <c r="AH286" s="131">
        <v>209385867.06</v>
      </c>
      <c r="AI286" s="131">
        <v>209385867.06</v>
      </c>
      <c r="AJ286" s="131">
        <v>194560192.09999999</v>
      </c>
      <c r="AK286" s="131">
        <v>194560192.09999999</v>
      </c>
      <c r="AM286" s="131">
        <v>14825674.960000001</v>
      </c>
      <c r="AN286" s="131">
        <v>14825674.960000001</v>
      </c>
      <c r="AO286" s="131">
        <v>0</v>
      </c>
      <c r="AP286" s="131">
        <v>14825674.960000001</v>
      </c>
      <c r="AQ286" s="131">
        <v>0</v>
      </c>
      <c r="AR286" s="131">
        <v>0</v>
      </c>
      <c r="AS286" t="s">
        <v>1709</v>
      </c>
    </row>
    <row r="287" spans="1:45" x14ac:dyDescent="0.25">
      <c r="A287">
        <v>2019</v>
      </c>
      <c r="B287">
        <v>318</v>
      </c>
      <c r="C287">
        <v>1020403040202</v>
      </c>
      <c r="D287">
        <v>154</v>
      </c>
      <c r="E287" t="s">
        <v>3050</v>
      </c>
      <c r="F287">
        <v>1020403040202</v>
      </c>
      <c r="G287" s="10" t="s">
        <v>854</v>
      </c>
      <c r="H287" t="s">
        <v>2584</v>
      </c>
      <c r="I287" s="131">
        <v>9349475</v>
      </c>
      <c r="J287" s="131">
        <v>9349475</v>
      </c>
      <c r="K287" s="131">
        <v>0</v>
      </c>
      <c r="L287" s="131">
        <v>0</v>
      </c>
      <c r="M287" s="131">
        <v>0</v>
      </c>
      <c r="N287" s="131">
        <v>0</v>
      </c>
      <c r="O287" s="131">
        <v>0</v>
      </c>
      <c r="P287" s="131">
        <v>9349475</v>
      </c>
      <c r="Q287" s="131">
        <v>0</v>
      </c>
      <c r="R287" s="131">
        <v>0</v>
      </c>
      <c r="S287" s="131">
        <v>0</v>
      </c>
      <c r="T287" s="131">
        <v>0</v>
      </c>
      <c r="U287" s="131">
        <v>0</v>
      </c>
      <c r="V287" s="131">
        <v>0</v>
      </c>
      <c r="W287" s="131">
        <v>65797089.009999998</v>
      </c>
      <c r="X287" s="131">
        <v>12644161.68</v>
      </c>
      <c r="Y287" s="131">
        <v>53152927.329999998</v>
      </c>
      <c r="Z287" s="131">
        <v>0</v>
      </c>
      <c r="AA287" s="131">
        <v>0</v>
      </c>
      <c r="AB287" s="131">
        <v>0</v>
      </c>
      <c r="AC287" s="131">
        <v>0</v>
      </c>
      <c r="AD287" s="131">
        <v>0</v>
      </c>
      <c r="AE287" s="131">
        <v>0</v>
      </c>
      <c r="AF287" s="131">
        <v>65797089.009999998</v>
      </c>
      <c r="AG287" s="131">
        <v>12644161.68</v>
      </c>
      <c r="AH287" s="131">
        <v>53152927.329999998</v>
      </c>
      <c r="AI287" s="131">
        <v>53152927.329999998</v>
      </c>
      <c r="AJ287" s="131">
        <v>40734156.090000004</v>
      </c>
      <c r="AK287" s="131">
        <v>40734156.090000004</v>
      </c>
      <c r="AM287" s="131">
        <v>12418771.24</v>
      </c>
      <c r="AN287" s="131">
        <v>12418771.24</v>
      </c>
      <c r="AO287" s="131">
        <v>0</v>
      </c>
      <c r="AP287" s="131">
        <v>12418771.24</v>
      </c>
      <c r="AQ287" s="131">
        <v>0</v>
      </c>
      <c r="AR287" s="131">
        <v>0</v>
      </c>
      <c r="AS287" t="s">
        <v>74</v>
      </c>
    </row>
    <row r="288" spans="1:45" ht="30" x14ac:dyDescent="0.25">
      <c r="A288">
        <v>2019</v>
      </c>
      <c r="B288">
        <v>318</v>
      </c>
      <c r="C288">
        <v>1020403040203</v>
      </c>
      <c r="D288">
        <v>154</v>
      </c>
      <c r="E288" t="s">
        <v>3051</v>
      </c>
      <c r="F288">
        <v>1020403040203</v>
      </c>
      <c r="G288" s="10" t="s">
        <v>3052</v>
      </c>
      <c r="H288" t="s">
        <v>2584</v>
      </c>
      <c r="I288" s="131">
        <v>18321678</v>
      </c>
      <c r="J288" s="131">
        <v>18321678</v>
      </c>
      <c r="K288" s="131">
        <v>0</v>
      </c>
      <c r="L288" s="131">
        <v>0</v>
      </c>
      <c r="M288" s="131">
        <v>0</v>
      </c>
      <c r="N288" s="131">
        <v>0</v>
      </c>
      <c r="O288" s="131">
        <v>0</v>
      </c>
      <c r="P288" s="131">
        <v>18321678</v>
      </c>
      <c r="Q288" s="131">
        <v>0</v>
      </c>
      <c r="R288" s="131">
        <v>0</v>
      </c>
      <c r="S288" s="131">
        <v>0</v>
      </c>
      <c r="T288" s="131">
        <v>0</v>
      </c>
      <c r="U288" s="131">
        <v>0</v>
      </c>
      <c r="V288" s="131">
        <v>0</v>
      </c>
      <c r="W288" s="131">
        <v>105430907.01000001</v>
      </c>
      <c r="X288" s="131">
        <v>3892164.76</v>
      </c>
      <c r="Y288" s="131">
        <v>101538742.25</v>
      </c>
      <c r="Z288" s="131">
        <v>0</v>
      </c>
      <c r="AA288" s="131">
        <v>0</v>
      </c>
      <c r="AB288" s="131">
        <v>0</v>
      </c>
      <c r="AC288" s="131">
        <v>0</v>
      </c>
      <c r="AD288" s="131">
        <v>0</v>
      </c>
      <c r="AE288" s="131">
        <v>0</v>
      </c>
      <c r="AF288" s="131">
        <v>105430907.01000001</v>
      </c>
      <c r="AG288" s="131">
        <v>3892164.76</v>
      </c>
      <c r="AH288" s="131">
        <v>101538742.25</v>
      </c>
      <c r="AI288" s="131">
        <v>101538742.25</v>
      </c>
      <c r="AJ288" s="131">
        <v>101538742.25</v>
      </c>
      <c r="AK288" s="131">
        <v>101538742.25</v>
      </c>
      <c r="AM288" s="131">
        <v>0</v>
      </c>
      <c r="AN288" s="131">
        <v>0</v>
      </c>
      <c r="AO288" s="131">
        <v>0</v>
      </c>
      <c r="AP288" s="131">
        <v>0</v>
      </c>
      <c r="AQ288" s="131">
        <v>0</v>
      </c>
      <c r="AR288" s="131">
        <v>0</v>
      </c>
      <c r="AS288" t="s">
        <v>74</v>
      </c>
    </row>
    <row r="289" spans="1:45" ht="30" x14ac:dyDescent="0.25">
      <c r="A289">
        <v>2019</v>
      </c>
      <c r="B289">
        <v>318</v>
      </c>
      <c r="C289">
        <v>1020403040204</v>
      </c>
      <c r="D289">
        <v>154</v>
      </c>
      <c r="E289" t="s">
        <v>3053</v>
      </c>
      <c r="F289">
        <v>1020403040204</v>
      </c>
      <c r="G289" s="10" t="s">
        <v>2936</v>
      </c>
      <c r="H289" t="s">
        <v>2584</v>
      </c>
      <c r="I289" s="131">
        <v>50533230</v>
      </c>
      <c r="J289" s="131">
        <v>50533230</v>
      </c>
      <c r="K289" s="131">
        <v>0</v>
      </c>
      <c r="L289" s="131">
        <v>0</v>
      </c>
      <c r="M289" s="131">
        <v>0</v>
      </c>
      <c r="N289" s="131">
        <v>0</v>
      </c>
      <c r="O289" s="131">
        <v>0</v>
      </c>
      <c r="P289" s="131">
        <v>50533230</v>
      </c>
      <c r="Q289" s="131">
        <v>0</v>
      </c>
      <c r="R289" s="131">
        <v>0</v>
      </c>
      <c r="S289" s="131">
        <v>0</v>
      </c>
      <c r="T289" s="131">
        <v>0</v>
      </c>
      <c r="U289" s="131">
        <v>0</v>
      </c>
      <c r="V289" s="131">
        <v>0</v>
      </c>
      <c r="W289" s="131">
        <v>58462705.759999998</v>
      </c>
      <c r="X289" s="131">
        <v>3768508.28</v>
      </c>
      <c r="Y289" s="131">
        <v>54694197.479999997</v>
      </c>
      <c r="Z289" s="131">
        <v>0</v>
      </c>
      <c r="AA289" s="131">
        <v>0</v>
      </c>
      <c r="AB289" s="131">
        <v>0</v>
      </c>
      <c r="AC289" s="131">
        <v>0</v>
      </c>
      <c r="AD289" s="131">
        <v>0</v>
      </c>
      <c r="AE289" s="131">
        <v>0</v>
      </c>
      <c r="AF289" s="131">
        <v>58462705.759999998</v>
      </c>
      <c r="AG289" s="131">
        <v>3768508.28</v>
      </c>
      <c r="AH289" s="131">
        <v>54694197.479999997</v>
      </c>
      <c r="AI289" s="131">
        <v>54694197.479999997</v>
      </c>
      <c r="AJ289" s="131">
        <v>52287293.759999998</v>
      </c>
      <c r="AK289" s="131">
        <v>52287293.759999998</v>
      </c>
      <c r="AM289" s="131">
        <v>2406903.7200000002</v>
      </c>
      <c r="AN289" s="131">
        <v>2406903.7200000002</v>
      </c>
      <c r="AO289" s="131">
        <v>0</v>
      </c>
      <c r="AP289" s="131">
        <v>2406903.7200000002</v>
      </c>
      <c r="AQ289" s="131">
        <v>0</v>
      </c>
      <c r="AR289" s="131">
        <v>0</v>
      </c>
      <c r="AS289" t="s">
        <v>74</v>
      </c>
    </row>
    <row r="290" spans="1:45" x14ac:dyDescent="0.25">
      <c r="A290">
        <v>2019</v>
      </c>
      <c r="B290">
        <v>318</v>
      </c>
      <c r="C290">
        <v>102040306</v>
      </c>
      <c r="D290" t="s">
        <v>226</v>
      </c>
      <c r="E290" t="s">
        <v>3054</v>
      </c>
      <c r="F290">
        <v>102040306</v>
      </c>
      <c r="G290" s="10" t="s">
        <v>3055</v>
      </c>
      <c r="H290" t="s">
        <v>2584</v>
      </c>
      <c r="I290" s="131">
        <v>0</v>
      </c>
      <c r="J290" s="131">
        <v>0</v>
      </c>
      <c r="K290" s="131">
        <v>314128486</v>
      </c>
      <c r="L290" s="131">
        <v>0</v>
      </c>
      <c r="M290" s="131">
        <v>314128486</v>
      </c>
      <c r="N290" s="131">
        <v>314128486</v>
      </c>
      <c r="O290" s="131">
        <v>0</v>
      </c>
      <c r="P290" s="131">
        <v>314128486</v>
      </c>
      <c r="Q290" s="131">
        <v>0</v>
      </c>
      <c r="R290" s="131">
        <v>0</v>
      </c>
      <c r="S290" s="131">
        <v>0</v>
      </c>
      <c r="T290" s="131">
        <v>0</v>
      </c>
      <c r="U290" s="131">
        <v>0</v>
      </c>
      <c r="V290" s="131">
        <v>0</v>
      </c>
      <c r="W290" s="131">
        <v>909016568</v>
      </c>
      <c r="X290" s="131">
        <v>197532635</v>
      </c>
      <c r="Y290" s="131">
        <v>711483933</v>
      </c>
      <c r="Z290" s="131">
        <v>0</v>
      </c>
      <c r="AA290" s="131">
        <v>0</v>
      </c>
      <c r="AB290" s="131">
        <v>0</v>
      </c>
      <c r="AC290" s="131">
        <v>0</v>
      </c>
      <c r="AD290" s="131">
        <v>0</v>
      </c>
      <c r="AE290" s="131">
        <v>0</v>
      </c>
      <c r="AF290" s="131">
        <v>909016568</v>
      </c>
      <c r="AG290" s="131">
        <v>197532635</v>
      </c>
      <c r="AH290" s="131">
        <v>711483933</v>
      </c>
      <c r="AI290" s="131">
        <v>711483933</v>
      </c>
      <c r="AJ290" s="131">
        <v>711483933</v>
      </c>
      <c r="AK290" s="131">
        <v>711483933</v>
      </c>
      <c r="AM290" s="131">
        <v>0</v>
      </c>
      <c r="AN290" s="131">
        <v>0</v>
      </c>
      <c r="AO290" s="131">
        <v>0</v>
      </c>
      <c r="AP290" s="131">
        <v>0</v>
      </c>
      <c r="AQ290" s="131">
        <v>0</v>
      </c>
      <c r="AR290" s="131">
        <v>0</v>
      </c>
      <c r="AS290" t="s">
        <v>1709</v>
      </c>
    </row>
    <row r="291" spans="1:45" ht="30" x14ac:dyDescent="0.25">
      <c r="A291">
        <v>2019</v>
      </c>
      <c r="B291">
        <v>318</v>
      </c>
      <c r="C291">
        <v>10204030601</v>
      </c>
      <c r="D291">
        <v>154</v>
      </c>
      <c r="E291" t="s">
        <v>3056</v>
      </c>
      <c r="F291">
        <v>10204030601</v>
      </c>
      <c r="G291" s="10" t="s">
        <v>3057</v>
      </c>
      <c r="H291" t="s">
        <v>2584</v>
      </c>
      <c r="I291" s="131">
        <v>0</v>
      </c>
      <c r="J291" s="131">
        <v>0</v>
      </c>
      <c r="K291" s="131">
        <v>314128486</v>
      </c>
      <c r="L291" s="131">
        <v>0</v>
      </c>
      <c r="M291" s="131">
        <v>314128486</v>
      </c>
      <c r="N291" s="131">
        <v>314128486</v>
      </c>
      <c r="O291" s="131">
        <v>0</v>
      </c>
      <c r="P291" s="131">
        <v>314128486</v>
      </c>
      <c r="Q291" s="131">
        <v>0</v>
      </c>
      <c r="R291" s="131">
        <v>0</v>
      </c>
      <c r="S291" s="131">
        <v>0</v>
      </c>
      <c r="T291" s="131">
        <v>0</v>
      </c>
      <c r="U291" s="131">
        <v>0</v>
      </c>
      <c r="V291" s="131">
        <v>0</v>
      </c>
      <c r="W291" s="131">
        <v>909016568</v>
      </c>
      <c r="X291" s="131">
        <v>197532635</v>
      </c>
      <c r="Y291" s="131">
        <v>711483933</v>
      </c>
      <c r="Z291" s="131">
        <v>0</v>
      </c>
      <c r="AA291" s="131">
        <v>0</v>
      </c>
      <c r="AB291" s="131">
        <v>0</v>
      </c>
      <c r="AC291" s="131">
        <v>0</v>
      </c>
      <c r="AD291" s="131">
        <v>0</v>
      </c>
      <c r="AE291" s="131">
        <v>0</v>
      </c>
      <c r="AF291" s="131">
        <v>909016568</v>
      </c>
      <c r="AG291" s="131">
        <v>197532635</v>
      </c>
      <c r="AH291" s="131">
        <v>711483933</v>
      </c>
      <c r="AI291" s="131">
        <v>711483933</v>
      </c>
      <c r="AJ291" s="131">
        <v>711483933</v>
      </c>
      <c r="AK291" s="131">
        <v>711483933</v>
      </c>
      <c r="AM291" s="131">
        <v>0</v>
      </c>
      <c r="AN291" s="131">
        <v>0</v>
      </c>
      <c r="AO291" s="131">
        <v>0</v>
      </c>
      <c r="AP291" s="131">
        <v>0</v>
      </c>
      <c r="AQ291" s="131">
        <v>0</v>
      </c>
      <c r="AR291" s="131">
        <v>0</v>
      </c>
      <c r="AS291" t="s">
        <v>74</v>
      </c>
    </row>
    <row r="292" spans="1:45" ht="30" x14ac:dyDescent="0.25">
      <c r="A292">
        <v>2019</v>
      </c>
      <c r="B292">
        <v>318</v>
      </c>
      <c r="C292">
        <v>1020404</v>
      </c>
      <c r="D292" t="s">
        <v>226</v>
      </c>
      <c r="E292" t="s">
        <v>2596</v>
      </c>
      <c r="F292">
        <v>1020404</v>
      </c>
      <c r="G292" s="10" t="s">
        <v>2597</v>
      </c>
      <c r="H292" t="s">
        <v>2584</v>
      </c>
      <c r="I292" s="131">
        <v>6104395257</v>
      </c>
      <c r="J292" s="131">
        <v>6104395257</v>
      </c>
      <c r="K292" s="131">
        <v>1278026806</v>
      </c>
      <c r="L292" s="131">
        <v>0</v>
      </c>
      <c r="M292" s="131">
        <v>1278026806</v>
      </c>
      <c r="N292" s="131">
        <v>1278026806</v>
      </c>
      <c r="O292" s="131">
        <v>0</v>
      </c>
      <c r="P292" s="131">
        <v>7382422063</v>
      </c>
      <c r="Q292" s="131">
        <v>0</v>
      </c>
      <c r="R292" s="131">
        <v>0</v>
      </c>
      <c r="S292" s="131">
        <v>0</v>
      </c>
      <c r="T292" s="131">
        <v>0</v>
      </c>
      <c r="U292" s="131">
        <v>0</v>
      </c>
      <c r="V292" s="131">
        <v>0</v>
      </c>
      <c r="W292" s="131">
        <v>8214087209.6300001</v>
      </c>
      <c r="X292" s="131">
        <v>128452606.75</v>
      </c>
      <c r="Y292" s="131">
        <v>8085634602.8800001</v>
      </c>
      <c r="Z292" s="131">
        <v>0</v>
      </c>
      <c r="AA292" s="131">
        <v>0</v>
      </c>
      <c r="AB292" s="131">
        <v>0</v>
      </c>
      <c r="AC292" s="131">
        <v>0</v>
      </c>
      <c r="AD292" s="131">
        <v>0</v>
      </c>
      <c r="AE292" s="131">
        <v>0</v>
      </c>
      <c r="AF292" s="131">
        <v>8214087209.6300001</v>
      </c>
      <c r="AG292" s="131">
        <v>128452606.75</v>
      </c>
      <c r="AH292" s="131">
        <v>8085634602.8800001</v>
      </c>
      <c r="AI292" s="131">
        <v>8085634602.8800001</v>
      </c>
      <c r="AJ292" s="131">
        <v>1845317541</v>
      </c>
      <c r="AK292" s="131">
        <v>1845317541</v>
      </c>
      <c r="AM292" s="131">
        <v>6242957426.8800001</v>
      </c>
      <c r="AN292" s="131">
        <v>6306250073.6300001</v>
      </c>
      <c r="AO292" s="131">
        <v>63292646.75</v>
      </c>
      <c r="AP292" s="131">
        <v>6306250073.6300001</v>
      </c>
      <c r="AQ292" s="131">
        <v>0</v>
      </c>
      <c r="AR292" s="131">
        <v>63292646.75</v>
      </c>
      <c r="AS292" t="s">
        <v>1709</v>
      </c>
    </row>
    <row r="293" spans="1:45" x14ac:dyDescent="0.25">
      <c r="A293">
        <v>2019</v>
      </c>
      <c r="B293">
        <v>318</v>
      </c>
      <c r="C293">
        <v>102040401</v>
      </c>
      <c r="D293" t="s">
        <v>226</v>
      </c>
      <c r="E293" t="s">
        <v>2598</v>
      </c>
      <c r="F293">
        <v>102040401</v>
      </c>
      <c r="G293" s="10" t="s">
        <v>2590</v>
      </c>
      <c r="H293" t="s">
        <v>2584</v>
      </c>
      <c r="I293" s="131">
        <v>3114728803</v>
      </c>
      <c r="J293" s="131">
        <v>3114728803</v>
      </c>
      <c r="K293" s="131">
        <v>51097303</v>
      </c>
      <c r="L293" s="131">
        <v>0</v>
      </c>
      <c r="M293" s="131">
        <v>51097303</v>
      </c>
      <c r="N293" s="131">
        <v>51097303</v>
      </c>
      <c r="O293" s="131">
        <v>0</v>
      </c>
      <c r="P293" s="131">
        <v>3165826106</v>
      </c>
      <c r="Q293" s="131">
        <v>0</v>
      </c>
      <c r="R293" s="131">
        <v>0</v>
      </c>
      <c r="S293" s="131">
        <v>0</v>
      </c>
      <c r="T293" s="131">
        <v>0</v>
      </c>
      <c r="U293" s="131">
        <v>0</v>
      </c>
      <c r="V293" s="131">
        <v>0</v>
      </c>
      <c r="W293" s="131">
        <v>3402845330.75</v>
      </c>
      <c r="X293" s="131">
        <v>59127849.75</v>
      </c>
      <c r="Y293" s="131">
        <v>3343717481</v>
      </c>
      <c r="Z293" s="131">
        <v>0</v>
      </c>
      <c r="AA293" s="131">
        <v>0</v>
      </c>
      <c r="AB293" s="131">
        <v>0</v>
      </c>
      <c r="AC293" s="131">
        <v>0</v>
      </c>
      <c r="AD293" s="131">
        <v>0</v>
      </c>
      <c r="AE293" s="131">
        <v>0</v>
      </c>
      <c r="AF293" s="131">
        <v>3402845330.75</v>
      </c>
      <c r="AG293" s="131">
        <v>59127849.75</v>
      </c>
      <c r="AH293" s="131">
        <v>3343717481</v>
      </c>
      <c r="AI293" s="131">
        <v>3343717481</v>
      </c>
      <c r="AJ293" s="131">
        <v>0</v>
      </c>
      <c r="AK293" s="131">
        <v>0</v>
      </c>
      <c r="AM293" s="131">
        <v>3343717481</v>
      </c>
      <c r="AN293" s="131">
        <v>3402845330.75</v>
      </c>
      <c r="AO293" s="131">
        <v>59127849.75</v>
      </c>
      <c r="AP293" s="131">
        <v>3402845330.75</v>
      </c>
      <c r="AQ293" s="131">
        <v>0</v>
      </c>
      <c r="AR293" s="131">
        <v>59127849.75</v>
      </c>
      <c r="AS293" t="s">
        <v>1709</v>
      </c>
    </row>
    <row r="294" spans="1:45" ht="30" x14ac:dyDescent="0.25">
      <c r="A294">
        <v>2019</v>
      </c>
      <c r="B294">
        <v>318</v>
      </c>
      <c r="C294">
        <v>10204040101</v>
      </c>
      <c r="D294">
        <v>72</v>
      </c>
      <c r="E294" t="s">
        <v>3058</v>
      </c>
      <c r="F294">
        <v>10204040101</v>
      </c>
      <c r="G294" s="10" t="s">
        <v>3059</v>
      </c>
      <c r="H294" t="s">
        <v>2584</v>
      </c>
      <c r="I294" s="131">
        <v>807417947</v>
      </c>
      <c r="J294" s="131">
        <v>807417947</v>
      </c>
      <c r="K294" s="131">
        <v>0</v>
      </c>
      <c r="L294" s="131">
        <v>0</v>
      </c>
      <c r="M294" s="131">
        <v>0</v>
      </c>
      <c r="N294" s="131">
        <v>0</v>
      </c>
      <c r="O294" s="131">
        <v>0</v>
      </c>
      <c r="P294" s="131">
        <v>807417947</v>
      </c>
      <c r="Q294" s="131">
        <v>0</v>
      </c>
      <c r="R294" s="131">
        <v>0</v>
      </c>
      <c r="S294" s="131">
        <v>0</v>
      </c>
      <c r="T294" s="131">
        <v>0</v>
      </c>
      <c r="U294" s="131">
        <v>0</v>
      </c>
      <c r="V294" s="131">
        <v>0</v>
      </c>
      <c r="W294" s="131">
        <v>837962821</v>
      </c>
      <c r="X294" s="131">
        <v>47836250</v>
      </c>
      <c r="Y294" s="131">
        <v>790126571</v>
      </c>
      <c r="Z294" s="131">
        <v>0</v>
      </c>
      <c r="AA294" s="131">
        <v>0</v>
      </c>
      <c r="AB294" s="131">
        <v>0</v>
      </c>
      <c r="AC294" s="131">
        <v>0</v>
      </c>
      <c r="AD294" s="131">
        <v>0</v>
      </c>
      <c r="AE294" s="131">
        <v>0</v>
      </c>
      <c r="AF294" s="131">
        <v>837962821</v>
      </c>
      <c r="AG294" s="131">
        <v>47836250</v>
      </c>
      <c r="AH294" s="131">
        <v>790126571</v>
      </c>
      <c r="AI294" s="131">
        <v>790126571</v>
      </c>
      <c r="AJ294" s="131">
        <v>0</v>
      </c>
      <c r="AK294" s="131">
        <v>0</v>
      </c>
      <c r="AM294" s="131">
        <v>790126571</v>
      </c>
      <c r="AN294" s="131">
        <v>837962821</v>
      </c>
      <c r="AO294" s="131">
        <v>47836250</v>
      </c>
      <c r="AP294" s="131">
        <v>837962821</v>
      </c>
      <c r="AQ294" s="131">
        <v>0</v>
      </c>
      <c r="AR294" s="131">
        <v>47836250</v>
      </c>
      <c r="AS294" t="s">
        <v>187</v>
      </c>
    </row>
    <row r="295" spans="1:45" ht="30" x14ac:dyDescent="0.25">
      <c r="A295">
        <v>2019</v>
      </c>
      <c r="B295">
        <v>318</v>
      </c>
      <c r="C295">
        <v>10204040102</v>
      </c>
      <c r="D295">
        <v>72</v>
      </c>
      <c r="E295" t="s">
        <v>3060</v>
      </c>
      <c r="F295">
        <v>10204040102</v>
      </c>
      <c r="G295" s="10" t="s">
        <v>3061</v>
      </c>
      <c r="H295" t="s">
        <v>2584</v>
      </c>
      <c r="I295" s="131">
        <v>32362037</v>
      </c>
      <c r="J295" s="131">
        <v>32362037</v>
      </c>
      <c r="K295" s="131">
        <v>0</v>
      </c>
      <c r="L295" s="131">
        <v>0</v>
      </c>
      <c r="M295" s="131">
        <v>0</v>
      </c>
      <c r="N295" s="131">
        <v>0</v>
      </c>
      <c r="O295" s="131">
        <v>0</v>
      </c>
      <c r="P295" s="131">
        <v>32362037</v>
      </c>
      <c r="Q295" s="131">
        <v>0</v>
      </c>
      <c r="R295" s="131">
        <v>0</v>
      </c>
      <c r="S295" s="131">
        <v>0</v>
      </c>
      <c r="T295" s="131">
        <v>0</v>
      </c>
      <c r="U295" s="131">
        <v>0</v>
      </c>
      <c r="V295" s="131">
        <v>0</v>
      </c>
      <c r="W295" s="131">
        <v>38827507</v>
      </c>
      <c r="X295" s="131">
        <v>1777750</v>
      </c>
      <c r="Y295" s="131">
        <v>37049757</v>
      </c>
      <c r="Z295" s="131">
        <v>0</v>
      </c>
      <c r="AA295" s="131">
        <v>0</v>
      </c>
      <c r="AB295" s="131">
        <v>0</v>
      </c>
      <c r="AC295" s="131">
        <v>0</v>
      </c>
      <c r="AD295" s="131">
        <v>0</v>
      </c>
      <c r="AE295" s="131">
        <v>0</v>
      </c>
      <c r="AF295" s="131">
        <v>38827507</v>
      </c>
      <c r="AG295" s="131">
        <v>1777750</v>
      </c>
      <c r="AH295" s="131">
        <v>37049757</v>
      </c>
      <c r="AI295" s="131">
        <v>37049757</v>
      </c>
      <c r="AJ295" s="131">
        <v>0</v>
      </c>
      <c r="AK295" s="131">
        <v>0</v>
      </c>
      <c r="AM295" s="131">
        <v>37049757</v>
      </c>
      <c r="AN295" s="131">
        <v>38827507</v>
      </c>
      <c r="AO295" s="131">
        <v>1777750</v>
      </c>
      <c r="AP295" s="131">
        <v>38827507</v>
      </c>
      <c r="AQ295" s="131">
        <v>0</v>
      </c>
      <c r="AR295" s="131">
        <v>1777750</v>
      </c>
      <c r="AS295" t="s">
        <v>187</v>
      </c>
    </row>
    <row r="296" spans="1:45" ht="30" x14ac:dyDescent="0.25">
      <c r="A296">
        <v>2019</v>
      </c>
      <c r="B296">
        <v>318</v>
      </c>
      <c r="C296">
        <v>10204040103</v>
      </c>
      <c r="D296">
        <v>72</v>
      </c>
      <c r="E296" t="s">
        <v>2599</v>
      </c>
      <c r="F296">
        <v>10204040103</v>
      </c>
      <c r="G296" s="10" t="s">
        <v>833</v>
      </c>
      <c r="H296" t="s">
        <v>2584</v>
      </c>
      <c r="I296" s="131">
        <v>1662686826</v>
      </c>
      <c r="J296" s="131">
        <v>1662686826</v>
      </c>
      <c r="K296" s="131">
        <v>0</v>
      </c>
      <c r="L296" s="131">
        <v>0</v>
      </c>
      <c r="M296" s="131">
        <v>0</v>
      </c>
      <c r="N296" s="131">
        <v>0</v>
      </c>
      <c r="O296" s="131">
        <v>0</v>
      </c>
      <c r="P296" s="131">
        <v>1662686826</v>
      </c>
      <c r="Q296" s="131">
        <v>0</v>
      </c>
      <c r="R296" s="131">
        <v>0</v>
      </c>
      <c r="S296" s="131">
        <v>0</v>
      </c>
      <c r="T296" s="131">
        <v>0</v>
      </c>
      <c r="U296" s="131">
        <v>0</v>
      </c>
      <c r="V296" s="131">
        <v>0</v>
      </c>
      <c r="W296" s="131">
        <v>1759445391.72</v>
      </c>
      <c r="X296" s="131">
        <v>7943261</v>
      </c>
      <c r="Y296" s="131">
        <v>1751502130.72</v>
      </c>
      <c r="AB296" s="131">
        <v>0</v>
      </c>
      <c r="AC296" s="131">
        <v>0</v>
      </c>
      <c r="AD296" s="131">
        <v>0</v>
      </c>
      <c r="AE296" s="131">
        <v>0</v>
      </c>
      <c r="AF296" s="131">
        <v>1759445391.72</v>
      </c>
      <c r="AG296" s="131">
        <v>7943261</v>
      </c>
      <c r="AH296" s="131">
        <v>1751502130.72</v>
      </c>
      <c r="AI296" s="131">
        <v>1751502130.72</v>
      </c>
      <c r="AJ296" s="131">
        <v>0</v>
      </c>
      <c r="AK296" s="131">
        <v>0</v>
      </c>
      <c r="AM296" s="131">
        <v>1751502130.72</v>
      </c>
      <c r="AN296" s="131">
        <v>1759445391.72</v>
      </c>
      <c r="AO296" s="131">
        <v>7943261</v>
      </c>
      <c r="AP296" s="131">
        <v>1759445391.72</v>
      </c>
      <c r="AQ296" s="131">
        <v>0</v>
      </c>
      <c r="AR296" s="131">
        <v>7943261</v>
      </c>
      <c r="AS296" t="s">
        <v>187</v>
      </c>
    </row>
    <row r="297" spans="1:45" ht="45" x14ac:dyDescent="0.25">
      <c r="A297">
        <v>2019</v>
      </c>
      <c r="B297">
        <v>318</v>
      </c>
      <c r="C297">
        <v>10204040104</v>
      </c>
      <c r="D297">
        <v>72</v>
      </c>
      <c r="E297" t="s">
        <v>3062</v>
      </c>
      <c r="F297">
        <v>10204040104</v>
      </c>
      <c r="G297" s="10" t="s">
        <v>3063</v>
      </c>
      <c r="H297" t="s">
        <v>2584</v>
      </c>
      <c r="I297" s="131">
        <v>123734325</v>
      </c>
      <c r="J297" s="131">
        <v>123734325</v>
      </c>
      <c r="K297" s="131">
        <v>0</v>
      </c>
      <c r="L297" s="131">
        <v>0</v>
      </c>
      <c r="M297" s="131">
        <v>0</v>
      </c>
      <c r="N297" s="131">
        <v>0</v>
      </c>
      <c r="O297" s="131">
        <v>0</v>
      </c>
      <c r="P297" s="131">
        <v>123734325</v>
      </c>
      <c r="Q297" s="131">
        <v>0</v>
      </c>
      <c r="R297" s="131">
        <v>0</v>
      </c>
      <c r="S297" s="131">
        <v>0</v>
      </c>
      <c r="T297" s="131">
        <v>0</v>
      </c>
      <c r="U297" s="131">
        <v>0</v>
      </c>
      <c r="V297" s="131">
        <v>0</v>
      </c>
      <c r="W297" s="131">
        <v>108728759.28</v>
      </c>
      <c r="X297" s="131">
        <v>1570588.75</v>
      </c>
      <c r="Y297" s="131">
        <v>107158170.53</v>
      </c>
      <c r="Z297" s="131">
        <v>0</v>
      </c>
      <c r="AB297" s="131">
        <v>0</v>
      </c>
      <c r="AC297" s="131">
        <v>0</v>
      </c>
      <c r="AD297" s="131">
        <v>0</v>
      </c>
      <c r="AE297" s="131">
        <v>0</v>
      </c>
      <c r="AF297" s="131">
        <v>108728759.28</v>
      </c>
      <c r="AG297" s="131">
        <v>1570588.75</v>
      </c>
      <c r="AH297" s="131">
        <v>107158170.53</v>
      </c>
      <c r="AI297" s="131">
        <v>107158170.53</v>
      </c>
      <c r="AJ297" s="131">
        <v>0</v>
      </c>
      <c r="AK297" s="131">
        <v>0</v>
      </c>
      <c r="AM297" s="131">
        <v>107158170.53</v>
      </c>
      <c r="AN297" s="131">
        <v>108728759.28</v>
      </c>
      <c r="AO297" s="131">
        <v>1570588.75</v>
      </c>
      <c r="AP297" s="131">
        <v>108728759.28</v>
      </c>
      <c r="AQ297" s="131">
        <v>0</v>
      </c>
      <c r="AR297" s="131">
        <v>1570588.75</v>
      </c>
      <c r="AS297" t="s">
        <v>187</v>
      </c>
    </row>
    <row r="298" spans="1:45" ht="45" x14ac:dyDescent="0.25">
      <c r="A298">
        <v>2019</v>
      </c>
      <c r="B298">
        <v>318</v>
      </c>
      <c r="C298">
        <v>10204040105</v>
      </c>
      <c r="D298">
        <v>72</v>
      </c>
      <c r="E298" t="s">
        <v>3064</v>
      </c>
      <c r="F298">
        <v>10204040105</v>
      </c>
      <c r="G298" s="10" t="s">
        <v>3065</v>
      </c>
      <c r="H298" t="s">
        <v>2584</v>
      </c>
      <c r="I298" s="131">
        <v>488527668</v>
      </c>
      <c r="J298" s="131">
        <v>488527668</v>
      </c>
      <c r="K298" s="131">
        <v>0</v>
      </c>
      <c r="L298" s="131">
        <v>0</v>
      </c>
      <c r="M298" s="131">
        <v>0</v>
      </c>
      <c r="N298" s="131">
        <v>0</v>
      </c>
      <c r="O298" s="131">
        <v>0</v>
      </c>
      <c r="P298" s="131">
        <v>488527668</v>
      </c>
      <c r="Q298" s="131">
        <v>0</v>
      </c>
      <c r="R298" s="131">
        <v>0</v>
      </c>
      <c r="S298" s="131">
        <v>0</v>
      </c>
      <c r="T298" s="131">
        <v>0</v>
      </c>
      <c r="U298" s="131">
        <v>0</v>
      </c>
      <c r="V298" s="131">
        <v>0</v>
      </c>
      <c r="W298" s="131">
        <v>606783548.75</v>
      </c>
      <c r="X298" s="131">
        <v>0</v>
      </c>
      <c r="Y298" s="131">
        <v>606783548.75</v>
      </c>
      <c r="Z298" s="131">
        <v>0</v>
      </c>
      <c r="AB298" s="131">
        <v>0</v>
      </c>
      <c r="AC298" s="131">
        <v>0</v>
      </c>
      <c r="AD298" s="131">
        <v>0</v>
      </c>
      <c r="AE298" s="131">
        <v>0</v>
      </c>
      <c r="AF298" s="131">
        <v>606783548.75</v>
      </c>
      <c r="AG298" s="131">
        <v>0</v>
      </c>
      <c r="AH298" s="131">
        <v>606783548.75</v>
      </c>
      <c r="AI298" s="131">
        <v>606783548.75</v>
      </c>
      <c r="AJ298" s="131">
        <v>0</v>
      </c>
      <c r="AK298" s="131">
        <v>0</v>
      </c>
      <c r="AM298" s="131">
        <v>606783548.75</v>
      </c>
      <c r="AN298" s="131">
        <v>606783548.75</v>
      </c>
      <c r="AO298" s="131">
        <v>0</v>
      </c>
      <c r="AP298" s="131">
        <v>606783548.75</v>
      </c>
      <c r="AQ298" s="131">
        <v>0</v>
      </c>
      <c r="AR298" s="131">
        <v>0</v>
      </c>
      <c r="AS298" t="s">
        <v>187</v>
      </c>
    </row>
    <row r="299" spans="1:45" ht="30" x14ac:dyDescent="0.25">
      <c r="A299">
        <v>2019</v>
      </c>
      <c r="B299">
        <v>318</v>
      </c>
      <c r="C299">
        <v>10204040107</v>
      </c>
      <c r="D299">
        <v>155</v>
      </c>
      <c r="E299" t="s">
        <v>3066</v>
      </c>
      <c r="F299">
        <v>10204040107</v>
      </c>
      <c r="G299" s="10" t="s">
        <v>3015</v>
      </c>
      <c r="H299" t="s">
        <v>2584</v>
      </c>
      <c r="I299" s="131">
        <v>0</v>
      </c>
      <c r="J299" s="131">
        <v>0</v>
      </c>
      <c r="K299" s="131">
        <v>51097303</v>
      </c>
      <c r="L299" s="131">
        <v>0</v>
      </c>
      <c r="M299" s="131">
        <v>51097303</v>
      </c>
      <c r="N299" s="131">
        <v>51097303</v>
      </c>
      <c r="O299" s="131">
        <v>0</v>
      </c>
      <c r="P299" s="131">
        <v>51097303</v>
      </c>
      <c r="Q299" s="131">
        <v>0</v>
      </c>
      <c r="R299" s="131">
        <v>0</v>
      </c>
      <c r="S299" s="131">
        <v>0</v>
      </c>
      <c r="T299" s="131">
        <v>0</v>
      </c>
      <c r="U299" s="131">
        <v>0</v>
      </c>
      <c r="V299" s="131">
        <v>0</v>
      </c>
      <c r="W299" s="131">
        <v>51097303</v>
      </c>
      <c r="X299" s="131">
        <v>0</v>
      </c>
      <c r="Y299" s="131">
        <v>51097303</v>
      </c>
      <c r="Z299" s="131">
        <v>0</v>
      </c>
      <c r="AB299" s="131">
        <v>0</v>
      </c>
      <c r="AC299" s="131">
        <v>0</v>
      </c>
      <c r="AD299" s="131">
        <v>0</v>
      </c>
      <c r="AE299" s="131">
        <v>0</v>
      </c>
      <c r="AF299" s="131">
        <v>51097303</v>
      </c>
      <c r="AG299" s="131">
        <v>0</v>
      </c>
      <c r="AH299" s="131">
        <v>51097303</v>
      </c>
      <c r="AI299" s="131">
        <v>51097303</v>
      </c>
      <c r="AJ299" s="131">
        <v>0</v>
      </c>
      <c r="AK299" s="131">
        <v>0</v>
      </c>
      <c r="AM299" s="131">
        <v>51097303</v>
      </c>
      <c r="AN299" s="131">
        <v>51097303</v>
      </c>
      <c r="AO299" s="131">
        <v>0</v>
      </c>
      <c r="AP299" s="131">
        <v>51097303</v>
      </c>
      <c r="AQ299" s="131">
        <v>0</v>
      </c>
      <c r="AR299" s="131">
        <v>0</v>
      </c>
      <c r="AS299" t="s">
        <v>76</v>
      </c>
    </row>
    <row r="300" spans="1:45" x14ac:dyDescent="0.25">
      <c r="A300">
        <v>2019</v>
      </c>
      <c r="B300">
        <v>318</v>
      </c>
      <c r="C300">
        <v>102040402</v>
      </c>
      <c r="D300" t="s">
        <v>226</v>
      </c>
      <c r="E300" t="s">
        <v>3067</v>
      </c>
      <c r="F300">
        <v>102040402</v>
      </c>
      <c r="G300" s="10" t="s">
        <v>3017</v>
      </c>
      <c r="H300" t="s">
        <v>2584</v>
      </c>
      <c r="I300" s="131">
        <v>2959271387</v>
      </c>
      <c r="J300" s="131">
        <v>2959271387</v>
      </c>
      <c r="K300" s="131">
        <v>0</v>
      </c>
      <c r="L300" s="131">
        <v>0</v>
      </c>
      <c r="M300" s="131">
        <v>0</v>
      </c>
      <c r="N300" s="131">
        <v>0</v>
      </c>
      <c r="O300" s="131">
        <v>0</v>
      </c>
      <c r="P300" s="131">
        <v>2959271387</v>
      </c>
      <c r="Q300" s="131">
        <v>0</v>
      </c>
      <c r="R300" s="131">
        <v>0</v>
      </c>
      <c r="S300" s="131">
        <v>0</v>
      </c>
      <c r="T300" s="131">
        <v>0</v>
      </c>
      <c r="U300" s="131">
        <v>0</v>
      </c>
      <c r="V300" s="131">
        <v>0</v>
      </c>
      <c r="W300" s="131">
        <v>3109614980.3600001</v>
      </c>
      <c r="X300" s="131">
        <v>69324757</v>
      </c>
      <c r="Y300" s="131">
        <v>3040290223.3600001</v>
      </c>
      <c r="Z300" s="131">
        <v>0</v>
      </c>
      <c r="AA300" s="131">
        <v>0</v>
      </c>
      <c r="AB300" s="131">
        <v>0</v>
      </c>
      <c r="AC300" s="131">
        <v>0</v>
      </c>
      <c r="AD300" s="131">
        <v>0</v>
      </c>
      <c r="AE300" s="131">
        <v>0</v>
      </c>
      <c r="AF300" s="131">
        <v>3109614980.3600001</v>
      </c>
      <c r="AG300" s="131">
        <v>69324757</v>
      </c>
      <c r="AH300" s="131">
        <v>3040290223.3600001</v>
      </c>
      <c r="AI300" s="131">
        <v>3040290223.3600001</v>
      </c>
      <c r="AJ300" s="131">
        <v>618388038</v>
      </c>
      <c r="AK300" s="131">
        <v>618388038</v>
      </c>
      <c r="AM300" s="131">
        <v>2424542550.3600001</v>
      </c>
      <c r="AN300" s="131">
        <v>2428707347.3600001</v>
      </c>
      <c r="AO300" s="131">
        <v>4164797</v>
      </c>
      <c r="AP300" s="131">
        <v>2428707347.3600001</v>
      </c>
      <c r="AQ300" s="131">
        <v>0</v>
      </c>
      <c r="AR300" s="131">
        <v>4164797</v>
      </c>
      <c r="AS300" t="s">
        <v>1709</v>
      </c>
    </row>
    <row r="301" spans="1:45" ht="30" x14ac:dyDescent="0.25">
      <c r="A301">
        <v>2019</v>
      </c>
      <c r="B301">
        <v>318</v>
      </c>
      <c r="C301">
        <v>10204040201</v>
      </c>
      <c r="D301">
        <v>72</v>
      </c>
      <c r="E301" t="s">
        <v>3068</v>
      </c>
      <c r="F301">
        <v>10204040201</v>
      </c>
      <c r="G301" s="10" t="s">
        <v>803</v>
      </c>
      <c r="H301" t="s">
        <v>2584</v>
      </c>
      <c r="I301" s="131">
        <v>1430518710</v>
      </c>
      <c r="J301" s="131">
        <v>1430518710</v>
      </c>
      <c r="K301" s="131">
        <v>0</v>
      </c>
      <c r="L301" s="131">
        <v>0</v>
      </c>
      <c r="M301" s="131">
        <v>0</v>
      </c>
      <c r="N301" s="131">
        <v>0</v>
      </c>
      <c r="O301" s="131">
        <v>0</v>
      </c>
      <c r="P301" s="131">
        <v>1430518710</v>
      </c>
      <c r="Q301" s="131">
        <v>0</v>
      </c>
      <c r="R301" s="131">
        <v>0</v>
      </c>
      <c r="S301" s="131">
        <v>0</v>
      </c>
      <c r="T301" s="131">
        <v>0</v>
      </c>
      <c r="U301" s="131">
        <v>0</v>
      </c>
      <c r="V301" s="131">
        <v>0</v>
      </c>
      <c r="W301" s="131">
        <v>1390159142</v>
      </c>
      <c r="X301" s="131">
        <v>0</v>
      </c>
      <c r="Y301" s="131">
        <v>1390159142</v>
      </c>
      <c r="Z301" s="131">
        <v>0</v>
      </c>
      <c r="AA301" s="131">
        <v>0</v>
      </c>
      <c r="AB301" s="131">
        <v>0</v>
      </c>
      <c r="AC301" s="131">
        <v>0</v>
      </c>
      <c r="AD301" s="131">
        <v>0</v>
      </c>
      <c r="AE301" s="131">
        <v>0</v>
      </c>
      <c r="AF301" s="131">
        <v>1390159142</v>
      </c>
      <c r="AG301" s="131">
        <v>0</v>
      </c>
      <c r="AH301" s="131">
        <v>1390159142</v>
      </c>
      <c r="AI301" s="131">
        <v>1390159142</v>
      </c>
      <c r="AJ301" s="131">
        <v>0</v>
      </c>
      <c r="AK301" s="131">
        <v>0</v>
      </c>
      <c r="AM301" s="131">
        <v>1390159142</v>
      </c>
      <c r="AN301" s="131">
        <v>1390159142</v>
      </c>
      <c r="AO301" s="131">
        <v>0</v>
      </c>
      <c r="AP301" s="131">
        <v>1390159142</v>
      </c>
      <c r="AQ301" s="131">
        <v>0</v>
      </c>
      <c r="AR301" s="131">
        <v>0</v>
      </c>
      <c r="AS301" t="s">
        <v>187</v>
      </c>
    </row>
    <row r="302" spans="1:45" ht="30" x14ac:dyDescent="0.25">
      <c r="A302">
        <v>2019</v>
      </c>
      <c r="B302">
        <v>318</v>
      </c>
      <c r="C302">
        <v>10204040203</v>
      </c>
      <c r="D302">
        <v>72</v>
      </c>
      <c r="E302" t="s">
        <v>3069</v>
      </c>
      <c r="F302">
        <v>10204040203</v>
      </c>
      <c r="G302" s="10" t="s">
        <v>821</v>
      </c>
      <c r="H302" t="s">
        <v>2584</v>
      </c>
      <c r="I302" s="131">
        <v>12500000</v>
      </c>
      <c r="J302" s="131">
        <v>12500000</v>
      </c>
      <c r="K302" s="131">
        <v>0</v>
      </c>
      <c r="L302" s="131">
        <v>0</v>
      </c>
      <c r="M302" s="131">
        <v>0</v>
      </c>
      <c r="N302" s="131">
        <v>0</v>
      </c>
      <c r="O302" s="131">
        <v>0</v>
      </c>
      <c r="P302" s="131">
        <v>12500000</v>
      </c>
      <c r="Q302" s="131">
        <v>0</v>
      </c>
      <c r="R302" s="131">
        <v>0</v>
      </c>
      <c r="S302" s="131">
        <v>0</v>
      </c>
      <c r="T302" s="131">
        <v>0</v>
      </c>
      <c r="U302" s="131">
        <v>0</v>
      </c>
      <c r="V302" s="131">
        <v>0</v>
      </c>
      <c r="W302" s="131">
        <v>71070097</v>
      </c>
      <c r="X302" s="131">
        <v>0</v>
      </c>
      <c r="Y302" s="131">
        <v>71070097</v>
      </c>
      <c r="Z302" s="131">
        <v>0</v>
      </c>
      <c r="AA302" s="131">
        <v>0</v>
      </c>
      <c r="AB302" s="131">
        <v>0</v>
      </c>
      <c r="AC302" s="131">
        <v>0</v>
      </c>
      <c r="AD302" s="131">
        <v>0</v>
      </c>
      <c r="AE302" s="131">
        <v>0</v>
      </c>
      <c r="AF302" s="131">
        <v>71070097</v>
      </c>
      <c r="AG302" s="131">
        <v>0</v>
      </c>
      <c r="AH302" s="131">
        <v>71070097</v>
      </c>
      <c r="AI302" s="131">
        <v>71070097</v>
      </c>
      <c r="AJ302" s="131">
        <v>0</v>
      </c>
      <c r="AK302" s="131">
        <v>0</v>
      </c>
      <c r="AM302" s="131">
        <v>71070097</v>
      </c>
      <c r="AN302" s="131">
        <v>71070097</v>
      </c>
      <c r="AO302" s="131">
        <v>0</v>
      </c>
      <c r="AP302" s="131">
        <v>71070097</v>
      </c>
      <c r="AQ302" s="131">
        <v>0</v>
      </c>
      <c r="AR302" s="131">
        <v>0</v>
      </c>
      <c r="AS302" t="s">
        <v>187</v>
      </c>
    </row>
    <row r="303" spans="1:45" x14ac:dyDescent="0.25">
      <c r="A303">
        <v>2019</v>
      </c>
      <c r="B303">
        <v>318</v>
      </c>
      <c r="C303">
        <v>10204040204</v>
      </c>
      <c r="D303">
        <v>72</v>
      </c>
      <c r="E303" t="s">
        <v>3070</v>
      </c>
      <c r="F303">
        <v>10204040204</v>
      </c>
      <c r="G303" s="10" t="s">
        <v>811</v>
      </c>
      <c r="H303" t="s">
        <v>2584</v>
      </c>
      <c r="I303" s="131">
        <v>20000000</v>
      </c>
      <c r="J303" s="131">
        <v>20000000</v>
      </c>
      <c r="K303" s="131">
        <v>0</v>
      </c>
      <c r="L303" s="131">
        <v>0</v>
      </c>
      <c r="M303" s="131">
        <v>0</v>
      </c>
      <c r="N303" s="131">
        <v>0</v>
      </c>
      <c r="O303" s="131">
        <v>0</v>
      </c>
      <c r="P303" s="131">
        <v>20000000</v>
      </c>
      <c r="Q303" s="131">
        <v>0</v>
      </c>
      <c r="R303" s="131">
        <v>0</v>
      </c>
      <c r="S303" s="131">
        <v>0</v>
      </c>
      <c r="T303" s="131">
        <v>0</v>
      </c>
      <c r="U303" s="131">
        <v>0</v>
      </c>
      <c r="V303" s="131">
        <v>0</v>
      </c>
      <c r="W303" s="131">
        <v>7278995</v>
      </c>
      <c r="X303" s="131">
        <v>0</v>
      </c>
      <c r="Y303" s="131">
        <v>7278995</v>
      </c>
      <c r="Z303" s="131">
        <v>0</v>
      </c>
      <c r="AA303" s="131">
        <v>0</v>
      </c>
      <c r="AB303" s="131">
        <v>0</v>
      </c>
      <c r="AC303" s="131">
        <v>0</v>
      </c>
      <c r="AD303" s="131">
        <v>0</v>
      </c>
      <c r="AE303" s="131">
        <v>0</v>
      </c>
      <c r="AF303" s="131">
        <v>7278995</v>
      </c>
      <c r="AG303" s="131">
        <v>0</v>
      </c>
      <c r="AH303" s="131">
        <v>7278995</v>
      </c>
      <c r="AI303" s="131">
        <v>7278995</v>
      </c>
      <c r="AJ303" s="131">
        <v>0</v>
      </c>
      <c r="AK303" s="131">
        <v>0</v>
      </c>
      <c r="AM303" s="131">
        <v>7278995</v>
      </c>
      <c r="AN303" s="131">
        <v>7278995</v>
      </c>
      <c r="AO303" s="131">
        <v>0</v>
      </c>
      <c r="AP303" s="131">
        <v>7278995</v>
      </c>
      <c r="AQ303" s="131">
        <v>0</v>
      </c>
      <c r="AR303" s="131">
        <v>0</v>
      </c>
      <c r="AS303" t="s">
        <v>187</v>
      </c>
    </row>
    <row r="304" spans="1:45" ht="30" x14ac:dyDescent="0.25">
      <c r="A304">
        <v>2019</v>
      </c>
      <c r="B304">
        <v>318</v>
      </c>
      <c r="C304">
        <v>10204040205</v>
      </c>
      <c r="D304">
        <v>72</v>
      </c>
      <c r="E304" t="s">
        <v>3071</v>
      </c>
      <c r="F304">
        <v>10204040205</v>
      </c>
      <c r="G304" s="10" t="s">
        <v>699</v>
      </c>
      <c r="H304" t="s">
        <v>2584</v>
      </c>
      <c r="I304" s="131">
        <v>15457640</v>
      </c>
      <c r="J304" s="131">
        <v>15457640</v>
      </c>
      <c r="K304" s="131">
        <v>0</v>
      </c>
      <c r="L304" s="131">
        <v>0</v>
      </c>
      <c r="M304" s="131">
        <v>0</v>
      </c>
      <c r="N304" s="131">
        <v>0</v>
      </c>
      <c r="O304" s="131">
        <v>0</v>
      </c>
      <c r="P304" s="131">
        <v>15457640</v>
      </c>
      <c r="Q304" s="131">
        <v>0</v>
      </c>
      <c r="R304" s="131">
        <v>0</v>
      </c>
      <c r="S304" s="131">
        <v>0</v>
      </c>
      <c r="T304" s="131">
        <v>0</v>
      </c>
      <c r="U304" s="131">
        <v>0</v>
      </c>
      <c r="V304" s="131">
        <v>0</v>
      </c>
      <c r="W304" s="131">
        <v>24301080</v>
      </c>
      <c r="X304" s="131">
        <v>0</v>
      </c>
      <c r="Y304" s="131">
        <v>24301080</v>
      </c>
      <c r="Z304" s="131">
        <v>0</v>
      </c>
      <c r="AA304" s="131">
        <v>0</v>
      </c>
      <c r="AB304" s="131">
        <v>0</v>
      </c>
      <c r="AC304" s="131">
        <v>0</v>
      </c>
      <c r="AD304" s="131">
        <v>0</v>
      </c>
      <c r="AE304" s="131">
        <v>0</v>
      </c>
      <c r="AF304" s="131">
        <v>24301080</v>
      </c>
      <c r="AG304" s="131">
        <v>0</v>
      </c>
      <c r="AH304" s="131">
        <v>24301080</v>
      </c>
      <c r="AI304" s="131">
        <v>24301080</v>
      </c>
      <c r="AJ304" s="131">
        <v>0</v>
      </c>
      <c r="AK304" s="131">
        <v>0</v>
      </c>
      <c r="AM304" s="131">
        <v>24301080</v>
      </c>
      <c r="AN304" s="131">
        <v>24301080</v>
      </c>
      <c r="AO304" s="131">
        <v>0</v>
      </c>
      <c r="AP304" s="131">
        <v>24301080</v>
      </c>
      <c r="AQ304" s="131">
        <v>0</v>
      </c>
      <c r="AR304" s="131">
        <v>0</v>
      </c>
      <c r="AS304" t="s">
        <v>187</v>
      </c>
    </row>
    <row r="305" spans="1:45" ht="30" x14ac:dyDescent="0.25">
      <c r="A305">
        <v>2019</v>
      </c>
      <c r="B305">
        <v>318</v>
      </c>
      <c r="C305">
        <v>10204040206</v>
      </c>
      <c r="D305">
        <v>72</v>
      </c>
      <c r="E305" t="s">
        <v>3072</v>
      </c>
      <c r="F305">
        <v>10204040206</v>
      </c>
      <c r="G305" s="10" t="s">
        <v>701</v>
      </c>
      <c r="H305" t="s">
        <v>2584</v>
      </c>
      <c r="I305" s="131">
        <v>188547221</v>
      </c>
      <c r="J305" s="131">
        <v>188547221</v>
      </c>
      <c r="K305" s="131">
        <v>0</v>
      </c>
      <c r="L305" s="131">
        <v>0</v>
      </c>
      <c r="M305" s="131">
        <v>0</v>
      </c>
      <c r="N305" s="131">
        <v>0</v>
      </c>
      <c r="O305" s="131">
        <v>0</v>
      </c>
      <c r="P305" s="131">
        <v>188547221</v>
      </c>
      <c r="Q305" s="131">
        <v>0</v>
      </c>
      <c r="R305" s="131">
        <v>0</v>
      </c>
      <c r="S305" s="131">
        <v>0</v>
      </c>
      <c r="T305" s="131">
        <v>0</v>
      </c>
      <c r="U305" s="131">
        <v>0</v>
      </c>
      <c r="V305" s="131">
        <v>0</v>
      </c>
      <c r="W305" s="131">
        <v>177648103.86000001</v>
      </c>
      <c r="X305" s="131">
        <v>0</v>
      </c>
      <c r="Y305" s="131">
        <v>177648103.86000001</v>
      </c>
      <c r="Z305" s="131">
        <v>0</v>
      </c>
      <c r="AA305" s="131">
        <v>0</v>
      </c>
      <c r="AB305" s="131">
        <v>0</v>
      </c>
      <c r="AC305" s="131">
        <v>0</v>
      </c>
      <c r="AD305" s="131">
        <v>0</v>
      </c>
      <c r="AE305" s="131">
        <v>0</v>
      </c>
      <c r="AF305" s="131">
        <v>177648103.86000001</v>
      </c>
      <c r="AG305" s="131">
        <v>0</v>
      </c>
      <c r="AH305" s="131">
        <v>177648103.86000001</v>
      </c>
      <c r="AI305" s="131">
        <v>177648103.86000001</v>
      </c>
      <c r="AJ305" s="131">
        <v>0</v>
      </c>
      <c r="AK305" s="131">
        <v>0</v>
      </c>
      <c r="AM305" s="131">
        <v>177648103.86000001</v>
      </c>
      <c r="AN305" s="131">
        <v>177648103.86000001</v>
      </c>
      <c r="AO305" s="131">
        <v>0</v>
      </c>
      <c r="AP305" s="131">
        <v>177648103.86000001</v>
      </c>
      <c r="AQ305" s="131">
        <v>0</v>
      </c>
      <c r="AR305" s="131">
        <v>0</v>
      </c>
      <c r="AS305" t="s">
        <v>187</v>
      </c>
    </row>
    <row r="306" spans="1:45" ht="30" x14ac:dyDescent="0.25">
      <c r="A306">
        <v>2019</v>
      </c>
      <c r="B306">
        <v>318</v>
      </c>
      <c r="C306">
        <v>10204040207</v>
      </c>
      <c r="D306">
        <v>72</v>
      </c>
      <c r="E306" t="s">
        <v>3073</v>
      </c>
      <c r="F306">
        <v>10204040207</v>
      </c>
      <c r="G306" s="10" t="s">
        <v>3074</v>
      </c>
      <c r="H306" t="s">
        <v>2584</v>
      </c>
      <c r="I306" s="131">
        <v>45312468</v>
      </c>
      <c r="J306" s="131">
        <v>45312468</v>
      </c>
      <c r="K306" s="131">
        <v>0</v>
      </c>
      <c r="L306" s="131">
        <v>0</v>
      </c>
      <c r="M306" s="131">
        <v>0</v>
      </c>
      <c r="N306" s="131">
        <v>0</v>
      </c>
      <c r="O306" s="131">
        <v>0</v>
      </c>
      <c r="P306" s="131">
        <v>45312468</v>
      </c>
      <c r="Q306" s="131">
        <v>0</v>
      </c>
      <c r="R306" s="131">
        <v>0</v>
      </c>
      <c r="S306" s="131">
        <v>0</v>
      </c>
      <c r="T306" s="131">
        <v>0</v>
      </c>
      <c r="U306" s="131">
        <v>0</v>
      </c>
      <c r="V306" s="131">
        <v>0</v>
      </c>
      <c r="W306" s="131">
        <v>66812373</v>
      </c>
      <c r="X306" s="131">
        <v>0</v>
      </c>
      <c r="Y306" s="131">
        <v>66812373</v>
      </c>
      <c r="Z306" s="131">
        <v>0</v>
      </c>
      <c r="AA306" s="131">
        <v>0</v>
      </c>
      <c r="AB306" s="131">
        <v>0</v>
      </c>
      <c r="AC306" s="131">
        <v>0</v>
      </c>
      <c r="AD306" s="131">
        <v>0</v>
      </c>
      <c r="AE306" s="131">
        <v>0</v>
      </c>
      <c r="AF306" s="131">
        <v>66812373</v>
      </c>
      <c r="AG306" s="131">
        <v>0</v>
      </c>
      <c r="AH306" s="131">
        <v>66812373</v>
      </c>
      <c r="AI306" s="131">
        <v>66812373</v>
      </c>
      <c r="AJ306" s="131">
        <v>0</v>
      </c>
      <c r="AK306" s="131">
        <v>0</v>
      </c>
      <c r="AM306" s="131">
        <v>66812373</v>
      </c>
      <c r="AN306" s="131">
        <v>66812373</v>
      </c>
      <c r="AO306" s="131">
        <v>0</v>
      </c>
      <c r="AP306" s="131">
        <v>66812373</v>
      </c>
      <c r="AQ306" s="131">
        <v>0</v>
      </c>
      <c r="AR306" s="131">
        <v>0</v>
      </c>
      <c r="AS306" t="s">
        <v>187</v>
      </c>
    </row>
    <row r="307" spans="1:45" ht="30" x14ac:dyDescent="0.25">
      <c r="A307">
        <v>2019</v>
      </c>
      <c r="B307">
        <v>318</v>
      </c>
      <c r="C307">
        <v>10204040208</v>
      </c>
      <c r="D307">
        <v>72</v>
      </c>
      <c r="E307" t="s">
        <v>3075</v>
      </c>
      <c r="F307">
        <v>10204040208</v>
      </c>
      <c r="G307" s="10" t="s">
        <v>792</v>
      </c>
      <c r="H307" t="s">
        <v>2584</v>
      </c>
      <c r="I307" s="131">
        <v>399594732</v>
      </c>
      <c r="J307" s="131">
        <v>399594732</v>
      </c>
      <c r="K307" s="131">
        <v>0</v>
      </c>
      <c r="L307" s="131">
        <v>0</v>
      </c>
      <c r="M307" s="131">
        <v>0</v>
      </c>
      <c r="N307" s="131">
        <v>0</v>
      </c>
      <c r="O307" s="131">
        <v>0</v>
      </c>
      <c r="P307" s="131">
        <v>399594732</v>
      </c>
      <c r="Q307" s="131">
        <v>0</v>
      </c>
      <c r="R307" s="131">
        <v>0</v>
      </c>
      <c r="S307" s="131">
        <v>0</v>
      </c>
      <c r="T307" s="131">
        <v>0</v>
      </c>
      <c r="U307" s="131">
        <v>0</v>
      </c>
      <c r="V307" s="131">
        <v>0</v>
      </c>
      <c r="W307" s="131">
        <v>450753960</v>
      </c>
      <c r="X307" s="131">
        <v>0</v>
      </c>
      <c r="Y307" s="131">
        <v>450753960</v>
      </c>
      <c r="Z307" s="131">
        <v>0</v>
      </c>
      <c r="AA307" s="131">
        <v>0</v>
      </c>
      <c r="AB307" s="131">
        <v>0</v>
      </c>
      <c r="AC307" s="131">
        <v>0</v>
      </c>
      <c r="AD307" s="131">
        <v>0</v>
      </c>
      <c r="AE307" s="131">
        <v>0</v>
      </c>
      <c r="AF307" s="131">
        <v>450753960</v>
      </c>
      <c r="AG307" s="131">
        <v>0</v>
      </c>
      <c r="AH307" s="131">
        <v>450753960</v>
      </c>
      <c r="AI307" s="131">
        <v>450753960</v>
      </c>
      <c r="AJ307" s="131">
        <v>0</v>
      </c>
      <c r="AK307" s="131">
        <v>0</v>
      </c>
      <c r="AM307" s="131">
        <v>450753960</v>
      </c>
      <c r="AN307" s="131">
        <v>450753960</v>
      </c>
      <c r="AO307" s="131">
        <v>0</v>
      </c>
      <c r="AP307" s="131">
        <v>450753960</v>
      </c>
      <c r="AQ307" s="131">
        <v>0</v>
      </c>
      <c r="AR307" s="131">
        <v>0</v>
      </c>
      <c r="AS307" t="s">
        <v>187</v>
      </c>
    </row>
    <row r="308" spans="1:45" x14ac:dyDescent="0.25">
      <c r="A308">
        <v>2019</v>
      </c>
      <c r="B308">
        <v>318</v>
      </c>
      <c r="C308">
        <v>10204040209</v>
      </c>
      <c r="D308">
        <v>72</v>
      </c>
      <c r="E308" t="s">
        <v>3076</v>
      </c>
      <c r="F308">
        <v>10204040209</v>
      </c>
      <c r="G308" s="10" t="s">
        <v>712</v>
      </c>
      <c r="H308" t="s">
        <v>2584</v>
      </c>
      <c r="I308" s="131">
        <v>200000000</v>
      </c>
      <c r="J308" s="131">
        <v>200000000</v>
      </c>
      <c r="K308" s="131">
        <v>0</v>
      </c>
      <c r="L308" s="131">
        <v>0</v>
      </c>
      <c r="M308" s="131">
        <v>0</v>
      </c>
      <c r="N308" s="131">
        <v>0</v>
      </c>
      <c r="O308" s="131">
        <v>0</v>
      </c>
      <c r="P308" s="131">
        <v>200000000</v>
      </c>
      <c r="Q308" s="131">
        <v>0</v>
      </c>
      <c r="R308" s="131">
        <v>0</v>
      </c>
      <c r="S308" s="131">
        <v>0</v>
      </c>
      <c r="T308" s="131">
        <v>0</v>
      </c>
      <c r="U308" s="131">
        <v>0</v>
      </c>
      <c r="V308" s="131">
        <v>0</v>
      </c>
      <c r="W308" s="131">
        <v>180559965.31999999</v>
      </c>
      <c r="X308" s="131">
        <v>3261723.5</v>
      </c>
      <c r="Y308" s="131">
        <v>177298241.81999999</v>
      </c>
      <c r="Z308" s="131">
        <v>0</v>
      </c>
      <c r="AA308" s="131">
        <v>0</v>
      </c>
      <c r="AB308" s="131">
        <v>0</v>
      </c>
      <c r="AC308" s="131">
        <v>0</v>
      </c>
      <c r="AD308" s="131">
        <v>0</v>
      </c>
      <c r="AE308" s="131">
        <v>0</v>
      </c>
      <c r="AF308" s="131">
        <v>180559965.31999999</v>
      </c>
      <c r="AG308" s="131">
        <v>3261723.5</v>
      </c>
      <c r="AH308" s="131">
        <v>177298241.81999999</v>
      </c>
      <c r="AI308" s="131">
        <v>177298241.81999999</v>
      </c>
      <c r="AJ308" s="131">
        <v>0</v>
      </c>
      <c r="AK308" s="131">
        <v>0</v>
      </c>
      <c r="AM308" s="131">
        <v>177298241.81999999</v>
      </c>
      <c r="AN308" s="131">
        <v>180559965.31999999</v>
      </c>
      <c r="AO308" s="131">
        <v>3261723.5</v>
      </c>
      <c r="AP308" s="131">
        <v>180559965.31999999</v>
      </c>
      <c r="AQ308" s="131">
        <v>0</v>
      </c>
      <c r="AR308" s="131">
        <v>3261723.5</v>
      </c>
      <c r="AS308" t="s">
        <v>187</v>
      </c>
    </row>
    <row r="309" spans="1:45" ht="30" x14ac:dyDescent="0.25">
      <c r="A309">
        <v>2019</v>
      </c>
      <c r="B309">
        <v>318</v>
      </c>
      <c r="C309">
        <v>10204040210</v>
      </c>
      <c r="D309">
        <v>154</v>
      </c>
      <c r="E309" t="s">
        <v>3077</v>
      </c>
      <c r="F309">
        <v>10204040210</v>
      </c>
      <c r="G309" s="10" t="s">
        <v>3078</v>
      </c>
      <c r="H309" t="s">
        <v>2584</v>
      </c>
      <c r="I309" s="131">
        <v>400545239</v>
      </c>
      <c r="J309" s="131">
        <v>400545239</v>
      </c>
      <c r="K309" s="131">
        <v>0</v>
      </c>
      <c r="L309" s="131">
        <v>0</v>
      </c>
      <c r="M309" s="131">
        <v>0</v>
      </c>
      <c r="N309" s="131">
        <v>0</v>
      </c>
      <c r="O309" s="131">
        <v>0</v>
      </c>
      <c r="P309" s="131">
        <v>400545239</v>
      </c>
      <c r="Q309" s="131">
        <v>0</v>
      </c>
      <c r="R309" s="131">
        <v>0</v>
      </c>
      <c r="S309" s="131">
        <v>0</v>
      </c>
      <c r="T309" s="131">
        <v>0</v>
      </c>
      <c r="U309" s="131">
        <v>0</v>
      </c>
      <c r="V309" s="131">
        <v>0</v>
      </c>
      <c r="W309" s="131">
        <v>420821092</v>
      </c>
      <c r="X309" s="131">
        <v>40586513</v>
      </c>
      <c r="Y309" s="131">
        <v>380234579</v>
      </c>
      <c r="Z309" s="131">
        <v>0</v>
      </c>
      <c r="AA309" s="131">
        <v>0</v>
      </c>
      <c r="AB309" s="131">
        <v>0</v>
      </c>
      <c r="AC309" s="131">
        <v>0</v>
      </c>
      <c r="AD309" s="131">
        <v>0</v>
      </c>
      <c r="AE309" s="131">
        <v>0</v>
      </c>
      <c r="AF309" s="131">
        <v>420821092</v>
      </c>
      <c r="AG309" s="131">
        <v>40586513</v>
      </c>
      <c r="AH309" s="131">
        <v>380234579</v>
      </c>
      <c r="AI309" s="131">
        <v>380234579</v>
      </c>
      <c r="AJ309" s="131">
        <v>380234579</v>
      </c>
      <c r="AK309" s="131">
        <v>380234579</v>
      </c>
      <c r="AM309" s="131">
        <v>308977</v>
      </c>
      <c r="AN309" s="131">
        <v>308977</v>
      </c>
      <c r="AO309" s="131">
        <v>0</v>
      </c>
      <c r="AP309" s="131">
        <v>308977</v>
      </c>
      <c r="AQ309" s="131">
        <v>0</v>
      </c>
      <c r="AR309" s="131">
        <v>0</v>
      </c>
      <c r="AS309" t="s">
        <v>74</v>
      </c>
    </row>
    <row r="310" spans="1:45" ht="30" x14ac:dyDescent="0.25">
      <c r="A310">
        <v>2019</v>
      </c>
      <c r="B310">
        <v>318</v>
      </c>
      <c r="C310">
        <v>10204040210</v>
      </c>
      <c r="D310">
        <v>72</v>
      </c>
      <c r="E310" t="s">
        <v>3079</v>
      </c>
      <c r="F310">
        <v>10204040210</v>
      </c>
      <c r="G310" s="10" t="s">
        <v>3078</v>
      </c>
      <c r="H310" t="s">
        <v>2584</v>
      </c>
      <c r="I310" s="131">
        <v>0</v>
      </c>
      <c r="J310" s="131">
        <v>0</v>
      </c>
      <c r="K310" s="131">
        <v>0</v>
      </c>
      <c r="L310" s="131">
        <v>0</v>
      </c>
      <c r="M310" s="131">
        <v>0</v>
      </c>
      <c r="N310" s="131">
        <v>0</v>
      </c>
      <c r="O310" s="131">
        <v>0</v>
      </c>
      <c r="P310" s="131">
        <v>0</v>
      </c>
      <c r="Q310" s="131">
        <v>0</v>
      </c>
      <c r="R310" s="131">
        <v>0</v>
      </c>
      <c r="S310" s="131">
        <v>0</v>
      </c>
      <c r="T310" s="131">
        <v>0</v>
      </c>
      <c r="U310" s="131">
        <v>0</v>
      </c>
      <c r="V310" s="131">
        <v>0</v>
      </c>
      <c r="W310" s="131">
        <v>308977</v>
      </c>
      <c r="X310" s="131">
        <v>0</v>
      </c>
      <c r="Y310" s="131">
        <v>308977</v>
      </c>
      <c r="Z310" s="131">
        <v>0</v>
      </c>
      <c r="AA310" s="131">
        <v>0</v>
      </c>
      <c r="AB310" s="131">
        <v>0</v>
      </c>
      <c r="AC310" s="131">
        <v>0</v>
      </c>
      <c r="AD310" s="131">
        <v>0</v>
      </c>
      <c r="AE310" s="131">
        <v>0</v>
      </c>
      <c r="AF310" s="131">
        <v>308977</v>
      </c>
      <c r="AG310" s="131">
        <v>0</v>
      </c>
      <c r="AH310" s="131">
        <v>308977</v>
      </c>
      <c r="AI310" s="131">
        <v>308977</v>
      </c>
      <c r="AJ310" s="131">
        <v>0</v>
      </c>
      <c r="AK310" s="131">
        <v>0</v>
      </c>
      <c r="AM310" s="131">
        <v>308977</v>
      </c>
      <c r="AN310" s="131">
        <v>308977</v>
      </c>
      <c r="AO310" s="131">
        <v>0</v>
      </c>
      <c r="AP310" s="131">
        <v>308977</v>
      </c>
      <c r="AQ310" s="131">
        <v>0</v>
      </c>
      <c r="AR310" s="131">
        <v>0</v>
      </c>
      <c r="AS310" t="s">
        <v>187</v>
      </c>
    </row>
    <row r="311" spans="1:45" ht="30" x14ac:dyDescent="0.25">
      <c r="A311">
        <v>2019</v>
      </c>
      <c r="B311">
        <v>318</v>
      </c>
      <c r="C311">
        <v>10204040211</v>
      </c>
      <c r="D311">
        <v>154</v>
      </c>
      <c r="E311" t="s">
        <v>3080</v>
      </c>
      <c r="F311">
        <v>10204040211</v>
      </c>
      <c r="G311" s="10" t="s">
        <v>825</v>
      </c>
      <c r="H311" t="s">
        <v>2584</v>
      </c>
      <c r="I311" s="131">
        <v>3500000</v>
      </c>
      <c r="J311" s="131">
        <v>3500000</v>
      </c>
      <c r="K311" s="131">
        <v>0</v>
      </c>
      <c r="L311" s="131">
        <v>0</v>
      </c>
      <c r="M311" s="131">
        <v>0</v>
      </c>
      <c r="N311" s="131">
        <v>0</v>
      </c>
      <c r="O311" s="131">
        <v>0</v>
      </c>
      <c r="P311" s="131">
        <v>3500000</v>
      </c>
      <c r="Q311" s="131">
        <v>0</v>
      </c>
      <c r="R311" s="131">
        <v>0</v>
      </c>
      <c r="S311" s="131">
        <v>0</v>
      </c>
      <c r="T311" s="131">
        <v>0</v>
      </c>
      <c r="U311" s="131">
        <v>0</v>
      </c>
      <c r="V311" s="131">
        <v>0</v>
      </c>
      <c r="W311" s="131">
        <v>0</v>
      </c>
      <c r="X311" s="131">
        <v>0</v>
      </c>
      <c r="Y311" s="131">
        <v>0</v>
      </c>
      <c r="Z311" s="131">
        <v>0</v>
      </c>
      <c r="AA311" s="131">
        <v>0</v>
      </c>
      <c r="AB311" s="131">
        <v>0</v>
      </c>
      <c r="AC311" s="131">
        <v>0</v>
      </c>
      <c r="AD311" s="131">
        <v>0</v>
      </c>
      <c r="AE311" s="131">
        <v>0</v>
      </c>
      <c r="AF311" s="131">
        <v>0</v>
      </c>
      <c r="AG311" s="131">
        <v>0</v>
      </c>
      <c r="AH311" s="131">
        <v>0</v>
      </c>
      <c r="AI311" s="131">
        <v>0</v>
      </c>
      <c r="AJ311" s="131">
        <v>0</v>
      </c>
      <c r="AK311" s="131">
        <v>0</v>
      </c>
      <c r="AM311" s="131">
        <v>0</v>
      </c>
      <c r="AN311" s="131">
        <v>0</v>
      </c>
      <c r="AO311" s="131">
        <v>0</v>
      </c>
      <c r="AP311" s="131">
        <v>0</v>
      </c>
      <c r="AQ311" s="131">
        <v>0</v>
      </c>
      <c r="AR311" s="131">
        <v>0</v>
      </c>
      <c r="AS311" t="s">
        <v>74</v>
      </c>
    </row>
    <row r="312" spans="1:45" ht="30" x14ac:dyDescent="0.25">
      <c r="A312">
        <v>2019</v>
      </c>
      <c r="B312">
        <v>318</v>
      </c>
      <c r="C312">
        <v>10204040212</v>
      </c>
      <c r="D312">
        <v>154</v>
      </c>
      <c r="E312" t="s">
        <v>3081</v>
      </c>
      <c r="F312">
        <v>10204040212</v>
      </c>
      <c r="G312" s="10" t="s">
        <v>813</v>
      </c>
      <c r="H312" t="s">
        <v>2584</v>
      </c>
      <c r="I312" s="131">
        <v>5600000</v>
      </c>
      <c r="J312" s="131">
        <v>5600000</v>
      </c>
      <c r="K312" s="131">
        <v>0</v>
      </c>
      <c r="L312" s="131">
        <v>0</v>
      </c>
      <c r="M312" s="131">
        <v>0</v>
      </c>
      <c r="N312" s="131">
        <v>0</v>
      </c>
      <c r="O312" s="131">
        <v>0</v>
      </c>
      <c r="P312" s="131">
        <v>5600000</v>
      </c>
      <c r="Q312" s="131">
        <v>0</v>
      </c>
      <c r="R312" s="131">
        <v>0</v>
      </c>
      <c r="S312" s="131">
        <v>0</v>
      </c>
      <c r="T312" s="131">
        <v>0</v>
      </c>
      <c r="U312" s="131">
        <v>0</v>
      </c>
      <c r="V312" s="131">
        <v>0</v>
      </c>
      <c r="W312" s="131">
        <v>2220398</v>
      </c>
      <c r="X312" s="131">
        <v>191100</v>
      </c>
      <c r="Y312" s="131">
        <v>2029298</v>
      </c>
      <c r="Z312" s="131">
        <v>0</v>
      </c>
      <c r="AA312" s="131">
        <v>0</v>
      </c>
      <c r="AB312" s="131">
        <v>0</v>
      </c>
      <c r="AC312" s="131">
        <v>0</v>
      </c>
      <c r="AD312" s="131">
        <v>0</v>
      </c>
      <c r="AE312" s="131">
        <v>0</v>
      </c>
      <c r="AF312" s="131">
        <v>2220398</v>
      </c>
      <c r="AG312" s="131">
        <v>191100</v>
      </c>
      <c r="AH312" s="131">
        <v>2029298</v>
      </c>
      <c r="AI312" s="131">
        <v>2029298</v>
      </c>
      <c r="AJ312" s="131">
        <v>2029298</v>
      </c>
      <c r="AK312" s="131">
        <v>2029298</v>
      </c>
      <c r="AM312" s="131">
        <v>0</v>
      </c>
      <c r="AN312" s="131">
        <v>0</v>
      </c>
      <c r="AO312" s="131">
        <v>0</v>
      </c>
      <c r="AP312" s="131">
        <v>0</v>
      </c>
      <c r="AQ312" s="131">
        <v>0</v>
      </c>
      <c r="AR312" s="131">
        <v>0</v>
      </c>
      <c r="AS312" t="s">
        <v>74</v>
      </c>
    </row>
    <row r="313" spans="1:45" ht="30" x14ac:dyDescent="0.25">
      <c r="A313">
        <v>2019</v>
      </c>
      <c r="B313">
        <v>318</v>
      </c>
      <c r="C313">
        <v>10204040213</v>
      </c>
      <c r="D313">
        <v>154</v>
      </c>
      <c r="E313" t="s">
        <v>3082</v>
      </c>
      <c r="F313">
        <v>10204040213</v>
      </c>
      <c r="G313" s="10" t="s">
        <v>703</v>
      </c>
      <c r="H313" t="s">
        <v>2584</v>
      </c>
      <c r="I313" s="131">
        <v>5902471</v>
      </c>
      <c r="J313" s="131">
        <v>5902471</v>
      </c>
      <c r="K313" s="131">
        <v>0</v>
      </c>
      <c r="L313" s="131">
        <v>0</v>
      </c>
      <c r="M313" s="131">
        <v>0</v>
      </c>
      <c r="N313" s="131">
        <v>0</v>
      </c>
      <c r="O313" s="131">
        <v>0</v>
      </c>
      <c r="P313" s="131">
        <v>5902471</v>
      </c>
      <c r="Q313" s="131">
        <v>0</v>
      </c>
      <c r="R313" s="131">
        <v>0</v>
      </c>
      <c r="S313" s="131">
        <v>0</v>
      </c>
      <c r="T313" s="131">
        <v>0</v>
      </c>
      <c r="U313" s="131">
        <v>0</v>
      </c>
      <c r="V313" s="131">
        <v>0</v>
      </c>
      <c r="W313" s="131">
        <v>3217658</v>
      </c>
      <c r="X313" s="131">
        <v>264200</v>
      </c>
      <c r="Y313" s="131">
        <v>2953458</v>
      </c>
      <c r="Z313" s="131">
        <v>0</v>
      </c>
      <c r="AA313" s="131">
        <v>0</v>
      </c>
      <c r="AB313" s="131">
        <v>0</v>
      </c>
      <c r="AC313" s="131">
        <v>0</v>
      </c>
      <c r="AD313" s="131">
        <v>0</v>
      </c>
      <c r="AE313" s="131">
        <v>0</v>
      </c>
      <c r="AF313" s="131">
        <v>3217658</v>
      </c>
      <c r="AG313" s="131">
        <v>264200</v>
      </c>
      <c r="AH313" s="131">
        <v>2953458</v>
      </c>
      <c r="AI313" s="131">
        <v>2953458</v>
      </c>
      <c r="AJ313" s="131">
        <v>2953458</v>
      </c>
      <c r="AK313" s="131">
        <v>2953458</v>
      </c>
      <c r="AM313" s="131">
        <v>0</v>
      </c>
      <c r="AN313" s="131">
        <v>0</v>
      </c>
      <c r="AO313" s="131">
        <v>0</v>
      </c>
      <c r="AP313" s="131">
        <v>0</v>
      </c>
      <c r="AQ313" s="131">
        <v>0</v>
      </c>
      <c r="AR313" s="131">
        <v>0</v>
      </c>
      <c r="AS313" t="s">
        <v>74</v>
      </c>
    </row>
    <row r="314" spans="1:45" ht="30" x14ac:dyDescent="0.25">
      <c r="A314">
        <v>2019</v>
      </c>
      <c r="B314">
        <v>318</v>
      </c>
      <c r="C314">
        <v>10204040214</v>
      </c>
      <c r="D314">
        <v>154</v>
      </c>
      <c r="E314" t="s">
        <v>3083</v>
      </c>
      <c r="F314">
        <v>10204040214</v>
      </c>
      <c r="G314" s="10" t="s">
        <v>705</v>
      </c>
      <c r="H314" t="s">
        <v>2584</v>
      </c>
      <c r="I314" s="131">
        <v>51218890</v>
      </c>
      <c r="J314" s="131">
        <v>51218890</v>
      </c>
      <c r="K314" s="131">
        <v>0</v>
      </c>
      <c r="L314" s="131">
        <v>0</v>
      </c>
      <c r="M314" s="131">
        <v>0</v>
      </c>
      <c r="N314" s="131">
        <v>0</v>
      </c>
      <c r="O314" s="131">
        <v>0</v>
      </c>
      <c r="P314" s="131">
        <v>51218890</v>
      </c>
      <c r="Q314" s="131">
        <v>0</v>
      </c>
      <c r="R314" s="131">
        <v>0</v>
      </c>
      <c r="S314" s="131">
        <v>0</v>
      </c>
      <c r="T314" s="131">
        <v>0</v>
      </c>
      <c r="U314" s="131">
        <v>0</v>
      </c>
      <c r="V314" s="131">
        <v>0</v>
      </c>
      <c r="W314" s="131">
        <v>72928223</v>
      </c>
      <c r="X314" s="131">
        <v>2533021</v>
      </c>
      <c r="Y314" s="131">
        <v>70395202</v>
      </c>
      <c r="Z314" s="131">
        <v>0</v>
      </c>
      <c r="AA314" s="131">
        <v>0</v>
      </c>
      <c r="AB314" s="131">
        <v>0</v>
      </c>
      <c r="AC314" s="131">
        <v>0</v>
      </c>
      <c r="AD314" s="131">
        <v>0</v>
      </c>
      <c r="AE314" s="131">
        <v>0</v>
      </c>
      <c r="AF314" s="131">
        <v>72928223</v>
      </c>
      <c r="AG314" s="131">
        <v>2533021</v>
      </c>
      <c r="AH314" s="131">
        <v>70395202</v>
      </c>
      <c r="AI314" s="131">
        <v>70395202</v>
      </c>
      <c r="AJ314" s="131">
        <v>70395202</v>
      </c>
      <c r="AK314" s="131">
        <v>70395202</v>
      </c>
      <c r="AM314" s="131">
        <v>4790</v>
      </c>
      <c r="AN314" s="131">
        <v>4790</v>
      </c>
      <c r="AO314" s="131">
        <v>0</v>
      </c>
      <c r="AP314" s="131">
        <v>4790</v>
      </c>
      <c r="AQ314" s="131">
        <v>0</v>
      </c>
      <c r="AR314" s="131">
        <v>0</v>
      </c>
      <c r="AS314" t="s">
        <v>74</v>
      </c>
    </row>
    <row r="315" spans="1:45" ht="30" x14ac:dyDescent="0.25">
      <c r="A315">
        <v>2019</v>
      </c>
      <c r="B315">
        <v>318</v>
      </c>
      <c r="C315">
        <v>10204040214</v>
      </c>
      <c r="D315">
        <v>72</v>
      </c>
      <c r="E315" t="s">
        <v>3084</v>
      </c>
      <c r="F315">
        <v>10204040214</v>
      </c>
      <c r="G315" s="10" t="s">
        <v>705</v>
      </c>
      <c r="H315" t="s">
        <v>2584</v>
      </c>
      <c r="I315" s="131">
        <v>0</v>
      </c>
      <c r="J315" s="131">
        <v>0</v>
      </c>
      <c r="K315" s="131">
        <v>0</v>
      </c>
      <c r="L315" s="131">
        <v>0</v>
      </c>
      <c r="M315" s="131">
        <v>0</v>
      </c>
      <c r="N315" s="131">
        <v>0</v>
      </c>
      <c r="O315" s="131">
        <v>0</v>
      </c>
      <c r="P315" s="131">
        <v>0</v>
      </c>
      <c r="Q315" s="131">
        <v>0</v>
      </c>
      <c r="R315" s="131">
        <v>0</v>
      </c>
      <c r="S315" s="131">
        <v>0</v>
      </c>
      <c r="T315" s="131">
        <v>0</v>
      </c>
      <c r="U315" s="131">
        <v>0</v>
      </c>
      <c r="V315" s="131">
        <v>0</v>
      </c>
      <c r="W315" s="131">
        <v>4790</v>
      </c>
      <c r="X315" s="131">
        <v>0</v>
      </c>
      <c r="Y315" s="131">
        <v>4790</v>
      </c>
      <c r="Z315" s="131">
        <v>0</v>
      </c>
      <c r="AA315" s="131">
        <v>0</v>
      </c>
      <c r="AB315" s="131">
        <v>0</v>
      </c>
      <c r="AC315" s="131">
        <v>0</v>
      </c>
      <c r="AD315" s="131">
        <v>0</v>
      </c>
      <c r="AE315" s="131">
        <v>0</v>
      </c>
      <c r="AF315" s="131">
        <v>4790</v>
      </c>
      <c r="AG315" s="131">
        <v>0</v>
      </c>
      <c r="AH315" s="131">
        <v>4790</v>
      </c>
      <c r="AI315" s="131">
        <v>4790</v>
      </c>
      <c r="AJ315" s="131">
        <v>0</v>
      </c>
      <c r="AK315" s="131">
        <v>0</v>
      </c>
      <c r="AM315" s="131">
        <v>4790</v>
      </c>
      <c r="AN315" s="131">
        <v>4790</v>
      </c>
      <c r="AO315" s="131">
        <v>0</v>
      </c>
      <c r="AP315" s="131">
        <v>4790</v>
      </c>
      <c r="AQ315" s="131">
        <v>0</v>
      </c>
      <c r="AR315" s="131">
        <v>0</v>
      </c>
      <c r="AS315" t="s">
        <v>187</v>
      </c>
    </row>
    <row r="316" spans="1:45" ht="30" x14ac:dyDescent="0.25">
      <c r="A316">
        <v>2019</v>
      </c>
      <c r="B316">
        <v>318</v>
      </c>
      <c r="C316">
        <v>10204040215</v>
      </c>
      <c r="D316">
        <v>154</v>
      </c>
      <c r="E316" t="s">
        <v>3085</v>
      </c>
      <c r="F316">
        <v>10204040215</v>
      </c>
      <c r="G316" s="10" t="s">
        <v>795</v>
      </c>
      <c r="H316" t="s">
        <v>2584</v>
      </c>
      <c r="I316" s="131">
        <v>12872496</v>
      </c>
      <c r="J316" s="131">
        <v>12872496</v>
      </c>
      <c r="K316" s="131">
        <v>0</v>
      </c>
      <c r="L316" s="131">
        <v>0</v>
      </c>
      <c r="M316" s="131">
        <v>0</v>
      </c>
      <c r="N316" s="131">
        <v>0</v>
      </c>
      <c r="O316" s="131">
        <v>0</v>
      </c>
      <c r="P316" s="131">
        <v>12872496</v>
      </c>
      <c r="Q316" s="131">
        <v>0</v>
      </c>
      <c r="R316" s="131">
        <v>0</v>
      </c>
      <c r="S316" s="131">
        <v>0</v>
      </c>
      <c r="T316" s="131">
        <v>0</v>
      </c>
      <c r="U316" s="131">
        <v>0</v>
      </c>
      <c r="V316" s="131">
        <v>0</v>
      </c>
      <c r="W316" s="131">
        <v>22264200</v>
      </c>
      <c r="X316" s="131">
        <v>3991770</v>
      </c>
      <c r="Y316" s="131">
        <v>18272430</v>
      </c>
      <c r="Z316" s="131">
        <v>0</v>
      </c>
      <c r="AA316" s="131">
        <v>0</v>
      </c>
      <c r="AB316" s="131">
        <v>0</v>
      </c>
      <c r="AC316" s="131">
        <v>0</v>
      </c>
      <c r="AD316" s="131">
        <v>0</v>
      </c>
      <c r="AE316" s="131">
        <v>0</v>
      </c>
      <c r="AF316" s="131">
        <v>22264200</v>
      </c>
      <c r="AG316" s="131">
        <v>3991770</v>
      </c>
      <c r="AH316" s="131">
        <v>18272430</v>
      </c>
      <c r="AI316" s="131">
        <v>18272430</v>
      </c>
      <c r="AJ316" s="131">
        <v>18272430</v>
      </c>
      <c r="AK316" s="131">
        <v>18272430</v>
      </c>
      <c r="AM316" s="131">
        <v>0</v>
      </c>
      <c r="AN316" s="131">
        <v>0</v>
      </c>
      <c r="AO316" s="131">
        <v>0</v>
      </c>
      <c r="AP316" s="131">
        <v>0</v>
      </c>
      <c r="AQ316" s="131">
        <v>0</v>
      </c>
      <c r="AR316" s="131">
        <v>0</v>
      </c>
      <c r="AS316" t="s">
        <v>74</v>
      </c>
    </row>
    <row r="317" spans="1:45" ht="30" x14ac:dyDescent="0.25">
      <c r="A317">
        <v>2019</v>
      </c>
      <c r="B317">
        <v>318</v>
      </c>
      <c r="C317">
        <v>10204040216</v>
      </c>
      <c r="D317">
        <v>154</v>
      </c>
      <c r="E317" t="s">
        <v>3086</v>
      </c>
      <c r="F317">
        <v>10204040216</v>
      </c>
      <c r="G317" s="10" t="s">
        <v>797</v>
      </c>
      <c r="H317" t="s">
        <v>2584</v>
      </c>
      <c r="I317" s="131">
        <v>111701520</v>
      </c>
      <c r="J317" s="131">
        <v>111701520</v>
      </c>
      <c r="K317" s="131">
        <v>0</v>
      </c>
      <c r="L317" s="131">
        <v>0</v>
      </c>
      <c r="M317" s="131">
        <v>0</v>
      </c>
      <c r="N317" s="131">
        <v>0</v>
      </c>
      <c r="O317" s="131">
        <v>0</v>
      </c>
      <c r="P317" s="131">
        <v>111701520</v>
      </c>
      <c r="Q317" s="131">
        <v>0</v>
      </c>
      <c r="R317" s="131">
        <v>0</v>
      </c>
      <c r="S317" s="131">
        <v>0</v>
      </c>
      <c r="T317" s="131">
        <v>0</v>
      </c>
      <c r="U317" s="131">
        <v>0</v>
      </c>
      <c r="V317" s="131">
        <v>0</v>
      </c>
      <c r="W317" s="131">
        <v>128671535</v>
      </c>
      <c r="X317" s="131">
        <v>11457432</v>
      </c>
      <c r="Y317" s="131">
        <v>117214103</v>
      </c>
      <c r="Z317" s="131">
        <v>0</v>
      </c>
      <c r="AA317" s="131">
        <v>0</v>
      </c>
      <c r="AB317" s="131">
        <v>0</v>
      </c>
      <c r="AC317" s="131">
        <v>0</v>
      </c>
      <c r="AD317" s="131">
        <v>0</v>
      </c>
      <c r="AE317" s="131">
        <v>0</v>
      </c>
      <c r="AF317" s="131">
        <v>128671535</v>
      </c>
      <c r="AG317" s="131">
        <v>11457432</v>
      </c>
      <c r="AH317" s="131">
        <v>117214103</v>
      </c>
      <c r="AI317" s="131">
        <v>117214103</v>
      </c>
      <c r="AJ317" s="131">
        <v>117214103</v>
      </c>
      <c r="AK317" s="131">
        <v>117214103</v>
      </c>
      <c r="AM317" s="131">
        <v>0</v>
      </c>
      <c r="AN317" s="131">
        <v>0</v>
      </c>
      <c r="AO317" s="131">
        <v>0</v>
      </c>
      <c r="AP317" s="131">
        <v>0</v>
      </c>
      <c r="AQ317" s="131">
        <v>0</v>
      </c>
      <c r="AR317" s="131">
        <v>0</v>
      </c>
      <c r="AS317" t="s">
        <v>74</v>
      </c>
    </row>
    <row r="318" spans="1:45" x14ac:dyDescent="0.25">
      <c r="A318">
        <v>2019</v>
      </c>
      <c r="B318">
        <v>318</v>
      </c>
      <c r="C318">
        <v>10204040217</v>
      </c>
      <c r="D318">
        <v>154</v>
      </c>
      <c r="E318" t="s">
        <v>3087</v>
      </c>
      <c r="F318">
        <v>10204040217</v>
      </c>
      <c r="G318" s="10" t="s">
        <v>714</v>
      </c>
      <c r="H318" t="s">
        <v>2584</v>
      </c>
      <c r="I318" s="131">
        <v>29505199</v>
      </c>
      <c r="J318" s="131">
        <v>29505199</v>
      </c>
      <c r="K318" s="131">
        <v>0</v>
      </c>
      <c r="L318" s="131">
        <v>0</v>
      </c>
      <c r="M318" s="131">
        <v>0</v>
      </c>
      <c r="N318" s="131">
        <v>0</v>
      </c>
      <c r="O318" s="131">
        <v>0</v>
      </c>
      <c r="P318" s="131">
        <v>29505199</v>
      </c>
      <c r="Q318" s="131">
        <v>0</v>
      </c>
      <c r="R318" s="131">
        <v>0</v>
      </c>
      <c r="S318" s="131">
        <v>0</v>
      </c>
      <c r="T318" s="131">
        <v>0</v>
      </c>
      <c r="U318" s="131">
        <v>0</v>
      </c>
      <c r="V318" s="131">
        <v>0</v>
      </c>
      <c r="W318" s="131">
        <v>33424892</v>
      </c>
      <c r="X318" s="131">
        <v>6135924</v>
      </c>
      <c r="Y318" s="131">
        <v>27288968</v>
      </c>
      <c r="Z318" s="131">
        <v>0</v>
      </c>
      <c r="AA318" s="131">
        <v>0</v>
      </c>
      <c r="AB318" s="131">
        <v>0</v>
      </c>
      <c r="AC318" s="131">
        <v>0</v>
      </c>
      <c r="AD318" s="131">
        <v>0</v>
      </c>
      <c r="AE318" s="131">
        <v>0</v>
      </c>
      <c r="AF318" s="131">
        <v>33424892</v>
      </c>
      <c r="AG318" s="131">
        <v>6135924</v>
      </c>
      <c r="AH318" s="131">
        <v>27288968</v>
      </c>
      <c r="AI318" s="131">
        <v>27288968</v>
      </c>
      <c r="AJ318" s="131">
        <v>27288968</v>
      </c>
      <c r="AK318" s="131">
        <v>27288968</v>
      </c>
      <c r="AM318" s="131">
        <v>2326598</v>
      </c>
      <c r="AN318" s="131">
        <v>2326598</v>
      </c>
      <c r="AO318" s="131">
        <v>0</v>
      </c>
      <c r="AP318" s="131">
        <v>2326598</v>
      </c>
      <c r="AQ318" s="131">
        <v>0</v>
      </c>
      <c r="AR318" s="131">
        <v>0</v>
      </c>
      <c r="AS318" t="s">
        <v>74</v>
      </c>
    </row>
    <row r="319" spans="1:45" x14ac:dyDescent="0.25">
      <c r="A319">
        <v>2019</v>
      </c>
      <c r="B319">
        <v>318</v>
      </c>
      <c r="C319">
        <v>10204040217</v>
      </c>
      <c r="D319">
        <v>72</v>
      </c>
      <c r="E319" t="s">
        <v>3088</v>
      </c>
      <c r="F319">
        <v>10204040217</v>
      </c>
      <c r="G319" s="10" t="s">
        <v>714</v>
      </c>
      <c r="H319" t="s">
        <v>2584</v>
      </c>
      <c r="I319" s="131">
        <v>26494801</v>
      </c>
      <c r="J319" s="131">
        <v>26494801</v>
      </c>
      <c r="K319" s="131">
        <v>0</v>
      </c>
      <c r="L319" s="131">
        <v>0</v>
      </c>
      <c r="M319" s="131">
        <v>0</v>
      </c>
      <c r="N319" s="131">
        <v>0</v>
      </c>
      <c r="O319" s="131">
        <v>0</v>
      </c>
      <c r="P319" s="131">
        <v>26494801</v>
      </c>
      <c r="Q319" s="131">
        <v>0</v>
      </c>
      <c r="R319" s="131">
        <v>0</v>
      </c>
      <c r="S319" s="131">
        <v>0</v>
      </c>
      <c r="T319" s="131">
        <v>0</v>
      </c>
      <c r="U319" s="131">
        <v>0</v>
      </c>
      <c r="V319" s="131">
        <v>0</v>
      </c>
      <c r="W319" s="131">
        <v>22654828.18</v>
      </c>
      <c r="X319" s="131">
        <v>903073.5</v>
      </c>
      <c r="Y319" s="131">
        <v>21751754.68</v>
      </c>
      <c r="Z319" s="131">
        <v>0</v>
      </c>
      <c r="AA319" s="131">
        <v>0</v>
      </c>
      <c r="AB319" s="131">
        <v>0</v>
      </c>
      <c r="AC319" s="131">
        <v>0</v>
      </c>
      <c r="AD319" s="131">
        <v>0</v>
      </c>
      <c r="AE319" s="131">
        <v>0</v>
      </c>
      <c r="AF319" s="131">
        <v>22654828.18</v>
      </c>
      <c r="AG319" s="131">
        <v>903073.5</v>
      </c>
      <c r="AH319" s="131">
        <v>21751754.68</v>
      </c>
      <c r="AI319" s="131">
        <v>21751754.68</v>
      </c>
      <c r="AJ319" s="131">
        <v>0</v>
      </c>
      <c r="AK319" s="131">
        <v>0</v>
      </c>
      <c r="AM319" s="131">
        <v>21751754.68</v>
      </c>
      <c r="AN319" s="131">
        <v>22654828.18</v>
      </c>
      <c r="AO319" s="131">
        <v>903073.5</v>
      </c>
      <c r="AP319" s="131">
        <v>22654828.18</v>
      </c>
      <c r="AQ319" s="131">
        <v>0</v>
      </c>
      <c r="AR319" s="131">
        <v>903073.5</v>
      </c>
      <c r="AS319" t="s">
        <v>187</v>
      </c>
    </row>
    <row r="320" spans="1:45" x14ac:dyDescent="0.25">
      <c r="A320">
        <v>2019</v>
      </c>
      <c r="B320">
        <v>318</v>
      </c>
      <c r="C320">
        <v>10204040218</v>
      </c>
      <c r="D320">
        <v>72</v>
      </c>
      <c r="E320" t="s">
        <v>3089</v>
      </c>
      <c r="F320">
        <v>10204040218</v>
      </c>
      <c r="G320" s="10" t="s">
        <v>823</v>
      </c>
      <c r="H320" t="s">
        <v>2584</v>
      </c>
      <c r="I320" s="131">
        <v>0</v>
      </c>
      <c r="J320" s="131">
        <v>0</v>
      </c>
      <c r="K320" s="131">
        <v>0</v>
      </c>
      <c r="L320" s="131">
        <v>0</v>
      </c>
      <c r="M320" s="131">
        <v>0</v>
      </c>
      <c r="N320" s="131">
        <v>0</v>
      </c>
      <c r="O320" s="131">
        <v>0</v>
      </c>
      <c r="P320" s="131">
        <v>0</v>
      </c>
      <c r="Q320" s="131">
        <v>0</v>
      </c>
      <c r="R320" s="131">
        <v>0</v>
      </c>
      <c r="S320" s="131">
        <v>0</v>
      </c>
      <c r="T320" s="131">
        <v>0</v>
      </c>
      <c r="U320" s="131">
        <v>0</v>
      </c>
      <c r="V320" s="131">
        <v>0</v>
      </c>
      <c r="W320" s="131">
        <v>34514671</v>
      </c>
      <c r="X320" s="131">
        <v>0</v>
      </c>
      <c r="Y320" s="131">
        <v>34514671</v>
      </c>
      <c r="Z320" s="131">
        <v>0</v>
      </c>
      <c r="AA320" s="131">
        <v>0</v>
      </c>
      <c r="AB320" s="131">
        <v>0</v>
      </c>
      <c r="AC320" s="131">
        <v>0</v>
      </c>
      <c r="AD320" s="131">
        <v>0</v>
      </c>
      <c r="AE320" s="131">
        <v>0</v>
      </c>
      <c r="AF320" s="131">
        <v>34514671</v>
      </c>
      <c r="AG320" s="131">
        <v>0</v>
      </c>
      <c r="AH320" s="131">
        <v>34514671</v>
      </c>
      <c r="AI320" s="131">
        <v>34514671</v>
      </c>
      <c r="AJ320" s="131">
        <v>0</v>
      </c>
      <c r="AK320" s="131">
        <v>0</v>
      </c>
      <c r="AM320" s="131">
        <v>34514671</v>
      </c>
      <c r="AN320" s="131">
        <v>34514671</v>
      </c>
      <c r="AO320" s="131">
        <v>0</v>
      </c>
      <c r="AP320" s="131">
        <v>34514671</v>
      </c>
      <c r="AQ320" s="131">
        <v>0</v>
      </c>
      <c r="AR320" s="131">
        <v>0</v>
      </c>
      <c r="AS320" t="s">
        <v>187</v>
      </c>
    </row>
    <row r="321" spans="1:45" ht="30" x14ac:dyDescent="0.25">
      <c r="A321">
        <v>2019</v>
      </c>
      <c r="B321">
        <v>318</v>
      </c>
      <c r="C321">
        <v>10204040219</v>
      </c>
      <c r="D321">
        <v>154</v>
      </c>
      <c r="E321" t="s">
        <v>3090</v>
      </c>
      <c r="F321">
        <v>10204040219</v>
      </c>
      <c r="G321" s="10" t="s">
        <v>3091</v>
      </c>
      <c r="H321" t="s">
        <v>2584</v>
      </c>
      <c r="I321" s="131">
        <v>0</v>
      </c>
      <c r="J321" s="131">
        <v>0</v>
      </c>
      <c r="K321" s="131">
        <v>0</v>
      </c>
      <c r="L321" s="131">
        <v>0</v>
      </c>
      <c r="M321" s="131">
        <v>0</v>
      </c>
      <c r="N321" s="131">
        <v>0</v>
      </c>
      <c r="O321" s="131">
        <v>0</v>
      </c>
      <c r="P321" s="131">
        <v>0</v>
      </c>
      <c r="Q321" s="131">
        <v>0</v>
      </c>
      <c r="R321" s="131">
        <v>0</v>
      </c>
      <c r="S321" s="131">
        <v>0</v>
      </c>
      <c r="T321" s="131">
        <v>0</v>
      </c>
      <c r="U321" s="131">
        <v>0</v>
      </c>
      <c r="V321" s="131">
        <v>0</v>
      </c>
      <c r="W321" s="131">
        <v>0</v>
      </c>
      <c r="X321" s="131">
        <v>0</v>
      </c>
      <c r="Y321" s="131">
        <v>0</v>
      </c>
      <c r="Z321" s="131">
        <v>0</v>
      </c>
      <c r="AA321" s="131">
        <v>0</v>
      </c>
      <c r="AB321" s="131">
        <v>0</v>
      </c>
      <c r="AC321" s="131">
        <v>0</v>
      </c>
      <c r="AD321" s="131">
        <v>0</v>
      </c>
      <c r="AE321" s="131">
        <v>0</v>
      </c>
      <c r="AF321" s="131">
        <v>0</v>
      </c>
      <c r="AG321" s="131">
        <v>0</v>
      </c>
      <c r="AH321" s="131">
        <v>0</v>
      </c>
      <c r="AI321" s="131">
        <v>0</v>
      </c>
      <c r="AJ321" s="131">
        <v>0</v>
      </c>
      <c r="AK321" s="131">
        <v>0</v>
      </c>
      <c r="AM321" s="131">
        <v>0</v>
      </c>
      <c r="AN321" s="131">
        <v>0</v>
      </c>
      <c r="AO321" s="131">
        <v>0</v>
      </c>
      <c r="AP321" s="131">
        <v>0</v>
      </c>
      <c r="AQ321" s="131">
        <v>0</v>
      </c>
      <c r="AR321" s="131">
        <v>0</v>
      </c>
      <c r="AS321" t="s">
        <v>74</v>
      </c>
    </row>
    <row r="322" spans="1:45" x14ac:dyDescent="0.25">
      <c r="A322">
        <v>2019</v>
      </c>
      <c r="B322">
        <v>318</v>
      </c>
      <c r="C322">
        <v>102040403</v>
      </c>
      <c r="D322" t="s">
        <v>226</v>
      </c>
      <c r="E322" t="s">
        <v>3092</v>
      </c>
      <c r="F322">
        <v>102040403</v>
      </c>
      <c r="G322" s="10" t="s">
        <v>954</v>
      </c>
      <c r="H322" t="s">
        <v>2584</v>
      </c>
      <c r="I322" s="131">
        <v>30395067</v>
      </c>
      <c r="J322" s="131">
        <v>30395067</v>
      </c>
      <c r="K322" s="131">
        <v>1226929503</v>
      </c>
      <c r="L322" s="131">
        <v>0</v>
      </c>
      <c r="M322" s="131">
        <v>1226929503</v>
      </c>
      <c r="N322" s="131">
        <v>1226929503</v>
      </c>
      <c r="O322" s="131">
        <v>0</v>
      </c>
      <c r="P322" s="131">
        <v>1257324570</v>
      </c>
      <c r="Q322" s="131">
        <v>0</v>
      </c>
      <c r="R322" s="131">
        <v>0</v>
      </c>
      <c r="S322" s="131">
        <v>0</v>
      </c>
      <c r="T322" s="131">
        <v>0</v>
      </c>
      <c r="U322" s="131">
        <v>0</v>
      </c>
      <c r="V322" s="131">
        <v>0</v>
      </c>
      <c r="W322" s="131">
        <v>1234080898.52</v>
      </c>
      <c r="X322" s="131">
        <v>0</v>
      </c>
      <c r="Y322" s="131">
        <v>1234080898.52</v>
      </c>
      <c r="Z322" s="131">
        <v>0</v>
      </c>
      <c r="AA322" s="131">
        <v>0</v>
      </c>
      <c r="AB322" s="131">
        <v>0</v>
      </c>
      <c r="AC322" s="131">
        <v>0</v>
      </c>
      <c r="AD322" s="131">
        <v>0</v>
      </c>
      <c r="AE322" s="131">
        <v>0</v>
      </c>
      <c r="AF322" s="131">
        <v>1234080898.52</v>
      </c>
      <c r="AG322" s="131">
        <v>0</v>
      </c>
      <c r="AH322" s="131">
        <v>1234080898.52</v>
      </c>
      <c r="AI322" s="131">
        <v>1234080898.52</v>
      </c>
      <c r="AJ322" s="131">
        <v>1226929503</v>
      </c>
      <c r="AK322" s="131">
        <v>1226929503</v>
      </c>
      <c r="AM322" s="131">
        <v>7151395.5199999996</v>
      </c>
      <c r="AN322" s="131">
        <v>7151395.5199999996</v>
      </c>
      <c r="AO322" s="131">
        <v>0</v>
      </c>
      <c r="AP322" s="131">
        <v>7151395.5199999996</v>
      </c>
      <c r="AQ322" s="131">
        <v>0</v>
      </c>
      <c r="AR322" s="131">
        <v>0</v>
      </c>
      <c r="AS322" t="s">
        <v>1709</v>
      </c>
    </row>
    <row r="323" spans="1:45" x14ac:dyDescent="0.25">
      <c r="A323">
        <v>2019</v>
      </c>
      <c r="B323">
        <v>318</v>
      </c>
      <c r="C323">
        <v>10204040301</v>
      </c>
      <c r="D323" t="s">
        <v>226</v>
      </c>
      <c r="E323" t="s">
        <v>3093</v>
      </c>
      <c r="F323">
        <v>10204040301</v>
      </c>
      <c r="G323" s="10" t="s">
        <v>2736</v>
      </c>
      <c r="H323" t="s">
        <v>2584</v>
      </c>
      <c r="I323" s="131">
        <v>0</v>
      </c>
      <c r="J323" s="131">
        <v>0</v>
      </c>
      <c r="K323" s="131">
        <v>1226929503</v>
      </c>
      <c r="L323" s="131">
        <v>0</v>
      </c>
      <c r="M323" s="131">
        <v>1226929503</v>
      </c>
      <c r="N323" s="131">
        <v>1226929503</v>
      </c>
      <c r="O323" s="131">
        <v>0</v>
      </c>
      <c r="P323" s="131">
        <v>1226929503</v>
      </c>
      <c r="Q323" s="131">
        <v>0</v>
      </c>
      <c r="R323" s="131">
        <v>0</v>
      </c>
      <c r="S323" s="131">
        <v>0</v>
      </c>
      <c r="T323" s="131">
        <v>0</v>
      </c>
      <c r="U323" s="131">
        <v>0</v>
      </c>
      <c r="V323" s="131">
        <v>0</v>
      </c>
      <c r="W323" s="131">
        <v>1226929503</v>
      </c>
      <c r="X323" s="131">
        <v>0</v>
      </c>
      <c r="Y323" s="131">
        <v>1226929503</v>
      </c>
      <c r="Z323" s="131">
        <v>0</v>
      </c>
      <c r="AA323" s="131">
        <v>0</v>
      </c>
      <c r="AB323" s="131">
        <v>0</v>
      </c>
      <c r="AC323" s="131">
        <v>0</v>
      </c>
      <c r="AD323" s="131">
        <v>0</v>
      </c>
      <c r="AE323" s="131">
        <v>0</v>
      </c>
      <c r="AF323" s="131">
        <v>1226929503</v>
      </c>
      <c r="AG323" s="131">
        <v>0</v>
      </c>
      <c r="AH323" s="131">
        <v>1226929503</v>
      </c>
      <c r="AI323" s="131">
        <v>1226929503</v>
      </c>
      <c r="AJ323" s="131">
        <v>1226929503</v>
      </c>
      <c r="AK323" s="131">
        <v>1226929503</v>
      </c>
      <c r="AM323" s="131">
        <v>0</v>
      </c>
      <c r="AN323" s="131">
        <v>0</v>
      </c>
      <c r="AO323" s="131">
        <v>0</v>
      </c>
      <c r="AP323" s="131">
        <v>0</v>
      </c>
      <c r="AQ323" s="131">
        <v>0</v>
      </c>
      <c r="AR323" s="131">
        <v>0</v>
      </c>
      <c r="AS323" t="s">
        <v>1709</v>
      </c>
    </row>
    <row r="324" spans="1:45" x14ac:dyDescent="0.25">
      <c r="A324">
        <v>2019</v>
      </c>
      <c r="B324">
        <v>318</v>
      </c>
      <c r="C324">
        <v>1020404030101</v>
      </c>
      <c r="D324" t="s">
        <v>226</v>
      </c>
      <c r="E324" t="s">
        <v>3094</v>
      </c>
      <c r="F324">
        <v>1020404030101</v>
      </c>
      <c r="G324" s="10" t="s">
        <v>2766</v>
      </c>
      <c r="H324" t="s">
        <v>2584</v>
      </c>
      <c r="I324" s="131">
        <v>0</v>
      </c>
      <c r="J324" s="131">
        <v>0</v>
      </c>
      <c r="K324" s="131">
        <v>1226929503</v>
      </c>
      <c r="L324" s="131">
        <v>0</v>
      </c>
      <c r="M324" s="131">
        <v>1226929503</v>
      </c>
      <c r="N324" s="131">
        <v>1226929503</v>
      </c>
      <c r="O324" s="131">
        <v>0</v>
      </c>
      <c r="P324" s="131">
        <v>1226929503</v>
      </c>
      <c r="Q324" s="131">
        <v>0</v>
      </c>
      <c r="R324" s="131">
        <v>0</v>
      </c>
      <c r="S324" s="131">
        <v>0</v>
      </c>
      <c r="T324" s="131">
        <v>0</v>
      </c>
      <c r="U324" s="131">
        <v>0</v>
      </c>
      <c r="V324" s="131">
        <v>0</v>
      </c>
      <c r="W324" s="131">
        <v>1226929503</v>
      </c>
      <c r="X324" s="131">
        <v>0</v>
      </c>
      <c r="Y324" s="131">
        <v>1226929503</v>
      </c>
      <c r="Z324" s="131">
        <v>0</v>
      </c>
      <c r="AA324" s="131">
        <v>0</v>
      </c>
      <c r="AB324" s="131">
        <v>0</v>
      </c>
      <c r="AC324" s="131">
        <v>0</v>
      </c>
      <c r="AD324" s="131">
        <v>0</v>
      </c>
      <c r="AE324" s="131">
        <v>0</v>
      </c>
      <c r="AF324" s="131">
        <v>1226929503</v>
      </c>
      <c r="AG324" s="131">
        <v>0</v>
      </c>
      <c r="AH324" s="131">
        <v>1226929503</v>
      </c>
      <c r="AI324" s="131">
        <v>1226929503</v>
      </c>
      <c r="AJ324" s="131">
        <v>1226929503</v>
      </c>
      <c r="AK324" s="131">
        <v>1226929503</v>
      </c>
      <c r="AM324" s="131">
        <v>0</v>
      </c>
      <c r="AN324" s="131">
        <v>0</v>
      </c>
      <c r="AO324" s="131">
        <v>0</v>
      </c>
      <c r="AP324" s="131">
        <v>0</v>
      </c>
      <c r="AQ324" s="131">
        <v>0</v>
      </c>
      <c r="AR324" s="131">
        <v>0</v>
      </c>
      <c r="AS324" t="s">
        <v>1709</v>
      </c>
    </row>
    <row r="325" spans="1:45" ht="30" x14ac:dyDescent="0.25">
      <c r="A325">
        <v>2019</v>
      </c>
      <c r="B325">
        <v>318</v>
      </c>
      <c r="C325">
        <v>102040403010101</v>
      </c>
      <c r="D325" t="s">
        <v>226</v>
      </c>
      <c r="E325" t="s">
        <v>3095</v>
      </c>
      <c r="F325">
        <v>102040403010101</v>
      </c>
      <c r="G325" s="10" t="s">
        <v>2771</v>
      </c>
      <c r="H325" t="s">
        <v>2584</v>
      </c>
      <c r="I325" s="131">
        <v>0</v>
      </c>
      <c r="J325" s="131">
        <v>0</v>
      </c>
      <c r="K325" s="131">
        <v>1226929503</v>
      </c>
      <c r="L325" s="131">
        <v>0</v>
      </c>
      <c r="M325" s="131">
        <v>1226929503</v>
      </c>
      <c r="N325" s="131">
        <v>1226929503</v>
      </c>
      <c r="O325" s="131">
        <v>0</v>
      </c>
      <c r="P325" s="131">
        <v>1226929503</v>
      </c>
      <c r="Q325" s="131">
        <v>0</v>
      </c>
      <c r="R325" s="131">
        <v>0</v>
      </c>
      <c r="S325" s="131">
        <v>0</v>
      </c>
      <c r="T325" s="131">
        <v>0</v>
      </c>
      <c r="U325" s="131">
        <v>0</v>
      </c>
      <c r="V325" s="131">
        <v>0</v>
      </c>
      <c r="W325" s="131">
        <v>1226929503</v>
      </c>
      <c r="X325" s="131">
        <v>0</v>
      </c>
      <c r="Y325" s="131">
        <v>1226929503</v>
      </c>
      <c r="Z325" s="131">
        <v>0</v>
      </c>
      <c r="AA325" s="131">
        <v>0</v>
      </c>
      <c r="AB325" s="131">
        <v>0</v>
      </c>
      <c r="AC325" s="131">
        <v>0</v>
      </c>
      <c r="AD325" s="131">
        <v>0</v>
      </c>
      <c r="AE325" s="131">
        <v>0</v>
      </c>
      <c r="AF325" s="131">
        <v>1226929503</v>
      </c>
      <c r="AG325" s="131">
        <v>0</v>
      </c>
      <c r="AH325" s="131">
        <v>1226929503</v>
      </c>
      <c r="AI325" s="131">
        <v>1226929503</v>
      </c>
      <c r="AJ325" s="131">
        <v>1226929503</v>
      </c>
      <c r="AK325" s="131">
        <v>1226929503</v>
      </c>
      <c r="AM325" s="131">
        <v>0</v>
      </c>
      <c r="AN325" s="131">
        <v>0</v>
      </c>
      <c r="AO325" s="131">
        <v>0</v>
      </c>
      <c r="AP325" s="131">
        <v>0</v>
      </c>
      <c r="AQ325" s="131">
        <v>0</v>
      </c>
      <c r="AR325" s="131">
        <v>0</v>
      </c>
      <c r="AS325" t="s">
        <v>1709</v>
      </c>
    </row>
    <row r="326" spans="1:45" x14ac:dyDescent="0.25">
      <c r="A326">
        <v>2019</v>
      </c>
      <c r="B326">
        <v>318</v>
      </c>
      <c r="C326">
        <v>1.02040403010101E+16</v>
      </c>
      <c r="D326">
        <v>96</v>
      </c>
      <c r="E326" t="s">
        <v>3096</v>
      </c>
      <c r="F326">
        <v>1.02040403010101E+16</v>
      </c>
      <c r="G326" s="10" t="s">
        <v>3097</v>
      </c>
      <c r="H326" t="s">
        <v>2584</v>
      </c>
      <c r="I326" s="131">
        <v>0</v>
      </c>
      <c r="J326" s="131">
        <v>0</v>
      </c>
      <c r="K326" s="131">
        <v>527871254</v>
      </c>
      <c r="L326" s="131">
        <v>0</v>
      </c>
      <c r="M326" s="131">
        <v>527871254</v>
      </c>
      <c r="N326" s="131">
        <v>527871254</v>
      </c>
      <c r="O326" s="131">
        <v>0</v>
      </c>
      <c r="P326" s="131">
        <v>527871254</v>
      </c>
      <c r="Q326" s="131">
        <v>0</v>
      </c>
      <c r="R326" s="131">
        <v>0</v>
      </c>
      <c r="S326" s="131">
        <v>0</v>
      </c>
      <c r="T326" s="131">
        <v>0</v>
      </c>
      <c r="U326" s="131">
        <v>0</v>
      </c>
      <c r="V326" s="131">
        <v>0</v>
      </c>
      <c r="W326" s="131">
        <v>527871254</v>
      </c>
      <c r="X326" s="131">
        <v>0</v>
      </c>
      <c r="Y326" s="131">
        <v>527871254</v>
      </c>
      <c r="Z326" s="131">
        <v>0</v>
      </c>
      <c r="AA326" s="131">
        <v>0</v>
      </c>
      <c r="AB326" s="131">
        <v>0</v>
      </c>
      <c r="AC326" s="131">
        <v>0</v>
      </c>
      <c r="AD326" s="131">
        <v>0</v>
      </c>
      <c r="AE326" s="131">
        <v>0</v>
      </c>
      <c r="AF326" s="131">
        <v>527871254</v>
      </c>
      <c r="AG326" s="131">
        <v>0</v>
      </c>
      <c r="AH326" s="131">
        <v>527871254</v>
      </c>
      <c r="AI326" s="131">
        <v>527871254</v>
      </c>
      <c r="AJ326" s="131">
        <v>527871254</v>
      </c>
      <c r="AK326" s="131">
        <v>527871254</v>
      </c>
      <c r="AM326" s="131">
        <v>0</v>
      </c>
      <c r="AN326" s="131">
        <v>0</v>
      </c>
      <c r="AO326" s="131">
        <v>0</v>
      </c>
      <c r="AP326" s="131">
        <v>0</v>
      </c>
      <c r="AQ326" s="131">
        <v>0</v>
      </c>
      <c r="AR326" s="131">
        <v>0</v>
      </c>
      <c r="AS326" t="s">
        <v>215</v>
      </c>
    </row>
    <row r="327" spans="1:45" ht="30" x14ac:dyDescent="0.25">
      <c r="A327">
        <v>2019</v>
      </c>
      <c r="B327">
        <v>318</v>
      </c>
      <c r="C327">
        <v>1.02040403010101E+16</v>
      </c>
      <c r="D327">
        <v>162</v>
      </c>
      <c r="E327" t="s">
        <v>3098</v>
      </c>
      <c r="F327">
        <v>1.02040403010101E+16</v>
      </c>
      <c r="G327" s="10" t="s">
        <v>2992</v>
      </c>
      <c r="H327" t="s">
        <v>2584</v>
      </c>
      <c r="I327" s="131">
        <v>0</v>
      </c>
      <c r="J327" s="131">
        <v>0</v>
      </c>
      <c r="K327" s="131">
        <v>130836198</v>
      </c>
      <c r="L327" s="131">
        <v>0</v>
      </c>
      <c r="M327" s="131">
        <v>130836198</v>
      </c>
      <c r="N327" s="131">
        <v>130836198</v>
      </c>
      <c r="O327" s="131">
        <v>0</v>
      </c>
      <c r="P327" s="131">
        <v>130836198</v>
      </c>
      <c r="Q327" s="131">
        <v>0</v>
      </c>
      <c r="R327" s="131">
        <v>0</v>
      </c>
      <c r="S327" s="131">
        <v>0</v>
      </c>
      <c r="T327" s="131">
        <v>0</v>
      </c>
      <c r="U327" s="131">
        <v>0</v>
      </c>
      <c r="V327" s="131">
        <v>0</v>
      </c>
      <c r="W327" s="131">
        <v>130836198</v>
      </c>
      <c r="X327" s="131">
        <v>0</v>
      </c>
      <c r="Y327" s="131">
        <v>130836198</v>
      </c>
      <c r="Z327" s="131">
        <v>0</v>
      </c>
      <c r="AA327" s="131">
        <v>0</v>
      </c>
      <c r="AB327" s="131">
        <v>0</v>
      </c>
      <c r="AC327" s="131">
        <v>0</v>
      </c>
      <c r="AD327" s="131">
        <v>0</v>
      </c>
      <c r="AE327" s="131">
        <v>0</v>
      </c>
      <c r="AF327" s="131">
        <v>130836198</v>
      </c>
      <c r="AG327" s="131">
        <v>0</v>
      </c>
      <c r="AH327" s="131">
        <v>130836198</v>
      </c>
      <c r="AI327" s="131">
        <v>130836198</v>
      </c>
      <c r="AJ327" s="131">
        <v>130836198</v>
      </c>
      <c r="AK327" s="131">
        <v>130836198</v>
      </c>
      <c r="AM327" s="131">
        <v>0</v>
      </c>
      <c r="AN327" s="131">
        <v>0</v>
      </c>
      <c r="AO327" s="131">
        <v>0</v>
      </c>
      <c r="AP327" s="131">
        <v>0</v>
      </c>
      <c r="AQ327" s="131">
        <v>0</v>
      </c>
      <c r="AR327" s="131">
        <v>0</v>
      </c>
      <c r="AS327" t="s">
        <v>3099</v>
      </c>
    </row>
    <row r="328" spans="1:45" x14ac:dyDescent="0.25">
      <c r="A328">
        <v>2019</v>
      </c>
      <c r="B328">
        <v>318</v>
      </c>
      <c r="C328">
        <v>1.02040403010101E+16</v>
      </c>
      <c r="D328">
        <v>154</v>
      </c>
      <c r="E328" t="s">
        <v>3100</v>
      </c>
      <c r="F328">
        <v>1.02040403010101E+16</v>
      </c>
      <c r="G328" s="10" t="s">
        <v>3101</v>
      </c>
      <c r="H328" t="s">
        <v>2584</v>
      </c>
      <c r="I328" s="131">
        <v>0</v>
      </c>
      <c r="J328" s="131">
        <v>0</v>
      </c>
      <c r="K328" s="131">
        <v>568222051</v>
      </c>
      <c r="L328" s="131">
        <v>0</v>
      </c>
      <c r="M328" s="131">
        <v>568222051</v>
      </c>
      <c r="N328" s="131">
        <v>568222051</v>
      </c>
      <c r="O328" s="131">
        <v>0</v>
      </c>
      <c r="P328" s="131">
        <v>568222051</v>
      </c>
      <c r="Q328" s="131">
        <v>0</v>
      </c>
      <c r="R328" s="131">
        <v>0</v>
      </c>
      <c r="S328" s="131">
        <v>0</v>
      </c>
      <c r="T328" s="131">
        <v>0</v>
      </c>
      <c r="U328" s="131">
        <v>0</v>
      </c>
      <c r="V328" s="131">
        <v>0</v>
      </c>
      <c r="W328" s="131">
        <v>568222051</v>
      </c>
      <c r="X328" s="131">
        <v>0</v>
      </c>
      <c r="Y328" s="131">
        <v>568222051</v>
      </c>
      <c r="Z328" s="131">
        <v>0</v>
      </c>
      <c r="AA328" s="131">
        <v>0</v>
      </c>
      <c r="AB328" s="131">
        <v>0</v>
      </c>
      <c r="AC328" s="131">
        <v>0</v>
      </c>
      <c r="AD328" s="131">
        <v>0</v>
      </c>
      <c r="AE328" s="131">
        <v>0</v>
      </c>
      <c r="AF328" s="131">
        <v>568222051</v>
      </c>
      <c r="AG328" s="131">
        <v>0</v>
      </c>
      <c r="AH328" s="131">
        <v>568222051</v>
      </c>
      <c r="AI328" s="131">
        <v>568222051</v>
      </c>
      <c r="AJ328" s="131">
        <v>568222051</v>
      </c>
      <c r="AK328" s="131">
        <v>568222051</v>
      </c>
      <c r="AM328" s="131">
        <v>0</v>
      </c>
      <c r="AN328" s="131">
        <v>0</v>
      </c>
      <c r="AO328" s="131">
        <v>0</v>
      </c>
      <c r="AP328" s="131">
        <v>0</v>
      </c>
      <c r="AQ328" s="131">
        <v>0</v>
      </c>
      <c r="AR328" s="131">
        <v>0</v>
      </c>
      <c r="AS328" t="s">
        <v>74</v>
      </c>
    </row>
    <row r="329" spans="1:45" ht="30" x14ac:dyDescent="0.25">
      <c r="A329">
        <v>2019</v>
      </c>
      <c r="B329">
        <v>318</v>
      </c>
      <c r="C329">
        <v>10204040302</v>
      </c>
      <c r="D329" t="s">
        <v>226</v>
      </c>
      <c r="E329" t="s">
        <v>3102</v>
      </c>
      <c r="F329">
        <v>10204040302</v>
      </c>
      <c r="G329" s="10" t="s">
        <v>3103</v>
      </c>
      <c r="H329" t="s">
        <v>2584</v>
      </c>
      <c r="I329" s="131">
        <v>30395067</v>
      </c>
      <c r="J329" s="131">
        <v>30395067</v>
      </c>
      <c r="K329" s="131">
        <v>0</v>
      </c>
      <c r="L329" s="131">
        <v>0</v>
      </c>
      <c r="M329" s="131">
        <v>0</v>
      </c>
      <c r="N329" s="131">
        <v>0</v>
      </c>
      <c r="O329" s="131">
        <v>0</v>
      </c>
      <c r="P329" s="131">
        <v>30395067</v>
      </c>
      <c r="Q329" s="131">
        <v>0</v>
      </c>
      <c r="R329" s="131">
        <v>0</v>
      </c>
      <c r="S329" s="131">
        <v>0</v>
      </c>
      <c r="T329" s="131">
        <v>0</v>
      </c>
      <c r="U329" s="131">
        <v>0</v>
      </c>
      <c r="V329" s="131">
        <v>0</v>
      </c>
      <c r="W329" s="131">
        <v>7151395.5199999996</v>
      </c>
      <c r="X329" s="131">
        <v>0</v>
      </c>
      <c r="Y329" s="131">
        <v>7151395.5199999996</v>
      </c>
      <c r="Z329" s="131">
        <v>0</v>
      </c>
      <c r="AA329" s="131">
        <v>0</v>
      </c>
      <c r="AB329" s="131">
        <v>0</v>
      </c>
      <c r="AC329" s="131">
        <v>0</v>
      </c>
      <c r="AD329" s="131">
        <v>0</v>
      </c>
      <c r="AE329" s="131">
        <v>0</v>
      </c>
      <c r="AF329" s="131">
        <v>7151395.5199999996</v>
      </c>
      <c r="AG329" s="131">
        <v>0</v>
      </c>
      <c r="AH329" s="131">
        <v>7151395.5199999996</v>
      </c>
      <c r="AI329" s="131">
        <v>7151395.5199999996</v>
      </c>
      <c r="AJ329" s="131">
        <v>0</v>
      </c>
      <c r="AK329" s="131">
        <v>0</v>
      </c>
      <c r="AM329" s="131">
        <v>7151395.5199999996</v>
      </c>
      <c r="AN329" s="131">
        <v>7151395.5199999996</v>
      </c>
      <c r="AO329" s="131">
        <v>0</v>
      </c>
      <c r="AP329" s="131">
        <v>7151395.5199999996</v>
      </c>
      <c r="AQ329" s="131">
        <v>0</v>
      </c>
      <c r="AR329" s="131">
        <v>0</v>
      </c>
      <c r="AS329" t="s">
        <v>1709</v>
      </c>
    </row>
    <row r="330" spans="1:45" x14ac:dyDescent="0.25">
      <c r="A330">
        <v>2019</v>
      </c>
      <c r="B330">
        <v>318</v>
      </c>
      <c r="C330">
        <v>1020404030201</v>
      </c>
      <c r="D330">
        <v>72</v>
      </c>
      <c r="E330" t="s">
        <v>3104</v>
      </c>
      <c r="F330">
        <v>1020404030201</v>
      </c>
      <c r="G330" s="10" t="s">
        <v>857</v>
      </c>
      <c r="H330" t="s">
        <v>2584</v>
      </c>
      <c r="I330" s="131">
        <v>30395067</v>
      </c>
      <c r="J330" s="131">
        <v>30395067</v>
      </c>
      <c r="K330" s="131">
        <v>0</v>
      </c>
      <c r="L330" s="131">
        <v>0</v>
      </c>
      <c r="M330" s="131">
        <v>0</v>
      </c>
      <c r="N330" s="131">
        <v>0</v>
      </c>
      <c r="O330" s="131">
        <v>0</v>
      </c>
      <c r="P330" s="131">
        <v>30395067</v>
      </c>
      <c r="Q330" s="131">
        <v>0</v>
      </c>
      <c r="R330" s="131">
        <v>0</v>
      </c>
      <c r="S330" s="131">
        <v>0</v>
      </c>
      <c r="T330" s="131">
        <v>0</v>
      </c>
      <c r="U330" s="131">
        <v>0</v>
      </c>
      <c r="V330" s="131">
        <v>0</v>
      </c>
      <c r="W330" s="131">
        <v>6336071.4800000004</v>
      </c>
      <c r="X330" s="131">
        <v>0</v>
      </c>
      <c r="Y330" s="131">
        <v>6336071.4800000004</v>
      </c>
      <c r="Z330" s="131">
        <v>0</v>
      </c>
      <c r="AA330" s="131">
        <v>0</v>
      </c>
      <c r="AB330" s="131">
        <v>0</v>
      </c>
      <c r="AC330" s="131">
        <v>0</v>
      </c>
      <c r="AD330" s="131">
        <v>0</v>
      </c>
      <c r="AE330" s="131">
        <v>0</v>
      </c>
      <c r="AF330" s="131">
        <v>6336071.4800000004</v>
      </c>
      <c r="AG330" s="131">
        <v>0</v>
      </c>
      <c r="AH330" s="131">
        <v>6336071.4800000004</v>
      </c>
      <c r="AI330" s="131">
        <v>6336071.4800000004</v>
      </c>
      <c r="AJ330" s="131">
        <v>0</v>
      </c>
      <c r="AK330" s="131">
        <v>0</v>
      </c>
      <c r="AM330" s="131">
        <v>6336071.4800000004</v>
      </c>
      <c r="AN330" s="131">
        <v>6336071.4800000004</v>
      </c>
      <c r="AO330" s="131">
        <v>0</v>
      </c>
      <c r="AP330" s="131">
        <v>6336071.4800000004</v>
      </c>
      <c r="AQ330" s="131">
        <v>0</v>
      </c>
      <c r="AR330" s="131">
        <v>0</v>
      </c>
      <c r="AS330" t="s">
        <v>187</v>
      </c>
    </row>
    <row r="331" spans="1:45" ht="30" x14ac:dyDescent="0.25">
      <c r="A331">
        <v>2019</v>
      </c>
      <c r="B331">
        <v>318</v>
      </c>
      <c r="C331">
        <v>1020404030212</v>
      </c>
      <c r="D331">
        <v>102</v>
      </c>
      <c r="E331" t="s">
        <v>3105</v>
      </c>
      <c r="F331">
        <v>1020404030212</v>
      </c>
      <c r="G331" s="10" t="s">
        <v>2998</v>
      </c>
      <c r="H331" t="s">
        <v>2584</v>
      </c>
      <c r="I331" s="131">
        <v>0</v>
      </c>
      <c r="J331" s="131">
        <v>0</v>
      </c>
      <c r="K331" s="131">
        <v>0</v>
      </c>
      <c r="L331" s="131">
        <v>0</v>
      </c>
      <c r="M331" s="131">
        <v>0</v>
      </c>
      <c r="N331" s="131">
        <v>0</v>
      </c>
      <c r="O331" s="131">
        <v>0</v>
      </c>
      <c r="P331" s="131">
        <v>0</v>
      </c>
      <c r="Q331" s="131">
        <v>0</v>
      </c>
      <c r="R331" s="131">
        <v>0</v>
      </c>
      <c r="S331" s="131">
        <v>0</v>
      </c>
      <c r="T331" s="131">
        <v>0</v>
      </c>
      <c r="U331" s="131">
        <v>0</v>
      </c>
      <c r="V331" s="131">
        <v>0</v>
      </c>
      <c r="W331" s="131">
        <v>815324.04</v>
      </c>
      <c r="X331" s="131">
        <v>0</v>
      </c>
      <c r="Y331" s="131">
        <v>815324.04</v>
      </c>
      <c r="Z331" s="131">
        <v>0</v>
      </c>
      <c r="AA331" s="131">
        <v>0</v>
      </c>
      <c r="AB331" s="131">
        <v>0</v>
      </c>
      <c r="AC331" s="131">
        <v>0</v>
      </c>
      <c r="AD331" s="131">
        <v>0</v>
      </c>
      <c r="AE331" s="131">
        <v>0</v>
      </c>
      <c r="AF331" s="131">
        <v>815324.04</v>
      </c>
      <c r="AG331" s="131">
        <v>0</v>
      </c>
      <c r="AH331" s="131">
        <v>815324.04</v>
      </c>
      <c r="AI331" s="131">
        <v>815324.04</v>
      </c>
      <c r="AJ331" s="131">
        <v>0</v>
      </c>
      <c r="AK331" s="131">
        <v>0</v>
      </c>
      <c r="AM331" s="131">
        <v>815324.04</v>
      </c>
      <c r="AN331" s="131">
        <v>815324.04</v>
      </c>
      <c r="AO331" s="131">
        <v>0</v>
      </c>
      <c r="AP331" s="131">
        <v>815324.04</v>
      </c>
      <c r="AQ331" s="131">
        <v>0</v>
      </c>
      <c r="AR331" s="131">
        <v>0</v>
      </c>
      <c r="AS331" t="s">
        <v>1750</v>
      </c>
    </row>
    <row r="332" spans="1:45" ht="45" x14ac:dyDescent="0.25">
      <c r="A332">
        <v>2019</v>
      </c>
      <c r="B332">
        <v>318</v>
      </c>
      <c r="C332">
        <v>1020404030213</v>
      </c>
      <c r="D332">
        <v>168</v>
      </c>
      <c r="E332" t="s">
        <v>3106</v>
      </c>
      <c r="F332">
        <v>1020404030213</v>
      </c>
      <c r="G332" s="10" t="s">
        <v>3107</v>
      </c>
      <c r="H332" t="s">
        <v>2584</v>
      </c>
      <c r="I332" s="131">
        <v>0</v>
      </c>
      <c r="J332" s="131">
        <v>0</v>
      </c>
      <c r="K332" s="131">
        <v>0</v>
      </c>
      <c r="L332" s="131">
        <v>0</v>
      </c>
      <c r="M332" s="131">
        <v>0</v>
      </c>
      <c r="N332" s="131">
        <v>0</v>
      </c>
      <c r="O332" s="131">
        <v>0</v>
      </c>
      <c r="P332" s="131">
        <v>0</v>
      </c>
      <c r="Q332" s="131">
        <v>0</v>
      </c>
      <c r="R332" s="131">
        <v>0</v>
      </c>
      <c r="S332" s="131">
        <v>0</v>
      </c>
      <c r="T332" s="131">
        <v>0</v>
      </c>
      <c r="U332" s="131">
        <v>0</v>
      </c>
      <c r="V332" s="131">
        <v>0</v>
      </c>
      <c r="W332" s="131">
        <v>0</v>
      </c>
      <c r="X332" s="131">
        <v>0</v>
      </c>
      <c r="Y332" s="131">
        <v>0</v>
      </c>
      <c r="Z332" s="131">
        <v>0</v>
      </c>
      <c r="AA332" s="131">
        <v>0</v>
      </c>
      <c r="AB332" s="131">
        <v>0</v>
      </c>
      <c r="AC332" s="131">
        <v>0</v>
      </c>
      <c r="AD332" s="131">
        <v>0</v>
      </c>
      <c r="AE332" s="131">
        <v>0</v>
      </c>
      <c r="AF332" s="131">
        <v>0</v>
      </c>
      <c r="AG332" s="131">
        <v>0</v>
      </c>
      <c r="AH332" s="131">
        <v>0</v>
      </c>
      <c r="AI332" s="131">
        <v>0</v>
      </c>
      <c r="AJ332" s="131">
        <v>0</v>
      </c>
      <c r="AK332" s="131">
        <v>0</v>
      </c>
      <c r="AM332" s="131">
        <v>0</v>
      </c>
      <c r="AN332" s="131">
        <v>0</v>
      </c>
      <c r="AO332" s="131">
        <v>0</v>
      </c>
      <c r="AP332" s="131">
        <v>0</v>
      </c>
      <c r="AQ332" s="131">
        <v>0</v>
      </c>
      <c r="AR332" s="131">
        <v>0</v>
      </c>
      <c r="AS332" t="s">
        <v>84</v>
      </c>
    </row>
    <row r="333" spans="1:45" x14ac:dyDescent="0.25">
      <c r="A333">
        <v>2019</v>
      </c>
      <c r="B333">
        <v>318</v>
      </c>
      <c r="C333">
        <v>102040404</v>
      </c>
      <c r="D333" t="s">
        <v>226</v>
      </c>
      <c r="E333" t="s">
        <v>3108</v>
      </c>
      <c r="F333">
        <v>102040404</v>
      </c>
      <c r="G333" s="10" t="s">
        <v>1962</v>
      </c>
      <c r="H333" t="s">
        <v>2584</v>
      </c>
      <c r="I333" s="131">
        <v>0</v>
      </c>
      <c r="J333" s="131">
        <v>0</v>
      </c>
      <c r="K333" s="131">
        <v>0</v>
      </c>
      <c r="L333" s="131">
        <v>0</v>
      </c>
      <c r="M333" s="131">
        <v>0</v>
      </c>
      <c r="N333" s="131">
        <v>0</v>
      </c>
      <c r="O333" s="131">
        <v>0</v>
      </c>
      <c r="P333" s="131">
        <v>0</v>
      </c>
      <c r="Q333" s="131">
        <v>0</v>
      </c>
      <c r="R333" s="131">
        <v>0</v>
      </c>
      <c r="S333" s="131">
        <v>0</v>
      </c>
      <c r="T333" s="131">
        <v>0</v>
      </c>
      <c r="U333" s="131">
        <v>0</v>
      </c>
      <c r="V333" s="131">
        <v>0</v>
      </c>
      <c r="W333" s="131">
        <v>467546000</v>
      </c>
      <c r="X333" s="131">
        <v>0</v>
      </c>
      <c r="Y333" s="131">
        <v>467546000</v>
      </c>
      <c r="Z333" s="131">
        <v>0</v>
      </c>
      <c r="AA333" s="131">
        <v>0</v>
      </c>
      <c r="AB333" s="131">
        <v>0</v>
      </c>
      <c r="AC333" s="131">
        <v>0</v>
      </c>
      <c r="AD333" s="131">
        <v>0</v>
      </c>
      <c r="AE333" s="131">
        <v>0</v>
      </c>
      <c r="AF333" s="131">
        <v>467546000</v>
      </c>
      <c r="AG333" s="131">
        <v>0</v>
      </c>
      <c r="AH333" s="131">
        <v>467546000</v>
      </c>
      <c r="AI333" s="131">
        <v>467546000</v>
      </c>
      <c r="AJ333" s="131">
        <v>0</v>
      </c>
      <c r="AK333" s="131">
        <v>0</v>
      </c>
      <c r="AM333" s="131">
        <v>467546000</v>
      </c>
      <c r="AN333" s="131">
        <v>467546000</v>
      </c>
      <c r="AO333" s="131">
        <v>0</v>
      </c>
      <c r="AP333" s="131">
        <v>467546000</v>
      </c>
      <c r="AQ333" s="131">
        <v>0</v>
      </c>
      <c r="AR333" s="131">
        <v>0</v>
      </c>
      <c r="AS333" t="s">
        <v>1709</v>
      </c>
    </row>
    <row r="334" spans="1:45" x14ac:dyDescent="0.25">
      <c r="A334">
        <v>2019</v>
      </c>
      <c r="B334">
        <v>318</v>
      </c>
      <c r="C334">
        <v>10204040402</v>
      </c>
      <c r="D334" t="s">
        <v>226</v>
      </c>
      <c r="E334" t="s">
        <v>3109</v>
      </c>
      <c r="F334">
        <v>10204040402</v>
      </c>
      <c r="G334" s="10" t="s">
        <v>2951</v>
      </c>
      <c r="H334" t="s">
        <v>2584</v>
      </c>
      <c r="I334" s="131">
        <v>0</v>
      </c>
      <c r="J334" s="131">
        <v>0</v>
      </c>
      <c r="K334" s="131">
        <v>0</v>
      </c>
      <c r="L334" s="131">
        <v>0</v>
      </c>
      <c r="M334" s="131">
        <v>0</v>
      </c>
      <c r="N334" s="131">
        <v>0</v>
      </c>
      <c r="O334" s="131">
        <v>0</v>
      </c>
      <c r="P334" s="131">
        <v>0</v>
      </c>
      <c r="Q334" s="131">
        <v>0</v>
      </c>
      <c r="R334" s="131">
        <v>0</v>
      </c>
      <c r="S334" s="131">
        <v>0</v>
      </c>
      <c r="T334" s="131">
        <v>0</v>
      </c>
      <c r="U334" s="131">
        <v>0</v>
      </c>
      <c r="V334" s="131">
        <v>0</v>
      </c>
      <c r="W334" s="131">
        <v>467546000</v>
      </c>
      <c r="X334" s="131">
        <v>0</v>
      </c>
      <c r="Y334" s="131">
        <v>467546000</v>
      </c>
      <c r="Z334" s="131">
        <v>0</v>
      </c>
      <c r="AA334" s="131">
        <v>0</v>
      </c>
      <c r="AB334" s="131">
        <v>0</v>
      </c>
      <c r="AC334" s="131">
        <v>0</v>
      </c>
      <c r="AD334" s="131">
        <v>0</v>
      </c>
      <c r="AE334" s="131">
        <v>0</v>
      </c>
      <c r="AF334" s="131">
        <v>467546000</v>
      </c>
      <c r="AG334" s="131">
        <v>0</v>
      </c>
      <c r="AH334" s="131">
        <v>467546000</v>
      </c>
      <c r="AI334" s="131">
        <v>467546000</v>
      </c>
      <c r="AJ334" s="131">
        <v>0</v>
      </c>
      <c r="AK334" s="131">
        <v>0</v>
      </c>
      <c r="AM334" s="131">
        <v>467546000</v>
      </c>
      <c r="AN334" s="131">
        <v>467546000</v>
      </c>
      <c r="AO334" s="131">
        <v>0</v>
      </c>
      <c r="AP334" s="131">
        <v>467546000</v>
      </c>
      <c r="AQ334" s="131">
        <v>0</v>
      </c>
      <c r="AR334" s="131">
        <v>0</v>
      </c>
      <c r="AS334" t="s">
        <v>1709</v>
      </c>
    </row>
    <row r="335" spans="1:45" ht="30" x14ac:dyDescent="0.25">
      <c r="A335">
        <v>2019</v>
      </c>
      <c r="B335">
        <v>318</v>
      </c>
      <c r="C335">
        <v>1020404040201</v>
      </c>
      <c r="D335" t="s">
        <v>226</v>
      </c>
      <c r="E335" t="s">
        <v>3110</v>
      </c>
      <c r="F335">
        <v>1020404040201</v>
      </c>
      <c r="G335" s="10" t="s">
        <v>2953</v>
      </c>
      <c r="H335" t="s">
        <v>2584</v>
      </c>
      <c r="I335" s="131">
        <v>0</v>
      </c>
      <c r="J335" s="131">
        <v>0</v>
      </c>
      <c r="K335" s="131">
        <v>0</v>
      </c>
      <c r="L335" s="131">
        <v>0</v>
      </c>
      <c r="M335" s="131">
        <v>0</v>
      </c>
      <c r="N335" s="131">
        <v>0</v>
      </c>
      <c r="O335" s="131">
        <v>0</v>
      </c>
      <c r="P335" s="131">
        <v>0</v>
      </c>
      <c r="Q335" s="131">
        <v>0</v>
      </c>
      <c r="R335" s="131">
        <v>0</v>
      </c>
      <c r="S335" s="131">
        <v>0</v>
      </c>
      <c r="T335" s="131">
        <v>0</v>
      </c>
      <c r="U335" s="131">
        <v>0</v>
      </c>
      <c r="V335" s="131">
        <v>0</v>
      </c>
      <c r="W335" s="131">
        <v>467546000</v>
      </c>
      <c r="X335" s="131">
        <v>0</v>
      </c>
      <c r="Y335" s="131">
        <v>467546000</v>
      </c>
      <c r="Z335" s="131">
        <v>0</v>
      </c>
      <c r="AA335" s="131">
        <v>0</v>
      </c>
      <c r="AB335" s="131">
        <v>0</v>
      </c>
      <c r="AC335" s="131">
        <v>0</v>
      </c>
      <c r="AD335" s="131">
        <v>0</v>
      </c>
      <c r="AE335" s="131">
        <v>0</v>
      </c>
      <c r="AF335" s="131">
        <v>467546000</v>
      </c>
      <c r="AG335" s="131">
        <v>0</v>
      </c>
      <c r="AH335" s="131">
        <v>467546000</v>
      </c>
      <c r="AI335" s="131">
        <v>467546000</v>
      </c>
      <c r="AJ335" s="131">
        <v>0</v>
      </c>
      <c r="AK335" s="131">
        <v>0</v>
      </c>
      <c r="AM335" s="131">
        <v>467546000</v>
      </c>
      <c r="AN335" s="131">
        <v>467546000</v>
      </c>
      <c r="AO335" s="131">
        <v>0</v>
      </c>
      <c r="AP335" s="131">
        <v>467546000</v>
      </c>
      <c r="AQ335" s="131">
        <v>0</v>
      </c>
      <c r="AR335" s="131">
        <v>0</v>
      </c>
      <c r="AS335" t="s">
        <v>1709</v>
      </c>
    </row>
    <row r="336" spans="1:45" ht="30" x14ac:dyDescent="0.25">
      <c r="A336">
        <v>2019</v>
      </c>
      <c r="B336">
        <v>318</v>
      </c>
      <c r="C336">
        <v>102040404020108</v>
      </c>
      <c r="D336">
        <v>168</v>
      </c>
      <c r="E336" t="s">
        <v>3111</v>
      </c>
      <c r="F336">
        <v>102040404020108</v>
      </c>
      <c r="G336" s="10" t="s">
        <v>3112</v>
      </c>
      <c r="H336" t="s">
        <v>2584</v>
      </c>
      <c r="I336" s="131">
        <v>0</v>
      </c>
      <c r="J336" s="131">
        <v>0</v>
      </c>
      <c r="K336" s="131">
        <v>0</v>
      </c>
      <c r="L336" s="131">
        <v>0</v>
      </c>
      <c r="M336" s="131">
        <v>0</v>
      </c>
      <c r="N336" s="131">
        <v>0</v>
      </c>
      <c r="O336" s="131">
        <v>0</v>
      </c>
      <c r="P336" s="131">
        <v>0</v>
      </c>
      <c r="Q336" s="131">
        <v>0</v>
      </c>
      <c r="R336" s="131">
        <v>0</v>
      </c>
      <c r="S336" s="131">
        <v>0</v>
      </c>
      <c r="T336" s="131">
        <v>0</v>
      </c>
      <c r="U336" s="131">
        <v>0</v>
      </c>
      <c r="V336" s="131">
        <v>0</v>
      </c>
      <c r="W336" s="131">
        <v>467546000</v>
      </c>
      <c r="X336" s="131">
        <v>0</v>
      </c>
      <c r="Y336" s="131">
        <v>467546000</v>
      </c>
      <c r="Z336" s="131">
        <v>0</v>
      </c>
      <c r="AA336" s="131">
        <v>0</v>
      </c>
      <c r="AB336" s="131">
        <v>0</v>
      </c>
      <c r="AC336" s="131">
        <v>0</v>
      </c>
      <c r="AD336" s="131">
        <v>0</v>
      </c>
      <c r="AE336" s="131">
        <v>0</v>
      </c>
      <c r="AF336" s="131">
        <v>467546000</v>
      </c>
      <c r="AG336" s="131">
        <v>0</v>
      </c>
      <c r="AH336" s="131">
        <v>467546000</v>
      </c>
      <c r="AI336" s="131">
        <v>467546000</v>
      </c>
      <c r="AJ336" s="131">
        <v>0</v>
      </c>
      <c r="AK336" s="131">
        <v>0</v>
      </c>
      <c r="AM336" s="131">
        <v>467546000</v>
      </c>
      <c r="AN336" s="131">
        <v>467546000</v>
      </c>
      <c r="AO336" s="131">
        <v>0</v>
      </c>
      <c r="AP336" s="131">
        <v>467546000</v>
      </c>
      <c r="AQ336" s="131">
        <v>0</v>
      </c>
      <c r="AR336" s="131">
        <v>0</v>
      </c>
      <c r="AS336" t="s">
        <v>84</v>
      </c>
    </row>
    <row r="337" spans="1:45" x14ac:dyDescent="0.25">
      <c r="A337">
        <v>2019</v>
      </c>
      <c r="B337">
        <v>6</v>
      </c>
      <c r="C337">
        <v>2</v>
      </c>
      <c r="D337" t="s">
        <v>226</v>
      </c>
      <c r="E337" s="133">
        <v>44233</v>
      </c>
      <c r="F337">
        <v>2</v>
      </c>
      <c r="G337" s="10" t="s">
        <v>185</v>
      </c>
      <c r="H337" t="s">
        <v>185</v>
      </c>
      <c r="I337" s="131">
        <v>34344041597.099998</v>
      </c>
      <c r="J337" s="131">
        <v>34344041597.099998</v>
      </c>
      <c r="K337" s="131">
        <v>80982652129</v>
      </c>
      <c r="L337" s="131">
        <v>638594823.84000003</v>
      </c>
      <c r="M337" s="131">
        <v>80344057305.160004</v>
      </c>
      <c r="N337" s="131">
        <v>80982652129</v>
      </c>
      <c r="O337" s="131">
        <v>638594823.84000003</v>
      </c>
      <c r="P337" s="131">
        <v>114688098902.25999</v>
      </c>
      <c r="Q337" s="131">
        <v>0</v>
      </c>
      <c r="R337" s="131">
        <v>0</v>
      </c>
      <c r="S337" s="131">
        <v>0</v>
      </c>
      <c r="T337" s="131">
        <v>0</v>
      </c>
      <c r="U337" s="131">
        <v>0</v>
      </c>
      <c r="V337" s="131">
        <v>0</v>
      </c>
      <c r="W337" s="131">
        <v>16670943408.870001</v>
      </c>
      <c r="X337" s="131">
        <v>234702495.44</v>
      </c>
      <c r="Y337" s="131">
        <v>16436240913.43</v>
      </c>
      <c r="Z337" s="131">
        <v>0</v>
      </c>
      <c r="AA337" s="131">
        <v>0</v>
      </c>
      <c r="AB337" s="131">
        <v>0</v>
      </c>
      <c r="AC337" s="131">
        <v>0</v>
      </c>
      <c r="AD337" s="131">
        <v>0</v>
      </c>
      <c r="AE337" s="131">
        <v>0</v>
      </c>
      <c r="AF337" s="131">
        <v>16670943408.870001</v>
      </c>
      <c r="AG337" s="131">
        <v>234702495.44</v>
      </c>
      <c r="AH337" s="131">
        <v>16436240913.43</v>
      </c>
      <c r="AI337" s="131">
        <v>16436240913.43</v>
      </c>
      <c r="AJ337" s="131">
        <v>16664890298.09</v>
      </c>
      <c r="AK337" s="131">
        <v>16664890298.09</v>
      </c>
      <c r="AM337" s="131">
        <v>6053110.7800000003</v>
      </c>
      <c r="AN337" s="131">
        <v>6053110.7800000003</v>
      </c>
      <c r="AO337" s="131">
        <v>0</v>
      </c>
      <c r="AP337" s="131">
        <v>6053110.7800000003</v>
      </c>
      <c r="AQ337" s="131">
        <v>0</v>
      </c>
      <c r="AR337" s="131">
        <v>0</v>
      </c>
      <c r="AS337" t="s">
        <v>1709</v>
      </c>
    </row>
    <row r="338" spans="1:45" x14ac:dyDescent="0.25">
      <c r="A338">
        <v>2019</v>
      </c>
      <c r="B338">
        <v>6</v>
      </c>
      <c r="C338">
        <v>201</v>
      </c>
      <c r="D338" t="s">
        <v>226</v>
      </c>
      <c r="E338" t="s">
        <v>3113</v>
      </c>
      <c r="F338">
        <v>201</v>
      </c>
      <c r="G338" s="10" t="s">
        <v>3114</v>
      </c>
      <c r="H338" t="s">
        <v>185</v>
      </c>
      <c r="I338" s="131">
        <v>0</v>
      </c>
      <c r="J338" s="131">
        <v>0</v>
      </c>
      <c r="K338" s="131">
        <v>0</v>
      </c>
      <c r="L338" s="131">
        <v>0</v>
      </c>
      <c r="M338" s="131">
        <v>0</v>
      </c>
      <c r="N338" s="131">
        <v>0</v>
      </c>
      <c r="O338" s="131">
        <v>0</v>
      </c>
      <c r="P338" s="131">
        <v>0</v>
      </c>
      <c r="Q338" s="131">
        <v>0</v>
      </c>
      <c r="R338" s="131">
        <v>0</v>
      </c>
      <c r="S338" s="131">
        <v>0</v>
      </c>
      <c r="T338" s="131">
        <v>0</v>
      </c>
      <c r="U338" s="131">
        <v>0</v>
      </c>
      <c r="V338" s="131">
        <v>0</v>
      </c>
      <c r="W338" s="131">
        <v>449432.81</v>
      </c>
      <c r="X338" s="131">
        <v>0</v>
      </c>
      <c r="Y338" s="131">
        <v>449432.81</v>
      </c>
      <c r="Z338" s="131">
        <v>0</v>
      </c>
      <c r="AA338" s="131">
        <v>0</v>
      </c>
      <c r="AB338" s="131">
        <v>0</v>
      </c>
      <c r="AC338" s="131">
        <v>0</v>
      </c>
      <c r="AD338" s="131">
        <v>0</v>
      </c>
      <c r="AE338" s="131">
        <v>0</v>
      </c>
      <c r="AF338" s="131">
        <v>449432.81</v>
      </c>
      <c r="AG338" s="131">
        <v>0</v>
      </c>
      <c r="AH338" s="131">
        <v>449432.81</v>
      </c>
      <c r="AI338" s="131">
        <v>449432.81</v>
      </c>
      <c r="AJ338" s="131">
        <v>0</v>
      </c>
      <c r="AK338" s="131">
        <v>0</v>
      </c>
      <c r="AM338" s="131">
        <v>449432.81</v>
      </c>
      <c r="AN338" s="131">
        <v>449432.81</v>
      </c>
      <c r="AO338" s="131">
        <v>0</v>
      </c>
      <c r="AP338" s="131">
        <v>449432.81</v>
      </c>
      <c r="AQ338" s="131">
        <v>0</v>
      </c>
      <c r="AR338" s="131">
        <v>0</v>
      </c>
      <c r="AS338" t="s">
        <v>1709</v>
      </c>
    </row>
    <row r="339" spans="1:45" x14ac:dyDescent="0.25">
      <c r="A339">
        <v>2019</v>
      </c>
      <c r="B339">
        <v>6</v>
      </c>
      <c r="C339">
        <v>20101</v>
      </c>
      <c r="D339">
        <v>70</v>
      </c>
      <c r="E339" t="s">
        <v>3115</v>
      </c>
      <c r="F339">
        <v>20101</v>
      </c>
      <c r="G339" s="10" t="s">
        <v>886</v>
      </c>
      <c r="H339" t="s">
        <v>185</v>
      </c>
      <c r="I339" s="131">
        <v>0</v>
      </c>
      <c r="J339" s="131">
        <v>0</v>
      </c>
      <c r="K339" s="131">
        <v>0</v>
      </c>
      <c r="L339" s="131">
        <v>0</v>
      </c>
      <c r="M339" s="131">
        <v>0</v>
      </c>
      <c r="N339" s="131">
        <v>0</v>
      </c>
      <c r="O339" s="131">
        <v>0</v>
      </c>
      <c r="P339" s="131">
        <v>0</v>
      </c>
      <c r="Q339" s="131">
        <v>0</v>
      </c>
      <c r="R339" s="131">
        <v>0</v>
      </c>
      <c r="S339" s="131">
        <v>0</v>
      </c>
      <c r="T339" s="131">
        <v>0</v>
      </c>
      <c r="U339" s="131">
        <v>0</v>
      </c>
      <c r="V339" s="131">
        <v>0</v>
      </c>
      <c r="W339" s="131">
        <v>449432.81</v>
      </c>
      <c r="X339" s="131">
        <v>0</v>
      </c>
      <c r="Y339" s="131">
        <v>449432.81</v>
      </c>
      <c r="Z339" s="131">
        <v>0</v>
      </c>
      <c r="AA339" s="131">
        <v>0</v>
      </c>
      <c r="AB339" s="131">
        <v>0</v>
      </c>
      <c r="AC339" s="131">
        <v>0</v>
      </c>
      <c r="AD339" s="131">
        <v>0</v>
      </c>
      <c r="AE339" s="131">
        <v>0</v>
      </c>
      <c r="AF339" s="131">
        <v>449432.81</v>
      </c>
      <c r="AG339" s="131">
        <v>0</v>
      </c>
      <c r="AH339" s="131">
        <v>449432.81</v>
      </c>
      <c r="AI339" s="131">
        <v>449432.81</v>
      </c>
      <c r="AJ339" s="131">
        <v>0</v>
      </c>
      <c r="AK339" s="131">
        <v>0</v>
      </c>
      <c r="AM339" s="131">
        <v>449432.81</v>
      </c>
      <c r="AN339" s="131">
        <v>449432.81</v>
      </c>
      <c r="AO339" s="131">
        <v>0</v>
      </c>
      <c r="AP339" s="131">
        <v>449432.81</v>
      </c>
      <c r="AQ339" s="131">
        <v>0</v>
      </c>
      <c r="AR339" s="131">
        <v>0</v>
      </c>
      <c r="AS339" t="s">
        <v>185</v>
      </c>
    </row>
    <row r="340" spans="1:45" ht="30" x14ac:dyDescent="0.25">
      <c r="A340">
        <v>2019</v>
      </c>
      <c r="B340">
        <v>6</v>
      </c>
      <c r="C340">
        <v>202</v>
      </c>
      <c r="D340" t="s">
        <v>226</v>
      </c>
      <c r="E340" t="s">
        <v>3116</v>
      </c>
      <c r="F340">
        <v>202</v>
      </c>
      <c r="G340" s="10" t="s">
        <v>3117</v>
      </c>
      <c r="H340" t="s">
        <v>185</v>
      </c>
      <c r="I340" s="131">
        <v>33663615354.099998</v>
      </c>
      <c r="J340" s="131">
        <v>33663615354.099998</v>
      </c>
      <c r="K340" s="131">
        <v>80757126765</v>
      </c>
      <c r="L340" s="131">
        <v>638594823.84000003</v>
      </c>
      <c r="M340" s="131">
        <v>80118531941.160004</v>
      </c>
      <c r="N340" s="131">
        <v>80757126765</v>
      </c>
      <c r="O340" s="131">
        <v>638594823.84000003</v>
      </c>
      <c r="P340" s="131">
        <v>113782147295.25999</v>
      </c>
      <c r="Q340" s="131">
        <v>0</v>
      </c>
      <c r="R340" s="131">
        <v>0</v>
      </c>
      <c r="S340" s="131">
        <v>0</v>
      </c>
      <c r="T340" s="131">
        <v>0</v>
      </c>
      <c r="U340" s="131">
        <v>0</v>
      </c>
      <c r="V340" s="131">
        <v>0</v>
      </c>
      <c r="W340" s="131">
        <v>15918983290.190001</v>
      </c>
      <c r="X340" s="131">
        <v>234702495.44</v>
      </c>
      <c r="Y340" s="131">
        <v>15684280794.75</v>
      </c>
      <c r="Z340" s="131">
        <v>0</v>
      </c>
      <c r="AA340" s="131">
        <v>0</v>
      </c>
      <c r="AB340" s="131">
        <v>0</v>
      </c>
      <c r="AC340" s="131">
        <v>0</v>
      </c>
      <c r="AD340" s="131">
        <v>0</v>
      </c>
      <c r="AE340" s="131">
        <v>0</v>
      </c>
      <c r="AF340" s="131">
        <v>15918983290.190001</v>
      </c>
      <c r="AG340" s="131">
        <v>234702495.44</v>
      </c>
      <c r="AH340" s="131">
        <v>15684280794.75</v>
      </c>
      <c r="AI340" s="131">
        <v>15684280794.75</v>
      </c>
      <c r="AJ340" s="131">
        <v>15913596587.09</v>
      </c>
      <c r="AK340" s="131">
        <v>15913596587.09</v>
      </c>
      <c r="AM340" s="131">
        <v>5386703.0999999996</v>
      </c>
      <c r="AN340" s="131">
        <v>5386703.0999999996</v>
      </c>
      <c r="AO340" s="131">
        <v>0</v>
      </c>
      <c r="AP340" s="131">
        <v>5386703.0999999996</v>
      </c>
      <c r="AQ340" s="131">
        <v>0</v>
      </c>
      <c r="AR340" s="131">
        <v>0</v>
      </c>
      <c r="AS340" t="s">
        <v>1709</v>
      </c>
    </row>
    <row r="341" spans="1:45" ht="45" x14ac:dyDescent="0.25">
      <c r="A341">
        <v>2019</v>
      </c>
      <c r="B341">
        <v>6</v>
      </c>
      <c r="C341">
        <v>20201</v>
      </c>
      <c r="D341" t="s">
        <v>226</v>
      </c>
      <c r="E341" t="s">
        <v>3118</v>
      </c>
      <c r="F341">
        <v>20201</v>
      </c>
      <c r="G341" s="10" t="s">
        <v>3119</v>
      </c>
      <c r="H341" t="s">
        <v>185</v>
      </c>
      <c r="I341" s="131">
        <v>12633190827</v>
      </c>
      <c r="J341" s="131">
        <v>12633190827</v>
      </c>
      <c r="K341" s="131">
        <v>26826513826</v>
      </c>
      <c r="L341" s="131">
        <v>0</v>
      </c>
      <c r="M341" s="131">
        <v>26826513826</v>
      </c>
      <c r="N341" s="131">
        <v>26826513826</v>
      </c>
      <c r="O341" s="131">
        <v>0</v>
      </c>
      <c r="P341" s="131">
        <v>39459704653</v>
      </c>
      <c r="Q341" s="131">
        <v>0</v>
      </c>
      <c r="R341" s="131">
        <v>0</v>
      </c>
      <c r="S341" s="131">
        <v>0</v>
      </c>
      <c r="T341" s="131">
        <v>0</v>
      </c>
      <c r="U341" s="131">
        <v>0</v>
      </c>
      <c r="V341" s="131">
        <v>0</v>
      </c>
      <c r="W341" s="131">
        <v>6252854688</v>
      </c>
      <c r="X341" s="131">
        <v>0</v>
      </c>
      <c r="Y341" s="131">
        <v>6252854688</v>
      </c>
      <c r="Z341" s="131">
        <v>0</v>
      </c>
      <c r="AA341" s="131">
        <v>0</v>
      </c>
      <c r="AB341" s="131">
        <v>0</v>
      </c>
      <c r="AC341" s="131">
        <v>0</v>
      </c>
      <c r="AD341" s="131">
        <v>0</v>
      </c>
      <c r="AE341" s="131">
        <v>0</v>
      </c>
      <c r="AF341" s="131">
        <v>6252854688</v>
      </c>
      <c r="AG341" s="131">
        <v>0</v>
      </c>
      <c r="AH341" s="131">
        <v>6252854688</v>
      </c>
      <c r="AI341" s="131">
        <v>6252854688</v>
      </c>
      <c r="AJ341" s="131">
        <v>6252854688</v>
      </c>
      <c r="AK341" s="131">
        <v>6252854688</v>
      </c>
      <c r="AM341" s="131">
        <v>0</v>
      </c>
      <c r="AN341" s="131">
        <v>0</v>
      </c>
      <c r="AO341" s="131">
        <v>0</v>
      </c>
      <c r="AP341" s="131">
        <v>0</v>
      </c>
      <c r="AQ341" s="131">
        <v>0</v>
      </c>
      <c r="AR341" s="131">
        <v>0</v>
      </c>
      <c r="AS341" t="s">
        <v>1709</v>
      </c>
    </row>
    <row r="342" spans="1:45" ht="60" x14ac:dyDescent="0.25">
      <c r="A342">
        <v>2019</v>
      </c>
      <c r="B342">
        <v>6</v>
      </c>
      <c r="C342">
        <v>2020106</v>
      </c>
      <c r="D342">
        <v>70</v>
      </c>
      <c r="E342" t="s">
        <v>3120</v>
      </c>
      <c r="F342">
        <v>2020106</v>
      </c>
      <c r="G342" s="10" t="s">
        <v>3121</v>
      </c>
      <c r="H342" t="s">
        <v>185</v>
      </c>
      <c r="I342" s="131">
        <v>12633190827</v>
      </c>
      <c r="J342" s="131">
        <v>12633190827</v>
      </c>
      <c r="K342" s="131">
        <v>0</v>
      </c>
      <c r="L342" s="131">
        <v>0</v>
      </c>
      <c r="M342" s="131">
        <v>0</v>
      </c>
      <c r="N342" s="131">
        <v>0</v>
      </c>
      <c r="O342" s="131">
        <v>0</v>
      </c>
      <c r="P342" s="131">
        <v>12633190827</v>
      </c>
      <c r="Q342" s="131">
        <v>0</v>
      </c>
      <c r="R342" s="131">
        <v>0</v>
      </c>
      <c r="S342" s="131">
        <v>0</v>
      </c>
      <c r="T342" s="131">
        <v>0</v>
      </c>
      <c r="U342" s="131">
        <v>0</v>
      </c>
      <c r="V342" s="131">
        <v>0</v>
      </c>
      <c r="W342" s="131">
        <v>6252854688</v>
      </c>
      <c r="X342" s="131">
        <v>0</v>
      </c>
      <c r="Y342" s="131">
        <v>6252854688</v>
      </c>
      <c r="Z342" s="131">
        <v>0</v>
      </c>
      <c r="AA342" s="131">
        <v>0</v>
      </c>
      <c r="AB342" s="131">
        <v>0</v>
      </c>
      <c r="AC342" s="131">
        <v>0</v>
      </c>
      <c r="AD342" s="131">
        <v>0</v>
      </c>
      <c r="AE342" s="131">
        <v>0</v>
      </c>
      <c r="AF342" s="131">
        <v>6252854688</v>
      </c>
      <c r="AG342" s="131">
        <v>0</v>
      </c>
      <c r="AH342" s="131">
        <v>6252854688</v>
      </c>
      <c r="AI342" s="131">
        <v>6252854688</v>
      </c>
      <c r="AJ342" s="131">
        <v>6252854688</v>
      </c>
      <c r="AK342" s="131">
        <v>6252854688</v>
      </c>
      <c r="AM342" s="131">
        <v>0</v>
      </c>
      <c r="AN342" s="131">
        <v>0</v>
      </c>
      <c r="AO342" s="131">
        <v>0</v>
      </c>
      <c r="AP342" s="131">
        <v>0</v>
      </c>
      <c r="AQ342" s="131">
        <v>0</v>
      </c>
      <c r="AR342" s="131">
        <v>0</v>
      </c>
      <c r="AS342" t="s">
        <v>185</v>
      </c>
    </row>
    <row r="343" spans="1:45" ht="45" x14ac:dyDescent="0.25">
      <c r="A343">
        <v>2019</v>
      </c>
      <c r="B343">
        <v>6</v>
      </c>
      <c r="C343">
        <v>2020107</v>
      </c>
      <c r="D343">
        <v>70</v>
      </c>
      <c r="E343" t="s">
        <v>3122</v>
      </c>
      <c r="F343">
        <v>2020107</v>
      </c>
      <c r="G343" s="10" t="s">
        <v>3123</v>
      </c>
      <c r="H343" t="s">
        <v>185</v>
      </c>
      <c r="I343" s="131">
        <v>0</v>
      </c>
      <c r="J343" s="131">
        <v>0</v>
      </c>
      <c r="K343" s="131">
        <v>20046643058</v>
      </c>
      <c r="L343" s="131">
        <v>0</v>
      </c>
      <c r="M343" s="131">
        <v>20046643058</v>
      </c>
      <c r="N343" s="131">
        <v>20046643058</v>
      </c>
      <c r="O343" s="131">
        <v>0</v>
      </c>
      <c r="P343" s="131">
        <v>20046643058</v>
      </c>
      <c r="Q343" s="131">
        <v>0</v>
      </c>
      <c r="R343" s="131">
        <v>0</v>
      </c>
      <c r="S343" s="131">
        <v>0</v>
      </c>
      <c r="T343" s="131">
        <v>0</v>
      </c>
      <c r="U343" s="131">
        <v>0</v>
      </c>
      <c r="V343" s="131">
        <v>0</v>
      </c>
      <c r="W343" s="131">
        <v>0</v>
      </c>
      <c r="X343" s="131">
        <v>0</v>
      </c>
      <c r="Y343" s="131">
        <v>0</v>
      </c>
      <c r="Z343" s="131">
        <v>0</v>
      </c>
      <c r="AA343" s="131">
        <v>0</v>
      </c>
      <c r="AB343" s="131">
        <v>0</v>
      </c>
      <c r="AC343" s="131">
        <v>0</v>
      </c>
      <c r="AD343" s="131">
        <v>0</v>
      </c>
      <c r="AE343" s="131">
        <v>0</v>
      </c>
      <c r="AF343" s="131">
        <v>0</v>
      </c>
      <c r="AG343" s="131">
        <v>0</v>
      </c>
      <c r="AH343" s="131">
        <v>0</v>
      </c>
      <c r="AI343" s="131">
        <v>0</v>
      </c>
      <c r="AJ343" s="131">
        <v>0</v>
      </c>
      <c r="AK343" s="131">
        <v>0</v>
      </c>
      <c r="AM343" s="131">
        <v>0</v>
      </c>
      <c r="AN343" s="131">
        <v>0</v>
      </c>
      <c r="AO343" s="131">
        <v>0</v>
      </c>
      <c r="AP343" s="131">
        <v>0</v>
      </c>
      <c r="AQ343" s="131">
        <v>0</v>
      </c>
      <c r="AR343" s="131">
        <v>0</v>
      </c>
      <c r="AS343" t="s">
        <v>185</v>
      </c>
    </row>
    <row r="344" spans="1:45" ht="45" x14ac:dyDescent="0.25">
      <c r="A344">
        <v>2019</v>
      </c>
      <c r="B344">
        <v>6</v>
      </c>
      <c r="C344">
        <v>2020108</v>
      </c>
      <c r="D344">
        <v>70</v>
      </c>
      <c r="E344" t="s">
        <v>3124</v>
      </c>
      <c r="F344">
        <v>2020108</v>
      </c>
      <c r="G344" s="10" t="s">
        <v>921</v>
      </c>
      <c r="H344" t="s">
        <v>185</v>
      </c>
      <c r="I344" s="131">
        <v>0</v>
      </c>
      <c r="J344" s="131">
        <v>0</v>
      </c>
      <c r="K344" s="131">
        <v>6779870768</v>
      </c>
      <c r="L344" s="131">
        <v>0</v>
      </c>
      <c r="M344" s="131">
        <v>6779870768</v>
      </c>
      <c r="N344" s="131">
        <v>6779870768</v>
      </c>
      <c r="O344" s="131">
        <v>0</v>
      </c>
      <c r="P344" s="131">
        <v>6779870768</v>
      </c>
      <c r="Q344" s="131">
        <v>0</v>
      </c>
      <c r="R344" s="131">
        <v>0</v>
      </c>
      <c r="S344" s="131">
        <v>0</v>
      </c>
      <c r="T344" s="131">
        <v>0</v>
      </c>
      <c r="U344" s="131">
        <v>0</v>
      </c>
      <c r="V344" s="131">
        <v>0</v>
      </c>
      <c r="W344" s="131">
        <v>0</v>
      </c>
      <c r="X344" s="131">
        <v>0</v>
      </c>
      <c r="Y344" s="131">
        <v>0</v>
      </c>
      <c r="Z344" s="131">
        <v>0</v>
      </c>
      <c r="AA344" s="131">
        <v>0</v>
      </c>
      <c r="AB344" s="131">
        <v>0</v>
      </c>
      <c r="AC344" s="131">
        <v>0</v>
      </c>
      <c r="AD344" s="131">
        <v>0</v>
      </c>
      <c r="AE344" s="131">
        <v>0</v>
      </c>
      <c r="AF344" s="131">
        <v>0</v>
      </c>
      <c r="AG344" s="131">
        <v>0</v>
      </c>
      <c r="AH344" s="131">
        <v>0</v>
      </c>
      <c r="AI344" s="131">
        <v>0</v>
      </c>
      <c r="AJ344" s="131">
        <v>0</v>
      </c>
      <c r="AK344" s="131">
        <v>0</v>
      </c>
      <c r="AM344" s="131">
        <v>0</v>
      </c>
      <c r="AN344" s="131">
        <v>0</v>
      </c>
      <c r="AO344" s="131">
        <v>0</v>
      </c>
      <c r="AP344" s="131">
        <v>0</v>
      </c>
      <c r="AQ344" s="131">
        <v>0</v>
      </c>
      <c r="AR344" s="131">
        <v>0</v>
      </c>
      <c r="AS344" t="s">
        <v>185</v>
      </c>
    </row>
    <row r="345" spans="1:45" ht="30" x14ac:dyDescent="0.25">
      <c r="A345">
        <v>2019</v>
      </c>
      <c r="B345">
        <v>6</v>
      </c>
      <c r="C345">
        <v>20202</v>
      </c>
      <c r="D345" t="s">
        <v>226</v>
      </c>
      <c r="E345" t="s">
        <v>3125</v>
      </c>
      <c r="F345">
        <v>20202</v>
      </c>
      <c r="G345" s="10" t="s">
        <v>3126</v>
      </c>
      <c r="H345" t="s">
        <v>185</v>
      </c>
      <c r="I345" s="131">
        <v>19178219766.099998</v>
      </c>
      <c r="J345" s="131">
        <v>19178219766.099998</v>
      </c>
      <c r="K345" s="131">
        <v>49189297579</v>
      </c>
      <c r="L345" s="131">
        <v>551824029.84000003</v>
      </c>
      <c r="M345" s="131">
        <v>48637473549.160004</v>
      </c>
      <c r="N345" s="131">
        <v>49189297579</v>
      </c>
      <c r="O345" s="131">
        <v>551824029.84000003</v>
      </c>
      <c r="P345" s="131">
        <v>67815693315.260002</v>
      </c>
      <c r="Q345" s="131">
        <v>0</v>
      </c>
      <c r="R345" s="131">
        <v>0</v>
      </c>
      <c r="S345" s="131">
        <v>0</v>
      </c>
      <c r="T345" s="131">
        <v>0</v>
      </c>
      <c r="U345" s="131">
        <v>0</v>
      </c>
      <c r="V345" s="131">
        <v>0</v>
      </c>
      <c r="W345" s="131">
        <v>8379418480.1899996</v>
      </c>
      <c r="X345" s="131">
        <v>170426457.44</v>
      </c>
      <c r="Y345" s="131">
        <v>8208992022.75</v>
      </c>
      <c r="Z345" s="131">
        <v>0</v>
      </c>
      <c r="AA345" s="131">
        <v>0</v>
      </c>
      <c r="AB345" s="131">
        <v>0</v>
      </c>
      <c r="AC345" s="131">
        <v>0</v>
      </c>
      <c r="AD345" s="131">
        <v>0</v>
      </c>
      <c r="AE345" s="131">
        <v>0</v>
      </c>
      <c r="AF345" s="131">
        <v>8379418480.1899996</v>
      </c>
      <c r="AG345" s="131">
        <v>170426457.44</v>
      </c>
      <c r="AH345" s="131">
        <v>8208992022.75</v>
      </c>
      <c r="AI345" s="131">
        <v>8208992022.75</v>
      </c>
      <c r="AJ345" s="131">
        <v>8374031777.0900002</v>
      </c>
      <c r="AK345" s="131">
        <v>8374031777.0900002</v>
      </c>
      <c r="AM345" s="131">
        <v>5386703.0999999996</v>
      </c>
      <c r="AN345" s="131">
        <v>5386703.0999999996</v>
      </c>
      <c r="AO345" s="131">
        <v>0</v>
      </c>
      <c r="AP345" s="131">
        <v>5386703.0999999996</v>
      </c>
      <c r="AQ345" s="131">
        <v>0</v>
      </c>
      <c r="AR345" s="131">
        <v>0</v>
      </c>
      <c r="AS345" t="s">
        <v>1709</v>
      </c>
    </row>
    <row r="346" spans="1:45" ht="45" x14ac:dyDescent="0.25">
      <c r="A346">
        <v>2019</v>
      </c>
      <c r="B346">
        <v>6</v>
      </c>
      <c r="C346">
        <v>2020201</v>
      </c>
      <c r="D346">
        <v>70</v>
      </c>
      <c r="E346" t="s">
        <v>3127</v>
      </c>
      <c r="F346">
        <v>2020201</v>
      </c>
      <c r="G346" s="10" t="s">
        <v>3128</v>
      </c>
      <c r="H346" t="s">
        <v>185</v>
      </c>
      <c r="I346" s="131">
        <v>322776278.05000001</v>
      </c>
      <c r="J346" s="131">
        <v>322776278.05000001</v>
      </c>
      <c r="K346" s="131">
        <v>0</v>
      </c>
      <c r="L346" s="131">
        <v>322776278.05000001</v>
      </c>
      <c r="M346" s="131">
        <v>-322776278.05000001</v>
      </c>
      <c r="N346" s="131">
        <v>0</v>
      </c>
      <c r="O346" s="131">
        <v>322776278.05000001</v>
      </c>
      <c r="P346" s="131">
        <v>0</v>
      </c>
      <c r="Q346" s="131">
        <v>0</v>
      </c>
      <c r="R346" s="131">
        <v>0</v>
      </c>
      <c r="S346" s="131">
        <v>0</v>
      </c>
      <c r="T346" s="131">
        <v>0</v>
      </c>
      <c r="U346" s="131">
        <v>0</v>
      </c>
      <c r="V346" s="131">
        <v>0</v>
      </c>
      <c r="W346" s="131">
        <v>19582903</v>
      </c>
      <c r="X346" s="131">
        <v>19582903</v>
      </c>
      <c r="Y346" s="131">
        <v>0</v>
      </c>
      <c r="Z346" s="131">
        <v>0</v>
      </c>
      <c r="AA346" s="131">
        <v>0</v>
      </c>
      <c r="AB346" s="131">
        <v>0</v>
      </c>
      <c r="AC346" s="131">
        <v>0</v>
      </c>
      <c r="AD346" s="131">
        <v>0</v>
      </c>
      <c r="AE346" s="131">
        <v>0</v>
      </c>
      <c r="AF346" s="131">
        <v>19582903</v>
      </c>
      <c r="AG346" s="131">
        <v>19582903</v>
      </c>
      <c r="AH346" s="131">
        <v>0</v>
      </c>
      <c r="AI346" s="131">
        <v>0</v>
      </c>
      <c r="AJ346" s="131">
        <v>16982903</v>
      </c>
      <c r="AK346" s="131">
        <v>16982903</v>
      </c>
      <c r="AM346" s="131">
        <v>2600000</v>
      </c>
      <c r="AN346" s="131">
        <v>2600000</v>
      </c>
      <c r="AO346" s="131">
        <v>0</v>
      </c>
      <c r="AP346" s="131">
        <v>2600000</v>
      </c>
      <c r="AQ346" s="131">
        <v>0</v>
      </c>
      <c r="AR346" s="131">
        <v>0</v>
      </c>
      <c r="AS346" t="s">
        <v>185</v>
      </c>
    </row>
    <row r="347" spans="1:45" ht="45" x14ac:dyDescent="0.25">
      <c r="A347">
        <v>2019</v>
      </c>
      <c r="B347">
        <v>6</v>
      </c>
      <c r="C347">
        <v>2020203</v>
      </c>
      <c r="D347">
        <v>70</v>
      </c>
      <c r="E347" t="s">
        <v>3129</v>
      </c>
      <c r="F347">
        <v>2020203</v>
      </c>
      <c r="G347" s="10" t="s">
        <v>915</v>
      </c>
      <c r="H347" t="s">
        <v>185</v>
      </c>
      <c r="I347" s="131">
        <v>116359760.79000001</v>
      </c>
      <c r="J347" s="131">
        <v>116359760.79000001</v>
      </c>
      <c r="K347" s="131">
        <v>0</v>
      </c>
      <c r="L347" s="131">
        <v>0</v>
      </c>
      <c r="M347" s="131">
        <v>0</v>
      </c>
      <c r="N347" s="131">
        <v>0</v>
      </c>
      <c r="O347" s="131">
        <v>0</v>
      </c>
      <c r="P347" s="131">
        <v>116359760.79000001</v>
      </c>
      <c r="Q347" s="131">
        <v>0</v>
      </c>
      <c r="R347" s="131">
        <v>0</v>
      </c>
      <c r="S347" s="131">
        <v>0</v>
      </c>
      <c r="T347" s="131">
        <v>0</v>
      </c>
      <c r="U347" s="131">
        <v>0</v>
      </c>
      <c r="V347" s="131">
        <v>0</v>
      </c>
      <c r="W347" s="131">
        <v>65306763.439999998</v>
      </c>
      <c r="X347" s="131">
        <v>0</v>
      </c>
      <c r="Y347" s="131">
        <v>65306763.439999998</v>
      </c>
      <c r="Z347" s="131">
        <v>0</v>
      </c>
      <c r="AA347" s="131">
        <v>0</v>
      </c>
      <c r="AB347" s="131">
        <v>0</v>
      </c>
      <c r="AC347" s="131">
        <v>0</v>
      </c>
      <c r="AD347" s="131">
        <v>0</v>
      </c>
      <c r="AE347" s="131">
        <v>0</v>
      </c>
      <c r="AF347" s="131">
        <v>65306763.439999998</v>
      </c>
      <c r="AG347" s="131">
        <v>0</v>
      </c>
      <c r="AH347" s="131">
        <v>65306763.439999998</v>
      </c>
      <c r="AI347" s="131">
        <v>65306763.439999998</v>
      </c>
      <c r="AJ347" s="131">
        <v>62520060.340000004</v>
      </c>
      <c r="AK347" s="131">
        <v>62520060.340000004</v>
      </c>
      <c r="AM347" s="131">
        <v>2786703.1</v>
      </c>
      <c r="AN347" s="131">
        <v>2786703.1</v>
      </c>
      <c r="AO347" s="131">
        <v>0</v>
      </c>
      <c r="AP347" s="131">
        <v>2786703.1</v>
      </c>
      <c r="AQ347" s="131">
        <v>0</v>
      </c>
      <c r="AR347" s="131">
        <v>0</v>
      </c>
      <c r="AS347" t="s">
        <v>185</v>
      </c>
    </row>
    <row r="348" spans="1:45" ht="45" x14ac:dyDescent="0.25">
      <c r="A348">
        <v>2019</v>
      </c>
      <c r="B348">
        <v>6</v>
      </c>
      <c r="C348">
        <v>2020205</v>
      </c>
      <c r="D348">
        <v>70</v>
      </c>
      <c r="E348" t="s">
        <v>3130</v>
      </c>
      <c r="F348">
        <v>2020205</v>
      </c>
      <c r="G348" s="10" t="s">
        <v>3131</v>
      </c>
      <c r="H348" t="s">
        <v>185</v>
      </c>
      <c r="I348" s="131">
        <v>229047751.78999999</v>
      </c>
      <c r="J348" s="131">
        <v>229047751.78999999</v>
      </c>
      <c r="K348" s="131">
        <v>0</v>
      </c>
      <c r="L348" s="131">
        <v>229047751.78999999</v>
      </c>
      <c r="M348" s="131">
        <v>-229047751.78999999</v>
      </c>
      <c r="N348" s="131">
        <v>0</v>
      </c>
      <c r="O348" s="131">
        <v>229047751.78999999</v>
      </c>
      <c r="P348" s="131">
        <v>0</v>
      </c>
      <c r="Q348" s="131">
        <v>0</v>
      </c>
      <c r="R348" s="131">
        <v>0</v>
      </c>
      <c r="S348" s="131">
        <v>0</v>
      </c>
      <c r="T348" s="131">
        <v>0</v>
      </c>
      <c r="U348" s="131">
        <v>0</v>
      </c>
      <c r="V348" s="131">
        <v>0</v>
      </c>
      <c r="W348" s="131">
        <v>150843554.44</v>
      </c>
      <c r="X348" s="131">
        <v>150843554.44</v>
      </c>
      <c r="Y348" s="131">
        <v>0</v>
      </c>
      <c r="Z348" s="131">
        <v>0</v>
      </c>
      <c r="AA348" s="131">
        <v>0</v>
      </c>
      <c r="AB348" s="131">
        <v>0</v>
      </c>
      <c r="AC348" s="131">
        <v>0</v>
      </c>
      <c r="AD348" s="131">
        <v>0</v>
      </c>
      <c r="AE348" s="131">
        <v>0</v>
      </c>
      <c r="AF348" s="131">
        <v>150843554.44</v>
      </c>
      <c r="AG348" s="131">
        <v>150843554.44</v>
      </c>
      <c r="AH348" s="131">
        <v>0</v>
      </c>
      <c r="AI348" s="131">
        <v>0</v>
      </c>
      <c r="AJ348" s="131">
        <v>150843554.44</v>
      </c>
      <c r="AK348" s="131">
        <v>150843554.44</v>
      </c>
      <c r="AM348" s="131">
        <v>0</v>
      </c>
      <c r="AN348" s="131">
        <v>0</v>
      </c>
      <c r="AO348" s="131">
        <v>0</v>
      </c>
      <c r="AP348" s="131">
        <v>0</v>
      </c>
      <c r="AQ348" s="131">
        <v>0</v>
      </c>
      <c r="AR348" s="131">
        <v>0</v>
      </c>
      <c r="AS348" t="s">
        <v>185</v>
      </c>
    </row>
    <row r="349" spans="1:45" ht="60" x14ac:dyDescent="0.25">
      <c r="A349">
        <v>2019</v>
      </c>
      <c r="B349">
        <v>6</v>
      </c>
      <c r="C349">
        <v>2020206</v>
      </c>
      <c r="D349">
        <v>70</v>
      </c>
      <c r="E349" t="s">
        <v>3132</v>
      </c>
      <c r="F349">
        <v>2020206</v>
      </c>
      <c r="G349" s="10" t="s">
        <v>897</v>
      </c>
      <c r="H349" t="s">
        <v>185</v>
      </c>
      <c r="I349" s="131">
        <v>2714111</v>
      </c>
      <c r="J349" s="131">
        <v>2714111</v>
      </c>
      <c r="K349" s="131">
        <v>0</v>
      </c>
      <c r="L349" s="131">
        <v>0</v>
      </c>
      <c r="M349" s="131">
        <v>0</v>
      </c>
      <c r="N349" s="131">
        <v>0</v>
      </c>
      <c r="O349" s="131">
        <v>0</v>
      </c>
      <c r="P349" s="131">
        <v>2714111</v>
      </c>
      <c r="Q349" s="131">
        <v>0</v>
      </c>
      <c r="R349" s="131">
        <v>0</v>
      </c>
      <c r="S349" s="131">
        <v>0</v>
      </c>
      <c r="T349" s="131">
        <v>0</v>
      </c>
      <c r="U349" s="131">
        <v>0</v>
      </c>
      <c r="V349" s="131">
        <v>0</v>
      </c>
      <c r="W349" s="131">
        <v>0</v>
      </c>
      <c r="X349" s="131">
        <v>0</v>
      </c>
      <c r="Y349" s="131">
        <v>0</v>
      </c>
      <c r="Z349" s="131">
        <v>0</v>
      </c>
      <c r="AA349" s="131">
        <v>0</v>
      </c>
      <c r="AB349" s="131">
        <v>0</v>
      </c>
      <c r="AC349" s="131">
        <v>0</v>
      </c>
      <c r="AD349" s="131">
        <v>0</v>
      </c>
      <c r="AE349" s="131">
        <v>0</v>
      </c>
      <c r="AF349" s="131">
        <v>0</v>
      </c>
      <c r="AG349" s="131">
        <v>0</v>
      </c>
      <c r="AH349" s="131">
        <v>0</v>
      </c>
      <c r="AI349" s="131">
        <v>0</v>
      </c>
      <c r="AJ349" s="131">
        <v>0</v>
      </c>
      <c r="AK349" s="131">
        <v>0</v>
      </c>
      <c r="AM349" s="131">
        <v>0</v>
      </c>
      <c r="AN349" s="131">
        <v>0</v>
      </c>
      <c r="AO349" s="131">
        <v>0</v>
      </c>
      <c r="AP349" s="131">
        <v>0</v>
      </c>
      <c r="AQ349" s="131">
        <v>0</v>
      </c>
      <c r="AR349" s="131">
        <v>0</v>
      </c>
      <c r="AS349" t="s">
        <v>185</v>
      </c>
    </row>
    <row r="350" spans="1:45" ht="45" x14ac:dyDescent="0.25">
      <c r="A350">
        <v>2019</v>
      </c>
      <c r="B350">
        <v>6</v>
      </c>
      <c r="C350">
        <v>2020210</v>
      </c>
      <c r="D350">
        <v>70</v>
      </c>
      <c r="E350" t="s">
        <v>3133</v>
      </c>
      <c r="F350">
        <v>2020210</v>
      </c>
      <c r="G350" s="10" t="s">
        <v>3134</v>
      </c>
      <c r="H350" t="s">
        <v>185</v>
      </c>
      <c r="I350" s="131">
        <v>1825695589.5999999</v>
      </c>
      <c r="J350" s="131">
        <v>1825695589.5999999</v>
      </c>
      <c r="K350" s="131">
        <v>0</v>
      </c>
      <c r="L350" s="131">
        <v>0</v>
      </c>
      <c r="M350" s="131">
        <v>0</v>
      </c>
      <c r="N350" s="131">
        <v>0</v>
      </c>
      <c r="O350" s="131">
        <v>0</v>
      </c>
      <c r="P350" s="131">
        <v>1825695589.5999999</v>
      </c>
      <c r="Q350" s="131">
        <v>0</v>
      </c>
      <c r="R350" s="131">
        <v>0</v>
      </c>
      <c r="S350" s="131">
        <v>0</v>
      </c>
      <c r="T350" s="131">
        <v>0</v>
      </c>
      <c r="U350" s="131">
        <v>0</v>
      </c>
      <c r="V350" s="131">
        <v>0</v>
      </c>
      <c r="W350" s="131">
        <v>1712495510.3</v>
      </c>
      <c r="X350" s="131">
        <v>0</v>
      </c>
      <c r="Y350" s="131">
        <v>1712495510.3</v>
      </c>
      <c r="Z350" s="131">
        <v>0</v>
      </c>
      <c r="AA350" s="131">
        <v>0</v>
      </c>
      <c r="AB350" s="131">
        <v>0</v>
      </c>
      <c r="AC350" s="131">
        <v>0</v>
      </c>
      <c r="AD350" s="131">
        <v>0</v>
      </c>
      <c r="AE350" s="131">
        <v>0</v>
      </c>
      <c r="AF350" s="131">
        <v>1712495510.3</v>
      </c>
      <c r="AG350" s="131">
        <v>0</v>
      </c>
      <c r="AH350" s="131">
        <v>1712495510.3</v>
      </c>
      <c r="AI350" s="131">
        <v>1712495510.3</v>
      </c>
      <c r="AJ350" s="131">
        <v>1712495510.3</v>
      </c>
      <c r="AK350" s="131">
        <v>1712495510.3</v>
      </c>
      <c r="AM350" s="131">
        <v>0</v>
      </c>
      <c r="AN350" s="131">
        <v>0</v>
      </c>
      <c r="AO350" s="131">
        <v>0</v>
      </c>
      <c r="AP350" s="131">
        <v>0</v>
      </c>
      <c r="AQ350" s="131">
        <v>0</v>
      </c>
      <c r="AR350" s="131">
        <v>0</v>
      </c>
      <c r="AS350" t="s">
        <v>185</v>
      </c>
    </row>
    <row r="351" spans="1:45" ht="45" x14ac:dyDescent="0.25">
      <c r="A351">
        <v>2019</v>
      </c>
      <c r="B351">
        <v>6</v>
      </c>
      <c r="C351">
        <v>2020211</v>
      </c>
      <c r="D351">
        <v>70</v>
      </c>
      <c r="E351" t="s">
        <v>3135</v>
      </c>
      <c r="F351">
        <v>2020211</v>
      </c>
      <c r="G351" s="10" t="s">
        <v>3136</v>
      </c>
      <c r="H351" t="s">
        <v>185</v>
      </c>
      <c r="I351" s="131">
        <v>2344188606</v>
      </c>
      <c r="J351" s="131">
        <v>2344188606</v>
      </c>
      <c r="K351" s="131">
        <v>0</v>
      </c>
      <c r="L351" s="131">
        <v>0</v>
      </c>
      <c r="M351" s="131">
        <v>0</v>
      </c>
      <c r="N351" s="131">
        <v>0</v>
      </c>
      <c r="O351" s="131">
        <v>0</v>
      </c>
      <c r="P351" s="131">
        <v>2344188606</v>
      </c>
      <c r="Q351" s="131">
        <v>0</v>
      </c>
      <c r="R351" s="131">
        <v>0</v>
      </c>
      <c r="S351" s="131">
        <v>0</v>
      </c>
      <c r="T351" s="131">
        <v>0</v>
      </c>
      <c r="U351" s="131">
        <v>0</v>
      </c>
      <c r="V351" s="131">
        <v>0</v>
      </c>
      <c r="W351" s="131">
        <v>1844437396</v>
      </c>
      <c r="X351" s="131">
        <v>0</v>
      </c>
      <c r="Y351" s="131">
        <v>1844437396</v>
      </c>
      <c r="Z351" s="131">
        <v>0</v>
      </c>
      <c r="AA351" s="131">
        <v>0</v>
      </c>
      <c r="AB351" s="131">
        <v>0</v>
      </c>
      <c r="AC351" s="131">
        <v>0</v>
      </c>
      <c r="AD351" s="131">
        <v>0</v>
      </c>
      <c r="AE351" s="131">
        <v>0</v>
      </c>
      <c r="AF351" s="131">
        <v>1844437396</v>
      </c>
      <c r="AG351" s="131">
        <v>0</v>
      </c>
      <c r="AH351" s="131">
        <v>1844437396</v>
      </c>
      <c r="AI351" s="131">
        <v>1844437396</v>
      </c>
      <c r="AJ351" s="131">
        <v>1844437396</v>
      </c>
      <c r="AK351" s="131">
        <v>1844437396</v>
      </c>
      <c r="AM351" s="131">
        <v>0</v>
      </c>
      <c r="AN351" s="131">
        <v>0</v>
      </c>
      <c r="AO351" s="131">
        <v>0</v>
      </c>
      <c r="AP351" s="131">
        <v>0</v>
      </c>
      <c r="AQ351" s="131">
        <v>0</v>
      </c>
      <c r="AR351" s="131">
        <v>0</v>
      </c>
      <c r="AS351" t="s">
        <v>185</v>
      </c>
    </row>
    <row r="352" spans="1:45" ht="45" x14ac:dyDescent="0.25">
      <c r="A352">
        <v>2019</v>
      </c>
      <c r="B352">
        <v>6</v>
      </c>
      <c r="C352">
        <v>2020213</v>
      </c>
      <c r="D352">
        <v>70</v>
      </c>
      <c r="E352" t="s">
        <v>3137</v>
      </c>
      <c r="F352">
        <v>2020213</v>
      </c>
      <c r="G352" s="10" t="s">
        <v>3138</v>
      </c>
      <c r="H352" t="s">
        <v>185</v>
      </c>
      <c r="I352" s="131">
        <v>12778686420</v>
      </c>
      <c r="J352" s="131">
        <v>12778686420</v>
      </c>
      <c r="K352" s="131">
        <v>0</v>
      </c>
      <c r="L352" s="131">
        <v>0</v>
      </c>
      <c r="M352" s="131">
        <v>0</v>
      </c>
      <c r="N352" s="131">
        <v>0</v>
      </c>
      <c r="O352" s="131">
        <v>0</v>
      </c>
      <c r="P352" s="131">
        <v>12778686420</v>
      </c>
      <c r="Q352" s="131">
        <v>0</v>
      </c>
      <c r="R352" s="131">
        <v>0</v>
      </c>
      <c r="S352" s="131">
        <v>0</v>
      </c>
      <c r="T352" s="131">
        <v>0</v>
      </c>
      <c r="U352" s="131">
        <v>0</v>
      </c>
      <c r="V352" s="131">
        <v>0</v>
      </c>
      <c r="W352" s="131">
        <v>4378547611.4099998</v>
      </c>
      <c r="X352" s="131">
        <v>0</v>
      </c>
      <c r="Y352" s="131">
        <v>4378547611.4099998</v>
      </c>
      <c r="Z352" s="131">
        <v>0</v>
      </c>
      <c r="AA352" s="131">
        <v>0</v>
      </c>
      <c r="AB352" s="131">
        <v>0</v>
      </c>
      <c r="AC352" s="131">
        <v>0</v>
      </c>
      <c r="AD352" s="131">
        <v>0</v>
      </c>
      <c r="AE352" s="131">
        <v>0</v>
      </c>
      <c r="AF352" s="131">
        <v>4378547611.4099998</v>
      </c>
      <c r="AG352" s="131">
        <v>0</v>
      </c>
      <c r="AH352" s="131">
        <v>4378547611.4099998</v>
      </c>
      <c r="AI352" s="131">
        <v>4378547611.4099998</v>
      </c>
      <c r="AJ352" s="131">
        <v>4378547611.4099998</v>
      </c>
      <c r="AK352" s="131">
        <v>4378547611.4099998</v>
      </c>
      <c r="AM352" s="131">
        <v>0</v>
      </c>
      <c r="AN352" s="131">
        <v>0</v>
      </c>
      <c r="AO352" s="131">
        <v>0</v>
      </c>
      <c r="AP352" s="131">
        <v>0</v>
      </c>
      <c r="AQ352" s="131">
        <v>0</v>
      </c>
      <c r="AR352" s="131">
        <v>0</v>
      </c>
      <c r="AS352" t="s">
        <v>185</v>
      </c>
    </row>
    <row r="353" spans="1:45" ht="60" x14ac:dyDescent="0.25">
      <c r="A353">
        <v>2019</v>
      </c>
      <c r="B353">
        <v>6</v>
      </c>
      <c r="C353">
        <v>2020214</v>
      </c>
      <c r="D353">
        <v>70</v>
      </c>
      <c r="E353" t="s">
        <v>3139</v>
      </c>
      <c r="F353">
        <v>2020214</v>
      </c>
      <c r="G353" s="10" t="s">
        <v>909</v>
      </c>
      <c r="H353" t="s">
        <v>185</v>
      </c>
      <c r="I353" s="131">
        <v>1105051321.8699999</v>
      </c>
      <c r="J353" s="131">
        <v>1105051321.8699999</v>
      </c>
      <c r="K353" s="131">
        <v>0</v>
      </c>
      <c r="L353" s="131">
        <v>0</v>
      </c>
      <c r="M353" s="131">
        <v>0</v>
      </c>
      <c r="N353" s="131">
        <v>0</v>
      </c>
      <c r="O353" s="131">
        <v>0</v>
      </c>
      <c r="P353" s="131">
        <v>1105051321.8699999</v>
      </c>
      <c r="Q353" s="131">
        <v>0</v>
      </c>
      <c r="R353" s="131">
        <v>0</v>
      </c>
      <c r="S353" s="131">
        <v>0</v>
      </c>
      <c r="T353" s="131">
        <v>0</v>
      </c>
      <c r="U353" s="131">
        <v>0</v>
      </c>
      <c r="V353" s="131">
        <v>0</v>
      </c>
      <c r="W353" s="131">
        <v>0</v>
      </c>
      <c r="X353" s="131">
        <v>0</v>
      </c>
      <c r="Y353" s="131">
        <v>0</v>
      </c>
      <c r="Z353" s="131">
        <v>0</v>
      </c>
      <c r="AA353" s="131">
        <v>0</v>
      </c>
      <c r="AB353" s="131">
        <v>0</v>
      </c>
      <c r="AC353" s="131">
        <v>0</v>
      </c>
      <c r="AD353" s="131">
        <v>0</v>
      </c>
      <c r="AE353" s="131">
        <v>0</v>
      </c>
      <c r="AF353" s="131">
        <v>0</v>
      </c>
      <c r="AG353" s="131">
        <v>0</v>
      </c>
      <c r="AH353" s="131">
        <v>0</v>
      </c>
      <c r="AI353" s="131">
        <v>0</v>
      </c>
      <c r="AJ353" s="131">
        <v>0</v>
      </c>
      <c r="AK353" s="131">
        <v>0</v>
      </c>
      <c r="AM353" s="131">
        <v>0</v>
      </c>
      <c r="AN353" s="131">
        <v>0</v>
      </c>
      <c r="AO353" s="131">
        <v>0</v>
      </c>
      <c r="AP353" s="131">
        <v>0</v>
      </c>
      <c r="AQ353" s="131">
        <v>0</v>
      </c>
      <c r="AR353" s="131">
        <v>0</v>
      </c>
      <c r="AS353" t="s">
        <v>185</v>
      </c>
    </row>
    <row r="354" spans="1:45" ht="45" x14ac:dyDescent="0.25">
      <c r="A354">
        <v>2019</v>
      </c>
      <c r="B354">
        <v>6</v>
      </c>
      <c r="C354">
        <v>2020215</v>
      </c>
      <c r="D354">
        <v>70</v>
      </c>
      <c r="E354" t="s">
        <v>3140</v>
      </c>
      <c r="F354">
        <v>2020215</v>
      </c>
      <c r="G354" s="10" t="s">
        <v>906</v>
      </c>
      <c r="H354" t="s">
        <v>185</v>
      </c>
      <c r="I354" s="131">
        <v>453699927</v>
      </c>
      <c r="J354" s="131">
        <v>453699927</v>
      </c>
      <c r="K354" s="131">
        <v>0</v>
      </c>
      <c r="L354" s="131">
        <v>0</v>
      </c>
      <c r="M354" s="131">
        <v>0</v>
      </c>
      <c r="N354" s="131">
        <v>0</v>
      </c>
      <c r="O354" s="131">
        <v>0</v>
      </c>
      <c r="P354" s="131">
        <v>453699927</v>
      </c>
      <c r="Q354" s="131">
        <v>0</v>
      </c>
      <c r="R354" s="131">
        <v>0</v>
      </c>
      <c r="S354" s="131">
        <v>0</v>
      </c>
      <c r="T354" s="131">
        <v>0</v>
      </c>
      <c r="U354" s="131">
        <v>0</v>
      </c>
      <c r="V354" s="131">
        <v>0</v>
      </c>
      <c r="W354" s="131">
        <v>136109883.59999999</v>
      </c>
      <c r="X354" s="131">
        <v>0</v>
      </c>
      <c r="Y354" s="131">
        <v>136109883.59999999</v>
      </c>
      <c r="Z354" s="131">
        <v>0</v>
      </c>
      <c r="AA354" s="131">
        <v>0</v>
      </c>
      <c r="AB354" s="131">
        <v>0</v>
      </c>
      <c r="AC354" s="131">
        <v>0</v>
      </c>
      <c r="AD354" s="131">
        <v>0</v>
      </c>
      <c r="AE354" s="131">
        <v>0</v>
      </c>
      <c r="AF354" s="131">
        <v>136109883.59999999</v>
      </c>
      <c r="AG354" s="131">
        <v>0</v>
      </c>
      <c r="AH354" s="131">
        <v>136109883.59999999</v>
      </c>
      <c r="AI354" s="131">
        <v>136109883.59999999</v>
      </c>
      <c r="AJ354" s="131">
        <v>136109883.59999999</v>
      </c>
      <c r="AK354" s="131">
        <v>136109883.59999999</v>
      </c>
      <c r="AM354" s="131">
        <v>0</v>
      </c>
      <c r="AN354" s="131">
        <v>0</v>
      </c>
      <c r="AO354" s="131">
        <v>0</v>
      </c>
      <c r="AP354" s="131">
        <v>0</v>
      </c>
      <c r="AQ354" s="131">
        <v>0</v>
      </c>
      <c r="AR354" s="131">
        <v>0</v>
      </c>
      <c r="AS354" t="s">
        <v>185</v>
      </c>
    </row>
    <row r="355" spans="1:45" ht="60" x14ac:dyDescent="0.25">
      <c r="A355">
        <v>2019</v>
      </c>
      <c r="B355">
        <v>6</v>
      </c>
      <c r="C355">
        <v>2020216</v>
      </c>
      <c r="D355">
        <v>70</v>
      </c>
      <c r="E355" t="s">
        <v>3141</v>
      </c>
      <c r="F355">
        <v>2020216</v>
      </c>
      <c r="G355" s="10" t="s">
        <v>3142</v>
      </c>
      <c r="H355" t="s">
        <v>185</v>
      </c>
      <c r="I355" s="131">
        <v>0</v>
      </c>
      <c r="J355" s="131">
        <v>0</v>
      </c>
      <c r="K355" s="131">
        <v>14845854825</v>
      </c>
      <c r="L355" s="131">
        <v>0</v>
      </c>
      <c r="M355" s="131">
        <v>14845854825</v>
      </c>
      <c r="N355" s="131">
        <v>14845854825</v>
      </c>
      <c r="O355" s="131">
        <v>0</v>
      </c>
      <c r="P355" s="131">
        <v>14845854825</v>
      </c>
      <c r="Q355" s="131">
        <v>0</v>
      </c>
      <c r="R355" s="131">
        <v>0</v>
      </c>
      <c r="S355" s="131">
        <v>0</v>
      </c>
      <c r="T355" s="131">
        <v>0</v>
      </c>
      <c r="U355" s="131">
        <v>0</v>
      </c>
      <c r="V355" s="131">
        <v>0</v>
      </c>
      <c r="W355" s="131">
        <v>72094858</v>
      </c>
      <c r="X355" s="131">
        <v>0</v>
      </c>
      <c r="Y355" s="131">
        <v>72094858</v>
      </c>
      <c r="Z355" s="131">
        <v>0</v>
      </c>
      <c r="AA355" s="131">
        <v>0</v>
      </c>
      <c r="AB355" s="131">
        <v>0</v>
      </c>
      <c r="AC355" s="131">
        <v>0</v>
      </c>
      <c r="AD355" s="131">
        <v>0</v>
      </c>
      <c r="AE355" s="131">
        <v>0</v>
      </c>
      <c r="AF355" s="131">
        <v>72094858</v>
      </c>
      <c r="AG355" s="131">
        <v>0</v>
      </c>
      <c r="AH355" s="131">
        <v>72094858</v>
      </c>
      <c r="AI355" s="131">
        <v>72094858</v>
      </c>
      <c r="AJ355" s="131">
        <v>72094858</v>
      </c>
      <c r="AK355" s="131">
        <v>72094858</v>
      </c>
      <c r="AM355" s="131">
        <v>0</v>
      </c>
      <c r="AN355" s="131">
        <v>0</v>
      </c>
      <c r="AO355" s="131">
        <v>0</v>
      </c>
      <c r="AP355" s="131">
        <v>0</v>
      </c>
      <c r="AQ355" s="131">
        <v>0</v>
      </c>
      <c r="AR355" s="131">
        <v>0</v>
      </c>
      <c r="AS355" t="s">
        <v>185</v>
      </c>
    </row>
    <row r="356" spans="1:45" ht="60" x14ac:dyDescent="0.25">
      <c r="A356">
        <v>2019</v>
      </c>
      <c r="B356">
        <v>6</v>
      </c>
      <c r="C356">
        <v>2020217</v>
      </c>
      <c r="D356">
        <v>70</v>
      </c>
      <c r="E356" t="s">
        <v>3143</v>
      </c>
      <c r="F356">
        <v>2020217</v>
      </c>
      <c r="G356" s="10" t="s">
        <v>923</v>
      </c>
      <c r="H356" t="s">
        <v>185</v>
      </c>
      <c r="I356" s="131">
        <v>0</v>
      </c>
      <c r="J356" s="131">
        <v>0</v>
      </c>
      <c r="K356" s="131">
        <v>3105294006</v>
      </c>
      <c r="L356" s="131">
        <v>0</v>
      </c>
      <c r="M356" s="131">
        <v>3105294006</v>
      </c>
      <c r="N356" s="131">
        <v>3105294006</v>
      </c>
      <c r="O356" s="131">
        <v>0</v>
      </c>
      <c r="P356" s="131">
        <v>3105294006</v>
      </c>
      <c r="Q356" s="131">
        <v>0</v>
      </c>
      <c r="R356" s="131">
        <v>0</v>
      </c>
      <c r="S356" s="131">
        <v>0</v>
      </c>
      <c r="T356" s="131">
        <v>0</v>
      </c>
      <c r="U356" s="131">
        <v>0</v>
      </c>
      <c r="V356" s="131">
        <v>0</v>
      </c>
      <c r="W356" s="131">
        <v>0</v>
      </c>
      <c r="X356" s="131">
        <v>0</v>
      </c>
      <c r="Y356" s="131">
        <v>0</v>
      </c>
      <c r="Z356" s="131">
        <v>0</v>
      </c>
      <c r="AA356" s="131">
        <v>0</v>
      </c>
      <c r="AB356" s="131">
        <v>0</v>
      </c>
      <c r="AC356" s="131">
        <v>0</v>
      </c>
      <c r="AD356" s="131">
        <v>0</v>
      </c>
      <c r="AE356" s="131">
        <v>0</v>
      </c>
      <c r="AF356" s="131">
        <v>0</v>
      </c>
      <c r="AG356" s="131">
        <v>0</v>
      </c>
      <c r="AH356" s="131">
        <v>0</v>
      </c>
      <c r="AI356" s="131">
        <v>0</v>
      </c>
      <c r="AJ356" s="131">
        <v>0</v>
      </c>
      <c r="AK356" s="131">
        <v>0</v>
      </c>
      <c r="AM356" s="131">
        <v>0</v>
      </c>
      <c r="AN356" s="131">
        <v>0</v>
      </c>
      <c r="AO356" s="131">
        <v>0</v>
      </c>
      <c r="AP356" s="131">
        <v>0</v>
      </c>
      <c r="AQ356" s="131">
        <v>0</v>
      </c>
      <c r="AR356" s="131">
        <v>0</v>
      </c>
      <c r="AS356" t="s">
        <v>185</v>
      </c>
    </row>
    <row r="357" spans="1:45" ht="45" x14ac:dyDescent="0.25">
      <c r="A357">
        <v>2019</v>
      </c>
      <c r="B357">
        <v>6</v>
      </c>
      <c r="C357">
        <v>2020218</v>
      </c>
      <c r="D357">
        <v>70</v>
      </c>
      <c r="E357" t="s">
        <v>3144</v>
      </c>
      <c r="F357">
        <v>2020218</v>
      </c>
      <c r="G357" s="10" t="s">
        <v>919</v>
      </c>
      <c r="H357" t="s">
        <v>185</v>
      </c>
      <c r="I357" s="131">
        <v>0</v>
      </c>
      <c r="J357" s="131">
        <v>0</v>
      </c>
      <c r="K357" s="131">
        <v>20238528792</v>
      </c>
      <c r="L357" s="131">
        <v>0</v>
      </c>
      <c r="M357" s="131">
        <v>20238528792</v>
      </c>
      <c r="N357" s="131">
        <v>20238528792</v>
      </c>
      <c r="O357" s="131">
        <v>0</v>
      </c>
      <c r="P357" s="131">
        <v>20238528792</v>
      </c>
      <c r="Q357" s="131">
        <v>0</v>
      </c>
      <c r="R357" s="131">
        <v>0</v>
      </c>
      <c r="S357" s="131">
        <v>0</v>
      </c>
      <c r="T357" s="131">
        <v>0</v>
      </c>
      <c r="U357" s="131">
        <v>0</v>
      </c>
      <c r="V357" s="131">
        <v>0</v>
      </c>
      <c r="W357" s="131">
        <v>0</v>
      </c>
      <c r="X357" s="131">
        <v>0</v>
      </c>
      <c r="Y357" s="131">
        <v>0</v>
      </c>
      <c r="Z357" s="131">
        <v>0</v>
      </c>
      <c r="AA357" s="131">
        <v>0</v>
      </c>
      <c r="AB357" s="131">
        <v>0</v>
      </c>
      <c r="AC357" s="131">
        <v>0</v>
      </c>
      <c r="AD357" s="131">
        <v>0</v>
      </c>
      <c r="AE357" s="131">
        <v>0</v>
      </c>
      <c r="AF357" s="131">
        <v>0</v>
      </c>
      <c r="AG357" s="131">
        <v>0</v>
      </c>
      <c r="AH357" s="131">
        <v>0</v>
      </c>
      <c r="AI357" s="131">
        <v>0</v>
      </c>
      <c r="AJ357" s="131">
        <v>0</v>
      </c>
      <c r="AK357" s="131">
        <v>0</v>
      </c>
      <c r="AM357" s="131">
        <v>0</v>
      </c>
      <c r="AN357" s="131">
        <v>0</v>
      </c>
      <c r="AO357" s="131">
        <v>0</v>
      </c>
      <c r="AP357" s="131">
        <v>0</v>
      </c>
      <c r="AQ357" s="131">
        <v>0</v>
      </c>
      <c r="AR357" s="131">
        <v>0</v>
      </c>
      <c r="AS357" t="s">
        <v>185</v>
      </c>
    </row>
    <row r="358" spans="1:45" ht="60" x14ac:dyDescent="0.25">
      <c r="A358">
        <v>2019</v>
      </c>
      <c r="B358">
        <v>6</v>
      </c>
      <c r="C358">
        <v>2020219</v>
      </c>
      <c r="D358">
        <v>70</v>
      </c>
      <c r="E358" t="s">
        <v>3145</v>
      </c>
      <c r="F358">
        <v>2020219</v>
      </c>
      <c r="G358" s="10" t="s">
        <v>901</v>
      </c>
      <c r="H358" t="s">
        <v>185</v>
      </c>
      <c r="I358" s="131">
        <v>0</v>
      </c>
      <c r="J358" s="131">
        <v>0</v>
      </c>
      <c r="K358" s="131">
        <v>7739633587</v>
      </c>
      <c r="L358" s="131">
        <v>0</v>
      </c>
      <c r="M358" s="131">
        <v>7739633587</v>
      </c>
      <c r="N358" s="131">
        <v>7739633587</v>
      </c>
      <c r="O358" s="131">
        <v>0</v>
      </c>
      <c r="P358" s="131">
        <v>7739633587</v>
      </c>
      <c r="Q358" s="131">
        <v>0</v>
      </c>
      <c r="R358" s="131">
        <v>0</v>
      </c>
      <c r="S358" s="131">
        <v>0</v>
      </c>
      <c r="T358" s="131">
        <v>0</v>
      </c>
      <c r="U358" s="131">
        <v>0</v>
      </c>
      <c r="V358" s="131">
        <v>0</v>
      </c>
      <c r="W358" s="131">
        <v>0</v>
      </c>
      <c r="X358" s="131">
        <v>0</v>
      </c>
      <c r="Y358" s="131">
        <v>0</v>
      </c>
      <c r="Z358" s="131">
        <v>0</v>
      </c>
      <c r="AA358" s="131">
        <v>0</v>
      </c>
      <c r="AB358" s="131">
        <v>0</v>
      </c>
      <c r="AC358" s="131">
        <v>0</v>
      </c>
      <c r="AD358" s="131">
        <v>0</v>
      </c>
      <c r="AE358" s="131">
        <v>0</v>
      </c>
      <c r="AF358" s="131">
        <v>0</v>
      </c>
      <c r="AG358" s="131">
        <v>0</v>
      </c>
      <c r="AH358" s="131">
        <v>0</v>
      </c>
      <c r="AI358" s="131">
        <v>0</v>
      </c>
      <c r="AJ358" s="131">
        <v>0</v>
      </c>
      <c r="AK358" s="131">
        <v>0</v>
      </c>
      <c r="AM358" s="131">
        <v>0</v>
      </c>
      <c r="AN358" s="131">
        <v>0</v>
      </c>
      <c r="AO358" s="131">
        <v>0</v>
      </c>
      <c r="AP358" s="131">
        <v>0</v>
      </c>
      <c r="AQ358" s="131">
        <v>0</v>
      </c>
      <c r="AR358" s="131">
        <v>0</v>
      </c>
      <c r="AS358" t="s">
        <v>185</v>
      </c>
    </row>
    <row r="359" spans="1:45" ht="60" x14ac:dyDescent="0.25">
      <c r="A359">
        <v>2019</v>
      </c>
      <c r="B359">
        <v>6</v>
      </c>
      <c r="C359">
        <v>2020220</v>
      </c>
      <c r="D359">
        <v>70</v>
      </c>
      <c r="E359" t="s">
        <v>3146</v>
      </c>
      <c r="F359">
        <v>2020220</v>
      </c>
      <c r="G359" s="10" t="s">
        <v>3147</v>
      </c>
      <c r="H359" t="s">
        <v>185</v>
      </c>
      <c r="I359" s="131">
        <v>0</v>
      </c>
      <c r="J359" s="131">
        <v>0</v>
      </c>
      <c r="K359" s="131">
        <v>3259986369</v>
      </c>
      <c r="L359" s="131">
        <v>0</v>
      </c>
      <c r="M359" s="131">
        <v>3259986369</v>
      </c>
      <c r="N359" s="131">
        <v>3259986369</v>
      </c>
      <c r="O359" s="131">
        <v>0</v>
      </c>
      <c r="P359" s="131">
        <v>3259986369</v>
      </c>
      <c r="Q359" s="131">
        <v>0</v>
      </c>
      <c r="R359" s="131">
        <v>0</v>
      </c>
      <c r="S359" s="131">
        <v>0</v>
      </c>
      <c r="T359" s="131">
        <v>0</v>
      </c>
      <c r="U359" s="131">
        <v>0</v>
      </c>
      <c r="V359" s="131">
        <v>0</v>
      </c>
      <c r="W359" s="131">
        <v>0</v>
      </c>
      <c r="X359" s="131">
        <v>0</v>
      </c>
      <c r="Y359" s="131">
        <v>0</v>
      </c>
      <c r="Z359" s="131">
        <v>0</v>
      </c>
      <c r="AA359" s="131">
        <v>0</v>
      </c>
      <c r="AB359" s="131">
        <v>0</v>
      </c>
      <c r="AC359" s="131">
        <v>0</v>
      </c>
      <c r="AD359" s="131">
        <v>0</v>
      </c>
      <c r="AE359" s="131">
        <v>0</v>
      </c>
      <c r="AF359" s="131">
        <v>0</v>
      </c>
      <c r="AG359" s="131">
        <v>0</v>
      </c>
      <c r="AH359" s="131">
        <v>0</v>
      </c>
      <c r="AI359" s="131">
        <v>0</v>
      </c>
      <c r="AJ359" s="131">
        <v>0</v>
      </c>
      <c r="AK359" s="131">
        <v>0</v>
      </c>
      <c r="AM359" s="131">
        <v>0</v>
      </c>
      <c r="AN359" s="131">
        <v>0</v>
      </c>
      <c r="AO359" s="131">
        <v>0</v>
      </c>
      <c r="AP359" s="131">
        <v>0</v>
      </c>
      <c r="AQ359" s="131">
        <v>0</v>
      </c>
      <c r="AR359" s="131">
        <v>0</v>
      </c>
      <c r="AS359" t="s">
        <v>185</v>
      </c>
    </row>
    <row r="360" spans="1:45" ht="60" x14ac:dyDescent="0.25">
      <c r="A360">
        <v>2019</v>
      </c>
      <c r="B360">
        <v>6</v>
      </c>
      <c r="C360">
        <v>20203</v>
      </c>
      <c r="D360" t="s">
        <v>226</v>
      </c>
      <c r="E360" t="s">
        <v>3148</v>
      </c>
      <c r="F360">
        <v>20203</v>
      </c>
      <c r="G360" s="10" t="s">
        <v>3149</v>
      </c>
      <c r="H360" t="s">
        <v>185</v>
      </c>
      <c r="I360" s="131">
        <v>1852204761</v>
      </c>
      <c r="J360" s="131">
        <v>1852204761</v>
      </c>
      <c r="K360" s="131">
        <v>4741315360</v>
      </c>
      <c r="L360" s="131">
        <v>86770794</v>
      </c>
      <c r="M360" s="131">
        <v>4654544566</v>
      </c>
      <c r="N360" s="131">
        <v>4741315360</v>
      </c>
      <c r="O360" s="131">
        <v>86770794</v>
      </c>
      <c r="P360" s="131">
        <v>6506749327</v>
      </c>
      <c r="Q360" s="131">
        <v>0</v>
      </c>
      <c r="R360" s="131">
        <v>0</v>
      </c>
      <c r="S360" s="131">
        <v>0</v>
      </c>
      <c r="T360" s="131">
        <v>0</v>
      </c>
      <c r="U360" s="131">
        <v>0</v>
      </c>
      <c r="V360" s="131">
        <v>0</v>
      </c>
      <c r="W360" s="131">
        <v>1286710122</v>
      </c>
      <c r="X360" s="131">
        <v>64276038</v>
      </c>
      <c r="Y360" s="131">
        <v>1222434084</v>
      </c>
      <c r="Z360" s="131">
        <v>0</v>
      </c>
      <c r="AA360" s="131">
        <v>0</v>
      </c>
      <c r="AB360" s="131">
        <v>0</v>
      </c>
      <c r="AC360" s="131">
        <v>0</v>
      </c>
      <c r="AD360" s="131">
        <v>0</v>
      </c>
      <c r="AE360" s="131">
        <v>0</v>
      </c>
      <c r="AF360" s="131">
        <v>1286710122</v>
      </c>
      <c r="AG360" s="131">
        <v>64276038</v>
      </c>
      <c r="AH360" s="131">
        <v>1222434084</v>
      </c>
      <c r="AI360" s="131">
        <v>1222434084</v>
      </c>
      <c r="AJ360" s="131">
        <v>1286710122</v>
      </c>
      <c r="AK360" s="131">
        <v>1286710122</v>
      </c>
      <c r="AM360" s="131">
        <v>0</v>
      </c>
      <c r="AN360" s="131">
        <v>0</v>
      </c>
      <c r="AO360" s="131">
        <v>0</v>
      </c>
      <c r="AP360" s="131">
        <v>0</v>
      </c>
      <c r="AQ360" s="131">
        <v>0</v>
      </c>
      <c r="AR360" s="131">
        <v>0</v>
      </c>
      <c r="AS360" t="s">
        <v>1709</v>
      </c>
    </row>
    <row r="361" spans="1:45" ht="45" x14ac:dyDescent="0.25">
      <c r="A361">
        <v>2019</v>
      </c>
      <c r="B361">
        <v>6</v>
      </c>
      <c r="C361">
        <v>2020301</v>
      </c>
      <c r="D361">
        <v>70</v>
      </c>
      <c r="E361" t="s">
        <v>3150</v>
      </c>
      <c r="F361">
        <v>2020301</v>
      </c>
      <c r="G361" s="10" t="s">
        <v>927</v>
      </c>
      <c r="H361" t="s">
        <v>185</v>
      </c>
      <c r="I361" s="131">
        <v>1118192103</v>
      </c>
      <c r="J361" s="131">
        <v>1118192103</v>
      </c>
      <c r="K361" s="131">
        <v>0</v>
      </c>
      <c r="L361" s="131">
        <v>0</v>
      </c>
      <c r="M361" s="131">
        <v>0</v>
      </c>
      <c r="N361" s="131">
        <v>0</v>
      </c>
      <c r="O361" s="131">
        <v>0</v>
      </c>
      <c r="P361" s="131">
        <v>1118192103</v>
      </c>
      <c r="Q361" s="131">
        <v>0</v>
      </c>
      <c r="R361" s="131">
        <v>0</v>
      </c>
      <c r="S361" s="131">
        <v>0</v>
      </c>
      <c r="T361" s="131">
        <v>0</v>
      </c>
      <c r="U361" s="131">
        <v>0</v>
      </c>
      <c r="V361" s="131">
        <v>0</v>
      </c>
      <c r="W361" s="131">
        <v>606631260</v>
      </c>
      <c r="X361" s="131">
        <v>0</v>
      </c>
      <c r="Y361" s="131">
        <v>606631260</v>
      </c>
      <c r="Z361" s="131">
        <v>0</v>
      </c>
      <c r="AA361" s="131">
        <v>0</v>
      </c>
      <c r="AB361" s="131">
        <v>0</v>
      </c>
      <c r="AC361" s="131">
        <v>0</v>
      </c>
      <c r="AD361" s="131">
        <v>0</v>
      </c>
      <c r="AE361" s="131">
        <v>0</v>
      </c>
      <c r="AF361" s="131">
        <v>606631260</v>
      </c>
      <c r="AG361" s="131">
        <v>0</v>
      </c>
      <c r="AH361" s="131">
        <v>606631260</v>
      </c>
      <c r="AI361" s="131">
        <v>606631260</v>
      </c>
      <c r="AJ361" s="131">
        <v>606631260</v>
      </c>
      <c r="AK361" s="131">
        <v>606631260</v>
      </c>
      <c r="AM361" s="131">
        <v>0</v>
      </c>
      <c r="AN361" s="131">
        <v>0</v>
      </c>
      <c r="AO361" s="131">
        <v>0</v>
      </c>
      <c r="AP361" s="131">
        <v>0</v>
      </c>
      <c r="AQ361" s="131">
        <v>0</v>
      </c>
      <c r="AR361" s="131">
        <v>0</v>
      </c>
      <c r="AS361" t="s">
        <v>185</v>
      </c>
    </row>
    <row r="362" spans="1:45" ht="45" x14ac:dyDescent="0.25">
      <c r="A362">
        <v>2019</v>
      </c>
      <c r="B362">
        <v>6</v>
      </c>
      <c r="C362">
        <v>2020302</v>
      </c>
      <c r="D362">
        <v>70</v>
      </c>
      <c r="E362" t="s">
        <v>3151</v>
      </c>
      <c r="F362">
        <v>2020302</v>
      </c>
      <c r="G362" s="10" t="s">
        <v>931</v>
      </c>
      <c r="H362" t="s">
        <v>185</v>
      </c>
      <c r="I362" s="131">
        <v>99765067</v>
      </c>
      <c r="J362" s="131">
        <v>99765067</v>
      </c>
      <c r="K362" s="131">
        <v>0</v>
      </c>
      <c r="L362" s="131">
        <v>0</v>
      </c>
      <c r="M362" s="131">
        <v>0</v>
      </c>
      <c r="N362" s="131">
        <v>0</v>
      </c>
      <c r="O362" s="131">
        <v>0</v>
      </c>
      <c r="P362" s="131">
        <v>99765067</v>
      </c>
      <c r="Q362" s="131">
        <v>0</v>
      </c>
      <c r="R362" s="131">
        <v>0</v>
      </c>
      <c r="S362" s="131">
        <v>0</v>
      </c>
      <c r="T362" s="131">
        <v>0</v>
      </c>
      <c r="U362" s="131">
        <v>0</v>
      </c>
      <c r="V362" s="131">
        <v>0</v>
      </c>
      <c r="W362" s="131">
        <v>99765067</v>
      </c>
      <c r="X362" s="131">
        <v>0</v>
      </c>
      <c r="Y362" s="131">
        <v>99765067</v>
      </c>
      <c r="Z362" s="131">
        <v>0</v>
      </c>
      <c r="AA362" s="131">
        <v>0</v>
      </c>
      <c r="AB362" s="131">
        <v>0</v>
      </c>
      <c r="AC362" s="131">
        <v>0</v>
      </c>
      <c r="AD362" s="131">
        <v>0</v>
      </c>
      <c r="AE362" s="131">
        <v>0</v>
      </c>
      <c r="AF362" s="131">
        <v>99765067</v>
      </c>
      <c r="AG362" s="131">
        <v>0</v>
      </c>
      <c r="AH362" s="131">
        <v>99765067</v>
      </c>
      <c r="AI362" s="131">
        <v>99765067</v>
      </c>
      <c r="AJ362" s="131">
        <v>99765067</v>
      </c>
      <c r="AK362" s="131">
        <v>99765067</v>
      </c>
      <c r="AM362" s="131">
        <v>0</v>
      </c>
      <c r="AN362" s="131">
        <v>0</v>
      </c>
      <c r="AO362" s="131">
        <v>0</v>
      </c>
      <c r="AP362" s="131">
        <v>0</v>
      </c>
      <c r="AQ362" s="131">
        <v>0</v>
      </c>
      <c r="AR362" s="131">
        <v>0</v>
      </c>
      <c r="AS362" t="s">
        <v>185</v>
      </c>
    </row>
    <row r="363" spans="1:45" ht="60" x14ac:dyDescent="0.25">
      <c r="A363">
        <v>2019</v>
      </c>
      <c r="B363">
        <v>6</v>
      </c>
      <c r="C363">
        <v>2020303</v>
      </c>
      <c r="D363">
        <v>70</v>
      </c>
      <c r="E363" t="s">
        <v>3152</v>
      </c>
      <c r="F363">
        <v>2020303</v>
      </c>
      <c r="G363" s="10" t="s">
        <v>935</v>
      </c>
      <c r="H363" t="s">
        <v>185</v>
      </c>
      <c r="I363" s="131">
        <v>408129698</v>
      </c>
      <c r="J363" s="131">
        <v>408129698</v>
      </c>
      <c r="K363" s="131">
        <v>0</v>
      </c>
      <c r="L363" s="131">
        <v>0</v>
      </c>
      <c r="M363" s="131">
        <v>0</v>
      </c>
      <c r="N363" s="131">
        <v>0</v>
      </c>
      <c r="O363" s="131">
        <v>0</v>
      </c>
      <c r="P363" s="131">
        <v>408129698</v>
      </c>
      <c r="Q363" s="131">
        <v>0</v>
      </c>
      <c r="R363" s="131">
        <v>0</v>
      </c>
      <c r="S363" s="131">
        <v>0</v>
      </c>
      <c r="T363" s="131">
        <v>0</v>
      </c>
      <c r="U363" s="131">
        <v>0</v>
      </c>
      <c r="V363" s="131">
        <v>0</v>
      </c>
      <c r="W363" s="131">
        <v>376690658</v>
      </c>
      <c r="X363" s="131">
        <v>0</v>
      </c>
      <c r="Y363" s="131">
        <v>376690658</v>
      </c>
      <c r="Z363" s="131">
        <v>0</v>
      </c>
      <c r="AA363" s="131">
        <v>0</v>
      </c>
      <c r="AB363" s="131">
        <v>0</v>
      </c>
      <c r="AC363" s="131">
        <v>0</v>
      </c>
      <c r="AD363" s="131">
        <v>0</v>
      </c>
      <c r="AE363" s="131">
        <v>0</v>
      </c>
      <c r="AF363" s="131">
        <v>376690658</v>
      </c>
      <c r="AG363" s="131">
        <v>0</v>
      </c>
      <c r="AH363" s="131">
        <v>376690658</v>
      </c>
      <c r="AI363" s="131">
        <v>376690658</v>
      </c>
      <c r="AJ363" s="131">
        <v>376690658</v>
      </c>
      <c r="AK363" s="131">
        <v>376690658</v>
      </c>
      <c r="AM363" s="131">
        <v>0</v>
      </c>
      <c r="AN363" s="131">
        <v>0</v>
      </c>
      <c r="AO363" s="131">
        <v>0</v>
      </c>
      <c r="AP363" s="131">
        <v>0</v>
      </c>
      <c r="AQ363" s="131">
        <v>0</v>
      </c>
      <c r="AR363" s="131">
        <v>0</v>
      </c>
      <c r="AS363" t="s">
        <v>185</v>
      </c>
    </row>
    <row r="364" spans="1:45" ht="45" x14ac:dyDescent="0.25">
      <c r="A364">
        <v>2019</v>
      </c>
      <c r="B364">
        <v>6</v>
      </c>
      <c r="C364">
        <v>2020304</v>
      </c>
      <c r="D364">
        <v>70</v>
      </c>
      <c r="E364" t="s">
        <v>3153</v>
      </c>
      <c r="F364">
        <v>2020304</v>
      </c>
      <c r="G364" s="10" t="s">
        <v>3154</v>
      </c>
      <c r="H364" t="s">
        <v>185</v>
      </c>
      <c r="I364" s="131">
        <v>226117893</v>
      </c>
      <c r="J364" s="131">
        <v>226117893</v>
      </c>
      <c r="K364" s="131">
        <v>0</v>
      </c>
      <c r="L364" s="131">
        <v>86770794</v>
      </c>
      <c r="M364" s="131">
        <v>-86770794</v>
      </c>
      <c r="N364" s="131">
        <v>0</v>
      </c>
      <c r="O364" s="131">
        <v>86770794</v>
      </c>
      <c r="P364" s="131">
        <v>139347099</v>
      </c>
      <c r="Q364" s="131">
        <v>0</v>
      </c>
      <c r="R364" s="131">
        <v>0</v>
      </c>
      <c r="S364" s="131">
        <v>0</v>
      </c>
      <c r="T364" s="131">
        <v>0</v>
      </c>
      <c r="U364" s="131">
        <v>0</v>
      </c>
      <c r="V364" s="131">
        <v>0</v>
      </c>
      <c r="W364" s="131">
        <v>203623137</v>
      </c>
      <c r="X364" s="131">
        <v>64276038</v>
      </c>
      <c r="Y364" s="131">
        <v>139347099</v>
      </c>
      <c r="Z364" s="131">
        <v>0</v>
      </c>
      <c r="AA364" s="131">
        <v>0</v>
      </c>
      <c r="AB364" s="131">
        <v>0</v>
      </c>
      <c r="AC364" s="131">
        <v>0</v>
      </c>
      <c r="AD364" s="131">
        <v>0</v>
      </c>
      <c r="AE364" s="131">
        <v>0</v>
      </c>
      <c r="AF364" s="131">
        <v>203623137</v>
      </c>
      <c r="AG364" s="131">
        <v>64276038</v>
      </c>
      <c r="AH364" s="131">
        <v>139347099</v>
      </c>
      <c r="AI364" s="131">
        <v>139347099</v>
      </c>
      <c r="AJ364" s="131">
        <v>203623137</v>
      </c>
      <c r="AK364" s="131">
        <v>203623137</v>
      </c>
      <c r="AM364" s="131">
        <v>0</v>
      </c>
      <c r="AN364" s="131">
        <v>0</v>
      </c>
      <c r="AO364" s="131">
        <v>0</v>
      </c>
      <c r="AP364" s="131">
        <v>0</v>
      </c>
      <c r="AQ364" s="131">
        <v>0</v>
      </c>
      <c r="AR364" s="131">
        <v>0</v>
      </c>
      <c r="AS364" t="s">
        <v>185</v>
      </c>
    </row>
    <row r="365" spans="1:45" ht="45" x14ac:dyDescent="0.25">
      <c r="A365">
        <v>2019</v>
      </c>
      <c r="B365">
        <v>6</v>
      </c>
      <c r="C365">
        <v>2020305</v>
      </c>
      <c r="D365">
        <v>70</v>
      </c>
      <c r="E365" t="s">
        <v>3155</v>
      </c>
      <c r="F365">
        <v>2020305</v>
      </c>
      <c r="G365" s="10" t="s">
        <v>929</v>
      </c>
      <c r="H365" t="s">
        <v>185</v>
      </c>
      <c r="I365" s="131">
        <v>0</v>
      </c>
      <c r="J365" s="131">
        <v>0</v>
      </c>
      <c r="K365" s="131">
        <v>4741315360</v>
      </c>
      <c r="L365" s="131">
        <v>0</v>
      </c>
      <c r="M365" s="131">
        <v>4741315360</v>
      </c>
      <c r="N365" s="131">
        <v>4741315360</v>
      </c>
      <c r="O365" s="131">
        <v>0</v>
      </c>
      <c r="P365" s="131">
        <v>4741315360</v>
      </c>
      <c r="Q365" s="131">
        <v>0</v>
      </c>
      <c r="R365" s="131">
        <v>0</v>
      </c>
      <c r="S365" s="131">
        <v>0</v>
      </c>
      <c r="T365" s="131">
        <v>0</v>
      </c>
      <c r="U365" s="131">
        <v>0</v>
      </c>
      <c r="V365" s="131">
        <v>0</v>
      </c>
      <c r="W365" s="131">
        <v>0</v>
      </c>
      <c r="X365" s="131">
        <v>0</v>
      </c>
      <c r="Y365" s="131">
        <v>0</v>
      </c>
      <c r="Z365" s="131">
        <v>0</v>
      </c>
      <c r="AA365" s="131">
        <v>0</v>
      </c>
      <c r="AB365" s="131">
        <v>0</v>
      </c>
      <c r="AC365" s="131">
        <v>0</v>
      </c>
      <c r="AD365" s="131">
        <v>0</v>
      </c>
      <c r="AE365" s="131">
        <v>0</v>
      </c>
      <c r="AF365" s="131">
        <v>0</v>
      </c>
      <c r="AG365" s="131">
        <v>0</v>
      </c>
      <c r="AH365" s="131">
        <v>0</v>
      </c>
      <c r="AI365" s="131">
        <v>0</v>
      </c>
      <c r="AJ365" s="131">
        <v>0</v>
      </c>
      <c r="AK365" s="131">
        <v>0</v>
      </c>
      <c r="AM365" s="131">
        <v>0</v>
      </c>
      <c r="AN365" s="131">
        <v>0</v>
      </c>
      <c r="AO365" s="131">
        <v>0</v>
      </c>
      <c r="AP365" s="131">
        <v>0</v>
      </c>
      <c r="AQ365" s="131">
        <v>0</v>
      </c>
      <c r="AR365" s="131">
        <v>0</v>
      </c>
      <c r="AS365" t="s">
        <v>185</v>
      </c>
    </row>
    <row r="366" spans="1:45" ht="30" x14ac:dyDescent="0.25">
      <c r="A366">
        <v>2019</v>
      </c>
      <c r="B366">
        <v>6</v>
      </c>
      <c r="C366">
        <v>203</v>
      </c>
      <c r="D366" t="s">
        <v>226</v>
      </c>
      <c r="E366" t="s">
        <v>3156</v>
      </c>
      <c r="F366">
        <v>203</v>
      </c>
      <c r="G366" s="10" t="s">
        <v>3157</v>
      </c>
      <c r="H366" t="s">
        <v>185</v>
      </c>
      <c r="I366" s="131">
        <v>680426243</v>
      </c>
      <c r="J366" s="131">
        <v>680426243</v>
      </c>
      <c r="K366" s="131">
        <v>225525364</v>
      </c>
      <c r="L366" s="131">
        <v>0</v>
      </c>
      <c r="M366" s="131">
        <v>225525364</v>
      </c>
      <c r="N366" s="131">
        <v>225525364</v>
      </c>
      <c r="O366" s="131">
        <v>0</v>
      </c>
      <c r="P366" s="131">
        <v>905951607</v>
      </c>
      <c r="Q366" s="131">
        <v>0</v>
      </c>
      <c r="R366" s="131">
        <v>0</v>
      </c>
      <c r="S366" s="131">
        <v>0</v>
      </c>
      <c r="T366" s="131">
        <v>0</v>
      </c>
      <c r="U366" s="131">
        <v>0</v>
      </c>
      <c r="V366" s="131">
        <v>0</v>
      </c>
      <c r="W366" s="131">
        <v>751293711</v>
      </c>
      <c r="X366" s="131">
        <v>0</v>
      </c>
      <c r="Y366" s="131">
        <v>751293711</v>
      </c>
      <c r="Z366" s="131">
        <v>0</v>
      </c>
      <c r="AA366" s="131">
        <v>0</v>
      </c>
      <c r="AB366" s="131">
        <v>0</v>
      </c>
      <c r="AC366" s="131">
        <v>0</v>
      </c>
      <c r="AD366" s="131">
        <v>0</v>
      </c>
      <c r="AE366" s="131">
        <v>0</v>
      </c>
      <c r="AF366" s="131">
        <v>751293711</v>
      </c>
      <c r="AG366" s="131">
        <v>0</v>
      </c>
      <c r="AH366" s="131">
        <v>751293711</v>
      </c>
      <c r="AI366" s="131">
        <v>751293711</v>
      </c>
      <c r="AJ366" s="131">
        <v>751293711</v>
      </c>
      <c r="AK366" s="131">
        <v>751293711</v>
      </c>
      <c r="AM366" s="131">
        <v>0</v>
      </c>
      <c r="AN366" s="131">
        <v>0</v>
      </c>
      <c r="AO366" s="131">
        <v>0</v>
      </c>
      <c r="AP366" s="131">
        <v>0</v>
      </c>
      <c r="AQ366" s="131">
        <v>0</v>
      </c>
      <c r="AR366" s="131">
        <v>0</v>
      </c>
      <c r="AS366" t="s">
        <v>1709</v>
      </c>
    </row>
    <row r="367" spans="1:45" ht="45" x14ac:dyDescent="0.25">
      <c r="A367">
        <v>2019</v>
      </c>
      <c r="B367">
        <v>6</v>
      </c>
      <c r="C367">
        <v>20304</v>
      </c>
      <c r="D367">
        <v>70</v>
      </c>
      <c r="E367" t="s">
        <v>3158</v>
      </c>
      <c r="F367">
        <v>20304</v>
      </c>
      <c r="G367" s="10" t="s">
        <v>943</v>
      </c>
      <c r="H367" t="s">
        <v>185</v>
      </c>
      <c r="I367" s="131">
        <v>680426243</v>
      </c>
      <c r="J367" s="131">
        <v>680426243</v>
      </c>
      <c r="K367" s="131">
        <v>0</v>
      </c>
      <c r="L367" s="131">
        <v>0</v>
      </c>
      <c r="M367" s="131">
        <v>0</v>
      </c>
      <c r="N367" s="131">
        <v>0</v>
      </c>
      <c r="O367" s="131">
        <v>0</v>
      </c>
      <c r="P367" s="131">
        <v>680426243</v>
      </c>
      <c r="Q367" s="131">
        <v>0</v>
      </c>
      <c r="R367" s="131">
        <v>0</v>
      </c>
      <c r="S367" s="131">
        <v>0</v>
      </c>
      <c r="T367" s="131">
        <v>0</v>
      </c>
      <c r="U367" s="131">
        <v>0</v>
      </c>
      <c r="V367" s="131">
        <v>0</v>
      </c>
      <c r="W367" s="131">
        <v>680426243</v>
      </c>
      <c r="X367" s="131">
        <v>0</v>
      </c>
      <c r="Y367" s="131">
        <v>680426243</v>
      </c>
      <c r="Z367" s="131">
        <v>0</v>
      </c>
      <c r="AA367" s="131">
        <v>0</v>
      </c>
      <c r="AB367" s="131">
        <v>0</v>
      </c>
      <c r="AC367" s="131">
        <v>0</v>
      </c>
      <c r="AD367" s="131">
        <v>0</v>
      </c>
      <c r="AE367" s="131">
        <v>0</v>
      </c>
      <c r="AF367" s="131">
        <v>680426243</v>
      </c>
      <c r="AG367" s="131">
        <v>0</v>
      </c>
      <c r="AH367" s="131">
        <v>680426243</v>
      </c>
      <c r="AI367" s="131">
        <v>680426243</v>
      </c>
      <c r="AJ367" s="131">
        <v>680426243</v>
      </c>
      <c r="AK367" s="131">
        <v>680426243</v>
      </c>
      <c r="AM367" s="131">
        <v>0</v>
      </c>
      <c r="AN367" s="131">
        <v>0</v>
      </c>
      <c r="AO367" s="131">
        <v>0</v>
      </c>
      <c r="AP367" s="131">
        <v>0</v>
      </c>
      <c r="AQ367" s="131">
        <v>0</v>
      </c>
      <c r="AR367" s="131">
        <v>0</v>
      </c>
      <c r="AS367" t="s">
        <v>185</v>
      </c>
    </row>
    <row r="368" spans="1:45" ht="45" x14ac:dyDescent="0.25">
      <c r="A368">
        <v>2019</v>
      </c>
      <c r="B368">
        <v>6</v>
      </c>
      <c r="C368">
        <v>20305</v>
      </c>
      <c r="D368">
        <v>70</v>
      </c>
      <c r="E368" t="s">
        <v>3159</v>
      </c>
      <c r="F368">
        <v>20305</v>
      </c>
      <c r="G368" s="10" t="s">
        <v>945</v>
      </c>
      <c r="H368" t="s">
        <v>185</v>
      </c>
      <c r="I368" s="131">
        <v>0</v>
      </c>
      <c r="J368" s="131">
        <v>0</v>
      </c>
      <c r="K368" s="131">
        <v>225525364</v>
      </c>
      <c r="L368" s="131">
        <v>0</v>
      </c>
      <c r="M368" s="131">
        <v>225525364</v>
      </c>
      <c r="N368" s="131">
        <v>225525364</v>
      </c>
      <c r="O368" s="131">
        <v>0</v>
      </c>
      <c r="P368" s="131">
        <v>225525364</v>
      </c>
      <c r="Q368" s="131">
        <v>0</v>
      </c>
      <c r="R368" s="131">
        <v>0</v>
      </c>
      <c r="S368" s="131">
        <v>0</v>
      </c>
      <c r="T368" s="131">
        <v>0</v>
      </c>
      <c r="U368" s="131">
        <v>0</v>
      </c>
      <c r="V368" s="131">
        <v>0</v>
      </c>
      <c r="W368" s="131">
        <v>70867468</v>
      </c>
      <c r="X368" s="131">
        <v>0</v>
      </c>
      <c r="Y368" s="131">
        <v>70867468</v>
      </c>
      <c r="Z368" s="131">
        <v>0</v>
      </c>
      <c r="AA368" s="131">
        <v>0</v>
      </c>
      <c r="AB368" s="131">
        <v>0</v>
      </c>
      <c r="AC368" s="131">
        <v>0</v>
      </c>
      <c r="AD368" s="131">
        <v>0</v>
      </c>
      <c r="AE368" s="131">
        <v>0</v>
      </c>
      <c r="AF368" s="131">
        <v>70867468</v>
      </c>
      <c r="AG368" s="131">
        <v>0</v>
      </c>
      <c r="AH368" s="131">
        <v>70867468</v>
      </c>
      <c r="AI368" s="131">
        <v>70867468</v>
      </c>
      <c r="AJ368" s="131">
        <v>70867468</v>
      </c>
      <c r="AK368" s="131">
        <v>70867468</v>
      </c>
      <c r="AM368" s="131">
        <v>0</v>
      </c>
      <c r="AN368" s="131">
        <v>0</v>
      </c>
      <c r="AO368" s="131">
        <v>0</v>
      </c>
      <c r="AP368" s="131">
        <v>0</v>
      </c>
      <c r="AQ368" s="131">
        <v>0</v>
      </c>
      <c r="AR368" s="131">
        <v>0</v>
      </c>
      <c r="AS368" t="s">
        <v>185</v>
      </c>
    </row>
    <row r="369" spans="1:45" x14ac:dyDescent="0.25">
      <c r="A369">
        <v>2019</v>
      </c>
      <c r="B369">
        <v>6</v>
      </c>
      <c r="C369">
        <v>204</v>
      </c>
      <c r="D369" t="s">
        <v>226</v>
      </c>
      <c r="E369" t="s">
        <v>3160</v>
      </c>
      <c r="F369">
        <v>204</v>
      </c>
      <c r="G369" s="10" t="s">
        <v>954</v>
      </c>
      <c r="H369" t="s">
        <v>185</v>
      </c>
      <c r="I369" s="131">
        <v>0</v>
      </c>
      <c r="J369" s="131">
        <v>0</v>
      </c>
      <c r="K369" s="131">
        <v>0</v>
      </c>
      <c r="L369" s="131">
        <v>0</v>
      </c>
      <c r="M369" s="131">
        <v>0</v>
      </c>
      <c r="N369" s="131">
        <v>0</v>
      </c>
      <c r="O369" s="131">
        <v>0</v>
      </c>
      <c r="P369" s="131">
        <v>0</v>
      </c>
      <c r="Q369" s="131">
        <v>0</v>
      </c>
      <c r="R369" s="131">
        <v>0</v>
      </c>
      <c r="S369" s="131">
        <v>0</v>
      </c>
      <c r="T369" s="131">
        <v>0</v>
      </c>
      <c r="U369" s="131">
        <v>0</v>
      </c>
      <c r="V369" s="131">
        <v>0</v>
      </c>
      <c r="W369" s="131">
        <v>216974.87</v>
      </c>
      <c r="X369" s="131">
        <v>0</v>
      </c>
      <c r="Y369" s="131">
        <v>216974.87</v>
      </c>
      <c r="Z369" s="131">
        <v>0</v>
      </c>
      <c r="AA369" s="131">
        <v>0</v>
      </c>
      <c r="AB369" s="131">
        <v>0</v>
      </c>
      <c r="AC369" s="131">
        <v>0</v>
      </c>
      <c r="AD369" s="131">
        <v>0</v>
      </c>
      <c r="AE369" s="131">
        <v>0</v>
      </c>
      <c r="AF369" s="131">
        <v>216974.87</v>
      </c>
      <c r="AG369" s="131">
        <v>0</v>
      </c>
      <c r="AH369" s="131">
        <v>216974.87</v>
      </c>
      <c r="AI369" s="131">
        <v>216974.87</v>
      </c>
      <c r="AJ369" s="131">
        <v>0</v>
      </c>
      <c r="AK369" s="131">
        <v>0</v>
      </c>
      <c r="AM369" s="131">
        <v>216974.87</v>
      </c>
      <c r="AN369" s="131">
        <v>216974.87</v>
      </c>
      <c r="AO369" s="131">
        <v>0</v>
      </c>
      <c r="AP369" s="131">
        <v>216974.87</v>
      </c>
      <c r="AQ369" s="131">
        <v>0</v>
      </c>
      <c r="AR369" s="131">
        <v>0</v>
      </c>
      <c r="AS369" t="s">
        <v>1709</v>
      </c>
    </row>
    <row r="370" spans="1:45" x14ac:dyDescent="0.25">
      <c r="A370">
        <v>2019</v>
      </c>
      <c r="B370">
        <v>6</v>
      </c>
      <c r="C370">
        <v>20402</v>
      </c>
      <c r="D370" t="s">
        <v>226</v>
      </c>
      <c r="E370" t="s">
        <v>3161</v>
      </c>
      <c r="F370">
        <v>20402</v>
      </c>
      <c r="G370" s="10" t="s">
        <v>1916</v>
      </c>
      <c r="H370" t="s">
        <v>185</v>
      </c>
      <c r="I370" s="131">
        <v>0</v>
      </c>
      <c r="J370" s="131">
        <v>0</v>
      </c>
      <c r="K370" s="131">
        <v>0</v>
      </c>
      <c r="L370" s="131">
        <v>0</v>
      </c>
      <c r="M370" s="131">
        <v>0</v>
      </c>
      <c r="N370" s="131">
        <v>0</v>
      </c>
      <c r="O370" s="131">
        <v>0</v>
      </c>
      <c r="P370" s="131">
        <v>0</v>
      </c>
      <c r="Q370" s="131">
        <v>0</v>
      </c>
      <c r="R370" s="131">
        <v>0</v>
      </c>
      <c r="S370" s="131">
        <v>0</v>
      </c>
      <c r="T370" s="131">
        <v>0</v>
      </c>
      <c r="U370" s="131">
        <v>0</v>
      </c>
      <c r="V370" s="131">
        <v>0</v>
      </c>
      <c r="W370" s="131">
        <v>216974.87</v>
      </c>
      <c r="X370" s="131">
        <v>0</v>
      </c>
      <c r="Y370" s="131">
        <v>216974.87</v>
      </c>
      <c r="Z370" s="131">
        <v>0</v>
      </c>
      <c r="AA370" s="131">
        <v>0</v>
      </c>
      <c r="AB370" s="131">
        <v>0</v>
      </c>
      <c r="AC370" s="131">
        <v>0</v>
      </c>
      <c r="AD370" s="131">
        <v>0</v>
      </c>
      <c r="AE370" s="131">
        <v>0</v>
      </c>
      <c r="AF370" s="131">
        <v>216974.87</v>
      </c>
      <c r="AG370" s="131">
        <v>0</v>
      </c>
      <c r="AH370" s="131">
        <v>216974.87</v>
      </c>
      <c r="AI370" s="131">
        <v>216974.87</v>
      </c>
      <c r="AJ370" s="131">
        <v>0</v>
      </c>
      <c r="AK370" s="131">
        <v>0</v>
      </c>
      <c r="AM370" s="131">
        <v>216974.87</v>
      </c>
      <c r="AN370" s="131">
        <v>216974.87</v>
      </c>
      <c r="AO370" s="131">
        <v>0</v>
      </c>
      <c r="AP370" s="131">
        <v>216974.87</v>
      </c>
      <c r="AQ370" s="131">
        <v>0</v>
      </c>
      <c r="AR370" s="131">
        <v>0</v>
      </c>
      <c r="AS370" t="s">
        <v>1709</v>
      </c>
    </row>
    <row r="371" spans="1:45" ht="30" x14ac:dyDescent="0.25">
      <c r="A371">
        <v>2019</v>
      </c>
      <c r="B371">
        <v>6</v>
      </c>
      <c r="C371">
        <v>2040203</v>
      </c>
      <c r="D371">
        <v>70</v>
      </c>
      <c r="E371" t="s">
        <v>3162</v>
      </c>
      <c r="F371">
        <v>2040203</v>
      </c>
      <c r="G371" s="10" t="s">
        <v>3163</v>
      </c>
      <c r="H371" t="s">
        <v>185</v>
      </c>
      <c r="I371" s="131">
        <v>0</v>
      </c>
      <c r="J371" s="131">
        <v>0</v>
      </c>
      <c r="K371" s="131">
        <v>0</v>
      </c>
      <c r="L371" s="131">
        <v>0</v>
      </c>
      <c r="M371" s="131">
        <v>0</v>
      </c>
      <c r="N371" s="131">
        <v>0</v>
      </c>
      <c r="O371" s="131">
        <v>0</v>
      </c>
      <c r="P371" s="131">
        <v>0</v>
      </c>
      <c r="Q371" s="131">
        <v>0</v>
      </c>
      <c r="R371" s="131">
        <v>0</v>
      </c>
      <c r="S371" s="131">
        <v>0</v>
      </c>
      <c r="T371" s="131">
        <v>0</v>
      </c>
      <c r="U371" s="131">
        <v>0</v>
      </c>
      <c r="V371" s="131">
        <v>0</v>
      </c>
      <c r="W371" s="131">
        <v>216974.87</v>
      </c>
      <c r="X371" s="131">
        <v>0</v>
      </c>
      <c r="Y371" s="131">
        <v>216974.87</v>
      </c>
      <c r="Z371" s="131">
        <v>0</v>
      </c>
      <c r="AA371" s="131">
        <v>0</v>
      </c>
      <c r="AB371" s="131">
        <v>0</v>
      </c>
      <c r="AC371" s="131">
        <v>0</v>
      </c>
      <c r="AD371" s="131">
        <v>0</v>
      </c>
      <c r="AE371" s="131">
        <v>0</v>
      </c>
      <c r="AF371" s="131">
        <v>216974.87</v>
      </c>
      <c r="AG371" s="131">
        <v>0</v>
      </c>
      <c r="AH371" s="131">
        <v>216974.87</v>
      </c>
      <c r="AI371" s="131">
        <v>216974.87</v>
      </c>
      <c r="AJ371" s="131">
        <v>0</v>
      </c>
      <c r="AK371" s="131">
        <v>0</v>
      </c>
      <c r="AM371" s="131">
        <v>216974.87</v>
      </c>
      <c r="AN371" s="131">
        <v>216974.87</v>
      </c>
      <c r="AO371" s="131">
        <v>0</v>
      </c>
      <c r="AP371" s="131">
        <v>216974.87</v>
      </c>
      <c r="AQ371" s="131">
        <v>0</v>
      </c>
      <c r="AR371" s="131">
        <v>0</v>
      </c>
      <c r="AS371" t="s">
        <v>185</v>
      </c>
    </row>
    <row r="372" spans="1:45" x14ac:dyDescent="0.25">
      <c r="A372">
        <v>2019</v>
      </c>
      <c r="B372">
        <v>7</v>
      </c>
      <c r="C372">
        <v>1</v>
      </c>
      <c r="D372" t="s">
        <v>226</v>
      </c>
      <c r="E372" s="133">
        <v>44203</v>
      </c>
      <c r="F372">
        <v>1</v>
      </c>
      <c r="G372" s="10" t="s">
        <v>949</v>
      </c>
      <c r="H372" t="s">
        <v>3164</v>
      </c>
      <c r="I372" s="131">
        <v>0</v>
      </c>
      <c r="J372" s="131">
        <v>0</v>
      </c>
      <c r="K372" s="131">
        <v>1994161923.8900001</v>
      </c>
      <c r="L372" s="131">
        <v>1971514935.8900001</v>
      </c>
      <c r="M372" s="131">
        <v>22646988</v>
      </c>
      <c r="N372" s="131">
        <v>1994161923.8900001</v>
      </c>
      <c r="O372" s="131">
        <v>1971514935.8900001</v>
      </c>
      <c r="P372" s="131">
        <v>22646988</v>
      </c>
      <c r="Q372" s="131">
        <v>0</v>
      </c>
      <c r="R372" s="131">
        <v>0</v>
      </c>
      <c r="S372" s="131">
        <v>0</v>
      </c>
      <c r="T372" s="131">
        <v>0</v>
      </c>
      <c r="U372" s="131">
        <v>0</v>
      </c>
      <c r="V372" s="131">
        <v>0</v>
      </c>
      <c r="W372" s="131">
        <v>627875898</v>
      </c>
      <c r="X372" s="131">
        <v>605228910</v>
      </c>
      <c r="Y372" s="131">
        <v>22646988</v>
      </c>
      <c r="Z372" s="131">
        <v>0</v>
      </c>
      <c r="AA372" s="131">
        <v>0</v>
      </c>
      <c r="AB372" s="131">
        <v>0</v>
      </c>
      <c r="AC372" s="131">
        <v>0</v>
      </c>
      <c r="AD372" s="131">
        <v>0</v>
      </c>
      <c r="AE372" s="131">
        <v>0</v>
      </c>
      <c r="AF372" s="131">
        <v>627875898</v>
      </c>
      <c r="AG372" s="131">
        <v>605228910</v>
      </c>
      <c r="AH372" s="131">
        <v>22646988</v>
      </c>
      <c r="AI372" s="131">
        <v>22646988</v>
      </c>
      <c r="AJ372" s="131">
        <v>0</v>
      </c>
      <c r="AK372" s="131">
        <v>0</v>
      </c>
      <c r="AM372" s="131">
        <v>627875898</v>
      </c>
      <c r="AN372" s="131">
        <v>627875898</v>
      </c>
      <c r="AO372" s="131">
        <v>0</v>
      </c>
      <c r="AP372" s="131">
        <v>627875898</v>
      </c>
      <c r="AQ372" s="131">
        <v>0</v>
      </c>
      <c r="AR372" s="131">
        <v>0</v>
      </c>
      <c r="AS372" t="s">
        <v>1709</v>
      </c>
    </row>
    <row r="373" spans="1:45" x14ac:dyDescent="0.25">
      <c r="A373">
        <v>2019</v>
      </c>
      <c r="B373">
        <v>7</v>
      </c>
      <c r="C373">
        <v>101</v>
      </c>
      <c r="D373" t="s">
        <v>226</v>
      </c>
      <c r="E373" t="s">
        <v>3165</v>
      </c>
      <c r="F373">
        <v>101</v>
      </c>
      <c r="G373" s="10" t="s">
        <v>950</v>
      </c>
      <c r="H373" t="s">
        <v>3164</v>
      </c>
      <c r="I373" s="131">
        <v>0</v>
      </c>
      <c r="J373" s="131">
        <v>0</v>
      </c>
      <c r="K373" s="131">
        <v>1763981514</v>
      </c>
      <c r="L373" s="131">
        <v>1741334526</v>
      </c>
      <c r="M373" s="131">
        <v>22646988</v>
      </c>
      <c r="N373" s="131">
        <v>1763981514</v>
      </c>
      <c r="O373" s="131">
        <v>1741334526</v>
      </c>
      <c r="P373" s="131">
        <v>22646988</v>
      </c>
      <c r="Q373" s="131">
        <v>0</v>
      </c>
      <c r="R373" s="131">
        <v>0</v>
      </c>
      <c r="S373" s="131">
        <v>0</v>
      </c>
      <c r="T373" s="131">
        <v>0</v>
      </c>
      <c r="U373" s="131">
        <v>0</v>
      </c>
      <c r="V373" s="131">
        <v>0</v>
      </c>
      <c r="W373" s="131">
        <v>397695488.11000001</v>
      </c>
      <c r="X373" s="131">
        <v>375048500.11000001</v>
      </c>
      <c r="Y373" s="131">
        <v>22646988</v>
      </c>
      <c r="Z373" s="131">
        <v>0</v>
      </c>
      <c r="AA373" s="131">
        <v>0</v>
      </c>
      <c r="AB373" s="131">
        <v>0</v>
      </c>
      <c r="AC373" s="131">
        <v>0</v>
      </c>
      <c r="AD373" s="131">
        <v>0</v>
      </c>
      <c r="AE373" s="131">
        <v>0</v>
      </c>
      <c r="AF373" s="131">
        <v>397695488.11000001</v>
      </c>
      <c r="AG373" s="131">
        <v>375048500.11000001</v>
      </c>
      <c r="AH373" s="131">
        <v>22646988</v>
      </c>
      <c r="AI373" s="131">
        <v>22646988</v>
      </c>
      <c r="AJ373" s="131">
        <v>0</v>
      </c>
      <c r="AK373" s="131">
        <v>0</v>
      </c>
      <c r="AM373" s="131">
        <v>397695488.11000001</v>
      </c>
      <c r="AN373" s="131">
        <v>397695488.11000001</v>
      </c>
      <c r="AO373" s="131">
        <v>0</v>
      </c>
      <c r="AP373" s="131">
        <v>397695488.11000001</v>
      </c>
      <c r="AQ373" s="131">
        <v>0</v>
      </c>
      <c r="AR373" s="131">
        <v>0</v>
      </c>
      <c r="AS373" t="s">
        <v>1709</v>
      </c>
    </row>
    <row r="374" spans="1:45" x14ac:dyDescent="0.25">
      <c r="A374">
        <v>2019</v>
      </c>
      <c r="B374">
        <v>7</v>
      </c>
      <c r="C374">
        <v>10105</v>
      </c>
      <c r="D374" t="s">
        <v>226</v>
      </c>
      <c r="E374" t="s">
        <v>3166</v>
      </c>
      <c r="F374">
        <v>10105</v>
      </c>
      <c r="G374" s="10" t="s">
        <v>3167</v>
      </c>
      <c r="H374" t="s">
        <v>3164</v>
      </c>
      <c r="I374" s="131">
        <v>0</v>
      </c>
      <c r="J374" s="131">
        <v>0</v>
      </c>
      <c r="K374" s="131">
        <v>1763981514</v>
      </c>
      <c r="L374" s="131">
        <v>1741334526</v>
      </c>
      <c r="M374" s="131">
        <v>22646988</v>
      </c>
      <c r="N374" s="131">
        <v>1763981514</v>
      </c>
      <c r="O374" s="131">
        <v>1741334526</v>
      </c>
      <c r="P374" s="131">
        <v>22646988</v>
      </c>
      <c r="Q374" s="131">
        <v>0</v>
      </c>
      <c r="R374" s="131">
        <v>0</v>
      </c>
      <c r="S374" s="131">
        <v>0</v>
      </c>
      <c r="T374" s="131">
        <v>0</v>
      </c>
      <c r="U374" s="131">
        <v>0</v>
      </c>
      <c r="V374" s="131">
        <v>0</v>
      </c>
      <c r="W374" s="131">
        <v>397695488.11000001</v>
      </c>
      <c r="X374" s="131">
        <v>375048500.11000001</v>
      </c>
      <c r="Y374" s="131">
        <v>22646988</v>
      </c>
      <c r="Z374" s="131">
        <v>0</v>
      </c>
      <c r="AA374" s="131">
        <v>0</v>
      </c>
      <c r="AB374" s="131">
        <v>0</v>
      </c>
      <c r="AC374" s="131">
        <v>0</v>
      </c>
      <c r="AD374" s="131">
        <v>0</v>
      </c>
      <c r="AE374" s="131">
        <v>0</v>
      </c>
      <c r="AF374" s="131">
        <v>397695488.11000001</v>
      </c>
      <c r="AG374" s="131">
        <v>375048500.11000001</v>
      </c>
      <c r="AH374" s="131">
        <v>22646988</v>
      </c>
      <c r="AI374" s="131">
        <v>22646988</v>
      </c>
      <c r="AJ374" s="131">
        <v>0</v>
      </c>
      <c r="AK374" s="131">
        <v>0</v>
      </c>
      <c r="AM374" s="131">
        <v>397695488.11000001</v>
      </c>
      <c r="AN374" s="131">
        <v>397695488.11000001</v>
      </c>
      <c r="AO374" s="131">
        <v>0</v>
      </c>
      <c r="AP374" s="131">
        <v>397695488.11000001</v>
      </c>
      <c r="AQ374" s="131">
        <v>0</v>
      </c>
      <c r="AR374" s="131">
        <v>0</v>
      </c>
      <c r="AS374" t="s">
        <v>1709</v>
      </c>
    </row>
    <row r="375" spans="1:45" x14ac:dyDescent="0.25">
      <c r="A375">
        <v>2019</v>
      </c>
      <c r="B375">
        <v>7</v>
      </c>
      <c r="C375">
        <v>1010500</v>
      </c>
      <c r="D375" t="s">
        <v>226</v>
      </c>
      <c r="E375" t="s">
        <v>3168</v>
      </c>
      <c r="F375">
        <v>1010500</v>
      </c>
      <c r="G375" s="10" t="s">
        <v>3167</v>
      </c>
      <c r="H375" t="s">
        <v>3164</v>
      </c>
      <c r="I375" s="131">
        <v>0</v>
      </c>
      <c r="J375" s="131">
        <v>0</v>
      </c>
      <c r="K375" s="131">
        <v>1763981514</v>
      </c>
      <c r="L375" s="131">
        <v>1741334526</v>
      </c>
      <c r="M375" s="131">
        <v>22646988</v>
      </c>
      <c r="N375" s="131">
        <v>1763981514</v>
      </c>
      <c r="O375" s="131">
        <v>1741334526</v>
      </c>
      <c r="P375" s="131">
        <v>22646988</v>
      </c>
      <c r="Q375" s="131">
        <v>0</v>
      </c>
      <c r="R375" s="131">
        <v>0</v>
      </c>
      <c r="S375" s="131">
        <v>0</v>
      </c>
      <c r="T375" s="131">
        <v>0</v>
      </c>
      <c r="U375" s="131">
        <v>0</v>
      </c>
      <c r="V375" s="131">
        <v>0</v>
      </c>
      <c r="W375" s="131">
        <v>397695488.11000001</v>
      </c>
      <c r="X375" s="131">
        <v>375048500.11000001</v>
      </c>
      <c r="Y375" s="131">
        <v>22646988</v>
      </c>
      <c r="Z375" s="131">
        <v>0</v>
      </c>
      <c r="AA375" s="131">
        <v>0</v>
      </c>
      <c r="AB375" s="131">
        <v>0</v>
      </c>
      <c r="AC375" s="131">
        <v>0</v>
      </c>
      <c r="AD375" s="131">
        <v>0</v>
      </c>
      <c r="AE375" s="131">
        <v>0</v>
      </c>
      <c r="AF375" s="131">
        <v>397695488.11000001</v>
      </c>
      <c r="AG375" s="131">
        <v>375048500.11000001</v>
      </c>
      <c r="AH375" s="131">
        <v>22646988</v>
      </c>
      <c r="AI375" s="131">
        <v>22646988</v>
      </c>
      <c r="AJ375" s="131">
        <v>0</v>
      </c>
      <c r="AK375" s="131">
        <v>0</v>
      </c>
      <c r="AM375" s="131">
        <v>397695488.11000001</v>
      </c>
      <c r="AN375" s="131">
        <v>397695488.11000001</v>
      </c>
      <c r="AO375" s="131">
        <v>0</v>
      </c>
      <c r="AP375" s="131">
        <v>397695488.11000001</v>
      </c>
      <c r="AQ375" s="131">
        <v>0</v>
      </c>
      <c r="AR375" s="131">
        <v>0</v>
      </c>
      <c r="AS375" t="s">
        <v>1709</v>
      </c>
    </row>
    <row r="376" spans="1:45" ht="30" x14ac:dyDescent="0.25">
      <c r="A376">
        <v>2019</v>
      </c>
      <c r="B376">
        <v>7</v>
      </c>
      <c r="C376">
        <v>101050000</v>
      </c>
      <c r="D376" t="s">
        <v>226</v>
      </c>
      <c r="E376" t="s">
        <v>3169</v>
      </c>
      <c r="F376">
        <v>101050000</v>
      </c>
      <c r="G376" s="10" t="s">
        <v>3170</v>
      </c>
      <c r="H376" t="s">
        <v>3164</v>
      </c>
      <c r="I376" s="131">
        <v>0</v>
      </c>
      <c r="J376" s="131">
        <v>0</v>
      </c>
      <c r="K376" s="131">
        <v>1763981514</v>
      </c>
      <c r="L376" s="131">
        <v>1741334526</v>
      </c>
      <c r="M376" s="131">
        <v>22646988</v>
      </c>
      <c r="N376" s="131">
        <v>1763981514</v>
      </c>
      <c r="O376" s="131">
        <v>1741334526</v>
      </c>
      <c r="P376" s="131">
        <v>22646988</v>
      </c>
      <c r="Q376" s="131">
        <v>0</v>
      </c>
      <c r="R376" s="131">
        <v>0</v>
      </c>
      <c r="S376" s="131">
        <v>0</v>
      </c>
      <c r="T376" s="131">
        <v>0</v>
      </c>
      <c r="U376" s="131">
        <v>0</v>
      </c>
      <c r="V376" s="131">
        <v>0</v>
      </c>
      <c r="W376" s="131">
        <v>397695488.11000001</v>
      </c>
      <c r="X376" s="131">
        <v>375048500.11000001</v>
      </c>
      <c r="Y376" s="131">
        <v>22646988</v>
      </c>
      <c r="Z376" s="131">
        <v>0</v>
      </c>
      <c r="AA376" s="131">
        <v>0</v>
      </c>
      <c r="AB376" s="131">
        <v>0</v>
      </c>
      <c r="AC376" s="131">
        <v>0</v>
      </c>
      <c r="AD376" s="131">
        <v>0</v>
      </c>
      <c r="AE376" s="131">
        <v>0</v>
      </c>
      <c r="AF376" s="131">
        <v>397695488.11000001</v>
      </c>
      <c r="AG376" s="131">
        <v>375048500.11000001</v>
      </c>
      <c r="AH376" s="131">
        <v>22646988</v>
      </c>
      <c r="AI376" s="131">
        <v>22646988</v>
      </c>
      <c r="AJ376" s="131">
        <v>0</v>
      </c>
      <c r="AK376" s="131">
        <v>0</v>
      </c>
      <c r="AM376" s="131">
        <v>397695488.11000001</v>
      </c>
      <c r="AN376" s="131">
        <v>397695488.11000001</v>
      </c>
      <c r="AO376" s="131">
        <v>0</v>
      </c>
      <c r="AP376" s="131">
        <v>397695488.11000001</v>
      </c>
      <c r="AQ376" s="131">
        <v>0</v>
      </c>
      <c r="AR376" s="131">
        <v>0</v>
      </c>
      <c r="AS376" t="s">
        <v>1709</v>
      </c>
    </row>
    <row r="377" spans="1:45" ht="30" x14ac:dyDescent="0.25">
      <c r="A377">
        <v>2019</v>
      </c>
      <c r="B377">
        <v>7</v>
      </c>
      <c r="C377">
        <v>10105000067</v>
      </c>
      <c r="D377" t="s">
        <v>226</v>
      </c>
      <c r="E377" t="s">
        <v>3171</v>
      </c>
      <c r="F377">
        <v>10105000067</v>
      </c>
      <c r="G377" s="10" t="s">
        <v>3172</v>
      </c>
      <c r="H377" t="s">
        <v>3164</v>
      </c>
      <c r="I377" s="131">
        <v>0</v>
      </c>
      <c r="J377" s="131">
        <v>0</v>
      </c>
      <c r="K377" s="131">
        <v>1763981514</v>
      </c>
      <c r="L377" s="131">
        <v>1741334526</v>
      </c>
      <c r="M377" s="131">
        <v>22646988</v>
      </c>
      <c r="N377" s="131">
        <v>1763981514</v>
      </c>
      <c r="O377" s="131">
        <v>1741334526</v>
      </c>
      <c r="P377" s="131">
        <v>22646988</v>
      </c>
      <c r="Q377" s="131">
        <v>0</v>
      </c>
      <c r="R377" s="131">
        <v>0</v>
      </c>
      <c r="S377" s="131">
        <v>0</v>
      </c>
      <c r="T377" s="131">
        <v>0</v>
      </c>
      <c r="U377" s="131">
        <v>0</v>
      </c>
      <c r="V377" s="131">
        <v>0</v>
      </c>
      <c r="W377" s="131">
        <v>397695488.11000001</v>
      </c>
      <c r="X377" s="131">
        <v>375048500.11000001</v>
      </c>
      <c r="Y377" s="131">
        <v>22646988</v>
      </c>
      <c r="Z377" s="131">
        <v>0</v>
      </c>
      <c r="AA377" s="131">
        <v>0</v>
      </c>
      <c r="AB377" s="131">
        <v>0</v>
      </c>
      <c r="AC377" s="131">
        <v>0</v>
      </c>
      <c r="AD377" s="131">
        <v>0</v>
      </c>
      <c r="AE377" s="131">
        <v>0</v>
      </c>
      <c r="AF377" s="131">
        <v>397695488.11000001</v>
      </c>
      <c r="AG377" s="131">
        <v>375048500.11000001</v>
      </c>
      <c r="AH377" s="131">
        <v>22646988</v>
      </c>
      <c r="AI377" s="131">
        <v>22646988</v>
      </c>
      <c r="AJ377" s="131">
        <v>0</v>
      </c>
      <c r="AK377" s="131">
        <v>0</v>
      </c>
      <c r="AM377" s="131">
        <v>397695488.11000001</v>
      </c>
      <c r="AN377" s="131">
        <v>397695488.11000001</v>
      </c>
      <c r="AO377" s="131">
        <v>0</v>
      </c>
      <c r="AP377" s="131">
        <v>397695488.11000001</v>
      </c>
      <c r="AQ377" s="131">
        <v>0</v>
      </c>
      <c r="AR377" s="131">
        <v>0</v>
      </c>
      <c r="AS377" t="s">
        <v>1709</v>
      </c>
    </row>
    <row r="378" spans="1:45" ht="30" x14ac:dyDescent="0.25">
      <c r="A378">
        <v>2019</v>
      </c>
      <c r="B378">
        <v>7</v>
      </c>
      <c r="C378">
        <v>1010500006741</v>
      </c>
      <c r="D378" t="s">
        <v>226</v>
      </c>
      <c r="E378" t="s">
        <v>3173</v>
      </c>
      <c r="F378">
        <v>1010500006741</v>
      </c>
      <c r="G378" s="10" t="s">
        <v>3174</v>
      </c>
      <c r="H378" t="s">
        <v>3164</v>
      </c>
      <c r="I378" s="131">
        <v>0</v>
      </c>
      <c r="J378" s="131">
        <v>0</v>
      </c>
      <c r="K378" s="131">
        <v>1763981514</v>
      </c>
      <c r="L378" s="131">
        <v>1741334526</v>
      </c>
      <c r="M378" s="131">
        <v>22646988</v>
      </c>
      <c r="N378" s="131">
        <v>1763981514</v>
      </c>
      <c r="O378" s="131">
        <v>1741334526</v>
      </c>
      <c r="P378" s="131">
        <v>22646988</v>
      </c>
      <c r="Q378" s="131">
        <v>0</v>
      </c>
      <c r="R378" s="131">
        <v>0</v>
      </c>
      <c r="S378" s="131">
        <v>0</v>
      </c>
      <c r="T378" s="131">
        <v>0</v>
      </c>
      <c r="U378" s="131">
        <v>0</v>
      </c>
      <c r="V378" s="131">
        <v>0</v>
      </c>
      <c r="W378" s="131">
        <v>397695488.11000001</v>
      </c>
      <c r="X378" s="131">
        <v>375048500.11000001</v>
      </c>
      <c r="Y378" s="131">
        <v>22646988</v>
      </c>
      <c r="Z378" s="131">
        <v>0</v>
      </c>
      <c r="AA378" s="131">
        <v>0</v>
      </c>
      <c r="AB378" s="131">
        <v>0</v>
      </c>
      <c r="AC378" s="131">
        <v>0</v>
      </c>
      <c r="AD378" s="131">
        <v>0</v>
      </c>
      <c r="AE378" s="131">
        <v>0</v>
      </c>
      <c r="AF378" s="131">
        <v>397695488.11000001</v>
      </c>
      <c r="AG378" s="131">
        <v>375048500.11000001</v>
      </c>
      <c r="AH378" s="131">
        <v>22646988</v>
      </c>
      <c r="AI378" s="131">
        <v>22646988</v>
      </c>
      <c r="AJ378" s="131">
        <v>0</v>
      </c>
      <c r="AK378" s="131">
        <v>0</v>
      </c>
      <c r="AM378" s="131">
        <v>397695488.11000001</v>
      </c>
      <c r="AN378" s="131">
        <v>397695488.11000001</v>
      </c>
      <c r="AO378" s="131">
        <v>0</v>
      </c>
      <c r="AP378" s="131">
        <v>397695488.11000001</v>
      </c>
      <c r="AQ378" s="131">
        <v>0</v>
      </c>
      <c r="AR378" s="131">
        <v>0</v>
      </c>
      <c r="AS378" t="s">
        <v>1709</v>
      </c>
    </row>
    <row r="379" spans="1:45" x14ac:dyDescent="0.25">
      <c r="A379">
        <v>2019</v>
      </c>
      <c r="B379">
        <v>7</v>
      </c>
      <c r="C379">
        <v>101050000674101</v>
      </c>
      <c r="D379">
        <v>119</v>
      </c>
      <c r="E379" t="s">
        <v>3175</v>
      </c>
      <c r="F379">
        <v>101050000674101</v>
      </c>
      <c r="G379" s="10" t="s">
        <v>3176</v>
      </c>
      <c r="H379" t="s">
        <v>3164</v>
      </c>
      <c r="I379" s="131">
        <v>0</v>
      </c>
      <c r="J379" s="131">
        <v>0</v>
      </c>
      <c r="K379" s="131">
        <v>1350265154</v>
      </c>
      <c r="L379" s="131">
        <v>1327618166</v>
      </c>
      <c r="M379" s="131">
        <v>22646988</v>
      </c>
      <c r="N379" s="131">
        <v>1350265154</v>
      </c>
      <c r="O379" s="131">
        <v>1327618166</v>
      </c>
      <c r="P379" s="131">
        <v>22646988</v>
      </c>
      <c r="Q379" s="131">
        <v>0</v>
      </c>
      <c r="R379" s="131">
        <v>0</v>
      </c>
      <c r="S379" s="131">
        <v>0</v>
      </c>
      <c r="T379" s="131">
        <v>0</v>
      </c>
      <c r="U379" s="131">
        <v>0</v>
      </c>
      <c r="V379" s="131">
        <v>0</v>
      </c>
      <c r="W379" s="131">
        <v>257236328.11000001</v>
      </c>
      <c r="X379" s="131">
        <v>234589340.11000001</v>
      </c>
      <c r="Y379" s="131">
        <v>22646988</v>
      </c>
      <c r="Z379" s="131">
        <v>0</v>
      </c>
      <c r="AA379" s="131">
        <v>0</v>
      </c>
      <c r="AB379" s="131">
        <v>0</v>
      </c>
      <c r="AC379" s="131">
        <v>0</v>
      </c>
      <c r="AD379" s="131">
        <v>0</v>
      </c>
      <c r="AE379" s="131">
        <v>0</v>
      </c>
      <c r="AF379" s="131">
        <v>257236328.11000001</v>
      </c>
      <c r="AG379" s="131">
        <v>234589340.11000001</v>
      </c>
      <c r="AH379" s="131">
        <v>22646988</v>
      </c>
      <c r="AI379" s="131">
        <v>22646988</v>
      </c>
      <c r="AJ379" s="131">
        <v>0</v>
      </c>
      <c r="AK379" s="131">
        <v>0</v>
      </c>
      <c r="AM379" s="131">
        <v>257236328.11000001</v>
      </c>
      <c r="AN379" s="131">
        <v>257236328.11000001</v>
      </c>
      <c r="AO379" s="131">
        <v>0</v>
      </c>
      <c r="AP379" s="131">
        <v>257236328.11000001</v>
      </c>
      <c r="AQ379" s="131">
        <v>0</v>
      </c>
      <c r="AR379" s="131">
        <v>0</v>
      </c>
      <c r="AS379" t="s">
        <v>3177</v>
      </c>
    </row>
    <row r="380" spans="1:45" ht="30" x14ac:dyDescent="0.25">
      <c r="A380">
        <v>2019</v>
      </c>
      <c r="B380">
        <v>7</v>
      </c>
      <c r="C380">
        <v>101050000674102</v>
      </c>
      <c r="D380">
        <v>119</v>
      </c>
      <c r="E380" t="s">
        <v>3178</v>
      </c>
      <c r="F380">
        <v>101050000674102</v>
      </c>
      <c r="G380" s="10" t="s">
        <v>3179</v>
      </c>
      <c r="H380" t="s">
        <v>3164</v>
      </c>
      <c r="I380" s="131">
        <v>0</v>
      </c>
      <c r="J380" s="131">
        <v>0</v>
      </c>
      <c r="K380" s="131">
        <v>413716360</v>
      </c>
      <c r="L380" s="131">
        <v>413716360</v>
      </c>
      <c r="M380" s="131">
        <v>0</v>
      </c>
      <c r="N380" s="131">
        <v>413716360</v>
      </c>
      <c r="O380" s="131">
        <v>413716360</v>
      </c>
      <c r="P380" s="131">
        <v>0</v>
      </c>
      <c r="Q380" s="131">
        <v>0</v>
      </c>
      <c r="R380" s="131">
        <v>0</v>
      </c>
      <c r="S380" s="131">
        <v>0</v>
      </c>
      <c r="T380" s="131">
        <v>0</v>
      </c>
      <c r="U380" s="131">
        <v>0</v>
      </c>
      <c r="V380" s="131">
        <v>0</v>
      </c>
      <c r="W380" s="131">
        <v>140459160</v>
      </c>
      <c r="X380" s="131">
        <v>140459160</v>
      </c>
      <c r="Y380" s="131">
        <v>0</v>
      </c>
      <c r="Z380" s="131">
        <v>0</v>
      </c>
      <c r="AA380" s="131">
        <v>0</v>
      </c>
      <c r="AB380" s="131">
        <v>0</v>
      </c>
      <c r="AC380" s="131">
        <v>0</v>
      </c>
      <c r="AD380" s="131">
        <v>0</v>
      </c>
      <c r="AE380" s="131">
        <v>0</v>
      </c>
      <c r="AF380" s="131">
        <v>140459160</v>
      </c>
      <c r="AG380" s="131">
        <v>140459160</v>
      </c>
      <c r="AH380" s="131">
        <v>0</v>
      </c>
      <c r="AI380" s="131">
        <v>0</v>
      </c>
      <c r="AJ380" s="131">
        <v>0</v>
      </c>
      <c r="AK380" s="131">
        <v>0</v>
      </c>
      <c r="AM380" s="131">
        <v>140459160</v>
      </c>
      <c r="AN380" s="131">
        <v>140459160</v>
      </c>
      <c r="AO380" s="131">
        <v>0</v>
      </c>
      <c r="AP380" s="131">
        <v>140459160</v>
      </c>
      <c r="AQ380" s="131">
        <v>0</v>
      </c>
      <c r="AR380" s="131">
        <v>0</v>
      </c>
      <c r="AS380" t="s">
        <v>3177</v>
      </c>
    </row>
    <row r="381" spans="1:45" x14ac:dyDescent="0.25">
      <c r="A381">
        <v>2019</v>
      </c>
      <c r="B381">
        <v>7</v>
      </c>
      <c r="C381">
        <v>107</v>
      </c>
      <c r="D381" t="s">
        <v>226</v>
      </c>
      <c r="E381" t="s">
        <v>3180</v>
      </c>
      <c r="F381">
        <v>107</v>
      </c>
      <c r="G381" s="10" t="s">
        <v>3181</v>
      </c>
      <c r="H381" t="s">
        <v>3164</v>
      </c>
      <c r="I381" s="131">
        <v>0</v>
      </c>
      <c r="J381" s="131">
        <v>0</v>
      </c>
      <c r="K381" s="131">
        <v>230180409.88999999</v>
      </c>
      <c r="L381" s="131">
        <v>230180409.88999999</v>
      </c>
      <c r="M381" s="131">
        <v>0</v>
      </c>
      <c r="N381" s="131">
        <v>230180409.88999999</v>
      </c>
      <c r="O381" s="131">
        <v>230180409.88999999</v>
      </c>
      <c r="P381" s="131">
        <v>0</v>
      </c>
      <c r="Q381" s="131">
        <v>0</v>
      </c>
      <c r="R381" s="131">
        <v>0</v>
      </c>
      <c r="S381" s="131">
        <v>0</v>
      </c>
      <c r="T381" s="131">
        <v>0</v>
      </c>
      <c r="U381" s="131">
        <v>0</v>
      </c>
      <c r="V381" s="131">
        <v>0</v>
      </c>
      <c r="W381" s="131">
        <v>230180409.88999999</v>
      </c>
      <c r="X381" s="131">
        <v>230180409.88999999</v>
      </c>
      <c r="Y381" s="131">
        <v>0</v>
      </c>
      <c r="Z381" s="131">
        <v>0</v>
      </c>
      <c r="AA381" s="131">
        <v>0</v>
      </c>
      <c r="AB381" s="131">
        <v>0</v>
      </c>
      <c r="AC381" s="131">
        <v>0</v>
      </c>
      <c r="AD381" s="131">
        <v>0</v>
      </c>
      <c r="AE381" s="131">
        <v>0</v>
      </c>
      <c r="AF381" s="131">
        <v>230180409.88999999</v>
      </c>
      <c r="AG381" s="131">
        <v>230180409.88999999</v>
      </c>
      <c r="AH381" s="131">
        <v>0</v>
      </c>
      <c r="AI381" s="131">
        <v>0</v>
      </c>
      <c r="AJ381" s="131">
        <v>0</v>
      </c>
      <c r="AK381" s="131">
        <v>0</v>
      </c>
      <c r="AM381" s="131">
        <v>230180409.88999999</v>
      </c>
      <c r="AN381" s="131">
        <v>230180409.88999999</v>
      </c>
      <c r="AO381" s="131">
        <v>0</v>
      </c>
      <c r="AP381" s="131">
        <v>230180409.88999999</v>
      </c>
      <c r="AQ381" s="131">
        <v>0</v>
      </c>
      <c r="AR381" s="131">
        <v>0</v>
      </c>
      <c r="AS381" t="s">
        <v>1709</v>
      </c>
    </row>
    <row r="382" spans="1:45" x14ac:dyDescent="0.25">
      <c r="A382">
        <v>2019</v>
      </c>
      <c r="B382">
        <v>7</v>
      </c>
      <c r="C382">
        <v>10702</v>
      </c>
      <c r="D382" t="s">
        <v>226</v>
      </c>
      <c r="E382" t="s">
        <v>3182</v>
      </c>
      <c r="F382">
        <v>10702</v>
      </c>
      <c r="G382" s="10" t="s">
        <v>3183</v>
      </c>
      <c r="H382" t="s">
        <v>3164</v>
      </c>
      <c r="I382" s="131">
        <v>0</v>
      </c>
      <c r="J382" s="131">
        <v>0</v>
      </c>
      <c r="K382" s="131">
        <v>230180409.88999999</v>
      </c>
      <c r="L382" s="131">
        <v>230180409.88999999</v>
      </c>
      <c r="M382" s="131">
        <v>0</v>
      </c>
      <c r="N382" s="131">
        <v>230180409.88999999</v>
      </c>
      <c r="O382" s="131">
        <v>230180409.88999999</v>
      </c>
      <c r="P382" s="131">
        <v>0</v>
      </c>
      <c r="Q382" s="131">
        <v>0</v>
      </c>
      <c r="R382" s="131">
        <v>0</v>
      </c>
      <c r="S382" s="131">
        <v>0</v>
      </c>
      <c r="T382" s="131">
        <v>0</v>
      </c>
      <c r="U382" s="131">
        <v>0</v>
      </c>
      <c r="V382" s="131">
        <v>0</v>
      </c>
      <c r="W382" s="131">
        <v>230180409.88999999</v>
      </c>
      <c r="X382" s="131">
        <v>230180409.88999999</v>
      </c>
      <c r="Y382" s="131">
        <v>0</v>
      </c>
      <c r="Z382" s="131">
        <v>0</v>
      </c>
      <c r="AA382" s="131">
        <v>0</v>
      </c>
      <c r="AB382" s="131">
        <v>0</v>
      </c>
      <c r="AC382" s="131">
        <v>0</v>
      </c>
      <c r="AD382" s="131">
        <v>0</v>
      </c>
      <c r="AE382" s="131">
        <v>0</v>
      </c>
      <c r="AF382" s="131">
        <v>230180409.88999999</v>
      </c>
      <c r="AG382" s="131">
        <v>230180409.88999999</v>
      </c>
      <c r="AH382" s="131">
        <v>0</v>
      </c>
      <c r="AI382" s="131">
        <v>0</v>
      </c>
      <c r="AJ382" s="131">
        <v>0</v>
      </c>
      <c r="AK382" s="131">
        <v>0</v>
      </c>
      <c r="AM382" s="131">
        <v>230180409.88999999</v>
      </c>
      <c r="AN382" s="131">
        <v>230180409.88999999</v>
      </c>
      <c r="AO382" s="131">
        <v>0</v>
      </c>
      <c r="AP382" s="131">
        <v>230180409.88999999</v>
      </c>
      <c r="AQ382" s="131">
        <v>0</v>
      </c>
      <c r="AR382" s="131">
        <v>0</v>
      </c>
      <c r="AS382" t="s">
        <v>1709</v>
      </c>
    </row>
    <row r="383" spans="1:45" x14ac:dyDescent="0.25">
      <c r="A383">
        <v>2019</v>
      </c>
      <c r="B383">
        <v>7</v>
      </c>
      <c r="C383">
        <v>1070201</v>
      </c>
      <c r="D383" t="s">
        <v>226</v>
      </c>
      <c r="E383" t="s">
        <v>3184</v>
      </c>
      <c r="F383">
        <v>1070201</v>
      </c>
      <c r="G383" s="10" t="s">
        <v>3185</v>
      </c>
      <c r="H383" t="s">
        <v>3164</v>
      </c>
      <c r="I383" s="131">
        <v>0</v>
      </c>
      <c r="J383" s="131">
        <v>0</v>
      </c>
      <c r="K383" s="131">
        <v>218666494</v>
      </c>
      <c r="L383" s="131">
        <v>218666494</v>
      </c>
      <c r="M383" s="131">
        <v>0</v>
      </c>
      <c r="N383" s="131">
        <v>218666494</v>
      </c>
      <c r="O383" s="131">
        <v>218666494</v>
      </c>
      <c r="P383" s="131">
        <v>0</v>
      </c>
      <c r="Q383" s="131">
        <v>0</v>
      </c>
      <c r="R383" s="131">
        <v>0</v>
      </c>
      <c r="S383" s="131">
        <v>0</v>
      </c>
      <c r="T383" s="131">
        <v>0</v>
      </c>
      <c r="U383" s="131">
        <v>0</v>
      </c>
      <c r="V383" s="131">
        <v>0</v>
      </c>
      <c r="W383" s="131">
        <v>218666494</v>
      </c>
      <c r="X383" s="131">
        <v>218666494</v>
      </c>
      <c r="Y383" s="131">
        <v>0</v>
      </c>
      <c r="Z383" s="131">
        <v>0</v>
      </c>
      <c r="AA383" s="131">
        <v>0</v>
      </c>
      <c r="AB383" s="131">
        <v>0</v>
      </c>
      <c r="AC383" s="131">
        <v>0</v>
      </c>
      <c r="AD383" s="131">
        <v>0</v>
      </c>
      <c r="AE383" s="131">
        <v>0</v>
      </c>
      <c r="AF383" s="131">
        <v>218666494</v>
      </c>
      <c r="AG383" s="131">
        <v>218666494</v>
      </c>
      <c r="AH383" s="131">
        <v>0</v>
      </c>
      <c r="AI383" s="131">
        <v>0</v>
      </c>
      <c r="AJ383" s="131">
        <v>0</v>
      </c>
      <c r="AK383" s="131">
        <v>0</v>
      </c>
      <c r="AM383" s="131">
        <v>218666494</v>
      </c>
      <c r="AN383" s="131">
        <v>218666494</v>
      </c>
      <c r="AO383" s="131">
        <v>0</v>
      </c>
      <c r="AP383" s="131">
        <v>218666494</v>
      </c>
      <c r="AQ383" s="131">
        <v>0</v>
      </c>
      <c r="AR383" s="131">
        <v>0</v>
      </c>
      <c r="AS383" t="s">
        <v>1709</v>
      </c>
    </row>
    <row r="384" spans="1:45" x14ac:dyDescent="0.25">
      <c r="A384">
        <v>2019</v>
      </c>
      <c r="B384">
        <v>7</v>
      </c>
      <c r="C384">
        <v>107020100</v>
      </c>
      <c r="D384" t="s">
        <v>226</v>
      </c>
      <c r="E384" t="s">
        <v>3186</v>
      </c>
      <c r="F384">
        <v>107020100</v>
      </c>
      <c r="G384" s="10" t="s">
        <v>3187</v>
      </c>
      <c r="H384" t="s">
        <v>3164</v>
      </c>
      <c r="I384" s="131">
        <v>0</v>
      </c>
      <c r="J384" s="131">
        <v>0</v>
      </c>
      <c r="K384" s="131">
        <v>218666494</v>
      </c>
      <c r="L384" s="131">
        <v>218666494</v>
      </c>
      <c r="M384" s="131">
        <v>0</v>
      </c>
      <c r="N384" s="131">
        <v>218666494</v>
      </c>
      <c r="O384" s="131">
        <v>218666494</v>
      </c>
      <c r="P384" s="131">
        <v>0</v>
      </c>
      <c r="Q384" s="131">
        <v>0</v>
      </c>
      <c r="R384" s="131">
        <v>0</v>
      </c>
      <c r="S384" s="131">
        <v>0</v>
      </c>
      <c r="T384" s="131">
        <v>0</v>
      </c>
      <c r="U384" s="131">
        <v>0</v>
      </c>
      <c r="V384" s="131">
        <v>0</v>
      </c>
      <c r="W384" s="131">
        <v>218666494</v>
      </c>
      <c r="X384" s="131">
        <v>218666494</v>
      </c>
      <c r="Y384" s="131">
        <v>0</v>
      </c>
      <c r="Z384" s="131">
        <v>0</v>
      </c>
      <c r="AA384" s="131">
        <v>0</v>
      </c>
      <c r="AB384" s="131">
        <v>0</v>
      </c>
      <c r="AC384" s="131">
        <v>0</v>
      </c>
      <c r="AD384" s="131">
        <v>0</v>
      </c>
      <c r="AE384" s="131">
        <v>0</v>
      </c>
      <c r="AF384" s="131">
        <v>218666494</v>
      </c>
      <c r="AG384" s="131">
        <v>218666494</v>
      </c>
      <c r="AH384" s="131">
        <v>0</v>
      </c>
      <c r="AI384" s="131">
        <v>0</v>
      </c>
      <c r="AJ384" s="131">
        <v>0</v>
      </c>
      <c r="AK384" s="131">
        <v>0</v>
      </c>
      <c r="AM384" s="131">
        <v>218666494</v>
      </c>
      <c r="AN384" s="131">
        <v>218666494</v>
      </c>
      <c r="AO384" s="131">
        <v>0</v>
      </c>
      <c r="AP384" s="131">
        <v>218666494</v>
      </c>
      <c r="AQ384" s="131">
        <v>0</v>
      </c>
      <c r="AR384" s="131">
        <v>0</v>
      </c>
      <c r="AS384" t="s">
        <v>1709</v>
      </c>
    </row>
    <row r="385" spans="1:45" ht="30" x14ac:dyDescent="0.25">
      <c r="A385">
        <v>2019</v>
      </c>
      <c r="B385">
        <v>7</v>
      </c>
      <c r="C385">
        <v>10702010067</v>
      </c>
      <c r="D385" t="s">
        <v>226</v>
      </c>
      <c r="E385" t="s">
        <v>3188</v>
      </c>
      <c r="F385">
        <v>10702010067</v>
      </c>
      <c r="G385" s="10" t="s">
        <v>3172</v>
      </c>
      <c r="H385" t="s">
        <v>3164</v>
      </c>
      <c r="I385" s="131">
        <v>0</v>
      </c>
      <c r="J385" s="131">
        <v>0</v>
      </c>
      <c r="K385" s="131">
        <v>218666494</v>
      </c>
      <c r="L385" s="131">
        <v>218666494</v>
      </c>
      <c r="M385" s="131">
        <v>0</v>
      </c>
      <c r="N385" s="131">
        <v>218666494</v>
      </c>
      <c r="O385" s="131">
        <v>218666494</v>
      </c>
      <c r="P385" s="131">
        <v>0</v>
      </c>
      <c r="Q385" s="131">
        <v>0</v>
      </c>
      <c r="R385" s="131">
        <v>0</v>
      </c>
      <c r="S385" s="131">
        <v>0</v>
      </c>
      <c r="T385" s="131">
        <v>0</v>
      </c>
      <c r="U385" s="131">
        <v>0</v>
      </c>
      <c r="V385" s="131">
        <v>0</v>
      </c>
      <c r="W385" s="131">
        <v>218666494</v>
      </c>
      <c r="X385" s="131">
        <v>218666494</v>
      </c>
      <c r="Y385" s="131">
        <v>0</v>
      </c>
      <c r="Z385" s="131">
        <v>0</v>
      </c>
      <c r="AA385" s="131">
        <v>0</v>
      </c>
      <c r="AB385" s="131">
        <v>0</v>
      </c>
      <c r="AC385" s="131">
        <v>0</v>
      </c>
      <c r="AD385" s="131">
        <v>0</v>
      </c>
      <c r="AE385" s="131">
        <v>0</v>
      </c>
      <c r="AF385" s="131">
        <v>218666494</v>
      </c>
      <c r="AG385" s="131">
        <v>218666494</v>
      </c>
      <c r="AH385" s="131">
        <v>0</v>
      </c>
      <c r="AI385" s="131">
        <v>0</v>
      </c>
      <c r="AJ385" s="131">
        <v>0</v>
      </c>
      <c r="AK385" s="131">
        <v>0</v>
      </c>
      <c r="AM385" s="131">
        <v>218666494</v>
      </c>
      <c r="AN385" s="131">
        <v>218666494</v>
      </c>
      <c r="AO385" s="131">
        <v>0</v>
      </c>
      <c r="AP385" s="131">
        <v>218666494</v>
      </c>
      <c r="AQ385" s="131">
        <v>0</v>
      </c>
      <c r="AR385" s="131">
        <v>0</v>
      </c>
      <c r="AS385" t="s">
        <v>1709</v>
      </c>
    </row>
    <row r="386" spans="1:45" ht="30" x14ac:dyDescent="0.25">
      <c r="A386">
        <v>2019</v>
      </c>
      <c r="B386">
        <v>7</v>
      </c>
      <c r="C386">
        <v>1070201006741</v>
      </c>
      <c r="D386" t="s">
        <v>226</v>
      </c>
      <c r="E386" t="s">
        <v>3189</v>
      </c>
      <c r="F386">
        <v>1070201006741</v>
      </c>
      <c r="G386" s="10" t="s">
        <v>3190</v>
      </c>
      <c r="H386" t="s">
        <v>3164</v>
      </c>
      <c r="I386" s="131">
        <v>0</v>
      </c>
      <c r="J386" s="131">
        <v>0</v>
      </c>
      <c r="K386" s="131">
        <v>218666494</v>
      </c>
      <c r="L386" s="131">
        <v>218666494</v>
      </c>
      <c r="M386" s="131">
        <v>0</v>
      </c>
      <c r="N386" s="131">
        <v>218666494</v>
      </c>
      <c r="O386" s="131">
        <v>218666494</v>
      </c>
      <c r="P386" s="131">
        <v>0</v>
      </c>
      <c r="Q386" s="131">
        <v>0</v>
      </c>
      <c r="R386" s="131">
        <v>0</v>
      </c>
      <c r="S386" s="131">
        <v>0</v>
      </c>
      <c r="T386" s="131">
        <v>0</v>
      </c>
      <c r="U386" s="131">
        <v>0</v>
      </c>
      <c r="V386" s="131">
        <v>0</v>
      </c>
      <c r="W386" s="131">
        <v>218666494</v>
      </c>
      <c r="X386" s="131">
        <v>218666494</v>
      </c>
      <c r="Y386" s="131">
        <v>0</v>
      </c>
      <c r="Z386" s="131">
        <v>0</v>
      </c>
      <c r="AA386" s="131">
        <v>0</v>
      </c>
      <c r="AB386" s="131">
        <v>0</v>
      </c>
      <c r="AC386" s="131">
        <v>0</v>
      </c>
      <c r="AD386" s="131">
        <v>0</v>
      </c>
      <c r="AE386" s="131">
        <v>0</v>
      </c>
      <c r="AF386" s="131">
        <v>218666494</v>
      </c>
      <c r="AG386" s="131">
        <v>218666494</v>
      </c>
      <c r="AH386" s="131">
        <v>0</v>
      </c>
      <c r="AI386" s="131">
        <v>0</v>
      </c>
      <c r="AJ386" s="131">
        <v>0</v>
      </c>
      <c r="AK386" s="131">
        <v>0</v>
      </c>
      <c r="AM386" s="131">
        <v>218666494</v>
      </c>
      <c r="AN386" s="131">
        <v>218666494</v>
      </c>
      <c r="AO386" s="131">
        <v>0</v>
      </c>
      <c r="AP386" s="131">
        <v>218666494</v>
      </c>
      <c r="AQ386" s="131">
        <v>0</v>
      </c>
      <c r="AR386" s="131">
        <v>0</v>
      </c>
      <c r="AS386" t="s">
        <v>1709</v>
      </c>
    </row>
    <row r="387" spans="1:45" ht="30" x14ac:dyDescent="0.25">
      <c r="A387">
        <v>2019</v>
      </c>
      <c r="B387">
        <v>7</v>
      </c>
      <c r="C387">
        <v>107020100674101</v>
      </c>
      <c r="D387">
        <v>120</v>
      </c>
      <c r="E387" t="s">
        <v>3191</v>
      </c>
      <c r="F387">
        <v>107020100674101</v>
      </c>
      <c r="G387" s="10" t="s">
        <v>3192</v>
      </c>
      <c r="H387" t="s">
        <v>3164</v>
      </c>
      <c r="I387" s="131">
        <v>0</v>
      </c>
      <c r="J387" s="131">
        <v>0</v>
      </c>
      <c r="K387" s="131">
        <v>218666494</v>
      </c>
      <c r="L387" s="131">
        <v>218666494</v>
      </c>
      <c r="M387" s="131">
        <v>0</v>
      </c>
      <c r="N387" s="131">
        <v>218666494</v>
      </c>
      <c r="O387" s="131">
        <v>218666494</v>
      </c>
      <c r="P387" s="131">
        <v>0</v>
      </c>
      <c r="Q387" s="131">
        <v>0</v>
      </c>
      <c r="R387" s="131">
        <v>0</v>
      </c>
      <c r="S387" s="131">
        <v>0</v>
      </c>
      <c r="T387" s="131">
        <v>0</v>
      </c>
      <c r="U387" s="131">
        <v>0</v>
      </c>
      <c r="V387" s="131">
        <v>0</v>
      </c>
      <c r="W387" s="131">
        <v>218666494</v>
      </c>
      <c r="X387" s="131">
        <v>218666494</v>
      </c>
      <c r="Y387" s="131">
        <v>0</v>
      </c>
      <c r="Z387" s="131">
        <v>0</v>
      </c>
      <c r="AA387" s="131">
        <v>0</v>
      </c>
      <c r="AB387" s="131">
        <v>0</v>
      </c>
      <c r="AC387" s="131">
        <v>0</v>
      </c>
      <c r="AD387" s="131">
        <v>0</v>
      </c>
      <c r="AE387" s="131">
        <v>0</v>
      </c>
      <c r="AF387" s="131">
        <v>218666494</v>
      </c>
      <c r="AG387" s="131">
        <v>218666494</v>
      </c>
      <c r="AH387" s="131">
        <v>0</v>
      </c>
      <c r="AI387" s="131">
        <v>0</v>
      </c>
      <c r="AJ387" s="131">
        <v>0</v>
      </c>
      <c r="AK387" s="131">
        <v>0</v>
      </c>
      <c r="AM387" s="131">
        <v>218666494</v>
      </c>
      <c r="AN387" s="131">
        <v>218666494</v>
      </c>
      <c r="AO387" s="131">
        <v>0</v>
      </c>
      <c r="AP387" s="131">
        <v>218666494</v>
      </c>
      <c r="AQ387" s="131">
        <v>0</v>
      </c>
      <c r="AR387" s="131">
        <v>0</v>
      </c>
      <c r="AS387" t="s">
        <v>3193</v>
      </c>
    </row>
    <row r="388" spans="1:45" x14ac:dyDescent="0.25">
      <c r="A388">
        <v>2019</v>
      </c>
      <c r="B388">
        <v>7</v>
      </c>
      <c r="C388">
        <v>1070204</v>
      </c>
      <c r="D388" t="s">
        <v>226</v>
      </c>
      <c r="E388" t="s">
        <v>3194</v>
      </c>
      <c r="F388">
        <v>1070204</v>
      </c>
      <c r="G388" s="10" t="s">
        <v>1916</v>
      </c>
      <c r="H388" t="s">
        <v>3164</v>
      </c>
      <c r="I388" s="131">
        <v>0</v>
      </c>
      <c r="J388" s="131">
        <v>0</v>
      </c>
      <c r="K388" s="131">
        <v>2219818.89</v>
      </c>
      <c r="L388" s="131">
        <v>2219818.89</v>
      </c>
      <c r="M388" s="131">
        <v>0</v>
      </c>
      <c r="N388" s="131">
        <v>2219818.89</v>
      </c>
      <c r="O388" s="131">
        <v>2219818.89</v>
      </c>
      <c r="P388" s="131">
        <v>0</v>
      </c>
      <c r="Q388" s="131">
        <v>0</v>
      </c>
      <c r="R388" s="131">
        <v>0</v>
      </c>
      <c r="S388" s="131">
        <v>0</v>
      </c>
      <c r="T388" s="131">
        <v>0</v>
      </c>
      <c r="U388" s="131">
        <v>0</v>
      </c>
      <c r="V388" s="131">
        <v>0</v>
      </c>
      <c r="W388" s="131">
        <v>2219818.89</v>
      </c>
      <c r="X388" s="131">
        <v>2219818.89</v>
      </c>
      <c r="Y388" s="131">
        <v>0</v>
      </c>
      <c r="Z388" s="131">
        <v>0</v>
      </c>
      <c r="AA388" s="131">
        <v>0</v>
      </c>
      <c r="AB388" s="131">
        <v>0</v>
      </c>
      <c r="AC388" s="131">
        <v>0</v>
      </c>
      <c r="AD388" s="131">
        <v>0</v>
      </c>
      <c r="AE388" s="131">
        <v>0</v>
      </c>
      <c r="AF388" s="131">
        <v>2219818.89</v>
      </c>
      <c r="AG388" s="131">
        <v>2219818.89</v>
      </c>
      <c r="AH388" s="131">
        <v>0</v>
      </c>
      <c r="AI388" s="131">
        <v>0</v>
      </c>
      <c r="AJ388" s="131">
        <v>0</v>
      </c>
      <c r="AK388" s="131">
        <v>0</v>
      </c>
      <c r="AM388" s="131">
        <v>2219818.89</v>
      </c>
      <c r="AN388" s="131">
        <v>2219818.89</v>
      </c>
      <c r="AO388" s="131">
        <v>0</v>
      </c>
      <c r="AP388" s="131">
        <v>2219818.89</v>
      </c>
      <c r="AQ388" s="131">
        <v>0</v>
      </c>
      <c r="AR388" s="131">
        <v>0</v>
      </c>
      <c r="AS388" t="s">
        <v>1709</v>
      </c>
    </row>
    <row r="389" spans="1:45" x14ac:dyDescent="0.25">
      <c r="A389">
        <v>2019</v>
      </c>
      <c r="B389">
        <v>7</v>
      </c>
      <c r="C389">
        <v>107020400</v>
      </c>
      <c r="D389" t="s">
        <v>226</v>
      </c>
      <c r="E389" t="s">
        <v>3195</v>
      </c>
      <c r="F389">
        <v>107020400</v>
      </c>
      <c r="G389" s="10" t="s">
        <v>3187</v>
      </c>
      <c r="H389" t="s">
        <v>3164</v>
      </c>
      <c r="I389" s="131">
        <v>0</v>
      </c>
      <c r="J389" s="131">
        <v>0</v>
      </c>
      <c r="K389" s="131">
        <v>2219818.89</v>
      </c>
      <c r="L389" s="131">
        <v>2219818.89</v>
      </c>
      <c r="M389" s="131">
        <v>0</v>
      </c>
      <c r="N389" s="131">
        <v>2219818.89</v>
      </c>
      <c r="O389" s="131">
        <v>2219818.89</v>
      </c>
      <c r="P389" s="131">
        <v>0</v>
      </c>
      <c r="Q389" s="131">
        <v>0</v>
      </c>
      <c r="R389" s="131">
        <v>0</v>
      </c>
      <c r="S389" s="131">
        <v>0</v>
      </c>
      <c r="T389" s="131">
        <v>0</v>
      </c>
      <c r="U389" s="131">
        <v>0</v>
      </c>
      <c r="V389" s="131">
        <v>0</v>
      </c>
      <c r="W389" s="131">
        <v>2219818.89</v>
      </c>
      <c r="X389" s="131">
        <v>2219818.89</v>
      </c>
      <c r="Y389" s="131">
        <v>0</v>
      </c>
      <c r="Z389" s="131">
        <v>0</v>
      </c>
      <c r="AA389" s="131">
        <v>0</v>
      </c>
      <c r="AB389" s="131">
        <v>0</v>
      </c>
      <c r="AC389" s="131">
        <v>0</v>
      </c>
      <c r="AD389" s="131">
        <v>0</v>
      </c>
      <c r="AE389" s="131">
        <v>0</v>
      </c>
      <c r="AF389" s="131">
        <v>2219818.89</v>
      </c>
      <c r="AG389" s="131">
        <v>2219818.89</v>
      </c>
      <c r="AH389" s="131">
        <v>0</v>
      </c>
      <c r="AI389" s="131">
        <v>0</v>
      </c>
      <c r="AJ389" s="131">
        <v>0</v>
      </c>
      <c r="AK389" s="131">
        <v>0</v>
      </c>
      <c r="AM389" s="131">
        <v>2219818.89</v>
      </c>
      <c r="AN389" s="131">
        <v>2219818.89</v>
      </c>
      <c r="AO389" s="131">
        <v>0</v>
      </c>
      <c r="AP389" s="131">
        <v>2219818.89</v>
      </c>
      <c r="AQ389" s="131">
        <v>0</v>
      </c>
      <c r="AR389" s="131">
        <v>0</v>
      </c>
      <c r="AS389" t="s">
        <v>1709</v>
      </c>
    </row>
    <row r="390" spans="1:45" ht="30" x14ac:dyDescent="0.25">
      <c r="A390">
        <v>2019</v>
      </c>
      <c r="B390">
        <v>7</v>
      </c>
      <c r="C390">
        <v>10702040067</v>
      </c>
      <c r="D390" t="s">
        <v>226</v>
      </c>
      <c r="E390" t="s">
        <v>3196</v>
      </c>
      <c r="F390">
        <v>10702040067</v>
      </c>
      <c r="G390" s="10" t="s">
        <v>3172</v>
      </c>
      <c r="H390" t="s">
        <v>3164</v>
      </c>
      <c r="I390" s="131">
        <v>0</v>
      </c>
      <c r="J390" s="131">
        <v>0</v>
      </c>
      <c r="K390" s="131">
        <v>2219818.89</v>
      </c>
      <c r="L390" s="131">
        <v>2219818.89</v>
      </c>
      <c r="M390" s="131">
        <v>0</v>
      </c>
      <c r="N390" s="131">
        <v>2219818.89</v>
      </c>
      <c r="O390" s="131">
        <v>2219818.89</v>
      </c>
      <c r="P390" s="131">
        <v>0</v>
      </c>
      <c r="Q390" s="131">
        <v>0</v>
      </c>
      <c r="R390" s="131">
        <v>0</v>
      </c>
      <c r="S390" s="131">
        <v>0</v>
      </c>
      <c r="T390" s="131">
        <v>0</v>
      </c>
      <c r="U390" s="131">
        <v>0</v>
      </c>
      <c r="V390" s="131">
        <v>0</v>
      </c>
      <c r="W390" s="131">
        <v>2219818.89</v>
      </c>
      <c r="X390" s="131">
        <v>2219818.89</v>
      </c>
      <c r="Y390" s="131">
        <v>0</v>
      </c>
      <c r="Z390" s="131">
        <v>0</v>
      </c>
      <c r="AA390" s="131">
        <v>0</v>
      </c>
      <c r="AB390" s="131">
        <v>0</v>
      </c>
      <c r="AC390" s="131">
        <v>0</v>
      </c>
      <c r="AD390" s="131">
        <v>0</v>
      </c>
      <c r="AE390" s="131">
        <v>0</v>
      </c>
      <c r="AF390" s="131">
        <v>2219818.89</v>
      </c>
      <c r="AG390" s="131">
        <v>2219818.89</v>
      </c>
      <c r="AH390" s="131">
        <v>0</v>
      </c>
      <c r="AI390" s="131">
        <v>0</v>
      </c>
      <c r="AJ390" s="131">
        <v>0</v>
      </c>
      <c r="AK390" s="131">
        <v>0</v>
      </c>
      <c r="AM390" s="131">
        <v>2219818.89</v>
      </c>
      <c r="AN390" s="131">
        <v>2219818.89</v>
      </c>
      <c r="AO390" s="131">
        <v>0</v>
      </c>
      <c r="AP390" s="131">
        <v>2219818.89</v>
      </c>
      <c r="AQ390" s="131">
        <v>0</v>
      </c>
      <c r="AR390" s="131">
        <v>0</v>
      </c>
      <c r="AS390" t="s">
        <v>1709</v>
      </c>
    </row>
    <row r="391" spans="1:45" ht="30" x14ac:dyDescent="0.25">
      <c r="A391">
        <v>2019</v>
      </c>
      <c r="B391">
        <v>7</v>
      </c>
      <c r="C391">
        <v>1070204006741</v>
      </c>
      <c r="D391" t="s">
        <v>226</v>
      </c>
      <c r="E391" t="s">
        <v>3197</v>
      </c>
      <c r="F391">
        <v>1070204006741</v>
      </c>
      <c r="G391" s="10" t="s">
        <v>3190</v>
      </c>
      <c r="H391" t="s">
        <v>3164</v>
      </c>
      <c r="I391" s="131">
        <v>0</v>
      </c>
      <c r="J391" s="131">
        <v>0</v>
      </c>
      <c r="K391" s="131">
        <v>2219818.89</v>
      </c>
      <c r="L391" s="131">
        <v>2219818.89</v>
      </c>
      <c r="M391" s="131">
        <v>0</v>
      </c>
      <c r="N391" s="131">
        <v>2219818.89</v>
      </c>
      <c r="O391" s="131">
        <v>2219818.89</v>
      </c>
      <c r="P391" s="131">
        <v>0</v>
      </c>
      <c r="Q391" s="131">
        <v>0</v>
      </c>
      <c r="R391" s="131">
        <v>0</v>
      </c>
      <c r="S391" s="131">
        <v>0</v>
      </c>
      <c r="T391" s="131">
        <v>0</v>
      </c>
      <c r="U391" s="131">
        <v>0</v>
      </c>
      <c r="V391" s="131">
        <v>0</v>
      </c>
      <c r="W391" s="131">
        <v>2219818.89</v>
      </c>
      <c r="X391" s="131">
        <v>2219818.89</v>
      </c>
      <c r="Y391" s="131">
        <v>0</v>
      </c>
      <c r="Z391" s="131">
        <v>0</v>
      </c>
      <c r="AA391" s="131">
        <v>0</v>
      </c>
      <c r="AB391" s="131">
        <v>0</v>
      </c>
      <c r="AC391" s="131">
        <v>0</v>
      </c>
      <c r="AD391" s="131">
        <v>0</v>
      </c>
      <c r="AE391" s="131">
        <v>0</v>
      </c>
      <c r="AF391" s="131">
        <v>2219818.89</v>
      </c>
      <c r="AG391" s="131">
        <v>2219818.89</v>
      </c>
      <c r="AH391" s="131">
        <v>0</v>
      </c>
      <c r="AI391" s="131">
        <v>0</v>
      </c>
      <c r="AJ391" s="131">
        <v>0</v>
      </c>
      <c r="AK391" s="131">
        <v>0</v>
      </c>
      <c r="AM391" s="131">
        <v>2219818.89</v>
      </c>
      <c r="AN391" s="131">
        <v>2219818.89</v>
      </c>
      <c r="AO391" s="131">
        <v>0</v>
      </c>
      <c r="AP391" s="131">
        <v>2219818.89</v>
      </c>
      <c r="AQ391" s="131">
        <v>0</v>
      </c>
      <c r="AR391" s="131">
        <v>0</v>
      </c>
      <c r="AS391" t="s">
        <v>1709</v>
      </c>
    </row>
    <row r="392" spans="1:45" ht="30" x14ac:dyDescent="0.25">
      <c r="A392">
        <v>2019</v>
      </c>
      <c r="B392">
        <v>7</v>
      </c>
      <c r="C392">
        <v>107020400674101</v>
      </c>
      <c r="D392">
        <v>164</v>
      </c>
      <c r="E392" t="s">
        <v>3198</v>
      </c>
      <c r="F392">
        <v>107020400674101</v>
      </c>
      <c r="G392" s="10" t="s">
        <v>3199</v>
      </c>
      <c r="H392" t="s">
        <v>3164</v>
      </c>
      <c r="I392" s="131">
        <v>0</v>
      </c>
      <c r="J392" s="131">
        <v>0</v>
      </c>
      <c r="K392" s="131">
        <v>2219818.89</v>
      </c>
      <c r="L392" s="131">
        <v>2219818.89</v>
      </c>
      <c r="M392" s="131">
        <v>0</v>
      </c>
      <c r="N392" s="131">
        <v>2219818.89</v>
      </c>
      <c r="O392" s="131">
        <v>2219818.89</v>
      </c>
      <c r="P392" s="131">
        <v>0</v>
      </c>
      <c r="Q392" s="131">
        <v>0</v>
      </c>
      <c r="R392" s="131">
        <v>0</v>
      </c>
      <c r="S392" s="131">
        <v>0</v>
      </c>
      <c r="T392" s="131">
        <v>0</v>
      </c>
      <c r="U392" s="131">
        <v>0</v>
      </c>
      <c r="V392" s="131">
        <v>0</v>
      </c>
      <c r="W392" s="131">
        <v>2219818.89</v>
      </c>
      <c r="X392" s="131">
        <v>2219818.89</v>
      </c>
      <c r="Y392" s="131">
        <v>0</v>
      </c>
      <c r="Z392" s="131">
        <v>0</v>
      </c>
      <c r="AA392" s="131">
        <v>0</v>
      </c>
      <c r="AB392" s="131">
        <v>0</v>
      </c>
      <c r="AC392" s="131">
        <v>0</v>
      </c>
      <c r="AD392" s="131">
        <v>0</v>
      </c>
      <c r="AE392" s="131">
        <v>0</v>
      </c>
      <c r="AF392" s="131">
        <v>2219818.89</v>
      </c>
      <c r="AG392" s="131">
        <v>2219818.89</v>
      </c>
      <c r="AH392" s="131">
        <v>0</v>
      </c>
      <c r="AI392" s="131">
        <v>0</v>
      </c>
      <c r="AJ392" s="131">
        <v>0</v>
      </c>
      <c r="AK392" s="131">
        <v>0</v>
      </c>
      <c r="AM392" s="131">
        <v>2219818.89</v>
      </c>
      <c r="AN392" s="131">
        <v>2219818.89</v>
      </c>
      <c r="AO392" s="131">
        <v>0</v>
      </c>
      <c r="AP392" s="131">
        <v>2219818.89</v>
      </c>
      <c r="AQ392" s="131">
        <v>0</v>
      </c>
      <c r="AR392" s="131">
        <v>0</v>
      </c>
      <c r="AS392" t="s">
        <v>3200</v>
      </c>
    </row>
    <row r="393" spans="1:45" ht="30" x14ac:dyDescent="0.25">
      <c r="A393">
        <v>2019</v>
      </c>
      <c r="B393">
        <v>7</v>
      </c>
      <c r="C393">
        <v>1070208</v>
      </c>
      <c r="D393" t="s">
        <v>226</v>
      </c>
      <c r="E393" t="s">
        <v>3201</v>
      </c>
      <c r="F393">
        <v>1070208</v>
      </c>
      <c r="G393" s="10" t="s">
        <v>3202</v>
      </c>
      <c r="H393" t="s">
        <v>3164</v>
      </c>
      <c r="I393" s="131">
        <v>0</v>
      </c>
      <c r="J393" s="131">
        <v>0</v>
      </c>
      <c r="K393" s="131">
        <v>9294097</v>
      </c>
      <c r="L393" s="131">
        <v>9294097</v>
      </c>
      <c r="M393" s="131">
        <v>0</v>
      </c>
      <c r="N393" s="131">
        <v>9294097</v>
      </c>
      <c r="O393" s="131">
        <v>9294097</v>
      </c>
      <c r="P393" s="131">
        <v>0</v>
      </c>
      <c r="Q393" s="131">
        <v>0</v>
      </c>
      <c r="R393" s="131">
        <v>0</v>
      </c>
      <c r="S393" s="131">
        <v>0</v>
      </c>
      <c r="T393" s="131">
        <v>0</v>
      </c>
      <c r="U393" s="131">
        <v>0</v>
      </c>
      <c r="V393" s="131">
        <v>0</v>
      </c>
      <c r="W393" s="131">
        <v>9294097</v>
      </c>
      <c r="X393" s="131">
        <v>9294097</v>
      </c>
      <c r="Y393" s="131">
        <v>0</v>
      </c>
      <c r="Z393" s="131">
        <v>0</v>
      </c>
      <c r="AA393" s="131">
        <v>0</v>
      </c>
      <c r="AB393" s="131">
        <v>0</v>
      </c>
      <c r="AC393" s="131">
        <v>0</v>
      </c>
      <c r="AD393" s="131">
        <v>0</v>
      </c>
      <c r="AE393" s="131">
        <v>0</v>
      </c>
      <c r="AF393" s="131">
        <v>9294097</v>
      </c>
      <c r="AG393" s="131">
        <v>9294097</v>
      </c>
      <c r="AH393" s="131">
        <v>0</v>
      </c>
      <c r="AI393" s="131">
        <v>0</v>
      </c>
      <c r="AJ393" s="131">
        <v>0</v>
      </c>
      <c r="AK393" s="131">
        <v>0</v>
      </c>
      <c r="AM393" s="131">
        <v>9294097</v>
      </c>
      <c r="AN393" s="131">
        <v>9294097</v>
      </c>
      <c r="AO393" s="131">
        <v>0</v>
      </c>
      <c r="AP393" s="131">
        <v>9294097</v>
      </c>
      <c r="AQ393" s="131">
        <v>0</v>
      </c>
      <c r="AR393" s="131">
        <v>0</v>
      </c>
      <c r="AS393" t="s">
        <v>1709</v>
      </c>
    </row>
    <row r="394" spans="1:45" x14ac:dyDescent="0.25">
      <c r="A394">
        <v>2019</v>
      </c>
      <c r="B394">
        <v>7</v>
      </c>
      <c r="C394">
        <v>107020800</v>
      </c>
      <c r="D394" t="s">
        <v>226</v>
      </c>
      <c r="E394" t="s">
        <v>3203</v>
      </c>
      <c r="F394">
        <v>107020800</v>
      </c>
      <c r="G394" s="10" t="s">
        <v>3204</v>
      </c>
      <c r="H394" t="s">
        <v>3164</v>
      </c>
      <c r="I394" s="131">
        <v>0</v>
      </c>
      <c r="J394" s="131">
        <v>0</v>
      </c>
      <c r="K394" s="131">
        <v>9294097</v>
      </c>
      <c r="L394" s="131">
        <v>9294097</v>
      </c>
      <c r="M394" s="131">
        <v>0</v>
      </c>
      <c r="N394" s="131">
        <v>9294097</v>
      </c>
      <c r="O394" s="131">
        <v>9294097</v>
      </c>
      <c r="P394" s="131">
        <v>0</v>
      </c>
      <c r="Q394" s="131">
        <v>0</v>
      </c>
      <c r="R394" s="131">
        <v>0</v>
      </c>
      <c r="S394" s="131">
        <v>0</v>
      </c>
      <c r="T394" s="131">
        <v>0</v>
      </c>
      <c r="U394" s="131">
        <v>0</v>
      </c>
      <c r="V394" s="131">
        <v>0</v>
      </c>
      <c r="W394" s="131">
        <v>9294097</v>
      </c>
      <c r="X394" s="131">
        <v>9294097</v>
      </c>
      <c r="Y394" s="131">
        <v>0</v>
      </c>
      <c r="Z394" s="131">
        <v>0</v>
      </c>
      <c r="AA394" s="131">
        <v>0</v>
      </c>
      <c r="AB394" s="131">
        <v>0</v>
      </c>
      <c r="AC394" s="131">
        <v>0</v>
      </c>
      <c r="AD394" s="131">
        <v>0</v>
      </c>
      <c r="AE394" s="131">
        <v>0</v>
      </c>
      <c r="AF394" s="131">
        <v>9294097</v>
      </c>
      <c r="AG394" s="131">
        <v>9294097</v>
      </c>
      <c r="AH394" s="131">
        <v>0</v>
      </c>
      <c r="AI394" s="131">
        <v>0</v>
      </c>
      <c r="AJ394" s="131">
        <v>0</v>
      </c>
      <c r="AK394" s="131">
        <v>0</v>
      </c>
      <c r="AM394" s="131">
        <v>9294097</v>
      </c>
      <c r="AN394" s="131">
        <v>9294097</v>
      </c>
      <c r="AO394" s="131">
        <v>0</v>
      </c>
      <c r="AP394" s="131">
        <v>9294097</v>
      </c>
      <c r="AQ394" s="131">
        <v>0</v>
      </c>
      <c r="AR394" s="131">
        <v>0</v>
      </c>
      <c r="AS394" t="s">
        <v>1709</v>
      </c>
    </row>
    <row r="395" spans="1:45" ht="30" x14ac:dyDescent="0.25">
      <c r="A395">
        <v>2019</v>
      </c>
      <c r="B395">
        <v>7</v>
      </c>
      <c r="C395">
        <v>10702080067</v>
      </c>
      <c r="D395" t="s">
        <v>226</v>
      </c>
      <c r="E395" t="s">
        <v>3205</v>
      </c>
      <c r="F395">
        <v>10702080067</v>
      </c>
      <c r="G395" s="10" t="s">
        <v>3206</v>
      </c>
      <c r="H395" t="s">
        <v>3164</v>
      </c>
      <c r="I395" s="131">
        <v>0</v>
      </c>
      <c r="J395" s="131">
        <v>0</v>
      </c>
      <c r="K395" s="131">
        <v>9294097</v>
      </c>
      <c r="L395" s="131">
        <v>9294097</v>
      </c>
      <c r="M395" s="131">
        <v>0</v>
      </c>
      <c r="N395" s="131">
        <v>9294097</v>
      </c>
      <c r="O395" s="131">
        <v>9294097</v>
      </c>
      <c r="P395" s="131">
        <v>0</v>
      </c>
      <c r="Q395" s="131">
        <v>0</v>
      </c>
      <c r="R395" s="131">
        <v>0</v>
      </c>
      <c r="S395" s="131">
        <v>0</v>
      </c>
      <c r="T395" s="131">
        <v>0</v>
      </c>
      <c r="U395" s="131">
        <v>0</v>
      </c>
      <c r="V395" s="131">
        <v>0</v>
      </c>
      <c r="W395" s="131">
        <v>9294097</v>
      </c>
      <c r="X395" s="131">
        <v>9294097</v>
      </c>
      <c r="Y395" s="131">
        <v>0</v>
      </c>
      <c r="Z395" s="131">
        <v>0</v>
      </c>
      <c r="AA395" s="131">
        <v>0</v>
      </c>
      <c r="AB395" s="131">
        <v>0</v>
      </c>
      <c r="AC395" s="131">
        <v>0</v>
      </c>
      <c r="AD395" s="131">
        <v>0</v>
      </c>
      <c r="AE395" s="131">
        <v>0</v>
      </c>
      <c r="AF395" s="131">
        <v>9294097</v>
      </c>
      <c r="AG395" s="131">
        <v>9294097</v>
      </c>
      <c r="AH395" s="131">
        <v>0</v>
      </c>
      <c r="AI395" s="131">
        <v>0</v>
      </c>
      <c r="AJ395" s="131">
        <v>0</v>
      </c>
      <c r="AK395" s="131">
        <v>0</v>
      </c>
      <c r="AM395" s="131">
        <v>9294097</v>
      </c>
      <c r="AN395" s="131">
        <v>9294097</v>
      </c>
      <c r="AO395" s="131">
        <v>0</v>
      </c>
      <c r="AP395" s="131">
        <v>9294097</v>
      </c>
      <c r="AQ395" s="131">
        <v>0</v>
      </c>
      <c r="AR395" s="131">
        <v>0</v>
      </c>
      <c r="AS395" t="s">
        <v>1709</v>
      </c>
    </row>
    <row r="396" spans="1:45" x14ac:dyDescent="0.25">
      <c r="A396">
        <v>2019</v>
      </c>
      <c r="B396">
        <v>7</v>
      </c>
      <c r="C396">
        <v>1070208006741</v>
      </c>
      <c r="D396" t="s">
        <v>226</v>
      </c>
      <c r="E396" t="s">
        <v>3207</v>
      </c>
      <c r="F396">
        <v>1070208006741</v>
      </c>
      <c r="G396" s="10" t="s">
        <v>3208</v>
      </c>
      <c r="H396" t="s">
        <v>3164</v>
      </c>
      <c r="I396" s="131">
        <v>0</v>
      </c>
      <c r="J396" s="131">
        <v>0</v>
      </c>
      <c r="K396" s="131">
        <v>9294097</v>
      </c>
      <c r="L396" s="131">
        <v>9294097</v>
      </c>
      <c r="M396" s="131">
        <v>0</v>
      </c>
      <c r="N396" s="131">
        <v>9294097</v>
      </c>
      <c r="O396" s="131">
        <v>9294097</v>
      </c>
      <c r="P396" s="131">
        <v>0</v>
      </c>
      <c r="Q396" s="131">
        <v>0</v>
      </c>
      <c r="R396" s="131">
        <v>0</v>
      </c>
      <c r="S396" s="131">
        <v>0</v>
      </c>
      <c r="T396" s="131">
        <v>0</v>
      </c>
      <c r="U396" s="131">
        <v>0</v>
      </c>
      <c r="V396" s="131">
        <v>0</v>
      </c>
      <c r="W396" s="131">
        <v>9294097</v>
      </c>
      <c r="X396" s="131">
        <v>9294097</v>
      </c>
      <c r="Y396" s="131">
        <v>0</v>
      </c>
      <c r="Z396" s="131">
        <v>0</v>
      </c>
      <c r="AA396" s="131">
        <v>0</v>
      </c>
      <c r="AB396" s="131">
        <v>0</v>
      </c>
      <c r="AC396" s="131">
        <v>0</v>
      </c>
      <c r="AD396" s="131">
        <v>0</v>
      </c>
      <c r="AE396" s="131">
        <v>0</v>
      </c>
      <c r="AF396" s="131">
        <v>9294097</v>
      </c>
      <c r="AG396" s="131">
        <v>9294097</v>
      </c>
      <c r="AH396" s="131">
        <v>0</v>
      </c>
      <c r="AI396" s="131">
        <v>0</v>
      </c>
      <c r="AJ396" s="131">
        <v>0</v>
      </c>
      <c r="AK396" s="131">
        <v>0</v>
      </c>
      <c r="AM396" s="131">
        <v>9294097</v>
      </c>
      <c r="AN396" s="131">
        <v>9294097</v>
      </c>
      <c r="AO396" s="131">
        <v>0</v>
      </c>
      <c r="AP396" s="131">
        <v>9294097</v>
      </c>
      <c r="AQ396" s="131">
        <v>0</v>
      </c>
      <c r="AR396" s="131">
        <v>0</v>
      </c>
      <c r="AS396" t="s">
        <v>1709</v>
      </c>
    </row>
    <row r="397" spans="1:45" x14ac:dyDescent="0.25">
      <c r="A397">
        <v>2019</v>
      </c>
      <c r="B397">
        <v>7</v>
      </c>
      <c r="C397">
        <v>107020800674101</v>
      </c>
      <c r="D397">
        <v>120</v>
      </c>
      <c r="E397" t="s">
        <v>3209</v>
      </c>
      <c r="F397">
        <v>107020800674101</v>
      </c>
      <c r="G397" s="10" t="s">
        <v>3210</v>
      </c>
      <c r="H397" t="s">
        <v>3164</v>
      </c>
      <c r="I397" s="131">
        <v>0</v>
      </c>
      <c r="J397" s="131">
        <v>0</v>
      </c>
      <c r="K397" s="131">
        <v>9294097</v>
      </c>
      <c r="L397" s="131">
        <v>9294097</v>
      </c>
      <c r="M397" s="131">
        <v>0</v>
      </c>
      <c r="N397" s="131">
        <v>9294097</v>
      </c>
      <c r="O397" s="131">
        <v>9294097</v>
      </c>
      <c r="P397" s="131">
        <v>0</v>
      </c>
      <c r="Q397" s="131">
        <v>0</v>
      </c>
      <c r="R397" s="131">
        <v>0</v>
      </c>
      <c r="S397" s="131">
        <v>0</v>
      </c>
      <c r="T397" s="131">
        <v>0</v>
      </c>
      <c r="U397" s="131">
        <v>0</v>
      </c>
      <c r="V397" s="131">
        <v>0</v>
      </c>
      <c r="W397" s="131">
        <v>9294097</v>
      </c>
      <c r="X397" s="131">
        <v>9294097</v>
      </c>
      <c r="Y397" s="131">
        <v>0</v>
      </c>
      <c r="Z397" s="131">
        <v>0</v>
      </c>
      <c r="AA397" s="131">
        <v>0</v>
      </c>
      <c r="AB397" s="131">
        <v>0</v>
      </c>
      <c r="AC397" s="131">
        <v>0</v>
      </c>
      <c r="AD397" s="131">
        <v>0</v>
      </c>
      <c r="AE397" s="131">
        <v>0</v>
      </c>
      <c r="AF397" s="131">
        <v>9294097</v>
      </c>
      <c r="AG397" s="131">
        <v>9294097</v>
      </c>
      <c r="AH397" s="131">
        <v>0</v>
      </c>
      <c r="AI397" s="131">
        <v>0</v>
      </c>
      <c r="AJ397" s="131">
        <v>0</v>
      </c>
      <c r="AK397" s="131">
        <v>0</v>
      </c>
      <c r="AM397" s="131">
        <v>9294097</v>
      </c>
      <c r="AN397" s="131">
        <v>9294097</v>
      </c>
      <c r="AO397" s="131">
        <v>0</v>
      </c>
      <c r="AP397" s="131">
        <v>9294097</v>
      </c>
      <c r="AQ397" s="131">
        <v>0</v>
      </c>
      <c r="AR397" s="131">
        <v>0</v>
      </c>
      <c r="AS397" t="s">
        <v>3193</v>
      </c>
    </row>
  </sheetData>
  <autoFilter ref="A1:AS397" xr:uid="{00000000-0009-0000-0000-00002500000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I33"/>
  <sheetViews>
    <sheetView workbookViewId="0"/>
  </sheetViews>
  <sheetFormatPr baseColWidth="10" defaultColWidth="11.42578125" defaultRowHeight="15" x14ac:dyDescent="0.25"/>
  <cols>
    <col min="2" max="2" width="17.42578125" style="31" customWidth="1"/>
    <col min="3" max="3" width="18" style="31" bestFit="1" customWidth="1"/>
    <col min="4" max="5" width="17.85546875" style="31" bestFit="1" customWidth="1"/>
    <col min="6" max="6" width="18" style="31" bestFit="1" customWidth="1"/>
    <col min="9" max="9" width="15.140625" bestFit="1" customWidth="1"/>
  </cols>
  <sheetData>
    <row r="2" spans="1:9" x14ac:dyDescent="0.25">
      <c r="A2" s="1895" t="s">
        <v>3211</v>
      </c>
      <c r="B2" s="1895"/>
    </row>
    <row r="3" spans="1:9" x14ac:dyDescent="0.25">
      <c r="B3" s="31">
        <v>13501152970</v>
      </c>
      <c r="C3" s="31">
        <f>+B3*84%</f>
        <v>11340968494.799999</v>
      </c>
      <c r="D3" s="31">
        <f>+C3*84%</f>
        <v>9526413535.6319981</v>
      </c>
      <c r="E3" s="31">
        <f>+C3*16%</f>
        <v>1814554959.168</v>
      </c>
    </row>
    <row r="4" spans="1:9" x14ac:dyDescent="0.25">
      <c r="C4" s="31">
        <f>+B3*16%</f>
        <v>2160184475.1999998</v>
      </c>
    </row>
    <row r="5" spans="1:9" x14ac:dyDescent="0.25">
      <c r="C5" s="31">
        <f>SUM(C3:C4)</f>
        <v>13501152970</v>
      </c>
    </row>
    <row r="8" spans="1:9" x14ac:dyDescent="0.25">
      <c r="A8" s="1895" t="s">
        <v>3212</v>
      </c>
      <c r="B8" s="1895"/>
      <c r="I8" s="203" t="e">
        <f>+E9-I9</f>
        <v>#REF!</v>
      </c>
    </row>
    <row r="9" spans="1:9" x14ac:dyDescent="0.25">
      <c r="C9" s="31" t="e">
        <f>+#REF!</f>
        <v>#REF!</v>
      </c>
      <c r="D9" s="31" t="e">
        <f>+C9/6</f>
        <v>#REF!</v>
      </c>
      <c r="E9" s="31" t="e">
        <f>+D9*5</f>
        <v>#REF!</v>
      </c>
      <c r="F9" s="31" t="e">
        <f>+D9</f>
        <v>#REF!</v>
      </c>
      <c r="I9" t="e">
        <f>+E9/6</f>
        <v>#REF!</v>
      </c>
    </row>
    <row r="12" spans="1:9" x14ac:dyDescent="0.25">
      <c r="D12" s="31">
        <f>+C14*37%</f>
        <v>1846659747.9166665</v>
      </c>
    </row>
    <row r="13" spans="1:9" x14ac:dyDescent="0.25">
      <c r="A13" s="1895" t="s">
        <v>3213</v>
      </c>
      <c r="B13" s="1895"/>
      <c r="D13" s="31">
        <f>+C14*60%</f>
        <v>2994583374.9999995</v>
      </c>
    </row>
    <row r="14" spans="1:9" x14ac:dyDescent="0.25">
      <c r="A14" t="s">
        <v>3213</v>
      </c>
      <c r="B14" s="134">
        <v>2994583375</v>
      </c>
      <c r="C14" s="31">
        <f>+B14/60*100</f>
        <v>4990972291.666666</v>
      </c>
      <c r="D14" s="31">
        <f>+C14*3%</f>
        <v>149729168.74999997</v>
      </c>
    </row>
    <row r="15" spans="1:9" x14ac:dyDescent="0.25">
      <c r="E15" s="31">
        <f>+C16*3%</f>
        <v>116259627.54999998</v>
      </c>
    </row>
    <row r="16" spans="1:9" x14ac:dyDescent="0.25">
      <c r="A16" t="s">
        <v>3214</v>
      </c>
      <c r="B16" s="134">
        <v>2325192551</v>
      </c>
      <c r="C16" s="31">
        <f>+B16/60*100</f>
        <v>3875320918.333333</v>
      </c>
      <c r="D16" s="31">
        <f>+C16*60%</f>
        <v>2325192550.9999995</v>
      </c>
      <c r="E16" s="31">
        <f>+C16*37%</f>
        <v>1433868739.7833333</v>
      </c>
    </row>
    <row r="17" spans="1:8" x14ac:dyDescent="0.25">
      <c r="E17" s="31">
        <f>+E16+E15+D16</f>
        <v>3875320918.333333</v>
      </c>
    </row>
    <row r="18" spans="1:8" x14ac:dyDescent="0.25">
      <c r="A18" s="1895" t="s">
        <v>1079</v>
      </c>
      <c r="B18" s="1895"/>
    </row>
    <row r="19" spans="1:8" x14ac:dyDescent="0.25">
      <c r="B19" s="135">
        <v>10559672595</v>
      </c>
      <c r="C19" s="31">
        <f>+B19/60*100</f>
        <v>17599454325</v>
      </c>
      <c r="D19" s="31">
        <f>+'Monopolio 2019'!M34</f>
        <v>21238720991.728386</v>
      </c>
      <c r="E19" s="31">
        <f>+D19*60%</f>
        <v>12743232595.037031</v>
      </c>
      <c r="F19" s="31">
        <f>+D19*46%</f>
        <v>9769811656.1950588</v>
      </c>
      <c r="G19" s="136">
        <v>0.46</v>
      </c>
    </row>
    <row r="20" spans="1:8" x14ac:dyDescent="0.25">
      <c r="F20" s="31">
        <f>+D19*14%</f>
        <v>2973420938.8419743</v>
      </c>
      <c r="G20" s="136">
        <v>0.14000000000000001</v>
      </c>
    </row>
    <row r="21" spans="1:8" x14ac:dyDescent="0.25">
      <c r="F21" s="137">
        <f>SUM(F19:F20)</f>
        <v>12743232595.037033</v>
      </c>
    </row>
    <row r="23" spans="1:8" x14ac:dyDescent="0.25">
      <c r="F23" s="31">
        <f>+D19*37%</f>
        <v>7858326766.9395027</v>
      </c>
      <c r="G23" s="136">
        <v>0.37</v>
      </c>
      <c r="H23">
        <f>37+14</f>
        <v>51</v>
      </c>
    </row>
    <row r="24" spans="1:8" x14ac:dyDescent="0.25">
      <c r="F24" s="31">
        <f>+D19*3%</f>
        <v>637161629.75185156</v>
      </c>
      <c r="G24" s="136">
        <v>0.03</v>
      </c>
    </row>
    <row r="25" spans="1:8" x14ac:dyDescent="0.25">
      <c r="F25" s="31">
        <f>+F21+F23+F24</f>
        <v>21238720991.728386</v>
      </c>
    </row>
    <row r="31" spans="1:8" x14ac:dyDescent="0.25">
      <c r="A31" s="1895" t="s">
        <v>3215</v>
      </c>
      <c r="B31" s="1895"/>
    </row>
    <row r="32" spans="1:8" ht="15.75" thickBot="1" x14ac:dyDescent="0.3"/>
    <row r="33" spans="2:3" ht="15.75" thickBot="1" x14ac:dyDescent="0.3">
      <c r="B33" s="138">
        <v>11931721488.855989</v>
      </c>
      <c r="C33" s="139">
        <f>+B33*1.03</f>
        <v>12289673133.521669</v>
      </c>
    </row>
  </sheetData>
  <mergeCells count="5">
    <mergeCell ref="A2:B2"/>
    <mergeCell ref="A8:B8"/>
    <mergeCell ref="A13:B13"/>
    <mergeCell ref="A18:B18"/>
    <mergeCell ref="A31:B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E7E70-AFDC-4DDC-95DC-3EF8125BFD1D}">
  <sheetPr>
    <tabColor rgb="FF00B050"/>
  </sheetPr>
  <dimension ref="A2:M172"/>
  <sheetViews>
    <sheetView topLeftCell="A105" zoomScale="80" zoomScaleNormal="80" workbookViewId="0">
      <selection activeCell="C48" sqref="C48"/>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bestFit="1" customWidth="1"/>
    <col min="5" max="5" width="27" style="42" bestFit="1" customWidth="1"/>
    <col min="6" max="6" width="19.140625" style="42" bestFit="1" customWidth="1"/>
    <col min="7" max="7" width="16.140625" style="42" customWidth="1"/>
    <col min="8" max="8" width="27.28515625" style="42" customWidth="1"/>
    <col min="9" max="9" width="14.5703125" style="42" bestFit="1" customWidth="1"/>
    <col min="10" max="10" width="13.7109375" style="42" bestFit="1" customWidth="1"/>
    <col min="11" max="11" width="25.140625" style="42" customWidth="1"/>
    <col min="12" max="12" width="13.5703125" style="42" bestFit="1" customWidth="1"/>
    <col min="13"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3" width="11.42578125" style="42"/>
    <col min="16384" max="16384" width="11.42578125" style="42" customWidth="1"/>
  </cols>
  <sheetData>
    <row r="2" spans="1:7" ht="15" customHeight="1" x14ac:dyDescent="0.25">
      <c r="A2" s="1664" t="s">
        <v>1767</v>
      </c>
      <c r="B2" s="1664"/>
      <c r="C2" s="1664"/>
      <c r="D2" s="1664"/>
      <c r="E2" s="1664"/>
      <c r="F2" s="1665"/>
      <c r="G2" s="1146"/>
    </row>
    <row r="3" spans="1:7" ht="15" customHeight="1" x14ac:dyDescent="0.25">
      <c r="A3" s="1664" t="s">
        <v>1768</v>
      </c>
      <c r="B3" s="1664"/>
      <c r="C3" s="1664"/>
      <c r="D3" s="1664"/>
      <c r="E3" s="1664"/>
      <c r="F3" s="1665"/>
      <c r="G3" s="1146"/>
    </row>
    <row r="4" spans="1:7" ht="15" customHeight="1" x14ac:dyDescent="0.25">
      <c r="A4" s="1664" t="s">
        <v>1769</v>
      </c>
      <c r="B4" s="1664"/>
      <c r="C4" s="1664"/>
      <c r="D4" s="1664"/>
      <c r="E4" s="1664"/>
      <c r="F4" s="1665"/>
      <c r="G4" s="1146"/>
    </row>
    <row r="5" spans="1:7" ht="15" customHeight="1" x14ac:dyDescent="0.25">
      <c r="A5" s="1664" t="s">
        <v>3219</v>
      </c>
      <c r="B5" s="1664"/>
      <c r="C5" s="1664"/>
      <c r="D5" s="1664"/>
      <c r="E5" s="1664"/>
      <c r="F5" s="1665"/>
      <c r="G5" s="1146"/>
    </row>
    <row r="6" spans="1:7" s="95" customFormat="1" ht="25.5" customHeight="1" x14ac:dyDescent="0.25">
      <c r="A6" s="1147" t="s">
        <v>1771</v>
      </c>
      <c r="B6" s="1148" t="s">
        <v>1772</v>
      </c>
      <c r="C6" s="1007" t="s">
        <v>1773</v>
      </c>
      <c r="D6" s="1007" t="s">
        <v>1774</v>
      </c>
      <c r="E6" s="1149" t="s">
        <v>1775</v>
      </c>
      <c r="F6" s="1007" t="s">
        <v>1776</v>
      </c>
    </row>
    <row r="7" spans="1:7" ht="25.5" x14ac:dyDescent="0.25">
      <c r="A7" s="1006">
        <v>20</v>
      </c>
      <c r="B7" s="923" t="s">
        <v>1023</v>
      </c>
      <c r="C7" s="1175">
        <f>+'Historico Plan Financiero 2024'!Y3</f>
        <v>32803405726.496998</v>
      </c>
      <c r="D7" s="924"/>
      <c r="E7" s="924"/>
      <c r="F7" s="925">
        <f>+C7</f>
        <v>32803405726.496998</v>
      </c>
      <c r="G7" s="1146"/>
    </row>
    <row r="8" spans="1:7" ht="25.5" x14ac:dyDescent="0.25">
      <c r="A8" s="933">
        <v>20</v>
      </c>
      <c r="B8" s="923" t="s">
        <v>1157</v>
      </c>
      <c r="C8" s="1250">
        <f>+'Historico Plan Financiero 2024'!Y41</f>
        <v>1478804174.8069999</v>
      </c>
      <c r="D8" s="924"/>
      <c r="E8" s="924"/>
      <c r="F8" s="924">
        <f t="shared" ref="F8:F9" si="0">+C8</f>
        <v>1478804174.8069999</v>
      </c>
      <c r="G8" s="1659" t="s">
        <v>1777</v>
      </c>
    </row>
    <row r="9" spans="1:7" ht="25.5" x14ac:dyDescent="0.25">
      <c r="A9" s="922">
        <v>20</v>
      </c>
      <c r="B9" s="923" t="s">
        <v>1158</v>
      </c>
      <c r="C9" s="1175">
        <f>+'Historico Plan Financiero 2024'!Y42</f>
        <v>7607895046.5239992</v>
      </c>
      <c r="D9" s="924"/>
      <c r="E9" s="924"/>
      <c r="F9" s="924">
        <f t="shared" si="0"/>
        <v>7607895046.5239992</v>
      </c>
      <c r="G9" s="1659"/>
    </row>
    <row r="10" spans="1:7" ht="15" x14ac:dyDescent="0.25">
      <c r="A10" s="922">
        <v>20</v>
      </c>
      <c r="B10" s="923" t="s">
        <v>1779</v>
      </c>
      <c r="C10" s="1202">
        <f>+'Historico Plan Financiero 2024'!Y4</f>
        <v>17264812461.007198</v>
      </c>
      <c r="D10" s="927"/>
      <c r="E10" s="924"/>
      <c r="F10" s="924">
        <f>+C10</f>
        <v>17264812461.007198</v>
      </c>
    </row>
    <row r="11" spans="1:7" ht="15" x14ac:dyDescent="0.25">
      <c r="A11" s="922">
        <v>1</v>
      </c>
      <c r="B11" s="923" t="s">
        <v>1780</v>
      </c>
      <c r="C11" s="1174">
        <f>+'Historico Plan Financiero 2024'!Y5</f>
        <v>5754937487.0024004</v>
      </c>
      <c r="D11" s="927"/>
      <c r="E11" s="924">
        <f>+C11</f>
        <v>5754937487.0024004</v>
      </c>
      <c r="F11" s="925"/>
      <c r="G11" s="1146"/>
    </row>
    <row r="12" spans="1:7" ht="15" x14ac:dyDescent="0.25">
      <c r="A12" s="922">
        <v>52</v>
      </c>
      <c r="B12" s="923" t="s">
        <v>1028</v>
      </c>
      <c r="C12" s="1145">
        <f>+'Historico Plan Financiero 2024'!Y6</f>
        <v>1150987497.40048</v>
      </c>
      <c r="D12" s="924">
        <f>+C12</f>
        <v>1150987497.40048</v>
      </c>
      <c r="E12" s="924"/>
      <c r="F12" s="925"/>
      <c r="G12" s="1146"/>
    </row>
    <row r="13" spans="1:7" ht="15" x14ac:dyDescent="0.25">
      <c r="A13" s="922">
        <v>53</v>
      </c>
      <c r="B13" s="923" t="s">
        <v>1781</v>
      </c>
      <c r="C13" s="1145">
        <f>+'Historico Plan Financiero 2024'!Y7</f>
        <v>1726481246.1007199</v>
      </c>
      <c r="D13" s="924"/>
      <c r="E13" s="924">
        <f>+C13</f>
        <v>1726481246.1007199</v>
      </c>
      <c r="F13" s="924"/>
    </row>
    <row r="14" spans="1:7" ht="25.5" x14ac:dyDescent="0.25">
      <c r="A14" s="922">
        <v>13</v>
      </c>
      <c r="B14" s="923" t="s">
        <v>1030</v>
      </c>
      <c r="C14" s="1145">
        <f>+'Historico Plan Financiero 2024'!Y8</f>
        <v>2877468743.5012002</v>
      </c>
      <c r="D14" s="924"/>
      <c r="E14" s="924">
        <f>+C14</f>
        <v>2877468743.5012002</v>
      </c>
      <c r="F14" s="925"/>
      <c r="G14" s="1146"/>
    </row>
    <row r="15" spans="1:7" ht="25.5" x14ac:dyDescent="0.25">
      <c r="A15" s="922">
        <v>145</v>
      </c>
      <c r="B15" s="923" t="s">
        <v>3237</v>
      </c>
      <c r="C15" s="1145">
        <f>+'Vicios Salud'!F16</f>
        <v>233082586.1124</v>
      </c>
      <c r="D15" s="924"/>
      <c r="E15" s="924">
        <f>+C15</f>
        <v>233082586.1124</v>
      </c>
      <c r="F15" s="925"/>
      <c r="G15" s="1146"/>
    </row>
    <row r="16" spans="1:7" ht="15" x14ac:dyDescent="0.25">
      <c r="A16" s="922">
        <v>20</v>
      </c>
      <c r="B16" s="923" t="s">
        <v>3238</v>
      </c>
      <c r="C16" s="1145">
        <f>+'Vicios Salud'!D16</f>
        <v>4661651722.2480001</v>
      </c>
      <c r="D16" s="924"/>
      <c r="E16" s="924"/>
      <c r="F16" s="925">
        <f t="shared" ref="F16:F20" si="1">+C16</f>
        <v>4661651722.2480001</v>
      </c>
      <c r="G16" s="1146"/>
    </row>
    <row r="17" spans="1:10" ht="15" x14ac:dyDescent="0.25">
      <c r="A17" s="922">
        <v>20</v>
      </c>
      <c r="B17" s="923" t="s">
        <v>3240</v>
      </c>
      <c r="C17" s="1145">
        <f>+'Vicios Salud'!D22</f>
        <v>21471736599.75</v>
      </c>
      <c r="D17" s="924"/>
      <c r="E17" s="924"/>
      <c r="F17" s="925">
        <f t="shared" si="1"/>
        <v>21471736599.75</v>
      </c>
      <c r="G17" s="1146"/>
    </row>
    <row r="18" spans="1:10" ht="25.5" x14ac:dyDescent="0.25">
      <c r="A18" s="922">
        <v>20</v>
      </c>
      <c r="B18" s="923" t="s">
        <v>1788</v>
      </c>
      <c r="C18" s="1174">
        <f>+'Historico Plan Financiero 2024'!Y17</f>
        <v>14173023328.161156</v>
      </c>
      <c r="D18" s="924"/>
      <c r="E18" s="924"/>
      <c r="F18" s="925">
        <f t="shared" si="1"/>
        <v>14173023328.161156</v>
      </c>
      <c r="G18" s="1146"/>
    </row>
    <row r="19" spans="1:10" ht="25.5" x14ac:dyDescent="0.25">
      <c r="A19" s="922">
        <v>20</v>
      </c>
      <c r="B19" s="923" t="s">
        <v>1045</v>
      </c>
      <c r="C19" s="1145">
        <f>+'Historico Plan Financiero 2024'!Y19</f>
        <v>763018206.50000012</v>
      </c>
      <c r="D19" s="924"/>
      <c r="E19" s="924"/>
      <c r="F19" s="925">
        <f t="shared" si="1"/>
        <v>763018206.50000012</v>
      </c>
      <c r="G19" s="1146"/>
      <c r="J19" s="42">
        <f>1296000000+1627500000+3158923248</f>
        <v>6082423248</v>
      </c>
    </row>
    <row r="20" spans="1:10" ht="26.25" customHeight="1" x14ac:dyDescent="0.25">
      <c r="A20" s="922">
        <v>20</v>
      </c>
      <c r="B20" s="923" t="s">
        <v>1047</v>
      </c>
      <c r="C20" s="1145">
        <f>+'Historico Plan Financiero 2024'!Y20</f>
        <v>11867811379.982378</v>
      </c>
      <c r="D20" s="924"/>
      <c r="E20" s="924"/>
      <c r="F20" s="924">
        <f t="shared" si="1"/>
        <v>11867811379.982378</v>
      </c>
    </row>
    <row r="21" spans="1:10" ht="15" x14ac:dyDescent="0.25">
      <c r="A21" s="922">
        <v>4</v>
      </c>
      <c r="B21" s="923" t="s">
        <v>1050</v>
      </c>
      <c r="C21" s="1174">
        <f>+'Historico Plan Financiero 2024'!Y21</f>
        <v>7519722989.9869995</v>
      </c>
      <c r="D21" s="927">
        <f>+C21</f>
        <v>7519722989.9869995</v>
      </c>
      <c r="E21" s="924"/>
      <c r="F21" s="924"/>
    </row>
    <row r="22" spans="1:10" ht="25.5" x14ac:dyDescent="0.25">
      <c r="A22" s="922">
        <v>176</v>
      </c>
      <c r="B22" s="923" t="s">
        <v>1051</v>
      </c>
      <c r="C22" s="1174">
        <f>+'Historico Plan Financiero 2024'!Y22</f>
        <v>3010113561</v>
      </c>
      <c r="D22" s="924"/>
      <c r="E22" s="924">
        <f>+C22</f>
        <v>3010113561</v>
      </c>
      <c r="F22" s="925"/>
      <c r="G22" s="1146"/>
    </row>
    <row r="23" spans="1:10" ht="25.5" x14ac:dyDescent="0.25">
      <c r="A23" s="922">
        <v>177</v>
      </c>
      <c r="B23" s="923" t="s">
        <v>1789</v>
      </c>
      <c r="C23" s="1174">
        <f>+'Historico Plan Financiero 2024'!Y23</f>
        <v>4509609429.0130005</v>
      </c>
      <c r="D23" s="927"/>
      <c r="E23" s="924">
        <f>+C23</f>
        <v>4509609429.0130005</v>
      </c>
      <c r="F23" s="924"/>
    </row>
    <row r="24" spans="1:10" ht="15" x14ac:dyDescent="0.25">
      <c r="A24" s="922">
        <v>5</v>
      </c>
      <c r="B24" s="923" t="s">
        <v>1054</v>
      </c>
      <c r="C24" s="1174">
        <f>+'Historico Plan Financiero 2024'!Y24</f>
        <v>633364290</v>
      </c>
      <c r="D24" s="924"/>
      <c r="E24" s="924">
        <f>+C24</f>
        <v>633364290</v>
      </c>
      <c r="F24" s="924"/>
    </row>
    <row r="25" spans="1:10" ht="25.5" x14ac:dyDescent="0.25">
      <c r="A25" s="922">
        <v>33</v>
      </c>
      <c r="B25" s="923" t="s">
        <v>1055</v>
      </c>
      <c r="C25" s="1174">
        <f>+'Historico Plan Financiero 2024'!Y25</f>
        <v>316682145</v>
      </c>
      <c r="D25" s="924">
        <f>+C25</f>
        <v>316682145</v>
      </c>
      <c r="E25" s="924"/>
      <c r="F25" s="925"/>
      <c r="G25" s="1146"/>
    </row>
    <row r="26" spans="1:10" ht="15" x14ac:dyDescent="0.25">
      <c r="A26" s="922">
        <v>34</v>
      </c>
      <c r="B26" s="923" t="s">
        <v>1056</v>
      </c>
      <c r="C26" s="1174">
        <f>+'Historico Plan Financiero 2024'!Y26</f>
        <v>316816201</v>
      </c>
      <c r="D26" s="924">
        <f>+C26</f>
        <v>316816201</v>
      </c>
      <c r="E26" s="924"/>
      <c r="F26" s="925"/>
      <c r="G26" s="1146"/>
    </row>
    <row r="27" spans="1:10" ht="25.5" x14ac:dyDescent="0.25">
      <c r="A27" s="922">
        <v>39</v>
      </c>
      <c r="B27" s="923" t="s">
        <v>1057</v>
      </c>
      <c r="C27" s="1174">
        <f>+'Historico Plan Financiero 2024'!Y27</f>
        <v>1583276669</v>
      </c>
      <c r="D27" s="924">
        <f>+C27</f>
        <v>1583276669</v>
      </c>
      <c r="E27" s="924"/>
      <c r="F27" s="924"/>
    </row>
    <row r="28" spans="1:10" ht="15" x14ac:dyDescent="0.25">
      <c r="A28" s="922">
        <v>41</v>
      </c>
      <c r="B28" s="923" t="s">
        <v>1058</v>
      </c>
      <c r="C28" s="1174">
        <f>+'Historico Plan Financiero 2024'!Y28</f>
        <v>316682145</v>
      </c>
      <c r="D28" s="927">
        <f>+C28</f>
        <v>316682145</v>
      </c>
      <c r="E28" s="924"/>
      <c r="F28" s="925"/>
      <c r="G28" s="1146"/>
    </row>
    <row r="29" spans="1:10" ht="15" x14ac:dyDescent="0.25">
      <c r="A29" s="922">
        <v>6</v>
      </c>
      <c r="B29" s="923" t="s">
        <v>1060</v>
      </c>
      <c r="C29" s="1174">
        <f>+'Historico Plan Financiero 2024'!Y29</f>
        <v>5998097768.9099998</v>
      </c>
      <c r="D29" s="924">
        <f>+C29</f>
        <v>5998097768.9099998</v>
      </c>
      <c r="E29" s="924"/>
      <c r="F29" s="924"/>
    </row>
    <row r="30" spans="1:10" ht="25.5" x14ac:dyDescent="0.25">
      <c r="A30" s="922">
        <v>178</v>
      </c>
      <c r="B30" s="923" t="s">
        <v>1061</v>
      </c>
      <c r="C30" s="1174">
        <f>+'Historico Plan Financiero 2024'!Y30</f>
        <v>1498528901.0899999</v>
      </c>
      <c r="D30" s="924"/>
      <c r="E30" s="924">
        <f>+C30</f>
        <v>1498528901.0899999</v>
      </c>
      <c r="F30" s="925"/>
      <c r="G30" s="1146"/>
    </row>
    <row r="31" spans="1:10" s="54" customFormat="1" ht="15" x14ac:dyDescent="0.25">
      <c r="A31" s="922">
        <v>8</v>
      </c>
      <c r="B31" s="923" t="s">
        <v>1790</v>
      </c>
      <c r="C31" s="1174">
        <f>+'Historico Plan Financiero 2024'!Y31</f>
        <v>12506483101.200001</v>
      </c>
      <c r="D31" s="927"/>
      <c r="E31" s="924">
        <f>+C31</f>
        <v>12506483101.200001</v>
      </c>
      <c r="F31" s="925"/>
      <c r="G31" s="1146"/>
    </row>
    <row r="32" spans="1:10" ht="15" x14ac:dyDescent="0.25">
      <c r="A32" s="922">
        <v>20</v>
      </c>
      <c r="B32" s="923" t="s">
        <v>1068</v>
      </c>
      <c r="C32" s="1145">
        <f>+'Historico Plan Financiero 2024'!Y35</f>
        <v>40000000</v>
      </c>
      <c r="D32" s="924"/>
      <c r="E32" s="924"/>
      <c r="F32" s="925">
        <f>+C32</f>
        <v>40000000</v>
      </c>
      <c r="G32" s="1146"/>
    </row>
    <row r="33" spans="1:8" ht="15" x14ac:dyDescent="0.25">
      <c r="A33" s="922">
        <v>190</v>
      </c>
      <c r="B33" s="923" t="s">
        <v>1064</v>
      </c>
      <c r="C33" s="1145">
        <f>+'Historico Plan Financiero 2024'!Y32</f>
        <v>2082325780.6400001</v>
      </c>
      <c r="D33" s="924"/>
      <c r="E33" s="924">
        <f>+C33</f>
        <v>2082325780.6400001</v>
      </c>
      <c r="F33" s="925"/>
      <c r="G33" s="1146"/>
    </row>
    <row r="34" spans="1:8" ht="15" x14ac:dyDescent="0.25">
      <c r="A34" s="922">
        <v>20</v>
      </c>
      <c r="B34" s="923" t="s">
        <v>1069</v>
      </c>
      <c r="C34" s="1145">
        <v>210000000</v>
      </c>
      <c r="D34" s="924"/>
      <c r="E34" s="924"/>
      <c r="F34" s="925">
        <f>+C34</f>
        <v>210000000</v>
      </c>
      <c r="G34" s="1146"/>
    </row>
    <row r="35" spans="1:8" ht="15" x14ac:dyDescent="0.25">
      <c r="A35" s="922">
        <v>20</v>
      </c>
      <c r="B35" s="923" t="s">
        <v>1070</v>
      </c>
      <c r="C35" s="1145">
        <v>40000000</v>
      </c>
      <c r="D35" s="924"/>
      <c r="E35" s="924"/>
      <c r="F35" s="925">
        <f>+C35</f>
        <v>40000000</v>
      </c>
      <c r="G35" s="1146" t="s">
        <v>1792</v>
      </c>
    </row>
    <row r="36" spans="1:8" ht="15" x14ac:dyDescent="0.25">
      <c r="A36" s="922">
        <v>49</v>
      </c>
      <c r="B36" s="923" t="s">
        <v>1793</v>
      </c>
      <c r="C36" s="1145">
        <f>+'Historico Plan Financiero 2024'!Y45</f>
        <v>726529895</v>
      </c>
      <c r="D36" s="924"/>
      <c r="E36" s="924">
        <f>+C36</f>
        <v>726529895</v>
      </c>
      <c r="F36" s="925"/>
      <c r="G36" s="1146"/>
      <c r="H36" s="1001" t="s">
        <v>1794</v>
      </c>
    </row>
    <row r="37" spans="1:8" ht="15" x14ac:dyDescent="0.25">
      <c r="A37" s="922">
        <v>133</v>
      </c>
      <c r="B37" s="923" t="s">
        <v>1795</v>
      </c>
      <c r="C37" s="1145">
        <v>8000000000</v>
      </c>
      <c r="D37" s="924"/>
      <c r="E37" s="924">
        <f>C37</f>
        <v>8000000000</v>
      </c>
      <c r="F37" s="925">
        <v>0</v>
      </c>
      <c r="G37" s="1146"/>
    </row>
    <row r="38" spans="1:8" ht="15" x14ac:dyDescent="0.25">
      <c r="A38" s="922">
        <v>20</v>
      </c>
      <c r="B38" s="923" t="s">
        <v>1072</v>
      </c>
      <c r="C38" s="1145">
        <v>30000000</v>
      </c>
      <c r="D38" s="924"/>
      <c r="E38" s="924"/>
      <c r="F38" s="925">
        <f>+C38</f>
        <v>30000000</v>
      </c>
      <c r="G38" s="1146"/>
    </row>
    <row r="39" spans="1:8" s="54" customFormat="1" ht="15" x14ac:dyDescent="0.25">
      <c r="A39" s="922">
        <v>35</v>
      </c>
      <c r="B39" s="923" t="s">
        <v>1796</v>
      </c>
      <c r="C39" s="1145">
        <f>+'Vicios Salud'!C9*0.14</f>
        <v>5174317732.3821764</v>
      </c>
      <c r="D39" s="924">
        <f>+C39</f>
        <v>5174317732.3821764</v>
      </c>
      <c r="E39" s="924"/>
      <c r="F39" s="925"/>
      <c r="G39" s="1146"/>
    </row>
    <row r="40" spans="1:8" s="54" customFormat="1" ht="15" x14ac:dyDescent="0.25">
      <c r="A40" s="922">
        <v>179</v>
      </c>
      <c r="B40" s="923" t="s">
        <v>1797</v>
      </c>
      <c r="C40" s="1145">
        <f>+'Vicios Salud'!E9-C41</f>
        <v>1108109699.2247519</v>
      </c>
      <c r="D40" s="924"/>
      <c r="E40" s="924">
        <f>+C40</f>
        <v>1108109699.2247519</v>
      </c>
      <c r="F40" s="924"/>
      <c r="G40" s="1150"/>
      <c r="H40" s="54">
        <f>+C39+C40+C42</f>
        <v>23283757123.719795</v>
      </c>
    </row>
    <row r="41" spans="1:8" s="54" customFormat="1" ht="15" x14ac:dyDescent="0.25">
      <c r="A41" s="922">
        <v>205</v>
      </c>
      <c r="B41" s="923" t="s">
        <v>1798</v>
      </c>
      <c r="C41" s="1145">
        <v>672672</v>
      </c>
      <c r="D41" s="924"/>
      <c r="E41" s="924">
        <f>+C41</f>
        <v>672672</v>
      </c>
      <c r="F41" s="924"/>
      <c r="G41" s="1150"/>
    </row>
    <row r="42" spans="1:8" ht="15" x14ac:dyDescent="0.25">
      <c r="A42" s="922">
        <v>20</v>
      </c>
      <c r="B42" s="923" t="s">
        <v>1080</v>
      </c>
      <c r="C42" s="1145">
        <f>+'Vicios Salud'!C9*0.46</f>
        <v>17001329692.112865</v>
      </c>
      <c r="D42" s="924"/>
      <c r="E42" s="924"/>
      <c r="F42" s="924">
        <f>+C42</f>
        <v>17001329692.112865</v>
      </c>
      <c r="G42" s="1150"/>
    </row>
    <row r="43" spans="1:8" s="54" customFormat="1" ht="15" x14ac:dyDescent="0.25">
      <c r="A43" s="922">
        <v>18</v>
      </c>
      <c r="B43" s="923" t="s">
        <v>1085</v>
      </c>
      <c r="C43" s="1145">
        <f>+'Historico Plan Financiero 2024'!Y52</f>
        <v>681192695</v>
      </c>
      <c r="D43" s="924"/>
      <c r="E43" s="924">
        <f>C43</f>
        <v>681192695</v>
      </c>
      <c r="F43" s="924"/>
      <c r="G43" s="1150"/>
    </row>
    <row r="44" spans="1:8" s="54" customFormat="1" ht="25.5" x14ac:dyDescent="0.25">
      <c r="A44" s="922">
        <v>56</v>
      </c>
      <c r="B44" s="923" t="s">
        <v>1799</v>
      </c>
      <c r="C44" s="1145">
        <f>+'Historico Plan Financiero 2024'!Y54</f>
        <v>500000000</v>
      </c>
      <c r="D44" s="924">
        <f>+C44</f>
        <v>500000000</v>
      </c>
      <c r="E44" s="924"/>
      <c r="F44" s="924"/>
      <c r="G44" s="42"/>
    </row>
    <row r="45" spans="1:8" ht="15" x14ac:dyDescent="0.25">
      <c r="A45" s="922">
        <v>23</v>
      </c>
      <c r="B45" s="923" t="s">
        <v>1800</v>
      </c>
      <c r="C45" s="1145">
        <f>+'Historico Plan Financiero 2024'!Y56-C46</f>
        <v>697955589.80284882</v>
      </c>
      <c r="D45" s="924">
        <f>C45</f>
        <v>697955589.80284882</v>
      </c>
      <c r="E45" s="924"/>
      <c r="F45" s="925"/>
      <c r="G45" s="1146"/>
    </row>
    <row r="46" spans="1:8" ht="15" x14ac:dyDescent="0.25">
      <c r="A46" s="930"/>
      <c r="B46" s="923" t="s">
        <v>1801</v>
      </c>
      <c r="C46" s="1177">
        <v>2871109596.5971518</v>
      </c>
      <c r="D46" s="929">
        <f>C46</f>
        <v>2871109596.5971518</v>
      </c>
      <c r="E46" s="929"/>
      <c r="F46" s="925"/>
      <c r="G46" s="1146"/>
    </row>
    <row r="47" spans="1:8" ht="15" x14ac:dyDescent="0.25">
      <c r="A47" s="930">
        <v>20</v>
      </c>
      <c r="B47" s="923" t="str">
        <f>+'F Y U 2024 Presupuesto OK RED'!B47</f>
        <v>Sanciones Administrativas</v>
      </c>
      <c r="C47" s="1177">
        <f>+'Historico Plan Financiero 2024'!Y44</f>
        <v>217043900.544</v>
      </c>
      <c r="D47" s="929"/>
      <c r="E47" s="929"/>
      <c r="F47" s="925"/>
      <c r="G47" s="1146"/>
    </row>
    <row r="48" spans="1:8" ht="15" x14ac:dyDescent="0.25">
      <c r="A48" s="930">
        <v>20</v>
      </c>
      <c r="B48" s="923" t="str">
        <f>+'F Y U 2024 Presupuesto OK RED'!B48</f>
        <v>Sanciones Fiscales</v>
      </c>
      <c r="C48" s="1177">
        <v>1000000</v>
      </c>
      <c r="D48" s="929"/>
      <c r="E48" s="929"/>
      <c r="F48" s="925"/>
      <c r="G48" s="1146"/>
    </row>
    <row r="49" spans="1:8" ht="15" x14ac:dyDescent="0.25">
      <c r="A49" s="930">
        <v>20</v>
      </c>
      <c r="B49" s="923" t="str">
        <f>+'F Y U 2024 Presupuesto OK RED'!B49</f>
        <v>Sanciones Contractuales</v>
      </c>
      <c r="C49" s="1177">
        <v>1000000</v>
      </c>
      <c r="D49" s="929"/>
      <c r="E49" s="929"/>
      <c r="F49" s="925"/>
      <c r="G49" s="1146"/>
    </row>
    <row r="50" spans="1:8" ht="15" x14ac:dyDescent="0.25">
      <c r="A50" s="930">
        <v>20</v>
      </c>
      <c r="B50" s="923" t="str">
        <f>+'F Y U 2024 Presupuesto OK RED'!B50</f>
        <v>Sanciones Disciplinarias</v>
      </c>
      <c r="C50" s="1177">
        <f>+'Historico Plan Financiero 2024'!Y43</f>
        <v>77643037.524000004</v>
      </c>
      <c r="D50" s="929"/>
      <c r="E50" s="929"/>
      <c r="F50" s="925"/>
      <c r="G50" s="1146"/>
    </row>
    <row r="51" spans="1:8" ht="15" x14ac:dyDescent="0.25">
      <c r="A51" s="930">
        <v>47</v>
      </c>
      <c r="B51" s="921" t="s">
        <v>1093</v>
      </c>
      <c r="C51" s="1177">
        <f>+'Historico Plan Financiero 2024'!Y58</f>
        <v>103859422</v>
      </c>
      <c r="D51" s="929">
        <f>+C51</f>
        <v>103859422</v>
      </c>
      <c r="E51" s="929"/>
      <c r="F51" s="925"/>
      <c r="G51" s="1146"/>
    </row>
    <row r="52" spans="1:8" s="54" customFormat="1" ht="21" customHeight="1" x14ac:dyDescent="0.25">
      <c r="A52" s="1667" t="s">
        <v>1802</v>
      </c>
      <c r="B52" s="1668"/>
      <c r="C52" s="1008">
        <f>SUM(C7:C51)</f>
        <v>201608583119.62173</v>
      </c>
      <c r="D52" s="1151">
        <f>SUM(D7:D51)</f>
        <v>26549507757.079655</v>
      </c>
      <c r="E52" s="1151">
        <f>SUM(E7:E51)</f>
        <v>45348900086.884476</v>
      </c>
      <c r="F52" s="1151">
        <f>SUM(F7:F51)</f>
        <v>129413488337.5896</v>
      </c>
    </row>
    <row r="53" spans="1:8" x14ac:dyDescent="0.25">
      <c r="A53" s="934"/>
      <c r="B53" s="931"/>
      <c r="C53" s="932"/>
      <c r="D53" s="1152"/>
      <c r="E53" s="1153"/>
      <c r="F53" s="1154"/>
      <c r="H53" s="1150"/>
    </row>
    <row r="54" spans="1:8" ht="25.5" x14ac:dyDescent="0.25">
      <c r="A54" s="922">
        <v>50</v>
      </c>
      <c r="B54" s="923" t="s">
        <v>1160</v>
      </c>
      <c r="C54" s="1175">
        <v>200000000</v>
      </c>
      <c r="D54" s="924"/>
      <c r="E54" s="924">
        <f>+C54</f>
        <v>200000000</v>
      </c>
      <c r="F54" s="924"/>
      <c r="H54" s="1001" t="s">
        <v>1794</v>
      </c>
    </row>
    <row r="55" spans="1:8" ht="15" x14ac:dyDescent="0.25">
      <c r="A55" s="922">
        <v>135</v>
      </c>
      <c r="B55" s="923" t="s">
        <v>1803</v>
      </c>
      <c r="C55" s="1202">
        <v>9000000000</v>
      </c>
      <c r="D55" s="927"/>
      <c r="E55" s="924">
        <f>+C55</f>
        <v>9000000000</v>
      </c>
      <c r="F55" s="925"/>
      <c r="G55" s="1146"/>
    </row>
    <row r="56" spans="1:8" ht="15" x14ac:dyDescent="0.25">
      <c r="A56" s="922">
        <v>20</v>
      </c>
      <c r="B56" s="923" t="s">
        <v>606</v>
      </c>
      <c r="C56" s="1175">
        <f>+'Historico Plan Financiero 2024'!Y143</f>
        <v>10000000</v>
      </c>
      <c r="D56" s="924"/>
      <c r="E56" s="924"/>
      <c r="F56" s="924">
        <f t="shared" ref="F56:F57" si="2">+C56</f>
        <v>10000000</v>
      </c>
    </row>
    <row r="57" spans="1:8" ht="25.5" x14ac:dyDescent="0.25">
      <c r="A57" s="922">
        <v>20</v>
      </c>
      <c r="B57" s="923" t="s">
        <v>1804</v>
      </c>
      <c r="C57" s="1175">
        <f>+'Historico Plan Financiero 2024'!Y115</f>
        <v>300000000</v>
      </c>
      <c r="D57" s="924"/>
      <c r="E57" s="924"/>
      <c r="F57" s="924">
        <f t="shared" si="2"/>
        <v>300000000</v>
      </c>
    </row>
    <row r="58" spans="1:8" ht="25.5" x14ac:dyDescent="0.25">
      <c r="A58" s="922">
        <v>4</v>
      </c>
      <c r="B58" s="923" t="s">
        <v>1805</v>
      </c>
      <c r="C58" s="1175">
        <f>+'Historico Plan Financiero 2024'!Y116</f>
        <v>20000000</v>
      </c>
      <c r="D58" s="924">
        <f>+C58</f>
        <v>20000000</v>
      </c>
      <c r="E58" s="924"/>
      <c r="F58" s="924"/>
    </row>
    <row r="59" spans="1:8" ht="25.5" x14ac:dyDescent="0.25">
      <c r="A59" s="922">
        <v>176</v>
      </c>
      <c r="B59" s="923" t="s">
        <v>1806</v>
      </c>
      <c r="C59" s="1175">
        <f>+'Historico Plan Financiero 2024'!Y117</f>
        <v>5000000</v>
      </c>
      <c r="D59" s="924"/>
      <c r="E59" s="924">
        <f>+C59</f>
        <v>5000000</v>
      </c>
      <c r="F59" s="924"/>
    </row>
    <row r="60" spans="1:8" ht="25.5" x14ac:dyDescent="0.25">
      <c r="A60" s="922">
        <v>5</v>
      </c>
      <c r="B60" s="923" t="s">
        <v>1807</v>
      </c>
      <c r="C60" s="1175">
        <f>+'Historico Plan Financiero 2024'!Y119</f>
        <v>2000000</v>
      </c>
      <c r="D60" s="924"/>
      <c r="E60" s="924">
        <f>+C60</f>
        <v>2000000</v>
      </c>
      <c r="F60" s="924"/>
    </row>
    <row r="61" spans="1:8" ht="25.5" x14ac:dyDescent="0.25">
      <c r="A61" s="922">
        <v>33</v>
      </c>
      <c r="B61" s="923" t="s">
        <v>1808</v>
      </c>
      <c r="C61" s="1175">
        <f>+'Historico Plan Financiero 2024'!Y120</f>
        <v>1000000</v>
      </c>
      <c r="D61" s="924">
        <f>+C61</f>
        <v>1000000</v>
      </c>
      <c r="E61" s="924"/>
      <c r="F61" s="924"/>
    </row>
    <row r="62" spans="1:8" ht="25.5" x14ac:dyDescent="0.25">
      <c r="A62" s="922">
        <v>34</v>
      </c>
      <c r="B62" s="923" t="s">
        <v>1809</v>
      </c>
      <c r="C62" s="1175">
        <f>+'Historico Plan Financiero 2024'!Y121</f>
        <v>1000000</v>
      </c>
      <c r="D62" s="924">
        <f>+C62</f>
        <v>1000000</v>
      </c>
      <c r="E62" s="924"/>
      <c r="F62" s="924"/>
    </row>
    <row r="63" spans="1:8" ht="25.5" x14ac:dyDescent="0.25">
      <c r="A63" s="922">
        <v>39</v>
      </c>
      <c r="B63" s="923" t="s">
        <v>1810</v>
      </c>
      <c r="C63" s="1175">
        <f>+'Historico Plan Financiero 2024'!Y122</f>
        <v>5000000</v>
      </c>
      <c r="D63" s="924">
        <f>+C63</f>
        <v>5000000</v>
      </c>
      <c r="E63" s="924"/>
      <c r="F63" s="924"/>
    </row>
    <row r="64" spans="1:8" ht="25.5" x14ac:dyDescent="0.25">
      <c r="A64" s="922">
        <v>41</v>
      </c>
      <c r="B64" s="923" t="s">
        <v>1811</v>
      </c>
      <c r="C64" s="1175">
        <f>+'Historico Plan Financiero 2024'!Y123</f>
        <v>1000000</v>
      </c>
      <c r="D64" s="924">
        <f>+C64</f>
        <v>1000000</v>
      </c>
      <c r="E64" s="924"/>
      <c r="F64" s="924"/>
    </row>
    <row r="65" spans="1:6" ht="25.5" x14ac:dyDescent="0.25">
      <c r="A65" s="922">
        <v>6</v>
      </c>
      <c r="B65" s="923" t="s">
        <v>1812</v>
      </c>
      <c r="C65" s="1175">
        <f>+'Historico Plan Financiero 2024'!Y124</f>
        <v>20000000</v>
      </c>
      <c r="D65" s="924">
        <f>+C65</f>
        <v>20000000</v>
      </c>
      <c r="E65" s="924"/>
      <c r="F65" s="924"/>
    </row>
    <row r="66" spans="1:6" ht="25.5" x14ac:dyDescent="0.25">
      <c r="A66" s="922">
        <v>178</v>
      </c>
      <c r="B66" s="923" t="s">
        <v>1813</v>
      </c>
      <c r="C66" s="1175">
        <f>+'Historico Plan Financiero 2024'!Y125</f>
        <v>5000000</v>
      </c>
      <c r="D66" s="924"/>
      <c r="E66" s="924">
        <f>+C66</f>
        <v>5000000</v>
      </c>
      <c r="F66" s="924"/>
    </row>
    <row r="67" spans="1:6" ht="25.5" x14ac:dyDescent="0.25">
      <c r="A67" s="922">
        <v>42</v>
      </c>
      <c r="B67" s="923" t="s">
        <v>1814</v>
      </c>
      <c r="C67" s="1175">
        <f>+'Historico Plan Financiero 2024'!Y127</f>
        <v>30000000</v>
      </c>
      <c r="D67" s="924">
        <f>+C67</f>
        <v>30000000</v>
      </c>
      <c r="E67" s="924"/>
      <c r="F67" s="924"/>
    </row>
    <row r="68" spans="1:6" ht="25.5" x14ac:dyDescent="0.25">
      <c r="A68" s="922">
        <v>27</v>
      </c>
      <c r="B68" s="923" t="s">
        <v>1815</v>
      </c>
      <c r="C68" s="1175">
        <f>+'Historico Plan Financiero 2024'!Y130</f>
        <v>7000000</v>
      </c>
      <c r="D68" s="924">
        <f>+C68</f>
        <v>7000000</v>
      </c>
      <c r="E68" s="924"/>
      <c r="F68" s="924"/>
    </row>
    <row r="69" spans="1:6" ht="25.5" x14ac:dyDescent="0.25">
      <c r="A69" s="922">
        <v>136</v>
      </c>
      <c r="B69" s="923" t="s">
        <v>1816</v>
      </c>
      <c r="C69" s="1175">
        <f>+'Historico Plan Financiero 2024'!Y131</f>
        <v>10000000</v>
      </c>
      <c r="D69" s="924"/>
      <c r="E69" s="924">
        <f>+C69</f>
        <v>10000000</v>
      </c>
      <c r="F69" s="924"/>
    </row>
    <row r="70" spans="1:6" ht="25.5" x14ac:dyDescent="0.25">
      <c r="A70" s="922">
        <v>20</v>
      </c>
      <c r="B70" s="923" t="s">
        <v>1184</v>
      </c>
      <c r="C70" s="1175">
        <f>+'Historico Plan Financiero 2024'!Y142</f>
        <v>200000000</v>
      </c>
      <c r="D70" s="924"/>
      <c r="E70" s="924"/>
      <c r="F70" s="924">
        <f>+C70</f>
        <v>200000000</v>
      </c>
    </row>
    <row r="71" spans="1:6" ht="21" customHeight="1" x14ac:dyDescent="0.25">
      <c r="A71" s="1667" t="s">
        <v>1817</v>
      </c>
      <c r="B71" s="1668"/>
      <c r="C71" s="1009">
        <f>SUM(C54:C70)</f>
        <v>9817000000</v>
      </c>
      <c r="D71" s="1155">
        <f>SUM(D54:D70)</f>
        <v>85000000</v>
      </c>
      <c r="E71" s="1155">
        <f>SUM(E54:E70)</f>
        <v>9222000000</v>
      </c>
      <c r="F71" s="1155">
        <f>SUM(F54:F70)</f>
        <v>510000000</v>
      </c>
    </row>
    <row r="72" spans="1:6" x14ac:dyDescent="0.25">
      <c r="B72" s="382"/>
      <c r="C72" s="915"/>
      <c r="D72" s="1156"/>
      <c r="E72" s="1156"/>
      <c r="F72" s="1156"/>
    </row>
    <row r="73" spans="1:6" s="54" customFormat="1" x14ac:dyDescent="0.25">
      <c r="A73" s="42"/>
      <c r="B73" s="1674" t="s">
        <v>953</v>
      </c>
      <c r="C73" s="1674"/>
    </row>
    <row r="74" spans="1:6" s="54" customFormat="1" ht="6.75" customHeight="1" x14ac:dyDescent="0.25">
      <c r="A74" s="42"/>
      <c r="B74" s="42"/>
      <c r="C74" s="42"/>
      <c r="D74" s="42"/>
    </row>
    <row r="75" spans="1:6" ht="28.5" customHeight="1" x14ac:dyDescent="0.25">
      <c r="B75" s="1675" t="s">
        <v>1100</v>
      </c>
      <c r="C75" s="1676"/>
      <c r="D75" s="1156"/>
      <c r="E75" s="1156"/>
      <c r="F75" s="1156"/>
    </row>
    <row r="76" spans="1:6" ht="25.5" x14ac:dyDescent="0.25">
      <c r="A76" s="922">
        <v>25</v>
      </c>
      <c r="B76" s="923" t="s">
        <v>1101</v>
      </c>
      <c r="C76" s="926">
        <f>+'Historico Plan Financiero 2024'!Y63</f>
        <v>173431997000</v>
      </c>
      <c r="D76" s="924">
        <f t="shared" ref="D76:D83" si="3">+C76</f>
        <v>173431997000</v>
      </c>
      <c r="E76" s="924"/>
      <c r="F76" s="924"/>
    </row>
    <row r="77" spans="1:6" s="54" customFormat="1" ht="25.5" x14ac:dyDescent="0.25">
      <c r="A77" s="922">
        <v>26</v>
      </c>
      <c r="B77" s="923" t="s">
        <v>1102</v>
      </c>
      <c r="C77" s="926">
        <f>+'Historico Plan Financiero 2024'!Y64</f>
        <v>33454400000.000004</v>
      </c>
      <c r="D77" s="924">
        <f t="shared" si="3"/>
        <v>33454400000.000004</v>
      </c>
      <c r="E77" s="924"/>
      <c r="F77" s="924"/>
    </row>
    <row r="78" spans="1:6" ht="15" x14ac:dyDescent="0.25">
      <c r="A78" s="922">
        <v>25</v>
      </c>
      <c r="B78" s="923" t="s">
        <v>1105</v>
      </c>
      <c r="C78" s="926">
        <f>+'Historico Plan Financiero 2024'!Y67</f>
        <v>684320000</v>
      </c>
      <c r="D78" s="924">
        <f t="shared" si="3"/>
        <v>684320000</v>
      </c>
      <c r="E78" s="924"/>
      <c r="F78" s="924"/>
    </row>
    <row r="79" spans="1:6" ht="15" x14ac:dyDescent="0.25">
      <c r="A79" s="922">
        <v>25</v>
      </c>
      <c r="B79" s="923" t="s">
        <v>1106</v>
      </c>
      <c r="C79" s="926">
        <f>+'Historico Plan Financiero 2024'!Y68</f>
        <v>1559043000</v>
      </c>
      <c r="D79" s="924">
        <f t="shared" si="3"/>
        <v>1559043000</v>
      </c>
      <c r="E79" s="924"/>
      <c r="F79" s="924"/>
    </row>
    <row r="80" spans="1:6" ht="15" x14ac:dyDescent="0.25">
      <c r="A80" s="922">
        <v>81</v>
      </c>
      <c r="B80" s="923" t="s">
        <v>1107</v>
      </c>
      <c r="C80" s="926">
        <f>+'Historico Plan Financiero 2024'!Y69</f>
        <v>9901550847</v>
      </c>
      <c r="D80" s="924">
        <f t="shared" si="3"/>
        <v>9901550847</v>
      </c>
      <c r="E80" s="924"/>
      <c r="F80" s="924"/>
    </row>
    <row r="81" spans="1:13" s="54" customFormat="1" ht="25.5" x14ac:dyDescent="0.25">
      <c r="A81" s="922">
        <v>21</v>
      </c>
      <c r="B81" s="923" t="s">
        <v>1113</v>
      </c>
      <c r="C81" s="926">
        <f>+'Historico Plan Financiero 2024'!Y77</f>
        <v>248000000</v>
      </c>
      <c r="D81" s="924">
        <f t="shared" si="3"/>
        <v>248000000</v>
      </c>
      <c r="E81" s="924"/>
      <c r="F81" s="924"/>
      <c r="M81" s="54">
        <v>4000000</v>
      </c>
    </row>
    <row r="82" spans="1:13" s="54" customFormat="1" ht="25.5" x14ac:dyDescent="0.25">
      <c r="A82" s="922">
        <v>81</v>
      </c>
      <c r="B82" s="923" t="s">
        <v>1818</v>
      </c>
      <c r="C82" s="926">
        <v>10000000</v>
      </c>
      <c r="D82" s="924">
        <f t="shared" si="3"/>
        <v>10000000</v>
      </c>
      <c r="E82" s="924"/>
      <c r="F82" s="924"/>
      <c r="M82" s="54">
        <v>8226708</v>
      </c>
    </row>
    <row r="83" spans="1:13" s="54" customFormat="1" ht="15" x14ac:dyDescent="0.25">
      <c r="A83" s="922">
        <v>9</v>
      </c>
      <c r="B83" s="923" t="s">
        <v>606</v>
      </c>
      <c r="C83" s="926">
        <f>+'Historico Plan Financiero 2024'!Y74</f>
        <v>0</v>
      </c>
      <c r="D83" s="924">
        <f t="shared" si="3"/>
        <v>0</v>
      </c>
      <c r="E83" s="924"/>
      <c r="F83" s="924"/>
      <c r="M83" s="54">
        <v>93990000</v>
      </c>
    </row>
    <row r="84" spans="1:13" s="54" customFormat="1" ht="31.5" customHeight="1" x14ac:dyDescent="0.25">
      <c r="A84" s="922"/>
      <c r="B84" s="1157" t="s">
        <v>1819</v>
      </c>
      <c r="C84" s="1009">
        <f>SUM(C76:C83)</f>
        <v>219289310847</v>
      </c>
      <c r="D84" s="924"/>
      <c r="E84" s="924"/>
      <c r="F84" s="924"/>
    </row>
    <row r="85" spans="1:13" s="54" customFormat="1" x14ac:dyDescent="0.25">
      <c r="A85" s="922"/>
      <c r="B85" s="924"/>
      <c r="C85" s="924"/>
      <c r="D85" s="924"/>
      <c r="E85" s="924"/>
      <c r="F85" s="924"/>
    </row>
    <row r="86" spans="1:13" s="54" customFormat="1" ht="25.5" customHeight="1" x14ac:dyDescent="0.25">
      <c r="A86" s="922"/>
      <c r="B86" s="1667" t="s">
        <v>1116</v>
      </c>
      <c r="C86" s="1668"/>
      <c r="D86" s="924"/>
      <c r="E86" s="924"/>
      <c r="F86" s="924"/>
    </row>
    <row r="87" spans="1:13" s="54" customFormat="1" ht="25.5" x14ac:dyDescent="0.25">
      <c r="A87" s="922">
        <v>61</v>
      </c>
      <c r="B87" s="923" t="s">
        <v>1119</v>
      </c>
      <c r="C87" s="926">
        <f>+'Historico Plan Financiero 2024'!Y81</f>
        <v>5409654548.4800005</v>
      </c>
      <c r="D87" s="924">
        <f>+C87</f>
        <v>5409654548.4800005</v>
      </c>
      <c r="E87" s="924"/>
      <c r="F87" s="924"/>
    </row>
    <row r="88" spans="1:13" s="54" customFormat="1" ht="25.5" x14ac:dyDescent="0.25">
      <c r="A88" s="922">
        <v>171</v>
      </c>
      <c r="B88" s="923" t="s">
        <v>1820</v>
      </c>
      <c r="C88" s="926">
        <f>+'Historico Plan Financiero 2024'!Y82</f>
        <v>2148091556.8000002</v>
      </c>
      <c r="D88" s="924">
        <f>+C88</f>
        <v>2148091556.8000002</v>
      </c>
      <c r="E88" s="924"/>
      <c r="F88" s="924"/>
    </row>
    <row r="89" spans="1:13" s="54" customFormat="1" ht="25.5" x14ac:dyDescent="0.25">
      <c r="A89" s="922">
        <v>61</v>
      </c>
      <c r="B89" s="923" t="str">
        <f>+'[3]Plan Financiero 2021'!A100</f>
        <v>Rendimientos por Operaciones Financieras. (SGP - Salud Pública )</v>
      </c>
      <c r="C89" s="926">
        <v>3000000</v>
      </c>
      <c r="D89" s="924">
        <f>+C89</f>
        <v>3000000</v>
      </c>
      <c r="E89" s="924"/>
      <c r="F89" s="924"/>
    </row>
    <row r="90" spans="1:13" s="54" customFormat="1" ht="25.5" x14ac:dyDescent="0.25">
      <c r="A90" s="922">
        <v>171</v>
      </c>
      <c r="B90" s="923" t="str">
        <f>+'[3]Plan Financiero 2021'!A101</f>
        <v>Rendimientos por Operaciones Financieras. (SGP - Oferta)</v>
      </c>
      <c r="C90" s="926">
        <v>1000000</v>
      </c>
      <c r="D90" s="924">
        <f t="shared" ref="D90:D107" si="4">+C90</f>
        <v>1000000</v>
      </c>
      <c r="E90" s="924"/>
      <c r="F90" s="924"/>
    </row>
    <row r="91" spans="1:13" s="54" customFormat="1" ht="25.5" x14ac:dyDescent="0.25">
      <c r="A91" s="922"/>
      <c r="B91" s="923" t="str">
        <f>+'[3]Plan Financiero 2021'!A102</f>
        <v>Rendimientos por Operaciones Financieras. (Fondo Estupefacientes )</v>
      </c>
      <c r="C91" s="926">
        <v>1000000</v>
      </c>
      <c r="D91" s="924">
        <f t="shared" si="4"/>
        <v>1000000</v>
      </c>
      <c r="E91" s="924"/>
      <c r="F91" s="924"/>
    </row>
    <row r="92" spans="1:13" s="54" customFormat="1" ht="25.5" x14ac:dyDescent="0.25">
      <c r="A92" s="922"/>
      <c r="B92" s="923" t="str">
        <f>+'[3]Plan Financiero 2021'!A103</f>
        <v>Rendimientos por Operaciones Financieras. (Rentas Cedidas )</v>
      </c>
      <c r="C92" s="926">
        <v>2000000</v>
      </c>
      <c r="D92" s="924">
        <f t="shared" si="4"/>
        <v>2000000</v>
      </c>
      <c r="E92" s="924"/>
      <c r="F92" s="924"/>
    </row>
    <row r="93" spans="1:13" s="54" customFormat="1" ht="15" x14ac:dyDescent="0.25">
      <c r="A93" s="922"/>
      <c r="B93" s="923" t="s">
        <v>1126</v>
      </c>
      <c r="C93" s="926">
        <f>+'Vicios Salud'!D9</f>
        <v>13674982578.438608</v>
      </c>
      <c r="D93" s="924">
        <f t="shared" si="4"/>
        <v>13674982578.438608</v>
      </c>
      <c r="E93" s="924"/>
      <c r="F93" s="924"/>
      <c r="G93" s="1158">
        <f>+D93+C39+C40+C42</f>
        <v>36958739702.158401</v>
      </c>
      <c r="H93" s="52">
        <f>+G93*14%</f>
        <v>5174223558.3021765</v>
      </c>
      <c r="I93" s="52">
        <f>+H93-C39</f>
        <v>-94174.079999923706</v>
      </c>
      <c r="L93" s="54">
        <f>14+46+3</f>
        <v>63</v>
      </c>
    </row>
    <row r="94" spans="1:13" s="54" customFormat="1" ht="15" x14ac:dyDescent="0.25">
      <c r="A94" s="922"/>
      <c r="B94" s="923" t="s">
        <v>1127</v>
      </c>
      <c r="C94" s="926">
        <f>+'Vicios Salud'!E22</f>
        <v>4294347319.9500003</v>
      </c>
      <c r="D94" s="924">
        <f t="shared" si="4"/>
        <v>4294347319.9500003</v>
      </c>
      <c r="E94" s="924"/>
      <c r="F94" s="924"/>
      <c r="G94" s="1158"/>
      <c r="H94" s="52">
        <f>+G93*3%</f>
        <v>1108762191.0647521</v>
      </c>
      <c r="I94" s="54">
        <f>+H94-C40</f>
        <v>652491.84000015259</v>
      </c>
      <c r="L94" s="54">
        <f>100-L93</f>
        <v>37</v>
      </c>
    </row>
    <row r="95" spans="1:13" s="54" customFormat="1" ht="15" x14ac:dyDescent="0.25">
      <c r="A95" s="922"/>
      <c r="B95" s="923" t="s">
        <v>1128</v>
      </c>
      <c r="C95" s="926">
        <f>+'Historico Plan Financiero 2024'!Y89</f>
        <v>6555522914</v>
      </c>
      <c r="D95" s="924">
        <f t="shared" si="4"/>
        <v>6555522914</v>
      </c>
      <c r="E95" s="924"/>
      <c r="F95" s="924"/>
      <c r="G95" s="1158"/>
      <c r="H95" s="52">
        <f>+G93*46%</f>
        <v>17001020262.992865</v>
      </c>
      <c r="I95" s="54">
        <f>+H95-C42</f>
        <v>-309429.12000083923</v>
      </c>
    </row>
    <row r="96" spans="1:13" s="54" customFormat="1" ht="15" x14ac:dyDescent="0.25">
      <c r="A96" s="922"/>
      <c r="B96" s="923" t="s">
        <v>1129</v>
      </c>
      <c r="C96" s="926">
        <f>+'Historico Plan Financiero 2024'!Y90</f>
        <v>1039155856.4800001</v>
      </c>
      <c r="D96" s="924">
        <f t="shared" si="4"/>
        <v>1039155856.4800001</v>
      </c>
      <c r="E96" s="924"/>
      <c r="F96" s="924"/>
      <c r="G96" s="1158"/>
      <c r="H96" s="52"/>
    </row>
    <row r="97" spans="1:8" ht="15.75" customHeight="1" x14ac:dyDescent="0.25">
      <c r="A97" s="922"/>
      <c r="B97" s="923" t="s">
        <v>1130</v>
      </c>
      <c r="C97" s="926">
        <f>+'Historico Plan Financiero 2024'!Y91</f>
        <v>32160192.400000002</v>
      </c>
      <c r="D97" s="924">
        <f t="shared" si="4"/>
        <v>32160192.400000002</v>
      </c>
      <c r="E97" s="924"/>
      <c r="F97" s="924"/>
      <c r="G97" s="1158"/>
      <c r="H97" s="52"/>
    </row>
    <row r="98" spans="1:8" s="54" customFormat="1" ht="25.5" x14ac:dyDescent="0.25">
      <c r="A98" s="922"/>
      <c r="B98" s="923" t="s">
        <v>1132</v>
      </c>
      <c r="C98" s="926">
        <f>+'Vicios Salud'!E16</f>
        <v>2874685228.7195997</v>
      </c>
      <c r="D98" s="924">
        <f t="shared" si="4"/>
        <v>2874685228.7195997</v>
      </c>
      <c r="E98" s="924"/>
      <c r="F98" s="924"/>
      <c r="G98" s="1158"/>
      <c r="H98" s="52"/>
    </row>
    <row r="99" spans="1:8" ht="15" x14ac:dyDescent="0.25">
      <c r="A99" s="922"/>
      <c r="B99" s="923" t="s">
        <v>1133</v>
      </c>
      <c r="C99" s="926">
        <f>+'Historico Plan Financiero 2024'!Y94</f>
        <v>935707770.20000005</v>
      </c>
      <c r="D99" s="924">
        <f t="shared" si="4"/>
        <v>935707770.20000005</v>
      </c>
      <c r="E99" s="924"/>
      <c r="F99" s="924"/>
      <c r="G99" s="1158"/>
      <c r="H99" s="52"/>
    </row>
    <row r="100" spans="1:8" ht="15" x14ac:dyDescent="0.25">
      <c r="A100" s="922"/>
      <c r="B100" s="923" t="s">
        <v>1137</v>
      </c>
      <c r="C100" s="926">
        <f>+'Historico Plan Financiero 2024'!Y97</f>
        <v>2710325520</v>
      </c>
      <c r="D100" s="924">
        <f t="shared" si="4"/>
        <v>2710325520</v>
      </c>
      <c r="E100" s="924"/>
      <c r="F100" s="924"/>
      <c r="G100" s="1158"/>
      <c r="H100" s="52"/>
    </row>
    <row r="101" spans="1:8" s="54" customFormat="1" ht="15" x14ac:dyDescent="0.25">
      <c r="A101" s="922"/>
      <c r="B101" s="923" t="s">
        <v>1138</v>
      </c>
      <c r="C101" s="926">
        <f>+'Historico Plan Financiero 2024'!Y99</f>
        <v>1496246629</v>
      </c>
      <c r="D101" s="924">
        <f t="shared" si="4"/>
        <v>1496246629</v>
      </c>
      <c r="E101" s="924"/>
      <c r="F101" s="924"/>
      <c r="G101" s="1158"/>
      <c r="H101" s="52"/>
    </row>
    <row r="102" spans="1:8" ht="15" x14ac:dyDescent="0.25">
      <c r="A102" s="922"/>
      <c r="B102" s="923" t="s">
        <v>1139</v>
      </c>
      <c r="C102" s="926">
        <f>+'Historico Plan Financiero 2024'!Y100</f>
        <v>300000000</v>
      </c>
      <c r="D102" s="924">
        <f t="shared" si="4"/>
        <v>300000000</v>
      </c>
      <c r="E102" s="924"/>
      <c r="F102" s="924"/>
    </row>
    <row r="103" spans="1:8" s="54" customFormat="1" ht="15" x14ac:dyDescent="0.25">
      <c r="A103" s="922"/>
      <c r="B103" s="923" t="s">
        <v>1141</v>
      </c>
      <c r="C103" s="926">
        <v>15500000000</v>
      </c>
      <c r="D103" s="924">
        <f t="shared" si="4"/>
        <v>15500000000</v>
      </c>
      <c r="E103" s="924"/>
      <c r="F103" s="924"/>
    </row>
    <row r="104" spans="1:8" s="54" customFormat="1" ht="15" x14ac:dyDescent="0.25">
      <c r="A104" s="922"/>
      <c r="B104" s="923" t="s">
        <v>1821</v>
      </c>
      <c r="C104" s="926">
        <f>+'Vicios Salud'!F28</f>
        <v>5061794045.771841</v>
      </c>
      <c r="D104" s="924">
        <f t="shared" si="4"/>
        <v>5061794045.771841</v>
      </c>
      <c r="E104" s="924"/>
      <c r="F104" s="924"/>
    </row>
    <row r="105" spans="1:8" s="54" customFormat="1" ht="15" x14ac:dyDescent="0.25">
      <c r="A105" s="922" t="s">
        <v>226</v>
      </c>
      <c r="B105" s="923" t="s">
        <v>1143</v>
      </c>
      <c r="C105" s="926">
        <f>+'Historico Plan Financiero 2024'!Y104</f>
        <v>2166182721.9200001</v>
      </c>
      <c r="D105" s="924">
        <f t="shared" si="4"/>
        <v>2166182721.9200001</v>
      </c>
      <c r="E105" s="924"/>
      <c r="F105" s="924"/>
    </row>
    <row r="106" spans="1:8" s="54" customFormat="1" ht="25.5" x14ac:dyDescent="0.25">
      <c r="A106" s="922"/>
      <c r="B106" s="923" t="str">
        <f>+'[3]Plan Financiero 2021'!A127</f>
        <v>IVA Cedido Sobre Licores, Vinos, Aperitivos y Similares</v>
      </c>
      <c r="C106" s="926">
        <f>+'Vicios Salud'!E16</f>
        <v>2874685228.7195997</v>
      </c>
      <c r="D106" s="924">
        <f t="shared" si="4"/>
        <v>2874685228.7195997</v>
      </c>
      <c r="E106" s="924"/>
      <c r="F106" s="924"/>
    </row>
    <row r="107" spans="1:8" s="54" customFormat="1" ht="15" x14ac:dyDescent="0.25">
      <c r="A107" s="930"/>
      <c r="B107" s="1046" t="s">
        <v>1146</v>
      </c>
      <c r="C107" s="1159">
        <f>+'Historico Plan Financiero 2024'!Y107</f>
        <v>3963289433</v>
      </c>
      <c r="D107" s="929">
        <f t="shared" si="4"/>
        <v>3963289433</v>
      </c>
      <c r="E107" s="929"/>
      <c r="F107" s="929"/>
    </row>
    <row r="108" spans="1:8" s="54" customFormat="1" ht="18.75" customHeight="1" x14ac:dyDescent="0.25">
      <c r="A108" s="42"/>
      <c r="B108" s="1157" t="s">
        <v>1822</v>
      </c>
      <c r="C108" s="1009">
        <f>SUM(C87:C107)</f>
        <v>71043831543.879639</v>
      </c>
      <c r="D108" s="42"/>
      <c r="E108" s="42"/>
      <c r="F108" s="42"/>
      <c r="G108" s="54">
        <f>+C108+C84</f>
        <v>290333142390.87964</v>
      </c>
    </row>
    <row r="109" spans="1:8" s="54" customFormat="1" x14ac:dyDescent="0.25">
      <c r="A109" s="42"/>
      <c r="B109" s="42"/>
      <c r="C109" s="42"/>
      <c r="D109" s="42"/>
      <c r="E109" s="42"/>
      <c r="F109" s="42"/>
    </row>
    <row r="110" spans="1:8" s="54" customFormat="1" ht="25.5" customHeight="1" x14ac:dyDescent="0.25">
      <c r="A110" s="42"/>
      <c r="B110" s="1667" t="s">
        <v>1065</v>
      </c>
      <c r="C110" s="1668"/>
      <c r="D110" s="42"/>
      <c r="E110" s="42"/>
    </row>
    <row r="111" spans="1:8" s="54" customFormat="1" ht="25.5" x14ac:dyDescent="0.25">
      <c r="A111" s="933">
        <v>27</v>
      </c>
      <c r="B111" s="923" t="s">
        <v>1066</v>
      </c>
      <c r="C111" s="1175">
        <f>+'Historico Plan Financiero 2024'!Y33</f>
        <v>4052617319</v>
      </c>
      <c r="D111" s="924">
        <f>+C111</f>
        <v>4052617319</v>
      </c>
      <c r="E111" s="935"/>
      <c r="F111" s="935"/>
    </row>
    <row r="112" spans="1:8" s="54" customFormat="1" ht="25.5" x14ac:dyDescent="0.25">
      <c r="A112" s="936"/>
      <c r="B112" s="1157" t="s">
        <v>1823</v>
      </c>
      <c r="C112" s="1009">
        <f>+C111</f>
        <v>4052617319</v>
      </c>
      <c r="D112" s="42"/>
      <c r="E112" s="42"/>
      <c r="F112" s="42"/>
    </row>
    <row r="113" spans="1:12" s="54" customFormat="1" x14ac:dyDescent="0.25">
      <c r="A113" s="936"/>
      <c r="B113" s="936"/>
      <c r="C113" s="936"/>
      <c r="D113" s="42"/>
      <c r="E113" s="42"/>
      <c r="F113" s="42"/>
    </row>
    <row r="114" spans="1:12" s="54" customFormat="1" x14ac:dyDescent="0.25">
      <c r="A114" s="936"/>
      <c r="B114" s="1667" t="s">
        <v>961</v>
      </c>
      <c r="C114" s="1668"/>
      <c r="D114" s="924"/>
      <c r="E114" s="924"/>
      <c r="F114" s="924"/>
    </row>
    <row r="115" spans="1:12" s="54" customFormat="1" ht="25.5" x14ac:dyDescent="0.25">
      <c r="A115" s="923"/>
      <c r="B115" s="923" t="s">
        <v>1149</v>
      </c>
      <c r="C115" s="1176">
        <f>+'Historico Plan Financiero 2024'!Y34</f>
        <v>2461968309.9450002</v>
      </c>
      <c r="D115" s="924">
        <f>+C115</f>
        <v>2461968309.9450002</v>
      </c>
      <c r="E115" s="924"/>
      <c r="F115" s="924"/>
    </row>
    <row r="116" spans="1:12" s="54" customFormat="1" ht="21" customHeight="1" x14ac:dyDescent="0.25">
      <c r="A116" s="923"/>
      <c r="B116" s="1157" t="s">
        <v>1824</v>
      </c>
      <c r="C116" s="1009">
        <f>+C115</f>
        <v>2461968309.9450002</v>
      </c>
      <c r="D116" s="924"/>
      <c r="E116" s="924"/>
      <c r="F116" s="924"/>
    </row>
    <row r="117" spans="1:12" s="54" customFormat="1" x14ac:dyDescent="0.25">
      <c r="A117" s="42"/>
      <c r="B117" s="42"/>
      <c r="C117" s="42"/>
      <c r="E117" s="924"/>
      <c r="F117" s="924"/>
    </row>
    <row r="118" spans="1:12" s="54" customFormat="1" ht="24" customHeight="1" x14ac:dyDescent="0.25">
      <c r="A118" s="1677" t="s">
        <v>1825</v>
      </c>
      <c r="B118" s="1678"/>
      <c r="C118" s="1009">
        <f>+C84+C108+C112+C116</f>
        <v>296847728019.82465</v>
      </c>
      <c r="D118" s="1009">
        <f>SUM(D75:D116)</f>
        <v>296847728019.82471</v>
      </c>
      <c r="E118" s="924"/>
      <c r="F118" s="924"/>
    </row>
    <row r="119" spans="1:12" s="54" customFormat="1" x14ac:dyDescent="0.25">
      <c r="A119" s="88"/>
      <c r="B119" s="88"/>
      <c r="C119" s="88"/>
      <c r="D119" s="88"/>
      <c r="E119" s="88"/>
      <c r="F119" s="88"/>
    </row>
    <row r="120" spans="1:12" s="54" customFormat="1" ht="36" customHeight="1" x14ac:dyDescent="0.25">
      <c r="A120" s="1677" t="s">
        <v>1826</v>
      </c>
      <c r="B120" s="1678"/>
      <c r="C120" s="1009">
        <f>+C118+C52+C71</f>
        <v>508273311139.44641</v>
      </c>
      <c r="D120" s="1155">
        <f>+D118+D52+D71</f>
        <v>323482235776.90436</v>
      </c>
      <c r="E120" s="1155">
        <f>+E118+E52+E71</f>
        <v>54570900086.884476</v>
      </c>
      <c r="F120" s="1155">
        <f>+F118+F52+F71</f>
        <v>129923488337.5896</v>
      </c>
      <c r="G120" s="54">
        <f>D120+E120+F120</f>
        <v>507976624201.37842</v>
      </c>
      <c r="H120" s="54">
        <f>C120-G120</f>
        <v>296686938.06799316</v>
      </c>
    </row>
    <row r="121" spans="1:12" s="54" customFormat="1" x14ac:dyDescent="0.25">
      <c r="A121" s="42"/>
      <c r="B121" s="1679"/>
      <c r="C121" s="1679"/>
      <c r="D121" s="73"/>
      <c r="E121" s="73"/>
      <c r="F121" s="74"/>
    </row>
    <row r="122" spans="1:12" s="54" customFormat="1" ht="15" x14ac:dyDescent="0.25">
      <c r="A122" s="42"/>
      <c r="B122" s="972" t="s">
        <v>1827</v>
      </c>
      <c r="C122" s="1072">
        <f>ROUND(F120*0.01,0)</f>
        <v>1299234883</v>
      </c>
      <c r="F122" s="74"/>
    </row>
    <row r="123" spans="1:12" s="54" customFormat="1" ht="30" x14ac:dyDescent="0.25">
      <c r="A123" s="42"/>
      <c r="B123" s="973" t="s">
        <v>1828</v>
      </c>
      <c r="C123" s="1071">
        <f>ROUND(F120*0.01,0)</f>
        <v>1299234883</v>
      </c>
      <c r="F123" s="1161"/>
    </row>
    <row r="124" spans="1:12" s="54" customFormat="1" ht="30" x14ac:dyDescent="0.25">
      <c r="A124" s="42"/>
      <c r="B124" s="972" t="s">
        <v>1829</v>
      </c>
      <c r="C124" s="1072">
        <f>ROUND(F120*0.007,0)</f>
        <v>909464418</v>
      </c>
      <c r="F124" s="74"/>
    </row>
    <row r="125" spans="1:12" s="54" customFormat="1" ht="15" x14ac:dyDescent="0.25">
      <c r="A125" s="42"/>
      <c r="B125" s="973" t="s">
        <v>1830</v>
      </c>
      <c r="C125" s="1071">
        <f>1550000000*1.05</f>
        <v>1627500000</v>
      </c>
      <c r="F125" s="1162"/>
    </row>
    <row r="126" spans="1:12" s="54" customFormat="1" ht="15" x14ac:dyDescent="0.25">
      <c r="A126" s="42"/>
      <c r="B126" s="972" t="s">
        <v>1831</v>
      </c>
      <c r="C126" s="1072">
        <f>ROUND(F52*0.1,0)</f>
        <v>12941348834</v>
      </c>
      <c r="F126" s="74"/>
    </row>
    <row r="127" spans="1:12" x14ac:dyDescent="0.25">
      <c r="B127" s="1660"/>
      <c r="C127" s="1661"/>
      <c r="D127" s="1163"/>
      <c r="E127" s="411"/>
      <c r="F127" s="77"/>
      <c r="K127" s="54"/>
      <c r="L127" s="54"/>
    </row>
    <row r="128" spans="1:12" ht="22.5" customHeight="1" x14ac:dyDescent="0.25">
      <c r="B128" s="1160" t="s">
        <v>970</v>
      </c>
      <c r="C128" s="1010" t="s">
        <v>971</v>
      </c>
      <c r="D128" s="1010" t="s">
        <v>956</v>
      </c>
      <c r="E128" s="411"/>
      <c r="F128" s="124"/>
      <c r="K128" s="54"/>
      <c r="L128" s="54"/>
    </row>
    <row r="129" spans="2:12" ht="15" x14ac:dyDescent="0.25">
      <c r="B129" s="921" t="s">
        <v>972</v>
      </c>
      <c r="C129" s="926">
        <f>+F120-C122-C124-C126-C123-C125</f>
        <v>111846705319.5896</v>
      </c>
      <c r="D129" s="956">
        <v>1</v>
      </c>
      <c r="E129" s="411"/>
      <c r="F129" s="42">
        <f>C129*3.7%</f>
        <v>4138328096.8248158</v>
      </c>
      <c r="K129" s="54"/>
      <c r="L129" s="54"/>
    </row>
    <row r="130" spans="2:12" ht="15" x14ac:dyDescent="0.25">
      <c r="B130" s="921" t="s">
        <v>973</v>
      </c>
      <c r="C130" s="926">
        <f>+(C129*0.7)</f>
        <v>78292693723.712708</v>
      </c>
      <c r="D130" s="956">
        <f>+C130/$C$129</f>
        <v>0.69999999999999984</v>
      </c>
      <c r="E130" s="411"/>
      <c r="F130" s="42">
        <f>F129-C136</f>
        <v>18870000.000000954</v>
      </c>
      <c r="G130" s="42">
        <f>F71*3.7%</f>
        <v>18870000.000000004</v>
      </c>
      <c r="K130" s="54"/>
      <c r="L130" s="54"/>
    </row>
    <row r="131" spans="2:12" ht="15" x14ac:dyDescent="0.25">
      <c r="B131" s="937" t="s">
        <v>974</v>
      </c>
      <c r="C131" s="938">
        <f>+C129-C130</f>
        <v>33554011595.876892</v>
      </c>
      <c r="D131" s="957">
        <f t="shared" ref="D131" si="5">+C131/$C$129</f>
        <v>0.3000000000000001</v>
      </c>
      <c r="E131" s="411"/>
      <c r="K131" s="54"/>
      <c r="L131" s="54"/>
    </row>
    <row r="132" spans="2:12" x14ac:dyDescent="0.25">
      <c r="B132" s="1662"/>
      <c r="C132" s="1663"/>
      <c r="D132" s="1164"/>
      <c r="E132" s="73"/>
      <c r="F132" s="74"/>
      <c r="K132" s="54"/>
      <c r="L132" s="54"/>
    </row>
    <row r="133" spans="2:12" ht="22.5" customHeight="1" x14ac:dyDescent="0.25">
      <c r="B133" s="1673" t="s">
        <v>1832</v>
      </c>
      <c r="C133" s="1673"/>
      <c r="D133" s="73"/>
      <c r="E133" s="73"/>
      <c r="F133" s="74"/>
      <c r="K133" s="54"/>
      <c r="L133" s="54"/>
    </row>
    <row r="134" spans="2:12" ht="63.75" x14ac:dyDescent="0.25">
      <c r="B134" s="921" t="s">
        <v>1833</v>
      </c>
      <c r="C134" s="969">
        <f>11236130586.506-C46</f>
        <v>8365020989.9088488</v>
      </c>
      <c r="D134" s="411"/>
      <c r="E134" s="1165" t="s">
        <v>1834</v>
      </c>
      <c r="F134" s="74"/>
      <c r="K134" s="54"/>
      <c r="L134" s="54"/>
    </row>
    <row r="135" spans="2:12" ht="38.25" x14ac:dyDescent="0.25">
      <c r="B135" s="921" t="s">
        <v>1835</v>
      </c>
      <c r="C135" s="969">
        <v>4668913388</v>
      </c>
      <c r="D135" s="411"/>
      <c r="E135" s="1165" t="s">
        <v>1836</v>
      </c>
      <c r="F135" s="74"/>
      <c r="K135" s="54"/>
      <c r="L135" s="54"/>
    </row>
    <row r="136" spans="2:12" ht="140.25" x14ac:dyDescent="0.25">
      <c r="B136" s="937" t="s">
        <v>1837</v>
      </c>
      <c r="C136" s="970">
        <f>(F52-C123-C126-C124-C125-C122)*0.037</f>
        <v>4119458096.8248148</v>
      </c>
      <c r="D136" s="1166" t="s">
        <v>1838</v>
      </c>
      <c r="E136" s="1166" t="s">
        <v>1839</v>
      </c>
      <c r="F136" s="74" t="s">
        <v>1840</v>
      </c>
    </row>
    <row r="137" spans="2:12" ht="15" x14ac:dyDescent="0.25">
      <c r="B137" s="921" t="s">
        <v>1841</v>
      </c>
      <c r="C137" s="971">
        <f>+C131-C134-C135-C136</f>
        <v>16400619121.14323</v>
      </c>
      <c r="D137" s="411"/>
      <c r="E137" s="85"/>
      <c r="F137" s="74"/>
    </row>
    <row r="138" spans="2:12" x14ac:dyDescent="0.25">
      <c r="B138" s="1167" t="s">
        <v>1773</v>
      </c>
      <c r="C138" s="1011">
        <f>+C134+C135+C136+C137</f>
        <v>33554011595.876892</v>
      </c>
      <c r="D138" s="411"/>
      <c r="E138" s="411"/>
      <c r="F138" s="422"/>
    </row>
    <row r="139" spans="2:12" x14ac:dyDescent="0.25">
      <c r="B139" s="1669"/>
      <c r="C139" s="1669"/>
      <c r="D139" s="73"/>
      <c r="E139" s="73"/>
      <c r="F139" s="74"/>
    </row>
    <row r="140" spans="2:12" ht="24.75" customHeight="1" x14ac:dyDescent="0.25">
      <c r="B140" s="1670" t="s">
        <v>1842</v>
      </c>
      <c r="C140" s="1670"/>
      <c r="D140" s="124"/>
      <c r="E140" s="124"/>
      <c r="F140" s="124"/>
    </row>
    <row r="141" spans="2:12" ht="15" customHeight="1" x14ac:dyDescent="0.25">
      <c r="B141" s="940" t="s">
        <v>1843</v>
      </c>
      <c r="C141" s="928">
        <f>+C135</f>
        <v>4668913388</v>
      </c>
      <c r="D141" s="73"/>
      <c r="E141" s="73"/>
      <c r="F141" s="74"/>
    </row>
    <row r="142" spans="2:12" ht="15" customHeight="1" x14ac:dyDescent="0.25">
      <c r="B142" s="937" t="s">
        <v>1844</v>
      </c>
      <c r="C142" s="938">
        <f>+C136</f>
        <v>4119458096.8248148</v>
      </c>
      <c r="D142" s="411"/>
      <c r="E142" s="411"/>
      <c r="F142" s="74"/>
    </row>
    <row r="143" spans="2:12" ht="26.25" customHeight="1" x14ac:dyDescent="0.25">
      <c r="B143" s="921" t="s">
        <v>1845</v>
      </c>
      <c r="C143" s="926">
        <f>+E43</f>
        <v>681192695</v>
      </c>
      <c r="D143" s="1168"/>
      <c r="E143" s="411"/>
      <c r="F143" s="74"/>
    </row>
    <row r="144" spans="2:12" ht="26.25" customHeight="1" x14ac:dyDescent="0.25">
      <c r="B144" s="1004" t="s">
        <v>3221</v>
      </c>
      <c r="C144" s="1053"/>
      <c r="D144" s="73"/>
      <c r="E144" s="411"/>
      <c r="F144" s="74"/>
    </row>
    <row r="145" spans="1:8" ht="26.25" customHeight="1" x14ac:dyDescent="0.25">
      <c r="B145" s="937" t="s">
        <v>1847</v>
      </c>
      <c r="C145" s="1054"/>
      <c r="D145" s="411"/>
      <c r="E145" s="411"/>
      <c r="F145" s="74"/>
      <c r="G145" s="938"/>
    </row>
    <row r="146" spans="1:8" ht="15" customHeight="1" x14ac:dyDescent="0.25">
      <c r="B146" s="1002" t="s">
        <v>1848</v>
      </c>
      <c r="C146" s="1003">
        <v>2500000000</v>
      </c>
      <c r="D146" s="1169"/>
      <c r="E146" s="423"/>
      <c r="F146" s="74"/>
    </row>
    <row r="147" spans="1:8" ht="15.75" customHeight="1" x14ac:dyDescent="0.25">
      <c r="B147" s="1004" t="s">
        <v>1849</v>
      </c>
      <c r="C147" s="1005">
        <f>+'Salud 2024 '!F25</f>
        <v>10015793400</v>
      </c>
      <c r="D147" s="411"/>
      <c r="E147" s="423"/>
      <c r="F147" s="74"/>
    </row>
    <row r="148" spans="1:8" ht="25.5" x14ac:dyDescent="0.25">
      <c r="B148" s="921" t="s">
        <v>1850</v>
      </c>
      <c r="C148" s="1055">
        <f>+E14+E22+E24+E30+E55+E59+E60+E66+E69+E37+E36+E54</f>
        <v>25968005390.591202</v>
      </c>
      <c r="D148" s="1170"/>
      <c r="E148" s="423"/>
      <c r="F148" s="74"/>
    </row>
    <row r="149" spans="1:8" ht="15" customHeight="1" x14ac:dyDescent="0.25">
      <c r="B149" s="937" t="s">
        <v>1851</v>
      </c>
      <c r="C149" s="1054">
        <f>+C126+C124+C122+C125</f>
        <v>16777548135</v>
      </c>
      <c r="D149" s="1171"/>
      <c r="E149" s="413"/>
      <c r="F149" s="74"/>
    </row>
    <row r="150" spans="1:8" ht="15" customHeight="1" x14ac:dyDescent="0.25">
      <c r="B150" s="921" t="s">
        <v>1852</v>
      </c>
      <c r="C150" s="1055">
        <f>+E11+E15+E23+E31+E33+E40+E13+C41</f>
        <v>27921702001.29327</v>
      </c>
      <c r="D150" s="1170"/>
      <c r="E150" s="85"/>
      <c r="F150" s="74"/>
      <c r="H150" s="1150"/>
    </row>
    <row r="151" spans="1:8" x14ac:dyDescent="0.25">
      <c r="B151" s="1172" t="s">
        <v>1853</v>
      </c>
      <c r="C151" s="1012">
        <f>+C141+C142+C145+C149+C150+C143+C148+C146+C147+C144</f>
        <v>92652613106.70929</v>
      </c>
      <c r="D151" s="381"/>
      <c r="E151" s="87"/>
      <c r="F151" s="88"/>
    </row>
    <row r="152" spans="1:8" x14ac:dyDescent="0.25">
      <c r="B152" s="1671"/>
      <c r="C152" s="1671"/>
      <c r="D152" s="73"/>
      <c r="E152" s="73"/>
      <c r="F152" s="74"/>
    </row>
    <row r="153" spans="1:8" x14ac:dyDescent="0.25">
      <c r="B153" s="1172" t="s">
        <v>1854</v>
      </c>
      <c r="C153" s="1012">
        <f>C155+C154</f>
        <v>11236130586.506001</v>
      </c>
      <c r="D153" s="87"/>
      <c r="E153" s="87"/>
      <c r="F153" s="88"/>
    </row>
    <row r="154" spans="1:8" ht="15" x14ac:dyDescent="0.25">
      <c r="B154" s="937" t="s">
        <v>1855</v>
      </c>
      <c r="C154" s="938">
        <f>+C46</f>
        <v>2871109596.5971518</v>
      </c>
      <c r="D154" s="87"/>
      <c r="E154" s="409"/>
      <c r="F154" s="88"/>
    </row>
    <row r="155" spans="1:8" ht="15" x14ac:dyDescent="0.25">
      <c r="B155" s="921" t="s">
        <v>1856</v>
      </c>
      <c r="C155" s="928">
        <f>C134</f>
        <v>8365020989.9088488</v>
      </c>
      <c r="D155" s="87"/>
      <c r="E155" s="87"/>
      <c r="F155" s="88"/>
    </row>
    <row r="156" spans="1:8" x14ac:dyDescent="0.25">
      <c r="B156" s="1172" t="s">
        <v>1857</v>
      </c>
      <c r="D156" s="73"/>
      <c r="E156" s="73"/>
      <c r="F156" s="74"/>
    </row>
    <row r="157" spans="1:8" x14ac:dyDescent="0.25">
      <c r="B157" s="942" t="s">
        <v>1858</v>
      </c>
      <c r="C157" s="943">
        <f>+C137+C122</f>
        <v>17699854004.14323</v>
      </c>
      <c r="D157" s="73"/>
      <c r="E157" s="73"/>
      <c r="F157" s="74"/>
    </row>
    <row r="158" spans="1:8" x14ac:dyDescent="0.25">
      <c r="A158" s="941"/>
      <c r="B158" s="77" t="s">
        <v>1859</v>
      </c>
      <c r="C158" s="943">
        <f>+D12+D21+D25+D26+D27+D28+D29+D39+D44+D51+D58+D61+D62+D63+D64+D65+D67+D68+C115+C111+D45</f>
        <v>30277983789.427502</v>
      </c>
      <c r="D158" s="411"/>
      <c r="E158" s="73"/>
      <c r="F158" s="74"/>
    </row>
    <row r="159" spans="1:8" ht="15" x14ac:dyDescent="0.25">
      <c r="B159" s="942" t="s">
        <v>1860</v>
      </c>
      <c r="C159" s="944">
        <f>+D76+D77+D78+D79+D80+D81+D82+D83+D87+D88+D89+D90+D91+D92+D93+D94+D95+D96+D97+D98+D99+D100+D101+D102+D103+D104+D105+D106+D107-C147</f>
        <v>280317348990.8797</v>
      </c>
      <c r="D159" s="411"/>
      <c r="E159" s="413"/>
      <c r="F159" s="74"/>
    </row>
    <row r="160" spans="1:8" x14ac:dyDescent="0.25">
      <c r="B160" s="1172" t="s">
        <v>1861</v>
      </c>
      <c r="C160" s="1012">
        <f>+C159+C158+C157</f>
        <v>328295186784.45044</v>
      </c>
      <c r="D160" s="409"/>
      <c r="E160" s="409"/>
      <c r="F160" s="88"/>
    </row>
    <row r="161" spans="2:6" x14ac:dyDescent="0.25">
      <c r="B161" s="1672"/>
      <c r="C161" s="1672"/>
      <c r="D161" s="409"/>
      <c r="E161" s="1173"/>
      <c r="F161" s="88"/>
    </row>
    <row r="162" spans="2:6" x14ac:dyDescent="0.25">
      <c r="B162" s="1172" t="s">
        <v>1862</v>
      </c>
      <c r="C162" s="1012">
        <f>C160+C153+C151</f>
        <v>432183930477.66571</v>
      </c>
      <c r="D162" s="409">
        <f>C162-C120</f>
        <v>-76089380661.780701</v>
      </c>
      <c r="E162" s="1173"/>
    </row>
    <row r="163" spans="2:6" x14ac:dyDescent="0.25">
      <c r="B163" s="77"/>
      <c r="C163" s="88"/>
      <c r="D163" s="411"/>
      <c r="E163" s="411"/>
      <c r="F163" s="74"/>
    </row>
    <row r="164" spans="2:6" x14ac:dyDescent="0.25">
      <c r="C164" s="433"/>
    </row>
    <row r="165" spans="2:6" x14ac:dyDescent="0.25">
      <c r="B165" s="1666" t="s">
        <v>3222</v>
      </c>
      <c r="C165" s="1666"/>
      <c r="D165" s="1666"/>
    </row>
    <row r="166" spans="2:6" x14ac:dyDescent="0.25">
      <c r="B166" s="1160" t="s">
        <v>970</v>
      </c>
      <c r="C166" s="1010" t="s">
        <v>971</v>
      </c>
      <c r="D166" s="1010" t="s">
        <v>956</v>
      </c>
    </row>
    <row r="167" spans="2:6" ht="15" x14ac:dyDescent="0.25">
      <c r="B167" s="921" t="s">
        <v>972</v>
      </c>
      <c r="C167" s="926">
        <f>+C129</f>
        <v>111846705319.5896</v>
      </c>
      <c r="D167" s="956">
        <v>1</v>
      </c>
    </row>
    <row r="168" spans="2:6" ht="15" x14ac:dyDescent="0.25">
      <c r="B168" s="921" t="s">
        <v>973</v>
      </c>
      <c r="C168" s="926">
        <f>+C145+C146+C144</f>
        <v>2500000000</v>
      </c>
      <c r="D168" s="956">
        <f>+C168/$C$129</f>
        <v>2.2352021839682504E-2</v>
      </c>
    </row>
    <row r="169" spans="2:6" ht="15" x14ac:dyDescent="0.25">
      <c r="B169" s="937" t="s">
        <v>974</v>
      </c>
      <c r="C169" s="938">
        <f>+C134+C135+C136+C137</f>
        <v>33554011595.876892</v>
      </c>
      <c r="D169" s="957">
        <f t="shared" ref="D169" si="6">+C169/$C$129</f>
        <v>0.3000000000000001</v>
      </c>
    </row>
    <row r="172" spans="2:6" ht="12.75" customHeight="1" x14ac:dyDescent="0.25"/>
  </sheetData>
  <autoFilter ref="A6:XFC52" xr:uid="{00000000-0009-0000-0000-000004000000}"/>
  <mergeCells count="23">
    <mergeCell ref="B165:D165"/>
    <mergeCell ref="A52:B52"/>
    <mergeCell ref="B139:C139"/>
    <mergeCell ref="B140:C140"/>
    <mergeCell ref="B152:C152"/>
    <mergeCell ref="B161:C161"/>
    <mergeCell ref="B133:C133"/>
    <mergeCell ref="A71:B71"/>
    <mergeCell ref="B73:C73"/>
    <mergeCell ref="B75:C75"/>
    <mergeCell ref="B86:C86"/>
    <mergeCell ref="B110:C110"/>
    <mergeCell ref="B114:C114"/>
    <mergeCell ref="A118:B118"/>
    <mergeCell ref="A120:B120"/>
    <mergeCell ref="B121:C121"/>
    <mergeCell ref="G8:G9"/>
    <mergeCell ref="B127:C127"/>
    <mergeCell ref="B132:C132"/>
    <mergeCell ref="A2:F2"/>
    <mergeCell ref="A3:F3"/>
    <mergeCell ref="A4:F4"/>
    <mergeCell ref="A5:F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F883B-CBDB-4332-BEC5-B5134EA87011}">
  <sheetPr>
    <tabColor rgb="FF00B050"/>
  </sheetPr>
  <dimension ref="A2:P188"/>
  <sheetViews>
    <sheetView topLeftCell="A160" zoomScale="150" zoomScaleNormal="150" workbookViewId="0">
      <selection activeCell="D120" sqref="D120"/>
    </sheetView>
  </sheetViews>
  <sheetFormatPr baseColWidth="10" defaultColWidth="11.42578125" defaultRowHeight="12.75" x14ac:dyDescent="0.25"/>
  <cols>
    <col min="1" max="1" width="11.42578125" style="42"/>
    <col min="2" max="2" width="35.5703125" style="95" customWidth="1"/>
    <col min="3" max="3" width="23.42578125" style="42" customWidth="1"/>
    <col min="4" max="4" width="19.140625" style="42" bestFit="1" customWidth="1"/>
    <col min="5" max="5" width="27" style="42" bestFit="1" customWidth="1"/>
    <col min="6" max="6" width="19.140625" style="42" bestFit="1" customWidth="1"/>
    <col min="7" max="7" width="16.140625" style="42" customWidth="1"/>
    <col min="8" max="8" width="27.28515625" style="42" customWidth="1"/>
    <col min="9" max="9" width="14.5703125" style="42" bestFit="1" customWidth="1"/>
    <col min="10" max="10" width="13.7109375" style="42" bestFit="1" customWidth="1"/>
    <col min="11" max="11" width="25.140625" style="42" customWidth="1"/>
    <col min="12" max="12" width="13.5703125" style="42" bestFit="1" customWidth="1"/>
    <col min="13" max="15" width="11.42578125" style="42"/>
    <col min="16" max="16" width="13.5703125" style="42" bestFit="1" customWidth="1"/>
    <col min="17" max="256" width="11.42578125" style="42"/>
    <col min="257" max="257" width="30.42578125" style="42" customWidth="1"/>
    <col min="258" max="258" width="23.28515625" style="42" bestFit="1" customWidth="1"/>
    <col min="259" max="259" width="18.140625" style="42" bestFit="1" customWidth="1"/>
    <col min="260" max="260" width="15.85546875" style="42" bestFit="1" customWidth="1"/>
    <col min="261" max="512" width="11.42578125" style="42"/>
    <col min="513" max="513" width="30.42578125" style="42" customWidth="1"/>
    <col min="514" max="514" width="23.28515625" style="42" bestFit="1" customWidth="1"/>
    <col min="515" max="515" width="18.140625" style="42" bestFit="1" customWidth="1"/>
    <col min="516" max="516" width="15.85546875" style="42" bestFit="1" customWidth="1"/>
    <col min="517" max="768" width="11.42578125" style="42"/>
    <col min="769" max="769" width="30.42578125" style="42" customWidth="1"/>
    <col min="770" max="770" width="23.28515625" style="42" bestFit="1" customWidth="1"/>
    <col min="771" max="771" width="18.140625" style="42" bestFit="1" customWidth="1"/>
    <col min="772" max="772" width="15.85546875" style="42" bestFit="1" customWidth="1"/>
    <col min="773" max="1024" width="11.42578125" style="42"/>
    <col min="1025" max="1025" width="30.42578125" style="42" customWidth="1"/>
    <col min="1026" max="1026" width="23.28515625" style="42" bestFit="1" customWidth="1"/>
    <col min="1027" max="1027" width="18.140625" style="42" bestFit="1" customWidth="1"/>
    <col min="1028" max="1028" width="15.85546875" style="42" bestFit="1" customWidth="1"/>
    <col min="1029" max="1280" width="11.42578125" style="42"/>
    <col min="1281" max="1281" width="30.42578125" style="42" customWidth="1"/>
    <col min="1282" max="1282" width="23.28515625" style="42" bestFit="1" customWidth="1"/>
    <col min="1283" max="1283" width="18.140625" style="42" bestFit="1" customWidth="1"/>
    <col min="1284" max="1284" width="15.85546875" style="42" bestFit="1" customWidth="1"/>
    <col min="1285" max="1536" width="11.42578125" style="42"/>
    <col min="1537" max="1537" width="30.42578125" style="42" customWidth="1"/>
    <col min="1538" max="1538" width="23.28515625" style="42" bestFit="1" customWidth="1"/>
    <col min="1539" max="1539" width="18.140625" style="42" bestFit="1" customWidth="1"/>
    <col min="1540" max="1540" width="15.85546875" style="42" bestFit="1" customWidth="1"/>
    <col min="1541" max="1792" width="11.42578125" style="42"/>
    <col min="1793" max="1793" width="30.42578125" style="42" customWidth="1"/>
    <col min="1794" max="1794" width="23.28515625" style="42" bestFit="1" customWidth="1"/>
    <col min="1795" max="1795" width="18.140625" style="42" bestFit="1" customWidth="1"/>
    <col min="1796" max="1796" width="15.85546875" style="42" bestFit="1" customWidth="1"/>
    <col min="1797" max="2048" width="11.42578125" style="42"/>
    <col min="2049" max="2049" width="30.42578125" style="42" customWidth="1"/>
    <col min="2050" max="2050" width="23.28515625" style="42" bestFit="1" customWidth="1"/>
    <col min="2051" max="2051" width="18.140625" style="42" bestFit="1" customWidth="1"/>
    <col min="2052" max="2052" width="15.85546875" style="42" bestFit="1" customWidth="1"/>
    <col min="2053" max="2304" width="11.42578125" style="42"/>
    <col min="2305" max="2305" width="30.42578125" style="42" customWidth="1"/>
    <col min="2306" max="2306" width="23.28515625" style="42" bestFit="1" customWidth="1"/>
    <col min="2307" max="2307" width="18.140625" style="42" bestFit="1" customWidth="1"/>
    <col min="2308" max="2308" width="15.85546875" style="42" bestFit="1" customWidth="1"/>
    <col min="2309" max="2560" width="11.42578125" style="42"/>
    <col min="2561" max="2561" width="30.42578125" style="42" customWidth="1"/>
    <col min="2562" max="2562" width="23.28515625" style="42" bestFit="1" customWidth="1"/>
    <col min="2563" max="2563" width="18.140625" style="42" bestFit="1" customWidth="1"/>
    <col min="2564" max="2564" width="15.85546875" style="42" bestFit="1" customWidth="1"/>
    <col min="2565" max="2816" width="11.42578125" style="42"/>
    <col min="2817" max="2817" width="30.42578125" style="42" customWidth="1"/>
    <col min="2818" max="2818" width="23.28515625" style="42" bestFit="1" customWidth="1"/>
    <col min="2819" max="2819" width="18.140625" style="42" bestFit="1" customWidth="1"/>
    <col min="2820" max="2820" width="15.85546875" style="42" bestFit="1" customWidth="1"/>
    <col min="2821" max="3072" width="11.42578125" style="42"/>
    <col min="3073" max="3073" width="30.42578125" style="42" customWidth="1"/>
    <col min="3074" max="3074" width="23.28515625" style="42" bestFit="1" customWidth="1"/>
    <col min="3075" max="3075" width="18.140625" style="42" bestFit="1" customWidth="1"/>
    <col min="3076" max="3076" width="15.85546875" style="42" bestFit="1" customWidth="1"/>
    <col min="3077" max="3328" width="11.42578125" style="42"/>
    <col min="3329" max="3329" width="30.42578125" style="42" customWidth="1"/>
    <col min="3330" max="3330" width="23.28515625" style="42" bestFit="1" customWidth="1"/>
    <col min="3331" max="3331" width="18.140625" style="42" bestFit="1" customWidth="1"/>
    <col min="3332" max="3332" width="15.85546875" style="42" bestFit="1" customWidth="1"/>
    <col min="3333" max="3584" width="11.42578125" style="42"/>
    <col min="3585" max="3585" width="30.42578125" style="42" customWidth="1"/>
    <col min="3586" max="3586" width="23.28515625" style="42" bestFit="1" customWidth="1"/>
    <col min="3587" max="3587" width="18.140625" style="42" bestFit="1" customWidth="1"/>
    <col min="3588" max="3588" width="15.85546875" style="42" bestFit="1" customWidth="1"/>
    <col min="3589" max="3840" width="11.42578125" style="42"/>
    <col min="3841" max="3841" width="30.42578125" style="42" customWidth="1"/>
    <col min="3842" max="3842" width="23.28515625" style="42" bestFit="1" customWidth="1"/>
    <col min="3843" max="3843" width="18.140625" style="42" bestFit="1" customWidth="1"/>
    <col min="3844" max="3844" width="15.85546875" style="42" bestFit="1" customWidth="1"/>
    <col min="3845" max="4096" width="11.42578125" style="42"/>
    <col min="4097" max="4097" width="30.42578125" style="42" customWidth="1"/>
    <col min="4098" max="4098" width="23.28515625" style="42" bestFit="1" customWidth="1"/>
    <col min="4099" max="4099" width="18.140625" style="42" bestFit="1" customWidth="1"/>
    <col min="4100" max="4100" width="15.85546875" style="42" bestFit="1" customWidth="1"/>
    <col min="4101" max="4352" width="11.42578125" style="42"/>
    <col min="4353" max="4353" width="30.42578125" style="42" customWidth="1"/>
    <col min="4354" max="4354" width="23.28515625" style="42" bestFit="1" customWidth="1"/>
    <col min="4355" max="4355" width="18.140625" style="42" bestFit="1" customWidth="1"/>
    <col min="4356" max="4356" width="15.85546875" style="42" bestFit="1" customWidth="1"/>
    <col min="4357" max="4608" width="11.42578125" style="42"/>
    <col min="4609" max="4609" width="30.42578125" style="42" customWidth="1"/>
    <col min="4610" max="4610" width="23.28515625" style="42" bestFit="1" customWidth="1"/>
    <col min="4611" max="4611" width="18.140625" style="42" bestFit="1" customWidth="1"/>
    <col min="4612" max="4612" width="15.85546875" style="42" bestFit="1" customWidth="1"/>
    <col min="4613" max="4864" width="11.42578125" style="42"/>
    <col min="4865" max="4865" width="30.42578125" style="42" customWidth="1"/>
    <col min="4866" max="4866" width="23.28515625" style="42" bestFit="1" customWidth="1"/>
    <col min="4867" max="4867" width="18.140625" style="42" bestFit="1" customWidth="1"/>
    <col min="4868" max="4868" width="15.85546875" style="42" bestFit="1" customWidth="1"/>
    <col min="4869" max="5120" width="11.42578125" style="42"/>
    <col min="5121" max="5121" width="30.42578125" style="42" customWidth="1"/>
    <col min="5122" max="5122" width="23.28515625" style="42" bestFit="1" customWidth="1"/>
    <col min="5123" max="5123" width="18.140625" style="42" bestFit="1" customWidth="1"/>
    <col min="5124" max="5124" width="15.85546875" style="42" bestFit="1" customWidth="1"/>
    <col min="5125" max="5376" width="11.42578125" style="42"/>
    <col min="5377" max="5377" width="30.42578125" style="42" customWidth="1"/>
    <col min="5378" max="5378" width="23.28515625" style="42" bestFit="1" customWidth="1"/>
    <col min="5379" max="5379" width="18.140625" style="42" bestFit="1" customWidth="1"/>
    <col min="5380" max="5380" width="15.85546875" style="42" bestFit="1" customWidth="1"/>
    <col min="5381" max="5632" width="11.42578125" style="42"/>
    <col min="5633" max="5633" width="30.42578125" style="42" customWidth="1"/>
    <col min="5634" max="5634" width="23.28515625" style="42" bestFit="1" customWidth="1"/>
    <col min="5635" max="5635" width="18.140625" style="42" bestFit="1" customWidth="1"/>
    <col min="5636" max="5636" width="15.85546875" style="42" bestFit="1" customWidth="1"/>
    <col min="5637" max="5888" width="11.42578125" style="42"/>
    <col min="5889" max="5889" width="30.42578125" style="42" customWidth="1"/>
    <col min="5890" max="5890" width="23.28515625" style="42" bestFit="1" customWidth="1"/>
    <col min="5891" max="5891" width="18.140625" style="42" bestFit="1" customWidth="1"/>
    <col min="5892" max="5892" width="15.85546875" style="42" bestFit="1" customWidth="1"/>
    <col min="5893" max="6144" width="11.42578125" style="42"/>
    <col min="6145" max="6145" width="30.42578125" style="42" customWidth="1"/>
    <col min="6146" max="6146" width="23.28515625" style="42" bestFit="1" customWidth="1"/>
    <col min="6147" max="6147" width="18.140625" style="42" bestFit="1" customWidth="1"/>
    <col min="6148" max="6148" width="15.85546875" style="42" bestFit="1" customWidth="1"/>
    <col min="6149" max="6400" width="11.42578125" style="42"/>
    <col min="6401" max="6401" width="30.42578125" style="42" customWidth="1"/>
    <col min="6402" max="6402" width="23.28515625" style="42" bestFit="1" customWidth="1"/>
    <col min="6403" max="6403" width="18.140625" style="42" bestFit="1" customWidth="1"/>
    <col min="6404" max="6404" width="15.85546875" style="42" bestFit="1" customWidth="1"/>
    <col min="6405" max="6656" width="11.42578125" style="42"/>
    <col min="6657" max="6657" width="30.42578125" style="42" customWidth="1"/>
    <col min="6658" max="6658" width="23.28515625" style="42" bestFit="1" customWidth="1"/>
    <col min="6659" max="6659" width="18.140625" style="42" bestFit="1" customWidth="1"/>
    <col min="6660" max="6660" width="15.85546875" style="42" bestFit="1" customWidth="1"/>
    <col min="6661" max="6912" width="11.42578125" style="42"/>
    <col min="6913" max="6913" width="30.42578125" style="42" customWidth="1"/>
    <col min="6914" max="6914" width="23.28515625" style="42" bestFit="1" customWidth="1"/>
    <col min="6915" max="6915" width="18.140625" style="42" bestFit="1" customWidth="1"/>
    <col min="6916" max="6916" width="15.85546875" style="42" bestFit="1" customWidth="1"/>
    <col min="6917" max="7168" width="11.42578125" style="42"/>
    <col min="7169" max="7169" width="30.42578125" style="42" customWidth="1"/>
    <col min="7170" max="7170" width="23.28515625" style="42" bestFit="1" customWidth="1"/>
    <col min="7171" max="7171" width="18.140625" style="42" bestFit="1" customWidth="1"/>
    <col min="7172" max="7172" width="15.85546875" style="42" bestFit="1" customWidth="1"/>
    <col min="7173" max="7424" width="11.42578125" style="42"/>
    <col min="7425" max="7425" width="30.42578125" style="42" customWidth="1"/>
    <col min="7426" max="7426" width="23.28515625" style="42" bestFit="1" customWidth="1"/>
    <col min="7427" max="7427" width="18.140625" style="42" bestFit="1" customWidth="1"/>
    <col min="7428" max="7428" width="15.85546875" style="42" bestFit="1" customWidth="1"/>
    <col min="7429" max="7680" width="11.42578125" style="42"/>
    <col min="7681" max="7681" width="30.42578125" style="42" customWidth="1"/>
    <col min="7682" max="7682" width="23.28515625" style="42" bestFit="1" customWidth="1"/>
    <col min="7683" max="7683" width="18.140625" style="42" bestFit="1" customWidth="1"/>
    <col min="7684" max="7684" width="15.85546875" style="42" bestFit="1" customWidth="1"/>
    <col min="7685" max="7936" width="11.42578125" style="42"/>
    <col min="7937" max="7937" width="30.42578125" style="42" customWidth="1"/>
    <col min="7938" max="7938" width="23.28515625" style="42" bestFit="1" customWidth="1"/>
    <col min="7939" max="7939" width="18.140625" style="42" bestFit="1" customWidth="1"/>
    <col min="7940" max="7940" width="15.85546875" style="42" bestFit="1" customWidth="1"/>
    <col min="7941" max="8192" width="11.42578125" style="42"/>
    <col min="8193" max="8193" width="30.42578125" style="42" customWidth="1"/>
    <col min="8194" max="8194" width="23.28515625" style="42" bestFit="1" customWidth="1"/>
    <col min="8195" max="8195" width="18.140625" style="42" bestFit="1" customWidth="1"/>
    <col min="8196" max="8196" width="15.85546875" style="42" bestFit="1" customWidth="1"/>
    <col min="8197" max="8448" width="11.42578125" style="42"/>
    <col min="8449" max="8449" width="30.42578125" style="42" customWidth="1"/>
    <col min="8450" max="8450" width="23.28515625" style="42" bestFit="1" customWidth="1"/>
    <col min="8451" max="8451" width="18.140625" style="42" bestFit="1" customWidth="1"/>
    <col min="8452" max="8452" width="15.85546875" style="42" bestFit="1" customWidth="1"/>
    <col min="8453" max="8704" width="11.42578125" style="42"/>
    <col min="8705" max="8705" width="30.42578125" style="42" customWidth="1"/>
    <col min="8706" max="8706" width="23.28515625" style="42" bestFit="1" customWidth="1"/>
    <col min="8707" max="8707" width="18.140625" style="42" bestFit="1" customWidth="1"/>
    <col min="8708" max="8708" width="15.85546875" style="42" bestFit="1" customWidth="1"/>
    <col min="8709" max="8960" width="11.42578125" style="42"/>
    <col min="8961" max="8961" width="30.42578125" style="42" customWidth="1"/>
    <col min="8962" max="8962" width="23.28515625" style="42" bestFit="1" customWidth="1"/>
    <col min="8963" max="8963" width="18.140625" style="42" bestFit="1" customWidth="1"/>
    <col min="8964" max="8964" width="15.85546875" style="42" bestFit="1" customWidth="1"/>
    <col min="8965" max="9216" width="11.42578125" style="42"/>
    <col min="9217" max="9217" width="30.42578125" style="42" customWidth="1"/>
    <col min="9218" max="9218" width="23.28515625" style="42" bestFit="1" customWidth="1"/>
    <col min="9219" max="9219" width="18.140625" style="42" bestFit="1" customWidth="1"/>
    <col min="9220" max="9220" width="15.85546875" style="42" bestFit="1" customWidth="1"/>
    <col min="9221" max="9472" width="11.42578125" style="42"/>
    <col min="9473" max="9473" width="30.42578125" style="42" customWidth="1"/>
    <col min="9474" max="9474" width="23.28515625" style="42" bestFit="1" customWidth="1"/>
    <col min="9475" max="9475" width="18.140625" style="42" bestFit="1" customWidth="1"/>
    <col min="9476" max="9476" width="15.85546875" style="42" bestFit="1" customWidth="1"/>
    <col min="9477" max="9728" width="11.42578125" style="42"/>
    <col min="9729" max="9729" width="30.42578125" style="42" customWidth="1"/>
    <col min="9730" max="9730" width="23.28515625" style="42" bestFit="1" customWidth="1"/>
    <col min="9731" max="9731" width="18.140625" style="42" bestFit="1" customWidth="1"/>
    <col min="9732" max="9732" width="15.85546875" style="42" bestFit="1" customWidth="1"/>
    <col min="9733" max="9984" width="11.42578125" style="42"/>
    <col min="9985" max="9985" width="30.42578125" style="42" customWidth="1"/>
    <col min="9986" max="9986" width="23.28515625" style="42" bestFit="1" customWidth="1"/>
    <col min="9987" max="9987" width="18.140625" style="42" bestFit="1" customWidth="1"/>
    <col min="9988" max="9988" width="15.85546875" style="42" bestFit="1" customWidth="1"/>
    <col min="9989" max="10240" width="11.42578125" style="42"/>
    <col min="10241" max="10241" width="30.42578125" style="42" customWidth="1"/>
    <col min="10242" max="10242" width="23.28515625" style="42" bestFit="1" customWidth="1"/>
    <col min="10243" max="10243" width="18.140625" style="42" bestFit="1" customWidth="1"/>
    <col min="10244" max="10244" width="15.85546875" style="42" bestFit="1" customWidth="1"/>
    <col min="10245" max="10496" width="11.42578125" style="42"/>
    <col min="10497" max="10497" width="30.42578125" style="42" customWidth="1"/>
    <col min="10498" max="10498" width="23.28515625" style="42" bestFit="1" customWidth="1"/>
    <col min="10499" max="10499" width="18.140625" style="42" bestFit="1" customWidth="1"/>
    <col min="10500" max="10500" width="15.85546875" style="42" bestFit="1" customWidth="1"/>
    <col min="10501" max="10752" width="11.42578125" style="42"/>
    <col min="10753" max="10753" width="30.42578125" style="42" customWidth="1"/>
    <col min="10754" max="10754" width="23.28515625" style="42" bestFit="1" customWidth="1"/>
    <col min="10755" max="10755" width="18.140625" style="42" bestFit="1" customWidth="1"/>
    <col min="10756" max="10756" width="15.85546875" style="42" bestFit="1" customWidth="1"/>
    <col min="10757" max="11008" width="11.42578125" style="42"/>
    <col min="11009" max="11009" width="30.42578125" style="42" customWidth="1"/>
    <col min="11010" max="11010" width="23.28515625" style="42" bestFit="1" customWidth="1"/>
    <col min="11011" max="11011" width="18.140625" style="42" bestFit="1" customWidth="1"/>
    <col min="11012" max="11012" width="15.85546875" style="42" bestFit="1" customWidth="1"/>
    <col min="11013" max="11264" width="11.42578125" style="42"/>
    <col min="11265" max="11265" width="30.42578125" style="42" customWidth="1"/>
    <col min="11266" max="11266" width="23.28515625" style="42" bestFit="1" customWidth="1"/>
    <col min="11267" max="11267" width="18.140625" style="42" bestFit="1" customWidth="1"/>
    <col min="11268" max="11268" width="15.85546875" style="42" bestFit="1" customWidth="1"/>
    <col min="11269" max="11520" width="11.42578125" style="42"/>
    <col min="11521" max="11521" width="30.42578125" style="42" customWidth="1"/>
    <col min="11522" max="11522" width="23.28515625" style="42" bestFit="1" customWidth="1"/>
    <col min="11523" max="11523" width="18.140625" style="42" bestFit="1" customWidth="1"/>
    <col min="11524" max="11524" width="15.85546875" style="42" bestFit="1" customWidth="1"/>
    <col min="11525" max="11776" width="11.42578125" style="42"/>
    <col min="11777" max="11777" width="30.42578125" style="42" customWidth="1"/>
    <col min="11778" max="11778" width="23.28515625" style="42" bestFit="1" customWidth="1"/>
    <col min="11779" max="11779" width="18.140625" style="42" bestFit="1" customWidth="1"/>
    <col min="11780" max="11780" width="15.85546875" style="42" bestFit="1" customWidth="1"/>
    <col min="11781" max="12032" width="11.42578125" style="42"/>
    <col min="12033" max="12033" width="30.42578125" style="42" customWidth="1"/>
    <col min="12034" max="12034" width="23.28515625" style="42" bestFit="1" customWidth="1"/>
    <col min="12035" max="12035" width="18.140625" style="42" bestFit="1" customWidth="1"/>
    <col min="12036" max="12036" width="15.85546875" style="42" bestFit="1" customWidth="1"/>
    <col min="12037" max="12288" width="11.42578125" style="42"/>
    <col min="12289" max="12289" width="30.42578125" style="42" customWidth="1"/>
    <col min="12290" max="12290" width="23.28515625" style="42" bestFit="1" customWidth="1"/>
    <col min="12291" max="12291" width="18.140625" style="42" bestFit="1" customWidth="1"/>
    <col min="12292" max="12292" width="15.85546875" style="42" bestFit="1" customWidth="1"/>
    <col min="12293" max="12544" width="11.42578125" style="42"/>
    <col min="12545" max="12545" width="30.42578125" style="42" customWidth="1"/>
    <col min="12546" max="12546" width="23.28515625" style="42" bestFit="1" customWidth="1"/>
    <col min="12547" max="12547" width="18.140625" style="42" bestFit="1" customWidth="1"/>
    <col min="12548" max="12548" width="15.85546875" style="42" bestFit="1" customWidth="1"/>
    <col min="12549" max="12800" width="11.42578125" style="42"/>
    <col min="12801" max="12801" width="30.42578125" style="42" customWidth="1"/>
    <col min="12802" max="12802" width="23.28515625" style="42" bestFit="1" customWidth="1"/>
    <col min="12803" max="12803" width="18.140625" style="42" bestFit="1" customWidth="1"/>
    <col min="12804" max="12804" width="15.85546875" style="42" bestFit="1" customWidth="1"/>
    <col min="12805" max="13056" width="11.42578125" style="42"/>
    <col min="13057" max="13057" width="30.42578125" style="42" customWidth="1"/>
    <col min="13058" max="13058" width="23.28515625" style="42" bestFit="1" customWidth="1"/>
    <col min="13059" max="13059" width="18.140625" style="42" bestFit="1" customWidth="1"/>
    <col min="13060" max="13060" width="15.85546875" style="42" bestFit="1" customWidth="1"/>
    <col min="13061" max="13312" width="11.42578125" style="42"/>
    <col min="13313" max="13313" width="30.42578125" style="42" customWidth="1"/>
    <col min="13314" max="13314" width="23.28515625" style="42" bestFit="1" customWidth="1"/>
    <col min="13315" max="13315" width="18.140625" style="42" bestFit="1" customWidth="1"/>
    <col min="13316" max="13316" width="15.85546875" style="42" bestFit="1" customWidth="1"/>
    <col min="13317" max="13568" width="11.42578125" style="42"/>
    <col min="13569" max="13569" width="30.42578125" style="42" customWidth="1"/>
    <col min="13570" max="13570" width="23.28515625" style="42" bestFit="1" customWidth="1"/>
    <col min="13571" max="13571" width="18.140625" style="42" bestFit="1" customWidth="1"/>
    <col min="13572" max="13572" width="15.85546875" style="42" bestFit="1" customWidth="1"/>
    <col min="13573" max="13824" width="11.42578125" style="42"/>
    <col min="13825" max="13825" width="30.42578125" style="42" customWidth="1"/>
    <col min="13826" max="13826" width="23.28515625" style="42" bestFit="1" customWidth="1"/>
    <col min="13827" max="13827" width="18.140625" style="42" bestFit="1" customWidth="1"/>
    <col min="13828" max="13828" width="15.85546875" style="42" bestFit="1" customWidth="1"/>
    <col min="13829" max="14080" width="11.42578125" style="42"/>
    <col min="14081" max="14081" width="30.42578125" style="42" customWidth="1"/>
    <col min="14082" max="14082" width="23.28515625" style="42" bestFit="1" customWidth="1"/>
    <col min="14083" max="14083" width="18.140625" style="42" bestFit="1" customWidth="1"/>
    <col min="14084" max="14084" width="15.85546875" style="42" bestFit="1" customWidth="1"/>
    <col min="14085" max="14336" width="11.42578125" style="42"/>
    <col min="14337" max="14337" width="30.42578125" style="42" customWidth="1"/>
    <col min="14338" max="14338" width="23.28515625" style="42" bestFit="1" customWidth="1"/>
    <col min="14339" max="14339" width="18.140625" style="42" bestFit="1" customWidth="1"/>
    <col min="14340" max="14340" width="15.85546875" style="42" bestFit="1" customWidth="1"/>
    <col min="14341" max="14592" width="11.42578125" style="42"/>
    <col min="14593" max="14593" width="30.42578125" style="42" customWidth="1"/>
    <col min="14594" max="14594" width="23.28515625" style="42" bestFit="1" customWidth="1"/>
    <col min="14595" max="14595" width="18.140625" style="42" bestFit="1" customWidth="1"/>
    <col min="14596" max="14596" width="15.85546875" style="42" bestFit="1" customWidth="1"/>
    <col min="14597" max="14848" width="11.42578125" style="42"/>
    <col min="14849" max="14849" width="30.42578125" style="42" customWidth="1"/>
    <col min="14850" max="14850" width="23.28515625" style="42" bestFit="1" customWidth="1"/>
    <col min="14851" max="14851" width="18.140625" style="42" bestFit="1" customWidth="1"/>
    <col min="14852" max="14852" width="15.85546875" style="42" bestFit="1" customWidth="1"/>
    <col min="14853" max="15104" width="11.42578125" style="42"/>
    <col min="15105" max="15105" width="30.42578125" style="42" customWidth="1"/>
    <col min="15106" max="15106" width="23.28515625" style="42" bestFit="1" customWidth="1"/>
    <col min="15107" max="15107" width="18.140625" style="42" bestFit="1" customWidth="1"/>
    <col min="15108" max="15108" width="15.85546875" style="42" bestFit="1" customWidth="1"/>
    <col min="15109" max="15360" width="11.42578125" style="42"/>
    <col min="15361" max="15361" width="30.42578125" style="42" customWidth="1"/>
    <col min="15362" max="15362" width="23.28515625" style="42" bestFit="1" customWidth="1"/>
    <col min="15363" max="15363" width="18.140625" style="42" bestFit="1" customWidth="1"/>
    <col min="15364" max="15364" width="15.85546875" style="42" bestFit="1" customWidth="1"/>
    <col min="15365" max="15616" width="11.42578125" style="42"/>
    <col min="15617" max="15617" width="30.42578125" style="42" customWidth="1"/>
    <col min="15618" max="15618" width="23.28515625" style="42" bestFit="1" customWidth="1"/>
    <col min="15619" max="15619" width="18.140625" style="42" bestFit="1" customWidth="1"/>
    <col min="15620" max="15620" width="15.85546875" style="42" bestFit="1" customWidth="1"/>
    <col min="15621" max="15872" width="11.42578125" style="42"/>
    <col min="15873" max="15873" width="30.42578125" style="42" customWidth="1"/>
    <col min="15874" max="15874" width="23.28515625" style="42" bestFit="1" customWidth="1"/>
    <col min="15875" max="15875" width="18.140625" style="42" bestFit="1" customWidth="1"/>
    <col min="15876" max="15876" width="15.85546875" style="42" bestFit="1" customWidth="1"/>
    <col min="15877" max="16128" width="11.42578125" style="42"/>
    <col min="16129" max="16129" width="30.42578125" style="42" customWidth="1"/>
    <col min="16130" max="16130" width="23.28515625" style="42" bestFit="1" customWidth="1"/>
    <col min="16131" max="16131" width="18.140625" style="42" bestFit="1" customWidth="1"/>
    <col min="16132" max="16132" width="15.85546875" style="42" bestFit="1" customWidth="1"/>
    <col min="16133" max="16383" width="11.42578125" style="42"/>
    <col min="16384" max="16384" width="11.42578125" style="42" customWidth="1"/>
  </cols>
  <sheetData>
    <row r="2" spans="1:7" ht="15" customHeight="1" x14ac:dyDescent="0.25">
      <c r="A2" s="1664" t="s">
        <v>1767</v>
      </c>
      <c r="B2" s="1664"/>
      <c r="C2" s="1664"/>
      <c r="D2" s="1664"/>
      <c r="E2" s="1664"/>
      <c r="F2" s="1665"/>
      <c r="G2" s="1146"/>
    </row>
    <row r="3" spans="1:7" ht="15" customHeight="1" x14ac:dyDescent="0.25">
      <c r="A3" s="1664" t="s">
        <v>1768</v>
      </c>
      <c r="B3" s="1664"/>
      <c r="C3" s="1664"/>
      <c r="D3" s="1664"/>
      <c r="E3" s="1664"/>
      <c r="F3" s="1665"/>
      <c r="G3" s="1146"/>
    </row>
    <row r="4" spans="1:7" ht="15" customHeight="1" x14ac:dyDescent="0.25">
      <c r="A4" s="1664" t="s">
        <v>1769</v>
      </c>
      <c r="B4" s="1664"/>
      <c r="C4" s="1664"/>
      <c r="D4" s="1664"/>
      <c r="E4" s="1664"/>
      <c r="F4" s="1665"/>
      <c r="G4" s="1146"/>
    </row>
    <row r="5" spans="1:7" ht="15" customHeight="1" x14ac:dyDescent="0.25">
      <c r="A5" s="1664" t="s">
        <v>3219</v>
      </c>
      <c r="B5" s="1664"/>
      <c r="C5" s="1664"/>
      <c r="D5" s="1664"/>
      <c r="E5" s="1664"/>
      <c r="F5" s="1665"/>
      <c r="G5" s="1146"/>
    </row>
    <row r="6" spans="1:7" s="95" customFormat="1" ht="25.5" customHeight="1" x14ac:dyDescent="0.25">
      <c r="A6" s="1147" t="s">
        <v>1771</v>
      </c>
      <c r="B6" s="1148" t="s">
        <v>1772</v>
      </c>
      <c r="C6" s="1007" t="s">
        <v>1773</v>
      </c>
      <c r="D6" s="1007" t="s">
        <v>1774</v>
      </c>
      <c r="E6" s="1149" t="s">
        <v>1775</v>
      </c>
      <c r="F6" s="1007" t="s">
        <v>1776</v>
      </c>
    </row>
    <row r="7" spans="1:7" ht="25.5" x14ac:dyDescent="0.25">
      <c r="A7" s="1006">
        <v>20</v>
      </c>
      <c r="B7" s="923" t="s">
        <v>1023</v>
      </c>
      <c r="C7" s="1254">
        <f>MROUND('F Y U 2024 Presupuesto'!C7,1000)</f>
        <v>32803406000</v>
      </c>
      <c r="D7" s="924"/>
      <c r="E7" s="924"/>
      <c r="F7" s="925">
        <f>+C7</f>
        <v>32803406000</v>
      </c>
      <c r="G7" s="1146"/>
    </row>
    <row r="8" spans="1:7" ht="25.5" x14ac:dyDescent="0.25">
      <c r="A8" s="933">
        <v>20</v>
      </c>
      <c r="B8" s="923" t="s">
        <v>1157</v>
      </c>
      <c r="C8" s="1254">
        <f>MROUND('F Y U 2024 Presupuesto'!C8,1000)</f>
        <v>1478804000</v>
      </c>
      <c r="D8" s="924"/>
      <c r="E8" s="924"/>
      <c r="F8" s="924">
        <f t="shared" ref="F8:F9" si="0">+C8</f>
        <v>1478804000</v>
      </c>
      <c r="G8" s="1659" t="s">
        <v>1777</v>
      </c>
    </row>
    <row r="9" spans="1:7" ht="25.5" x14ac:dyDescent="0.25">
      <c r="A9" s="922">
        <v>20</v>
      </c>
      <c r="B9" s="923" t="s">
        <v>1158</v>
      </c>
      <c r="C9" s="1254">
        <f>MROUND('F Y U 2024 Presupuesto'!C9,1000)</f>
        <v>7607895000</v>
      </c>
      <c r="D9" s="924"/>
      <c r="E9" s="924"/>
      <c r="F9" s="924">
        <f t="shared" si="0"/>
        <v>7607895000</v>
      </c>
      <c r="G9" s="1659"/>
    </row>
    <row r="10" spans="1:7" ht="15" x14ac:dyDescent="0.25">
      <c r="A10" s="922">
        <v>20</v>
      </c>
      <c r="B10" s="923" t="s">
        <v>1779</v>
      </c>
      <c r="C10" s="1254">
        <f>MROUND('F Y U 2024 Presupuesto'!C10,1000)</f>
        <v>17264812000</v>
      </c>
      <c r="D10" s="927"/>
      <c r="E10" s="924"/>
      <c r="F10" s="924">
        <f>+C10</f>
        <v>17264812000</v>
      </c>
    </row>
    <row r="11" spans="1:7" ht="15" x14ac:dyDescent="0.25">
      <c r="A11" s="922">
        <v>1</v>
      </c>
      <c r="B11" s="923" t="s">
        <v>1780</v>
      </c>
      <c r="C11" s="1254">
        <f>MROUND('F Y U 2024 Presupuesto'!C11,1000)</f>
        <v>5754937000</v>
      </c>
      <c r="D11" s="927"/>
      <c r="E11" s="1251">
        <f>+C11</f>
        <v>5754937000</v>
      </c>
      <c r="F11" s="925"/>
      <c r="G11" s="1146"/>
    </row>
    <row r="12" spans="1:7" ht="15" x14ac:dyDescent="0.25">
      <c r="A12" s="922">
        <v>52</v>
      </c>
      <c r="B12" s="923" t="s">
        <v>1028</v>
      </c>
      <c r="C12" s="1254">
        <f>MROUND('F Y U 2024 Presupuesto'!C12,1000)</f>
        <v>1150987000</v>
      </c>
      <c r="D12" s="924">
        <f>+C12</f>
        <v>1150987000</v>
      </c>
      <c r="E12" s="924"/>
      <c r="F12" s="925"/>
      <c r="G12" s="1146"/>
    </row>
    <row r="13" spans="1:7" ht="15" x14ac:dyDescent="0.25">
      <c r="A13" s="922">
        <v>53</v>
      </c>
      <c r="B13" s="923" t="s">
        <v>1781</v>
      </c>
      <c r="C13" s="1254">
        <f>MROUND('F Y U 2024 Presupuesto'!C13,1000)</f>
        <v>1726481000</v>
      </c>
      <c r="D13" s="924"/>
      <c r="E13" s="1251">
        <f>+C13</f>
        <v>1726481000</v>
      </c>
      <c r="F13" s="924"/>
    </row>
    <row r="14" spans="1:7" ht="25.5" x14ac:dyDescent="0.25">
      <c r="A14" s="922">
        <v>13</v>
      </c>
      <c r="B14" s="923" t="s">
        <v>1030</v>
      </c>
      <c r="C14" s="1254">
        <f>MROUND('F Y U 2024 Presupuesto'!C14,1000)</f>
        <v>2877469000</v>
      </c>
      <c r="D14" s="924"/>
      <c r="E14" s="924">
        <f>+C14</f>
        <v>2877469000</v>
      </c>
      <c r="F14" s="925"/>
      <c r="G14" s="1146"/>
    </row>
    <row r="15" spans="1:7" ht="25.5" x14ac:dyDescent="0.25">
      <c r="A15" s="922">
        <v>145</v>
      </c>
      <c r="B15" s="923" t="s">
        <v>3237</v>
      </c>
      <c r="C15" s="1254">
        <f>MROUND('F Y U 2024 Presupuesto'!C15,1000)</f>
        <v>233083000</v>
      </c>
      <c r="D15" s="924"/>
      <c r="E15" s="1251">
        <f>+C15</f>
        <v>233083000</v>
      </c>
      <c r="F15" s="925"/>
      <c r="G15" s="1146"/>
    </row>
    <row r="16" spans="1:7" ht="15" x14ac:dyDescent="0.25">
      <c r="A16" s="922">
        <v>20</v>
      </c>
      <c r="B16" s="923" t="s">
        <v>3238</v>
      </c>
      <c r="C16" s="1254">
        <f>MROUND('F Y U 2024 Presupuesto'!C16,1000)</f>
        <v>4661652000</v>
      </c>
      <c r="D16" s="924"/>
      <c r="E16" s="924"/>
      <c r="F16" s="925">
        <f t="shared" ref="F16:F20" si="1">+C16</f>
        <v>4661652000</v>
      </c>
      <c r="G16" s="1146"/>
    </row>
    <row r="17" spans="1:10" ht="15" x14ac:dyDescent="0.25">
      <c r="A17" s="922">
        <v>20</v>
      </c>
      <c r="B17" s="923" t="s">
        <v>3240</v>
      </c>
      <c r="C17" s="1254">
        <f>MROUND('F Y U 2024 Presupuesto'!C17,1000)</f>
        <v>21471737000</v>
      </c>
      <c r="D17" s="924"/>
      <c r="E17" s="924"/>
      <c r="F17" s="925">
        <f t="shared" si="1"/>
        <v>21471737000</v>
      </c>
      <c r="G17" s="1146"/>
    </row>
    <row r="18" spans="1:10" ht="25.5" x14ac:dyDescent="0.25">
      <c r="A18" s="922">
        <v>20</v>
      </c>
      <c r="B18" s="923" t="s">
        <v>1788</v>
      </c>
      <c r="C18" s="1254">
        <f>MROUND('F Y U 2024 Presupuesto'!C18,1000)</f>
        <v>14173023000</v>
      </c>
      <c r="D18" s="924"/>
      <c r="E18" s="924"/>
      <c r="F18" s="925">
        <f t="shared" si="1"/>
        <v>14173023000</v>
      </c>
      <c r="G18" s="1146"/>
    </row>
    <row r="19" spans="1:10" ht="25.5" x14ac:dyDescent="0.25">
      <c r="A19" s="922">
        <v>20</v>
      </c>
      <c r="B19" s="923" t="s">
        <v>1045</v>
      </c>
      <c r="C19" s="1254">
        <f>MROUND('F Y U 2024 Presupuesto'!C19,1000)</f>
        <v>763018000</v>
      </c>
      <c r="D19" s="924"/>
      <c r="E19" s="924"/>
      <c r="F19" s="925">
        <f t="shared" si="1"/>
        <v>763018000</v>
      </c>
      <c r="G19" s="1146"/>
      <c r="J19" s="41">
        <f>1296000000+1627500000+3158923248</f>
        <v>6082423248</v>
      </c>
    </row>
    <row r="20" spans="1:10" ht="26.25" customHeight="1" x14ac:dyDescent="0.25">
      <c r="A20" s="922">
        <v>20</v>
      </c>
      <c r="B20" s="923" t="s">
        <v>1047</v>
      </c>
      <c r="C20" s="1254">
        <f>MROUND('F Y U 2024 Presupuesto'!C20,1000)</f>
        <v>11867811000</v>
      </c>
      <c r="D20" s="924"/>
      <c r="E20" s="924"/>
      <c r="F20" s="924">
        <f t="shared" si="1"/>
        <v>11867811000</v>
      </c>
    </row>
    <row r="21" spans="1:10" ht="15" x14ac:dyDescent="0.25">
      <c r="A21" s="922">
        <v>4</v>
      </c>
      <c r="B21" s="923" t="s">
        <v>1050</v>
      </c>
      <c r="C21" s="1254">
        <f>MROUND('F Y U 2024 Presupuesto'!C21,1000)</f>
        <v>7519723000</v>
      </c>
      <c r="D21" s="927">
        <f>+C21</f>
        <v>7519723000</v>
      </c>
      <c r="E21" s="924"/>
      <c r="F21" s="924"/>
    </row>
    <row r="22" spans="1:10" ht="25.5" x14ac:dyDescent="0.25">
      <c r="A22" s="922">
        <v>176</v>
      </c>
      <c r="B22" s="923" t="s">
        <v>1051</v>
      </c>
      <c r="C22" s="1254">
        <f>MROUND('F Y U 2024 Presupuesto'!C22,1000)</f>
        <v>3010114000</v>
      </c>
      <c r="D22" s="924"/>
      <c r="E22" s="924">
        <f>+C22</f>
        <v>3010114000</v>
      </c>
      <c r="F22" s="925"/>
      <c r="G22" s="1146"/>
    </row>
    <row r="23" spans="1:10" ht="25.5" x14ac:dyDescent="0.25">
      <c r="A23" s="922">
        <v>177</v>
      </c>
      <c r="B23" s="923" t="s">
        <v>1789</v>
      </c>
      <c r="C23" s="1254">
        <f>MROUND('F Y U 2024 Presupuesto'!C23,1000)</f>
        <v>4509609000</v>
      </c>
      <c r="D23" s="927"/>
      <c r="E23" s="1251">
        <f>+C23</f>
        <v>4509609000</v>
      </c>
      <c r="F23" s="924"/>
    </row>
    <row r="24" spans="1:10" ht="15" x14ac:dyDescent="0.25">
      <c r="A24" s="922">
        <v>5</v>
      </c>
      <c r="B24" s="923" t="s">
        <v>1054</v>
      </c>
      <c r="C24" s="1254">
        <f>MROUND('F Y U 2024 Presupuesto'!C24,1000)</f>
        <v>633364000</v>
      </c>
      <c r="D24" s="924"/>
      <c r="E24" s="924">
        <f>+C24</f>
        <v>633364000</v>
      </c>
      <c r="F24" s="924"/>
    </row>
    <row r="25" spans="1:10" ht="25.5" x14ac:dyDescent="0.25">
      <c r="A25" s="922">
        <v>33</v>
      </c>
      <c r="B25" s="923" t="s">
        <v>1055</v>
      </c>
      <c r="C25" s="1254">
        <f>MROUND('F Y U 2024 Presupuesto'!C25,1000)</f>
        <v>316682000</v>
      </c>
      <c r="D25" s="924">
        <f>+C25</f>
        <v>316682000</v>
      </c>
      <c r="E25" s="924"/>
      <c r="F25" s="925"/>
      <c r="G25" s="1146"/>
    </row>
    <row r="26" spans="1:10" ht="15" x14ac:dyDescent="0.25">
      <c r="A26" s="922">
        <v>34</v>
      </c>
      <c r="B26" s="923" t="s">
        <v>1056</v>
      </c>
      <c r="C26" s="1254">
        <f>MROUND('F Y U 2024 Presupuesto'!C26,1000)</f>
        <v>316816000</v>
      </c>
      <c r="D26" s="924">
        <f>+C26</f>
        <v>316816000</v>
      </c>
      <c r="E26" s="924"/>
      <c r="F26" s="925"/>
      <c r="G26" s="1146"/>
    </row>
    <row r="27" spans="1:10" ht="25.5" x14ac:dyDescent="0.25">
      <c r="A27" s="922">
        <v>39</v>
      </c>
      <c r="B27" s="923" t="s">
        <v>1057</v>
      </c>
      <c r="C27" s="1254">
        <f>MROUND('F Y U 2024 Presupuesto'!C27,1000)</f>
        <v>1583277000</v>
      </c>
      <c r="D27" s="924">
        <f>+C27</f>
        <v>1583277000</v>
      </c>
      <c r="E27" s="924"/>
      <c r="F27" s="924"/>
    </row>
    <row r="28" spans="1:10" ht="15" x14ac:dyDescent="0.25">
      <c r="A28" s="922">
        <v>41</v>
      </c>
      <c r="B28" s="923" t="s">
        <v>1058</v>
      </c>
      <c r="C28" s="1254">
        <f>MROUND('F Y U 2024 Presupuesto'!C28,1000)</f>
        <v>316682000</v>
      </c>
      <c r="D28" s="927">
        <f>+C28</f>
        <v>316682000</v>
      </c>
      <c r="E28" s="924"/>
      <c r="F28" s="925"/>
      <c r="G28" s="1146"/>
    </row>
    <row r="29" spans="1:10" ht="15" x14ac:dyDescent="0.25">
      <c r="A29" s="922">
        <v>6</v>
      </c>
      <c r="B29" s="923" t="s">
        <v>1060</v>
      </c>
      <c r="C29" s="1254">
        <f>MROUND('F Y U 2024 Presupuesto'!C29,1000)</f>
        <v>5998098000</v>
      </c>
      <c r="D29" s="924">
        <f>+C29</f>
        <v>5998098000</v>
      </c>
      <c r="E29" s="924"/>
      <c r="F29" s="924"/>
    </row>
    <row r="30" spans="1:10" ht="25.5" x14ac:dyDescent="0.25">
      <c r="A30" s="922">
        <v>178</v>
      </c>
      <c r="B30" s="923" t="s">
        <v>1061</v>
      </c>
      <c r="C30" s="1254">
        <f>MROUND('F Y U 2024 Presupuesto'!C30,1000)</f>
        <v>1498529000</v>
      </c>
      <c r="D30" s="924"/>
      <c r="E30" s="924">
        <f>+C30</f>
        <v>1498529000</v>
      </c>
      <c r="F30" s="925"/>
      <c r="G30" s="1146"/>
    </row>
    <row r="31" spans="1:10" s="54" customFormat="1" ht="15" x14ac:dyDescent="0.25">
      <c r="A31" s="922">
        <v>8</v>
      </c>
      <c r="B31" s="923" t="s">
        <v>1790</v>
      </c>
      <c r="C31" s="1254">
        <f>MROUND('F Y U 2024 Presupuesto'!C31,1000)</f>
        <v>12506483000</v>
      </c>
      <c r="D31" s="927"/>
      <c r="E31" s="1251">
        <f>+C31</f>
        <v>12506483000</v>
      </c>
      <c r="F31" s="925"/>
      <c r="G31" s="1146"/>
    </row>
    <row r="32" spans="1:10" ht="15" x14ac:dyDescent="0.25">
      <c r="A32" s="922">
        <v>20</v>
      </c>
      <c r="B32" s="923" t="s">
        <v>1068</v>
      </c>
      <c r="C32" s="1254">
        <f>MROUND('F Y U 2024 Presupuesto'!C32,1000)</f>
        <v>40000000</v>
      </c>
      <c r="D32" s="924"/>
      <c r="E32" s="924"/>
      <c r="F32" s="925">
        <f>+C32</f>
        <v>40000000</v>
      </c>
      <c r="G32" s="1146"/>
    </row>
    <row r="33" spans="1:8" ht="15" x14ac:dyDescent="0.25">
      <c r="A33" s="922">
        <v>190</v>
      </c>
      <c r="B33" s="923" t="s">
        <v>1064</v>
      </c>
      <c r="C33" s="1254">
        <f>MROUND('F Y U 2024 Presupuesto'!C33,1000)</f>
        <v>2082326000</v>
      </c>
      <c r="D33" s="924"/>
      <c r="E33" s="1251">
        <f>+C33</f>
        <v>2082326000</v>
      </c>
      <c r="F33" s="925"/>
      <c r="G33" s="1146"/>
    </row>
    <row r="34" spans="1:8" ht="15" x14ac:dyDescent="0.25">
      <c r="A34" s="922">
        <v>20</v>
      </c>
      <c r="B34" s="923" t="s">
        <v>1069</v>
      </c>
      <c r="C34" s="1254">
        <f>MROUND('F Y U 2024 Presupuesto'!C34,1000)</f>
        <v>210000000</v>
      </c>
      <c r="D34" s="924"/>
      <c r="E34" s="924"/>
      <c r="F34" s="925">
        <f>+C34</f>
        <v>210000000</v>
      </c>
      <c r="G34" s="1146"/>
    </row>
    <row r="35" spans="1:8" ht="15" x14ac:dyDescent="0.25">
      <c r="A35" s="922">
        <v>20</v>
      </c>
      <c r="B35" s="923" t="s">
        <v>1070</v>
      </c>
      <c r="C35" s="1254">
        <f>MROUND('F Y U 2024 Presupuesto'!C35,1000)</f>
        <v>40000000</v>
      </c>
      <c r="D35" s="924"/>
      <c r="E35" s="924"/>
      <c r="F35" s="925">
        <f>+C35</f>
        <v>40000000</v>
      </c>
      <c r="G35" s="1146" t="s">
        <v>1792</v>
      </c>
    </row>
    <row r="36" spans="1:8" ht="15" x14ac:dyDescent="0.25">
      <c r="A36" s="922">
        <v>49</v>
      </c>
      <c r="B36" s="923" t="s">
        <v>1793</v>
      </c>
      <c r="C36" s="1254">
        <f>MROUND('F Y U 2024 Presupuesto'!C36,1000)</f>
        <v>726530000</v>
      </c>
      <c r="D36" s="924"/>
      <c r="E36" s="924">
        <f>+C36</f>
        <v>726530000</v>
      </c>
      <c r="F36" s="925"/>
      <c r="G36" s="1146"/>
      <c r="H36" s="1001" t="s">
        <v>1794</v>
      </c>
    </row>
    <row r="37" spans="1:8" ht="15" x14ac:dyDescent="0.25">
      <c r="A37" s="922">
        <v>133</v>
      </c>
      <c r="B37" s="923" t="s">
        <v>1795</v>
      </c>
      <c r="C37" s="1254">
        <f>MROUND('F Y U 2024 Presupuesto'!C37,1000)</f>
        <v>8000000000</v>
      </c>
      <c r="D37" s="924"/>
      <c r="E37" s="924">
        <f>C37</f>
        <v>8000000000</v>
      </c>
      <c r="F37" s="925">
        <v>0</v>
      </c>
      <c r="G37" s="1146"/>
    </row>
    <row r="38" spans="1:8" ht="15" x14ac:dyDescent="0.25">
      <c r="A38" s="922">
        <v>20</v>
      </c>
      <c r="B38" s="923" t="s">
        <v>1072</v>
      </c>
      <c r="C38" s="1254">
        <f>MROUND('F Y U 2024 Presupuesto'!C38,1000)</f>
        <v>30000000</v>
      </c>
      <c r="D38" s="924"/>
      <c r="E38" s="924"/>
      <c r="F38" s="925">
        <f>+C38</f>
        <v>30000000</v>
      </c>
      <c r="G38" s="1146"/>
    </row>
    <row r="39" spans="1:8" s="54" customFormat="1" ht="15" x14ac:dyDescent="0.25">
      <c r="A39" s="922">
        <v>35</v>
      </c>
      <c r="B39" s="923" t="s">
        <v>1796</v>
      </c>
      <c r="C39" s="1254">
        <f>MROUND('F Y U 2024 Presupuesto'!C39,1000)</f>
        <v>5174318000</v>
      </c>
      <c r="D39" s="924">
        <f>+C39</f>
        <v>5174318000</v>
      </c>
      <c r="E39" s="924"/>
      <c r="F39" s="925"/>
      <c r="G39" s="1146"/>
    </row>
    <row r="40" spans="1:8" s="54" customFormat="1" ht="15" x14ac:dyDescent="0.25">
      <c r="A40" s="922">
        <v>179</v>
      </c>
      <c r="B40" s="923" t="s">
        <v>1797</v>
      </c>
      <c r="C40" s="1254">
        <f>MROUND('F Y U 2024 Presupuesto'!C40,1000)</f>
        <v>1108110000</v>
      </c>
      <c r="D40" s="924"/>
      <c r="E40" s="1251">
        <f>+C40</f>
        <v>1108110000</v>
      </c>
      <c r="F40" s="924"/>
      <c r="G40" s="1150"/>
      <c r="H40" s="54">
        <f>+C39+C40+C42</f>
        <v>23283758000</v>
      </c>
    </row>
    <row r="41" spans="1:8" s="54" customFormat="1" ht="15" x14ac:dyDescent="0.25">
      <c r="A41" s="922">
        <v>205</v>
      </c>
      <c r="B41" s="923" t="s">
        <v>1798</v>
      </c>
      <c r="C41" s="1254">
        <f>MROUND('F Y U 2024 Presupuesto'!C41,1000)</f>
        <v>673000</v>
      </c>
      <c r="D41" s="924"/>
      <c r="E41" s="1251">
        <f>+C41</f>
        <v>673000</v>
      </c>
      <c r="F41" s="924"/>
      <c r="G41" s="1150"/>
    </row>
    <row r="42" spans="1:8" ht="15" x14ac:dyDescent="0.25">
      <c r="A42" s="922">
        <v>20</v>
      </c>
      <c r="B42" s="923" t="s">
        <v>1080</v>
      </c>
      <c r="C42" s="1254">
        <f>MROUND('F Y U 2024 Presupuesto'!C42,1000)</f>
        <v>17001330000</v>
      </c>
      <c r="D42" s="924"/>
      <c r="E42" s="924"/>
      <c r="F42" s="924">
        <f>+C42</f>
        <v>17001330000</v>
      </c>
      <c r="G42" s="1150"/>
    </row>
    <row r="43" spans="1:8" s="54" customFormat="1" ht="15" x14ac:dyDescent="0.25">
      <c r="A43" s="922">
        <v>18</v>
      </c>
      <c r="B43" s="923" t="s">
        <v>1085</v>
      </c>
      <c r="C43" s="1254">
        <f>MROUND('F Y U 2024 Presupuesto'!C43,1000)</f>
        <v>681193000</v>
      </c>
      <c r="D43" s="924"/>
      <c r="E43" s="924">
        <f>C43</f>
        <v>681193000</v>
      </c>
      <c r="F43" s="924"/>
      <c r="G43" s="1150"/>
    </row>
    <row r="44" spans="1:8" s="54" customFormat="1" ht="25.5" x14ac:dyDescent="0.25">
      <c r="A44" s="922">
        <v>56</v>
      </c>
      <c r="B44" s="923" t="s">
        <v>1799</v>
      </c>
      <c r="C44" s="1254">
        <f>MROUND('F Y U 2024 Presupuesto'!C44,1000)</f>
        <v>500000000</v>
      </c>
      <c r="D44" s="924">
        <f>+C44</f>
        <v>500000000</v>
      </c>
      <c r="E44" s="924"/>
      <c r="F44" s="924"/>
      <c r="G44" s="42"/>
    </row>
    <row r="45" spans="1:8" ht="15" x14ac:dyDescent="0.25">
      <c r="A45" s="922">
        <v>23</v>
      </c>
      <c r="B45" s="923" t="s">
        <v>1800</v>
      </c>
      <c r="C45" s="1254">
        <f>MROUND('F Y U 2024 Presupuesto'!C45,1000)</f>
        <v>697956000</v>
      </c>
      <c r="D45" s="924">
        <f>C45</f>
        <v>697956000</v>
      </c>
      <c r="E45" s="924"/>
      <c r="F45" s="925"/>
      <c r="G45" s="1146"/>
    </row>
    <row r="46" spans="1:8" ht="15" x14ac:dyDescent="0.25">
      <c r="A46" s="930">
        <v>23</v>
      </c>
      <c r="B46" s="923" t="s">
        <v>1801</v>
      </c>
      <c r="C46" s="1254">
        <f>MROUND('F Y U 2024 Presupuesto'!C46,1000)</f>
        <v>2871110000</v>
      </c>
      <c r="D46" s="929">
        <f>C46</f>
        <v>2871110000</v>
      </c>
      <c r="E46" s="929"/>
      <c r="F46" s="925"/>
      <c r="G46" s="1146"/>
    </row>
    <row r="47" spans="1:8" ht="15" x14ac:dyDescent="0.25">
      <c r="A47" s="930">
        <v>20</v>
      </c>
      <c r="B47" s="923" t="s">
        <v>3263</v>
      </c>
      <c r="C47" s="1254">
        <f>MROUND('F Y U 2024 Presupuesto'!C47,1000)</f>
        <v>217044000</v>
      </c>
      <c r="D47" s="929"/>
      <c r="E47" s="929"/>
      <c r="F47" s="925"/>
      <c r="G47" s="1146"/>
    </row>
    <row r="48" spans="1:8" ht="15" x14ac:dyDescent="0.25">
      <c r="A48" s="930">
        <v>20</v>
      </c>
      <c r="B48" s="923" t="s">
        <v>3264</v>
      </c>
      <c r="C48" s="1254">
        <f>MROUND('F Y U 2024 Presupuesto'!C48,1000)</f>
        <v>1000000</v>
      </c>
      <c r="D48" s="929"/>
      <c r="E48" s="929"/>
      <c r="F48" s="925"/>
      <c r="G48" s="1146"/>
    </row>
    <row r="49" spans="1:8" ht="15" x14ac:dyDescent="0.25">
      <c r="A49" s="930">
        <v>20</v>
      </c>
      <c r="B49" s="923" t="s">
        <v>3265</v>
      </c>
      <c r="C49" s="1254">
        <f>MROUND('F Y U 2024 Presupuesto'!C49,1000)</f>
        <v>1000000</v>
      </c>
      <c r="D49" s="929"/>
      <c r="E49" s="929"/>
      <c r="F49" s="925"/>
      <c r="G49" s="1146"/>
    </row>
    <row r="50" spans="1:8" ht="15" x14ac:dyDescent="0.25">
      <c r="A50" s="930">
        <v>20</v>
      </c>
      <c r="B50" s="923" t="s">
        <v>3266</v>
      </c>
      <c r="C50" s="1254">
        <f>MROUND('F Y U 2024 Presupuesto'!C50,1000)</f>
        <v>77643000</v>
      </c>
      <c r="D50" s="929"/>
      <c r="E50" s="929"/>
      <c r="F50" s="925"/>
      <c r="G50" s="1146"/>
    </row>
    <row r="51" spans="1:8" ht="15" x14ac:dyDescent="0.25">
      <c r="A51" s="930">
        <v>47</v>
      </c>
      <c r="B51" s="921" t="s">
        <v>1093</v>
      </c>
      <c r="C51" s="1254">
        <f>MROUND('F Y U 2024 Presupuesto'!C51,1000)</f>
        <v>103859000</v>
      </c>
      <c r="D51" s="929">
        <f>+C51</f>
        <v>103859000</v>
      </c>
      <c r="E51" s="929"/>
      <c r="F51" s="925"/>
      <c r="G51" s="1146"/>
    </row>
    <row r="52" spans="1:8" s="54" customFormat="1" ht="21" customHeight="1" x14ac:dyDescent="0.25">
      <c r="A52" s="1667" t="s">
        <v>1802</v>
      </c>
      <c r="B52" s="1668"/>
      <c r="C52" s="1008">
        <f>SUM(C7:C51)</f>
        <v>201608584000</v>
      </c>
      <c r="D52" s="1151">
        <f>SUM(D7:D51)</f>
        <v>26549508000</v>
      </c>
      <c r="E52" s="1151">
        <f>SUM(E7:E51)</f>
        <v>45348901000</v>
      </c>
      <c r="F52" s="1151">
        <f>SUM(F7:F51)</f>
        <v>129413488000</v>
      </c>
    </row>
    <row r="53" spans="1:8" x14ac:dyDescent="0.25">
      <c r="A53" s="934"/>
      <c r="B53" s="931"/>
      <c r="C53" s="932"/>
      <c r="D53" s="1152"/>
      <c r="E53" s="1153"/>
      <c r="F53" s="1154"/>
      <c r="H53" s="1150"/>
    </row>
    <row r="54" spans="1:8" ht="25.5" x14ac:dyDescent="0.25">
      <c r="A54" s="922">
        <v>50</v>
      </c>
      <c r="B54" s="923" t="s">
        <v>1160</v>
      </c>
      <c r="C54" s="1254">
        <f>MROUND('F Y U 2024 Presupuesto'!C54,1000)</f>
        <v>200000000</v>
      </c>
      <c r="D54" s="924"/>
      <c r="E54" s="924">
        <f>+C54</f>
        <v>200000000</v>
      </c>
      <c r="F54" s="924"/>
      <c r="H54" s="1001" t="s">
        <v>1794</v>
      </c>
    </row>
    <row r="55" spans="1:8" ht="15" x14ac:dyDescent="0.25">
      <c r="A55" s="922">
        <v>135</v>
      </c>
      <c r="B55" s="923" t="s">
        <v>1803</v>
      </c>
      <c r="C55" s="1254">
        <f>MROUND('F Y U 2024 Presupuesto'!C55,1000)</f>
        <v>9000000000</v>
      </c>
      <c r="D55" s="927"/>
      <c r="E55" s="924">
        <f>+C55</f>
        <v>9000000000</v>
      </c>
      <c r="F55" s="925"/>
      <c r="G55" s="1146"/>
    </row>
    <row r="56" spans="1:8" ht="15" x14ac:dyDescent="0.25">
      <c r="A56" s="922">
        <v>20</v>
      </c>
      <c r="B56" s="923" t="s">
        <v>606</v>
      </c>
      <c r="C56" s="1254">
        <f>MROUND('F Y U 2024 Presupuesto'!C56,1000)</f>
        <v>10000000</v>
      </c>
      <c r="D56" s="924"/>
      <c r="E56" s="924"/>
      <c r="F56" s="924">
        <f t="shared" ref="F56:F57" si="2">+C56</f>
        <v>10000000</v>
      </c>
    </row>
    <row r="57" spans="1:8" ht="25.5" x14ac:dyDescent="0.25">
      <c r="A57" s="922">
        <v>20</v>
      </c>
      <c r="B57" s="923" t="s">
        <v>1804</v>
      </c>
      <c r="C57" s="1254">
        <f>MROUND('F Y U 2024 Presupuesto'!C57,1000)</f>
        <v>300000000</v>
      </c>
      <c r="D57" s="924"/>
      <c r="E57" s="924"/>
      <c r="F57" s="924">
        <f t="shared" si="2"/>
        <v>300000000</v>
      </c>
    </row>
    <row r="58" spans="1:8" ht="25.5" x14ac:dyDescent="0.25">
      <c r="A58" s="922">
        <v>4</v>
      </c>
      <c r="B58" s="923" t="s">
        <v>1805</v>
      </c>
      <c r="C58" s="1254">
        <f>MROUND('F Y U 2024 Presupuesto'!C58,1000)</f>
        <v>20000000</v>
      </c>
      <c r="D58" s="924">
        <f>+C58</f>
        <v>20000000</v>
      </c>
      <c r="E58" s="924"/>
      <c r="F58" s="924"/>
    </row>
    <row r="59" spans="1:8" ht="25.5" x14ac:dyDescent="0.25">
      <c r="A59" s="922">
        <v>176</v>
      </c>
      <c r="B59" s="923" t="s">
        <v>1806</v>
      </c>
      <c r="C59" s="1254">
        <f>MROUND('F Y U 2024 Presupuesto'!C59,1000)</f>
        <v>5000000</v>
      </c>
      <c r="D59" s="924"/>
      <c r="E59" s="924">
        <f>+C59</f>
        <v>5000000</v>
      </c>
      <c r="F59" s="924"/>
    </row>
    <row r="60" spans="1:8" ht="25.5" x14ac:dyDescent="0.25">
      <c r="A60" s="922">
        <v>5</v>
      </c>
      <c r="B60" s="923" t="s">
        <v>1807</v>
      </c>
      <c r="C60" s="1254">
        <f>MROUND('F Y U 2024 Presupuesto'!C60,1000)</f>
        <v>2000000</v>
      </c>
      <c r="D60" s="924"/>
      <c r="E60" s="924">
        <f>+C60</f>
        <v>2000000</v>
      </c>
      <c r="F60" s="924"/>
    </row>
    <row r="61" spans="1:8" ht="25.5" x14ac:dyDescent="0.25">
      <c r="A61" s="922">
        <v>33</v>
      </c>
      <c r="B61" s="923" t="s">
        <v>1808</v>
      </c>
      <c r="C61" s="1254">
        <f>MROUND('F Y U 2024 Presupuesto'!C61,1000)</f>
        <v>1000000</v>
      </c>
      <c r="D61" s="924">
        <f>+C61</f>
        <v>1000000</v>
      </c>
      <c r="E61" s="924"/>
      <c r="F61" s="924"/>
    </row>
    <row r="62" spans="1:8" ht="25.5" x14ac:dyDescent="0.25">
      <c r="A62" s="922">
        <v>34</v>
      </c>
      <c r="B62" s="923" t="s">
        <v>1809</v>
      </c>
      <c r="C62" s="1254">
        <f>MROUND('F Y U 2024 Presupuesto'!C62,1000)</f>
        <v>1000000</v>
      </c>
      <c r="D62" s="924">
        <f>+C62</f>
        <v>1000000</v>
      </c>
      <c r="E62" s="924"/>
      <c r="F62" s="924"/>
    </row>
    <row r="63" spans="1:8" ht="25.5" x14ac:dyDescent="0.25">
      <c r="A63" s="922">
        <v>39</v>
      </c>
      <c r="B63" s="923" t="s">
        <v>1810</v>
      </c>
      <c r="C63" s="1254">
        <f>MROUND('F Y U 2024 Presupuesto'!C63,1000)</f>
        <v>5000000</v>
      </c>
      <c r="D63" s="924">
        <f>+C63</f>
        <v>5000000</v>
      </c>
      <c r="E63" s="924"/>
      <c r="F63" s="924"/>
    </row>
    <row r="64" spans="1:8" ht="25.5" x14ac:dyDescent="0.25">
      <c r="A64" s="922">
        <v>41</v>
      </c>
      <c r="B64" s="923" t="s">
        <v>1811</v>
      </c>
      <c r="C64" s="1254">
        <f>MROUND('F Y U 2024 Presupuesto'!C64,1000)</f>
        <v>1000000</v>
      </c>
      <c r="D64" s="924">
        <f>+C64</f>
        <v>1000000</v>
      </c>
      <c r="E64" s="924"/>
      <c r="F64" s="924"/>
    </row>
    <row r="65" spans="1:6" ht="25.5" x14ac:dyDescent="0.25">
      <c r="A65" s="922">
        <v>6</v>
      </c>
      <c r="B65" s="923" t="s">
        <v>1812</v>
      </c>
      <c r="C65" s="1254">
        <f>MROUND('F Y U 2024 Presupuesto'!C65,1000)</f>
        <v>20000000</v>
      </c>
      <c r="D65" s="924">
        <f>+C65</f>
        <v>20000000</v>
      </c>
      <c r="E65" s="924"/>
      <c r="F65" s="924"/>
    </row>
    <row r="66" spans="1:6" ht="25.5" x14ac:dyDescent="0.25">
      <c r="A66" s="922">
        <v>178</v>
      </c>
      <c r="B66" s="923" t="s">
        <v>1813</v>
      </c>
      <c r="C66" s="1254">
        <f>MROUND('F Y U 2024 Presupuesto'!C66,1000)</f>
        <v>5000000</v>
      </c>
      <c r="D66" s="924"/>
      <c r="E66" s="924">
        <f>+C66</f>
        <v>5000000</v>
      </c>
      <c r="F66" s="924"/>
    </row>
    <row r="67" spans="1:6" ht="25.5" x14ac:dyDescent="0.25">
      <c r="A67" s="922">
        <v>42</v>
      </c>
      <c r="B67" s="923" t="s">
        <v>1814</v>
      </c>
      <c r="C67" s="1254">
        <f>MROUND('F Y U 2024 Presupuesto'!C67,1000)</f>
        <v>30000000</v>
      </c>
      <c r="D67" s="924">
        <f>+C67</f>
        <v>30000000</v>
      </c>
      <c r="E67" s="924"/>
      <c r="F67" s="924"/>
    </row>
    <row r="68" spans="1:6" ht="25.5" x14ac:dyDescent="0.25">
      <c r="A68" s="922">
        <v>27</v>
      </c>
      <c r="B68" s="923" t="s">
        <v>1815</v>
      </c>
      <c r="C68" s="1254">
        <f>MROUND('F Y U 2024 Presupuesto'!C68,1000)</f>
        <v>7000000</v>
      </c>
      <c r="D68" s="924">
        <f>+C68</f>
        <v>7000000</v>
      </c>
      <c r="E68" s="924"/>
      <c r="F68" s="924"/>
    </row>
    <row r="69" spans="1:6" ht="25.5" x14ac:dyDescent="0.25">
      <c r="A69" s="922">
        <v>136</v>
      </c>
      <c r="B69" s="923" t="s">
        <v>1816</v>
      </c>
      <c r="C69" s="1254">
        <f>MROUND('F Y U 2024 Presupuesto'!C69,1000)</f>
        <v>10000000</v>
      </c>
      <c r="D69" s="924"/>
      <c r="E69" s="924">
        <f>+C69</f>
        <v>10000000</v>
      </c>
      <c r="F69" s="924"/>
    </row>
    <row r="70" spans="1:6" ht="25.5" x14ac:dyDescent="0.25">
      <c r="A70" s="922">
        <v>20</v>
      </c>
      <c r="B70" s="923" t="s">
        <v>1184</v>
      </c>
      <c r="C70" s="1254">
        <f>MROUND('F Y U 2024 Presupuesto'!C70,1000)</f>
        <v>200000000</v>
      </c>
      <c r="D70" s="924"/>
      <c r="E70" s="924"/>
      <c r="F70" s="924">
        <f>+C70</f>
        <v>200000000</v>
      </c>
    </row>
    <row r="71" spans="1:6" ht="21" customHeight="1" x14ac:dyDescent="0.25">
      <c r="A71" s="1667" t="s">
        <v>1817</v>
      </c>
      <c r="B71" s="1668"/>
      <c r="C71" s="1009">
        <f>SUM(C54:C70)</f>
        <v>9817000000</v>
      </c>
      <c r="D71" s="1155">
        <f>SUM(D54:D70)</f>
        <v>85000000</v>
      </c>
      <c r="E71" s="1155">
        <f>SUM(E54:E70)</f>
        <v>9222000000</v>
      </c>
      <c r="F71" s="1155">
        <f>SUM(F54:F70)</f>
        <v>510000000</v>
      </c>
    </row>
    <row r="72" spans="1:6" x14ac:dyDescent="0.25">
      <c r="B72" s="382"/>
      <c r="C72" s="915"/>
      <c r="D72" s="1156"/>
      <c r="E72" s="1156"/>
      <c r="F72" s="1156"/>
    </row>
    <row r="73" spans="1:6" s="54" customFormat="1" x14ac:dyDescent="0.25">
      <c r="A73" s="42"/>
      <c r="B73" s="1674" t="s">
        <v>953</v>
      </c>
      <c r="C73" s="1674"/>
    </row>
    <row r="74" spans="1:6" s="54" customFormat="1" ht="6.75" customHeight="1" x14ac:dyDescent="0.25">
      <c r="A74" s="42"/>
      <c r="B74" s="42"/>
      <c r="C74" s="42"/>
      <c r="D74" s="42"/>
    </row>
    <row r="75" spans="1:6" ht="28.5" customHeight="1" x14ac:dyDescent="0.25">
      <c r="B75" s="1675" t="s">
        <v>1100</v>
      </c>
      <c r="C75" s="1676"/>
      <c r="D75" s="1156"/>
      <c r="E75" s="1156"/>
      <c r="F75" s="1156"/>
    </row>
    <row r="76" spans="1:6" ht="25.5" x14ac:dyDescent="0.25">
      <c r="A76" s="922">
        <v>25</v>
      </c>
      <c r="B76" s="923" t="s">
        <v>1101</v>
      </c>
      <c r="C76" s="1254">
        <f>MROUND('F Y U 2024 Presupuesto'!C76,1000)</f>
        <v>173431997000</v>
      </c>
      <c r="D76" s="924">
        <f t="shared" ref="D76:D83" si="3">+C76</f>
        <v>173431997000</v>
      </c>
      <c r="E76" s="924"/>
      <c r="F76" s="924"/>
    </row>
    <row r="77" spans="1:6" s="54" customFormat="1" ht="25.5" x14ac:dyDescent="0.25">
      <c r="A77" s="922">
        <v>26</v>
      </c>
      <c r="B77" s="923" t="s">
        <v>1102</v>
      </c>
      <c r="C77" s="1254">
        <f>MROUND('F Y U 2024 Presupuesto'!C77,1000)</f>
        <v>33454400000</v>
      </c>
      <c r="D77" s="924">
        <f t="shared" si="3"/>
        <v>33454400000</v>
      </c>
      <c r="E77" s="924"/>
      <c r="F77" s="924"/>
    </row>
    <row r="78" spans="1:6" ht="15" x14ac:dyDescent="0.25">
      <c r="A78" s="922">
        <v>25</v>
      </c>
      <c r="B78" s="923" t="s">
        <v>1105</v>
      </c>
      <c r="C78" s="1254">
        <f>MROUND('F Y U 2024 Presupuesto'!C78,1000)</f>
        <v>684320000</v>
      </c>
      <c r="D78" s="924">
        <f t="shared" si="3"/>
        <v>684320000</v>
      </c>
      <c r="E78" s="924"/>
      <c r="F78" s="924"/>
    </row>
    <row r="79" spans="1:6" ht="15" x14ac:dyDescent="0.25">
      <c r="A79" s="922">
        <v>25</v>
      </c>
      <c r="B79" s="923" t="s">
        <v>1106</v>
      </c>
      <c r="C79" s="1254">
        <f>MROUND('F Y U 2024 Presupuesto'!C79,1000)</f>
        <v>1559043000</v>
      </c>
      <c r="D79" s="924">
        <f t="shared" si="3"/>
        <v>1559043000</v>
      </c>
      <c r="E79" s="924"/>
      <c r="F79" s="924"/>
    </row>
    <row r="80" spans="1:6" ht="15" x14ac:dyDescent="0.25">
      <c r="A80" s="922">
        <v>81</v>
      </c>
      <c r="B80" s="923" t="s">
        <v>1107</v>
      </c>
      <c r="C80" s="1254">
        <f>MROUND('F Y U 2024 Presupuesto'!C80,1000)</f>
        <v>9901551000</v>
      </c>
      <c r="D80" s="924">
        <f t="shared" si="3"/>
        <v>9901551000</v>
      </c>
      <c r="E80" s="924"/>
      <c r="F80" s="924"/>
    </row>
    <row r="81" spans="1:13" s="54" customFormat="1" ht="25.5" x14ac:dyDescent="0.25">
      <c r="A81" s="922">
        <v>21</v>
      </c>
      <c r="B81" s="923" t="s">
        <v>1113</v>
      </c>
      <c r="C81" s="1254">
        <f>MROUND('F Y U 2024 Presupuesto'!C81,1000)</f>
        <v>248000000</v>
      </c>
      <c r="D81" s="924">
        <f t="shared" si="3"/>
        <v>248000000</v>
      </c>
      <c r="E81" s="924"/>
      <c r="F81" s="924"/>
      <c r="M81" s="53">
        <v>4000000</v>
      </c>
    </row>
    <row r="82" spans="1:13" s="54" customFormat="1" ht="25.5" x14ac:dyDescent="0.25">
      <c r="A82" s="922">
        <v>81</v>
      </c>
      <c r="B82" s="923" t="s">
        <v>1818</v>
      </c>
      <c r="C82" s="1254">
        <f>MROUND('F Y U 2024 Presupuesto'!C82,1000)</f>
        <v>10000000</v>
      </c>
      <c r="D82" s="924">
        <f t="shared" si="3"/>
        <v>10000000</v>
      </c>
      <c r="E82" s="924"/>
      <c r="F82" s="924"/>
      <c r="M82" s="53">
        <v>8226708</v>
      </c>
    </row>
    <row r="83" spans="1:13" s="54" customFormat="1" ht="15" x14ac:dyDescent="0.25">
      <c r="A83" s="922">
        <v>9</v>
      </c>
      <c r="B83" s="923" t="s">
        <v>606</v>
      </c>
      <c r="C83" s="1254">
        <v>0</v>
      </c>
      <c r="D83" s="924">
        <f t="shared" si="3"/>
        <v>0</v>
      </c>
      <c r="E83" s="924"/>
      <c r="F83" s="924"/>
      <c r="M83" s="53">
        <v>93990000</v>
      </c>
    </row>
    <row r="84" spans="1:13" s="54" customFormat="1" ht="31.5" customHeight="1" x14ac:dyDescent="0.25">
      <c r="A84" s="922"/>
      <c r="B84" s="1157" t="s">
        <v>1819</v>
      </c>
      <c r="C84" s="1009">
        <f>SUM(C76:C83)</f>
        <v>219289311000</v>
      </c>
      <c r="D84" s="924"/>
      <c r="E84" s="924"/>
      <c r="F84" s="924"/>
    </row>
    <row r="85" spans="1:13" s="54" customFormat="1" x14ac:dyDescent="0.25">
      <c r="A85" s="922"/>
      <c r="B85" s="924"/>
      <c r="C85" s="924"/>
      <c r="D85" s="924"/>
      <c r="E85" s="924"/>
      <c r="F85" s="924"/>
    </row>
    <row r="86" spans="1:13" s="54" customFormat="1" ht="25.5" customHeight="1" x14ac:dyDescent="0.25">
      <c r="A86" s="922"/>
      <c r="B86" s="1667" t="s">
        <v>1116</v>
      </c>
      <c r="C86" s="1668"/>
      <c r="D86" s="924"/>
      <c r="E86" s="924"/>
      <c r="F86" s="924"/>
    </row>
    <row r="87" spans="1:13" s="54" customFormat="1" ht="25.5" x14ac:dyDescent="0.25">
      <c r="A87" s="922">
        <v>61</v>
      </c>
      <c r="B87" s="923" t="s">
        <v>1119</v>
      </c>
      <c r="C87" s="1254">
        <f>MROUND('F Y U 2024 Presupuesto'!C87,1000)</f>
        <v>5409655000</v>
      </c>
      <c r="D87" s="924">
        <f>+C87</f>
        <v>5409655000</v>
      </c>
      <c r="E87" s="924"/>
      <c r="F87" s="924"/>
    </row>
    <row r="88" spans="1:13" s="54" customFormat="1" ht="25.5" x14ac:dyDescent="0.25">
      <c r="A88" s="922">
        <v>171</v>
      </c>
      <c r="B88" s="923" t="s">
        <v>1820</v>
      </c>
      <c r="C88" s="1254">
        <f>MROUND('F Y U 2024 Presupuesto'!C88,1000)</f>
        <v>2148092000</v>
      </c>
      <c r="D88" s="924">
        <f>+C88</f>
        <v>2148092000</v>
      </c>
      <c r="E88" s="924"/>
      <c r="F88" s="924"/>
    </row>
    <row r="89" spans="1:13" s="54" customFormat="1" ht="25.5" x14ac:dyDescent="0.25">
      <c r="A89" s="922">
        <v>61</v>
      </c>
      <c r="B89" s="923" t="str">
        <f>+'[3]Plan Financiero 2021'!A100</f>
        <v>Rendimientos por Operaciones Financieras. (SGP - Salud Pública )</v>
      </c>
      <c r="C89" s="1254">
        <f>MROUND('F Y U 2024 Presupuesto'!C89,1000)</f>
        <v>3000000</v>
      </c>
      <c r="D89" s="924">
        <f>+C89</f>
        <v>3000000</v>
      </c>
      <c r="E89" s="924"/>
      <c r="F89" s="924"/>
    </row>
    <row r="90" spans="1:13" s="54" customFormat="1" ht="25.5" x14ac:dyDescent="0.25">
      <c r="A90" s="922">
        <v>171</v>
      </c>
      <c r="B90" s="923" t="str">
        <f>+'[3]Plan Financiero 2021'!A101</f>
        <v>Rendimientos por Operaciones Financieras. (SGP - Oferta)</v>
      </c>
      <c r="C90" s="1254">
        <f>MROUND('F Y U 2024 Presupuesto'!C90,1000)</f>
        <v>1000000</v>
      </c>
      <c r="D90" s="924">
        <f t="shared" ref="D90:D107" si="4">+C90</f>
        <v>1000000</v>
      </c>
      <c r="E90" s="924"/>
      <c r="F90" s="924"/>
    </row>
    <row r="91" spans="1:13" s="54" customFormat="1" ht="25.5" x14ac:dyDescent="0.25">
      <c r="A91" s="922"/>
      <c r="B91" s="923" t="str">
        <f>+'[3]Plan Financiero 2021'!A102</f>
        <v>Rendimientos por Operaciones Financieras. (Fondo Estupefacientes )</v>
      </c>
      <c r="C91" s="1254">
        <f>MROUND('F Y U 2024 Presupuesto'!C91,1000)</f>
        <v>1000000</v>
      </c>
      <c r="D91" s="924">
        <f t="shared" si="4"/>
        <v>1000000</v>
      </c>
      <c r="E91" s="924"/>
      <c r="F91" s="924"/>
    </row>
    <row r="92" spans="1:13" s="54" customFormat="1" ht="25.5" x14ac:dyDescent="0.25">
      <c r="A92" s="922"/>
      <c r="B92" s="923" t="str">
        <f>+'[3]Plan Financiero 2021'!A103</f>
        <v>Rendimientos por Operaciones Financieras. (Rentas Cedidas )</v>
      </c>
      <c r="C92" s="1254">
        <f>MROUND('F Y U 2024 Presupuesto'!C92,1000)</f>
        <v>2000000</v>
      </c>
      <c r="D92" s="924">
        <f t="shared" si="4"/>
        <v>2000000</v>
      </c>
      <c r="E92" s="924"/>
      <c r="F92" s="924"/>
    </row>
    <row r="93" spans="1:13" s="54" customFormat="1" ht="15" x14ac:dyDescent="0.25">
      <c r="A93" s="922"/>
      <c r="B93" s="923" t="s">
        <v>1126</v>
      </c>
      <c r="C93" s="1254">
        <f>MROUND('F Y U 2024 Presupuesto'!C93,1000)</f>
        <v>13674983000</v>
      </c>
      <c r="D93" s="924">
        <f t="shared" si="4"/>
        <v>13674983000</v>
      </c>
      <c r="E93" s="924"/>
      <c r="F93" s="924"/>
      <c r="G93" s="1264">
        <f>+D93+C39+C40+C42</f>
        <v>36958741000</v>
      </c>
      <c r="H93" s="1265">
        <f>+G93*14%</f>
        <v>5174223740.000001</v>
      </c>
      <c r="I93" s="1265">
        <f>+H93-C39</f>
        <v>-94259.999999046326</v>
      </c>
      <c r="J93" s="53"/>
      <c r="K93" s="53"/>
      <c r="L93" s="53">
        <f>14+46+3</f>
        <v>63</v>
      </c>
      <c r="M93" s="53"/>
    </row>
    <row r="94" spans="1:13" s="54" customFormat="1" ht="15" x14ac:dyDescent="0.25">
      <c r="A94" s="922"/>
      <c r="B94" s="923" t="s">
        <v>1127</v>
      </c>
      <c r="C94" s="1254">
        <f>MROUND('F Y U 2024 Presupuesto'!C94,1000)</f>
        <v>4294347000</v>
      </c>
      <c r="D94" s="924">
        <f t="shared" si="4"/>
        <v>4294347000</v>
      </c>
      <c r="E94" s="924"/>
      <c r="F94" s="924"/>
      <c r="G94" s="1264"/>
      <c r="H94" s="1265">
        <f>+G93*3%</f>
        <v>1108762230</v>
      </c>
      <c r="I94" s="53">
        <f>+H94-C40</f>
        <v>652230</v>
      </c>
      <c r="J94" s="53"/>
      <c r="K94" s="53"/>
      <c r="L94" s="53">
        <f>100-L93</f>
        <v>37</v>
      </c>
      <c r="M94" s="53"/>
    </row>
    <row r="95" spans="1:13" s="54" customFormat="1" ht="15" x14ac:dyDescent="0.25">
      <c r="A95" s="922"/>
      <c r="B95" s="923" t="s">
        <v>1128</v>
      </c>
      <c r="C95" s="1254">
        <f>MROUND('F Y U 2024 Presupuesto'!C95,1000)</f>
        <v>6555523000</v>
      </c>
      <c r="D95" s="924">
        <f t="shared" si="4"/>
        <v>6555523000</v>
      </c>
      <c r="E95" s="924"/>
      <c r="F95" s="924"/>
      <c r="G95" s="1264"/>
      <c r="H95" s="1265">
        <f>+G93*46%</f>
        <v>17001020860</v>
      </c>
      <c r="I95" s="53">
        <f>+H95-C42</f>
        <v>-309140</v>
      </c>
      <c r="J95" s="53"/>
      <c r="K95" s="53"/>
      <c r="L95" s="53"/>
      <c r="M95" s="53"/>
    </row>
    <row r="96" spans="1:13" s="54" customFormat="1" ht="15" x14ac:dyDescent="0.25">
      <c r="A96" s="922"/>
      <c r="B96" s="923" t="s">
        <v>1129</v>
      </c>
      <c r="C96" s="1254">
        <f>MROUND('F Y U 2024 Presupuesto'!C96,1000)</f>
        <v>1039156000</v>
      </c>
      <c r="D96" s="924">
        <f t="shared" si="4"/>
        <v>1039156000</v>
      </c>
      <c r="E96" s="924"/>
      <c r="F96" s="924"/>
      <c r="G96" s="1264"/>
      <c r="H96" s="1265"/>
      <c r="I96" s="53"/>
      <c r="J96" s="53"/>
      <c r="K96" s="53"/>
      <c r="L96" s="53"/>
      <c r="M96" s="53"/>
    </row>
    <row r="97" spans="1:13" ht="15.75" customHeight="1" x14ac:dyDescent="0.25">
      <c r="A97" s="922"/>
      <c r="B97" s="923" t="s">
        <v>1130</v>
      </c>
      <c r="C97" s="1254">
        <f>MROUND('F Y U 2024 Presupuesto'!C97,1000)</f>
        <v>32160000</v>
      </c>
      <c r="D97" s="924">
        <f t="shared" si="4"/>
        <v>32160000</v>
      </c>
      <c r="E97" s="924"/>
      <c r="F97" s="924"/>
      <c r="G97" s="1264"/>
      <c r="H97" s="1265"/>
      <c r="I97" s="41"/>
      <c r="J97" s="41"/>
      <c r="K97" s="41"/>
      <c r="L97" s="41"/>
      <c r="M97" s="41"/>
    </row>
    <row r="98" spans="1:13" s="54" customFormat="1" ht="25.5" x14ac:dyDescent="0.25">
      <c r="A98" s="922"/>
      <c r="B98" s="923" t="s">
        <v>1132</v>
      </c>
      <c r="C98" s="1254">
        <f>MROUND('F Y U 2024 Presupuesto'!C98,1000)</f>
        <v>2874685000</v>
      </c>
      <c r="D98" s="924">
        <f t="shared" si="4"/>
        <v>2874685000</v>
      </c>
      <c r="E98" s="924"/>
      <c r="F98" s="924"/>
      <c r="G98" s="1264"/>
      <c r="H98" s="1265"/>
      <c r="I98" s="53"/>
      <c r="J98" s="53"/>
      <c r="K98" s="53"/>
      <c r="L98" s="53"/>
      <c r="M98" s="53"/>
    </row>
    <row r="99" spans="1:13" ht="15" x14ac:dyDescent="0.25">
      <c r="A99" s="922"/>
      <c r="B99" s="923" t="s">
        <v>1133</v>
      </c>
      <c r="C99" s="1254">
        <f>MROUND('F Y U 2024 Presupuesto'!C99,1000)</f>
        <v>935708000</v>
      </c>
      <c r="D99" s="924">
        <f t="shared" si="4"/>
        <v>935708000</v>
      </c>
      <c r="E99" s="924"/>
      <c r="F99" s="924"/>
      <c r="G99" s="1264"/>
      <c r="H99" s="1265"/>
      <c r="I99" s="41"/>
      <c r="J99" s="41"/>
      <c r="K99" s="41"/>
      <c r="L99" s="41"/>
      <c r="M99" s="41"/>
    </row>
    <row r="100" spans="1:13" ht="15" x14ac:dyDescent="0.25">
      <c r="A100" s="922"/>
      <c r="B100" s="923" t="s">
        <v>1137</v>
      </c>
      <c r="C100" s="1254">
        <f>MROUND('F Y U 2024 Presupuesto'!C100,1000)</f>
        <v>2710326000</v>
      </c>
      <c r="D100" s="924">
        <f t="shared" si="4"/>
        <v>2710326000</v>
      </c>
      <c r="E100" s="924"/>
      <c r="F100" s="924"/>
      <c r="G100" s="1264"/>
      <c r="H100" s="1265"/>
      <c r="I100" s="41"/>
      <c r="J100" s="41"/>
      <c r="K100" s="41"/>
      <c r="L100" s="41"/>
      <c r="M100" s="41"/>
    </row>
    <row r="101" spans="1:13" s="54" customFormat="1" ht="15" x14ac:dyDescent="0.25">
      <c r="A101" s="922"/>
      <c r="B101" s="923" t="s">
        <v>1138</v>
      </c>
      <c r="C101" s="1254">
        <f>MROUND('F Y U 2024 Presupuesto'!C101,1000)</f>
        <v>1496247000</v>
      </c>
      <c r="D101" s="924">
        <f t="shared" si="4"/>
        <v>1496247000</v>
      </c>
      <c r="E101" s="924"/>
      <c r="F101" s="924"/>
      <c r="G101" s="1264"/>
      <c r="H101" s="1265"/>
      <c r="I101" s="53"/>
      <c r="J101" s="53"/>
      <c r="K101" s="53"/>
      <c r="L101" s="53"/>
      <c r="M101" s="53"/>
    </row>
    <row r="102" spans="1:13" ht="15" x14ac:dyDescent="0.25">
      <c r="A102" s="922"/>
      <c r="B102" s="923" t="s">
        <v>1139</v>
      </c>
      <c r="C102" s="1254">
        <f>MROUND('F Y U 2024 Presupuesto'!C102,1000)</f>
        <v>300000000</v>
      </c>
      <c r="D102" s="924">
        <f t="shared" si="4"/>
        <v>300000000</v>
      </c>
      <c r="E102" s="924"/>
      <c r="F102" s="924"/>
      <c r="G102" s="41"/>
      <c r="H102" s="41"/>
      <c r="I102" s="41"/>
      <c r="J102" s="41"/>
      <c r="K102" s="41"/>
      <c r="L102" s="41"/>
      <c r="M102" s="41"/>
    </row>
    <row r="103" spans="1:13" s="54" customFormat="1" ht="15" x14ac:dyDescent="0.25">
      <c r="A103" s="922"/>
      <c r="B103" s="923" t="s">
        <v>1141</v>
      </c>
      <c r="C103" s="1254">
        <f>MROUND('F Y U 2024 Presupuesto'!C103,1000)</f>
        <v>15500000000</v>
      </c>
      <c r="D103" s="924">
        <f t="shared" si="4"/>
        <v>15500000000</v>
      </c>
      <c r="E103" s="924"/>
      <c r="F103" s="924"/>
      <c r="G103" s="53"/>
      <c r="H103" s="53"/>
      <c r="I103" s="53"/>
      <c r="J103" s="53"/>
      <c r="K103" s="53"/>
      <c r="L103" s="53"/>
      <c r="M103" s="53"/>
    </row>
    <row r="104" spans="1:13" s="54" customFormat="1" ht="15" x14ac:dyDescent="0.25">
      <c r="A104" s="922"/>
      <c r="B104" s="923" t="s">
        <v>1821</v>
      </c>
      <c r="C104" s="1254">
        <f>MROUND('F Y U 2024 Presupuesto'!C104,1000)</f>
        <v>5061794000</v>
      </c>
      <c r="D104" s="924">
        <f t="shared" si="4"/>
        <v>5061794000</v>
      </c>
      <c r="E104" s="924"/>
      <c r="F104" s="924"/>
      <c r="G104" s="53"/>
      <c r="H104" s="53"/>
      <c r="I104" s="53"/>
      <c r="J104" s="53"/>
      <c r="K104" s="53"/>
      <c r="L104" s="53"/>
      <c r="M104" s="53"/>
    </row>
    <row r="105" spans="1:13" s="54" customFormat="1" ht="15" x14ac:dyDescent="0.25">
      <c r="A105" s="922" t="s">
        <v>226</v>
      </c>
      <c r="B105" s="923" t="s">
        <v>1143</v>
      </c>
      <c r="C105" s="1254">
        <f>MROUND('F Y U 2024 Presupuesto'!C105,1000)</f>
        <v>2166183000</v>
      </c>
      <c r="D105" s="924">
        <f t="shared" si="4"/>
        <v>2166183000</v>
      </c>
      <c r="E105" s="924"/>
      <c r="F105" s="924"/>
      <c r="G105" s="53"/>
      <c r="H105" s="53"/>
      <c r="I105" s="53"/>
      <c r="J105" s="53"/>
      <c r="K105" s="53"/>
      <c r="L105" s="53"/>
      <c r="M105" s="53"/>
    </row>
    <row r="106" spans="1:13" s="54" customFormat="1" ht="25.5" x14ac:dyDescent="0.25">
      <c r="A106" s="922"/>
      <c r="B106" s="923" t="str">
        <f>+'[3]Plan Financiero 2021'!A127</f>
        <v>IVA Cedido Sobre Licores, Vinos, Aperitivos y Similares</v>
      </c>
      <c r="C106" s="1254">
        <f>MROUND('F Y U 2024 Presupuesto'!C106,1000)</f>
        <v>2874685000</v>
      </c>
      <c r="D106" s="924">
        <f t="shared" si="4"/>
        <v>2874685000</v>
      </c>
      <c r="E106" s="924"/>
      <c r="F106" s="924"/>
      <c r="G106" s="53"/>
      <c r="H106" s="53"/>
      <c r="I106" s="53"/>
      <c r="J106" s="53"/>
      <c r="K106" s="53"/>
      <c r="L106" s="53"/>
      <c r="M106" s="53"/>
    </row>
    <row r="107" spans="1:13" s="54" customFormat="1" ht="15" x14ac:dyDescent="0.25">
      <c r="A107" s="930"/>
      <c r="B107" s="1046" t="s">
        <v>1146</v>
      </c>
      <c r="C107" s="1254">
        <f>MROUND('F Y U 2024 Presupuesto'!C107,1000)</f>
        <v>3963289000</v>
      </c>
      <c r="D107" s="929">
        <f t="shared" si="4"/>
        <v>3963289000</v>
      </c>
      <c r="E107" s="929"/>
      <c r="F107" s="929"/>
      <c r="G107" s="53"/>
      <c r="H107" s="53"/>
      <c r="I107" s="53"/>
      <c r="J107" s="53"/>
      <c r="K107" s="53"/>
      <c r="L107" s="53"/>
      <c r="M107" s="53"/>
    </row>
    <row r="108" spans="1:13" s="54" customFormat="1" ht="18.75" customHeight="1" x14ac:dyDescent="0.25">
      <c r="A108" s="42"/>
      <c r="B108" s="1157" t="s">
        <v>1822</v>
      </c>
      <c r="C108" s="1009">
        <f>SUM(C87:C107)</f>
        <v>71043833000</v>
      </c>
      <c r="D108" s="42"/>
      <c r="E108" s="42"/>
      <c r="F108" s="42"/>
      <c r="G108" s="53">
        <f>+C108+C84</f>
        <v>290333144000</v>
      </c>
      <c r="H108" s="53"/>
      <c r="I108" s="53"/>
      <c r="J108" s="53"/>
      <c r="K108" s="53"/>
      <c r="L108" s="53"/>
      <c r="M108" s="53"/>
    </row>
    <row r="109" spans="1:13" s="54" customFormat="1" x14ac:dyDescent="0.25">
      <c r="A109" s="42"/>
      <c r="B109" s="42"/>
      <c r="C109" s="42"/>
      <c r="D109" s="42"/>
      <c r="E109" s="42"/>
      <c r="F109" s="42"/>
      <c r="G109" s="53"/>
      <c r="H109" s="53"/>
      <c r="I109" s="53"/>
      <c r="J109" s="53"/>
      <c r="K109" s="53"/>
      <c r="L109" s="53"/>
      <c r="M109" s="53"/>
    </row>
    <row r="110" spans="1:13" s="54" customFormat="1" ht="25.5" customHeight="1" x14ac:dyDescent="0.25">
      <c r="A110" s="42"/>
      <c r="B110" s="1667" t="s">
        <v>1065</v>
      </c>
      <c r="C110" s="1668"/>
      <c r="D110" s="42"/>
      <c r="E110" s="42"/>
      <c r="G110" s="53"/>
      <c r="H110" s="53"/>
      <c r="I110" s="53"/>
      <c r="J110" s="53"/>
      <c r="K110" s="53"/>
      <c r="L110" s="53"/>
      <c r="M110" s="53"/>
    </row>
    <row r="111" spans="1:13" s="54" customFormat="1" ht="25.5" x14ac:dyDescent="0.25">
      <c r="A111" s="933">
        <v>27</v>
      </c>
      <c r="B111" s="923" t="s">
        <v>1066</v>
      </c>
      <c r="C111" s="1254">
        <f>MROUND('F Y U 2024 Presupuesto'!C111,1000)</f>
        <v>4052617000</v>
      </c>
      <c r="D111" s="924">
        <f>+C111</f>
        <v>4052617000</v>
      </c>
      <c r="E111" s="935"/>
      <c r="F111" s="935"/>
    </row>
    <row r="112" spans="1:13" s="54" customFormat="1" ht="25.5" x14ac:dyDescent="0.25">
      <c r="A112" s="936"/>
      <c r="B112" s="1157" t="s">
        <v>1823</v>
      </c>
      <c r="C112" s="1009">
        <f>+C111</f>
        <v>4052617000</v>
      </c>
      <c r="D112" s="42"/>
      <c r="E112" s="42"/>
      <c r="F112" s="42"/>
    </row>
    <row r="113" spans="1:16" s="54" customFormat="1" x14ac:dyDescent="0.25">
      <c r="A113" s="936"/>
      <c r="B113" s="936"/>
      <c r="C113" s="936"/>
      <c r="D113" s="42"/>
      <c r="E113" s="42"/>
      <c r="F113" s="42"/>
    </row>
    <row r="114" spans="1:16" s="54" customFormat="1" x14ac:dyDescent="0.25">
      <c r="A114" s="936"/>
      <c r="B114" s="1667" t="s">
        <v>961</v>
      </c>
      <c r="C114" s="1668"/>
      <c r="D114" s="924"/>
      <c r="E114" s="924"/>
      <c r="F114" s="924"/>
    </row>
    <row r="115" spans="1:16" s="54" customFormat="1" ht="25.5" x14ac:dyDescent="0.25">
      <c r="A115" s="923"/>
      <c r="B115" s="923" t="s">
        <v>1149</v>
      </c>
      <c r="C115" s="1254">
        <f>MROUND('F Y U 2024 Presupuesto'!C115,1000)</f>
        <v>2461968000</v>
      </c>
      <c r="D115" s="924">
        <f>+C115</f>
        <v>2461968000</v>
      </c>
      <c r="E115" s="924"/>
      <c r="F115" s="924"/>
    </row>
    <row r="116" spans="1:16" s="54" customFormat="1" ht="21" customHeight="1" x14ac:dyDescent="0.25">
      <c r="A116" s="923"/>
      <c r="B116" s="1157" t="s">
        <v>1824</v>
      </c>
      <c r="C116" s="1009">
        <f>+C115</f>
        <v>2461968000</v>
      </c>
      <c r="D116" s="924"/>
      <c r="E116" s="924"/>
      <c r="F116" s="924"/>
    </row>
    <row r="117" spans="1:16" s="54" customFormat="1" x14ac:dyDescent="0.25">
      <c r="A117" s="42"/>
      <c r="B117" s="42"/>
      <c r="C117" s="42"/>
      <c r="E117" s="924"/>
      <c r="F117" s="924"/>
    </row>
    <row r="118" spans="1:16" s="54" customFormat="1" ht="24" customHeight="1" x14ac:dyDescent="0.25">
      <c r="A118" s="1677" t="s">
        <v>1825</v>
      </c>
      <c r="B118" s="1678"/>
      <c r="C118" s="1009">
        <f>+C84+C108+C112+C116</f>
        <v>296847729000</v>
      </c>
      <c r="D118" s="1009">
        <f>SUM(D75:D116)</f>
        <v>296847729000</v>
      </c>
      <c r="E118" s="924"/>
      <c r="F118" s="924"/>
    </row>
    <row r="119" spans="1:16" s="54" customFormat="1" x14ac:dyDescent="0.25">
      <c r="A119" s="88"/>
      <c r="B119" s="88"/>
      <c r="C119" s="88"/>
      <c r="D119" s="88"/>
      <c r="E119" s="88"/>
      <c r="F119" s="88"/>
    </row>
    <row r="120" spans="1:16" s="54" customFormat="1" ht="36" customHeight="1" x14ac:dyDescent="0.25">
      <c r="A120" s="1677" t="s">
        <v>1826</v>
      </c>
      <c r="B120" s="1678"/>
      <c r="C120" s="1009">
        <f>+C118+C52+C71</f>
        <v>508273313000</v>
      </c>
      <c r="D120" s="1155">
        <f>+D118+D52+D71</f>
        <v>323482237000</v>
      </c>
      <c r="E120" s="1155">
        <f>+E118+E52+E71</f>
        <v>54570901000</v>
      </c>
      <c r="F120" s="1155">
        <f>+F118+F52+F71</f>
        <v>129923488000</v>
      </c>
      <c r="G120" s="53">
        <f>D120+E120+F120</f>
        <v>507976626000</v>
      </c>
      <c r="H120" s="54">
        <f>C120-G120</f>
        <v>296687000</v>
      </c>
      <c r="M120" s="1680" t="s">
        <v>3251</v>
      </c>
      <c r="N120" s="1680"/>
      <c r="O120" s="1680"/>
      <c r="P120" s="1680"/>
    </row>
    <row r="121" spans="1:16" s="54" customFormat="1" x14ac:dyDescent="0.25">
      <c r="A121" s="42"/>
      <c r="B121" s="1679"/>
      <c r="C121" s="1679"/>
      <c r="D121" s="73"/>
      <c r="E121" s="73"/>
      <c r="F121" s="74"/>
      <c r="G121" s="53"/>
      <c r="M121" s="53">
        <v>1</v>
      </c>
      <c r="N121" s="53">
        <f>5730450*1.2</f>
        <v>6876540</v>
      </c>
      <c r="O121" s="53">
        <f>+M121*N121</f>
        <v>6876540</v>
      </c>
      <c r="P121" s="53">
        <f>+O121*1.76</f>
        <v>12102710.4</v>
      </c>
    </row>
    <row r="122" spans="1:16" s="54" customFormat="1" ht="15" x14ac:dyDescent="0.25">
      <c r="A122" s="42"/>
      <c r="B122" s="972" t="s">
        <v>1827</v>
      </c>
      <c r="C122" s="1255">
        <f>ROUND(F120*0.01,0)</f>
        <v>1299234880</v>
      </c>
      <c r="E122" s="54">
        <v>508273313000</v>
      </c>
      <c r="F122" s="74">
        <f>157753937382+11236130587+338283245031</f>
        <v>507273313000</v>
      </c>
      <c r="G122" s="53">
        <f>+E122-F122</f>
        <v>1000000000</v>
      </c>
      <c r="M122" s="53">
        <v>1</v>
      </c>
      <c r="N122" s="53">
        <f>5535226*1.2</f>
        <v>6642271.2000000002</v>
      </c>
      <c r="O122" s="53">
        <f t="shared" ref="O122:O125" si="5">+M122*N122</f>
        <v>6642271.2000000002</v>
      </c>
      <c r="P122" s="53">
        <f t="shared" ref="P122:P125" si="6">+O122*1.76</f>
        <v>11690397.312000001</v>
      </c>
    </row>
    <row r="123" spans="1:16" s="54" customFormat="1" ht="30" x14ac:dyDescent="0.25">
      <c r="A123" s="42"/>
      <c r="B123" s="973" t="s">
        <v>1828</v>
      </c>
      <c r="C123" s="1256">
        <f>ROUND(F120*0.01,0)</f>
        <v>1299234880</v>
      </c>
      <c r="E123" s="54">
        <v>5168301321</v>
      </c>
      <c r="F123" s="1161"/>
      <c r="G123" s="53"/>
      <c r="M123" s="53">
        <v>3</v>
      </c>
      <c r="N123" s="53">
        <f>1.2*4789477</f>
        <v>5747372.3999999994</v>
      </c>
      <c r="O123" s="53">
        <f t="shared" si="5"/>
        <v>17242117.199999999</v>
      </c>
      <c r="P123" s="53">
        <f t="shared" si="6"/>
        <v>30346126.272</v>
      </c>
    </row>
    <row r="124" spans="1:16" s="54" customFormat="1" ht="30" x14ac:dyDescent="0.25">
      <c r="A124" s="42"/>
      <c r="B124" s="972" t="s">
        <v>1829</v>
      </c>
      <c r="C124" s="1255">
        <f>ROUND(F120*0.007,0)</f>
        <v>909464416</v>
      </c>
      <c r="E124" s="54">
        <v>8523050371</v>
      </c>
      <c r="F124" s="74"/>
      <c r="G124" s="53"/>
      <c r="M124" s="53">
        <v>1</v>
      </c>
      <c r="N124" s="53">
        <f>1.2*6500000</f>
        <v>7800000</v>
      </c>
      <c r="O124" s="53">
        <f t="shared" si="5"/>
        <v>7800000</v>
      </c>
      <c r="P124" s="53">
        <f t="shared" si="6"/>
        <v>13728000</v>
      </c>
    </row>
    <row r="125" spans="1:16" s="54" customFormat="1" ht="15" x14ac:dyDescent="0.25">
      <c r="A125" s="42"/>
      <c r="B125" s="973" t="s">
        <v>1830</v>
      </c>
      <c r="C125" s="1256">
        <f>1.2*1627500000</f>
        <v>1953000000</v>
      </c>
      <c r="E125" s="54">
        <f>SUM(E122:E124)</f>
        <v>521964664692</v>
      </c>
      <c r="F125" s="1162"/>
      <c r="G125" s="53"/>
      <c r="M125" s="53">
        <v>1</v>
      </c>
      <c r="N125" s="53">
        <f>1.2*3555691</f>
        <v>4266829.2</v>
      </c>
      <c r="O125" s="53">
        <f t="shared" si="5"/>
        <v>4266829.2</v>
      </c>
      <c r="P125" s="53">
        <f t="shared" si="6"/>
        <v>7509619.392</v>
      </c>
    </row>
    <row r="126" spans="1:16" s="54" customFormat="1" ht="15" x14ac:dyDescent="0.25">
      <c r="A126" s="42"/>
      <c r="B126" s="972" t="s">
        <v>1831</v>
      </c>
      <c r="C126" s="1255">
        <f>ROUND(F52*0.1,0)</f>
        <v>12941348800</v>
      </c>
      <c r="F126" s="74"/>
      <c r="G126" s="53"/>
      <c r="M126" s="53"/>
      <c r="N126" s="53"/>
      <c r="O126" s="53"/>
      <c r="P126" s="53">
        <f>SUM(P121:P125)</f>
        <v>75376853.376000002</v>
      </c>
    </row>
    <row r="127" spans="1:16" x14ac:dyDescent="0.25">
      <c r="B127" s="1660"/>
      <c r="C127" s="1661"/>
      <c r="D127" s="1163"/>
      <c r="E127" s="411"/>
      <c r="F127" s="77"/>
      <c r="G127" s="41"/>
      <c r="K127" s="54"/>
      <c r="L127" s="54"/>
      <c r="M127" s="41"/>
      <c r="N127" s="41"/>
      <c r="O127" s="41"/>
      <c r="P127" s="41">
        <f>+P126*13</f>
        <v>979899093.88800001</v>
      </c>
    </row>
    <row r="128" spans="1:16" ht="22.5" customHeight="1" x14ac:dyDescent="0.25">
      <c r="B128" s="1160" t="s">
        <v>970</v>
      </c>
      <c r="C128" s="1010" t="s">
        <v>971</v>
      </c>
      <c r="D128" s="1010" t="s">
        <v>956</v>
      </c>
      <c r="E128" s="411"/>
      <c r="F128" s="124"/>
      <c r="G128" s="41"/>
      <c r="K128" s="54"/>
      <c r="L128" s="54"/>
      <c r="M128" s="41"/>
      <c r="N128" s="41"/>
      <c r="O128" s="41"/>
      <c r="P128" s="41"/>
    </row>
    <row r="129" spans="2:12" ht="15" x14ac:dyDescent="0.25">
      <c r="B129" s="921" t="s">
        <v>972</v>
      </c>
      <c r="C129" s="1257">
        <f>+F120-C122-C124-C126-C123-C125</f>
        <v>111521205024</v>
      </c>
      <c r="D129" s="956">
        <v>1</v>
      </c>
      <c r="E129" s="411"/>
      <c r="F129" s="41">
        <f>C129*3.7%</f>
        <v>4126284585.8880005</v>
      </c>
      <c r="G129" s="41"/>
      <c r="K129" s="54"/>
      <c r="L129" s="54"/>
    </row>
    <row r="130" spans="2:12" ht="15" x14ac:dyDescent="0.25">
      <c r="B130" s="921" t="s">
        <v>973</v>
      </c>
      <c r="C130" s="1257">
        <f>+(C129*0.7)</f>
        <v>78064843516.799988</v>
      </c>
      <c r="D130" s="956">
        <f>+C130/$C$129</f>
        <v>0.69999999999999984</v>
      </c>
      <c r="E130" s="411"/>
      <c r="F130" s="41">
        <f>F129-C136</f>
        <v>18870000.000000477</v>
      </c>
      <c r="G130" s="41">
        <f>F71*3.7%</f>
        <v>18870000.000000004</v>
      </c>
      <c r="K130" s="54"/>
      <c r="L130" s="54"/>
    </row>
    <row r="131" spans="2:12" ht="15" x14ac:dyDescent="0.25">
      <c r="B131" s="937" t="s">
        <v>974</v>
      </c>
      <c r="C131" s="1258">
        <f>+C129-C130</f>
        <v>33456361507.200012</v>
      </c>
      <c r="D131" s="957">
        <f t="shared" ref="D131" si="7">+C131/$C$129</f>
        <v>0.3000000000000001</v>
      </c>
      <c r="E131" s="411"/>
      <c r="F131" s="41"/>
      <c r="G131" s="41"/>
      <c r="K131" s="54"/>
      <c r="L131" s="54"/>
    </row>
    <row r="132" spans="2:12" x14ac:dyDescent="0.25">
      <c r="B132" s="1662"/>
      <c r="C132" s="1663"/>
      <c r="D132" s="1164"/>
      <c r="E132" s="73"/>
      <c r="F132" s="74"/>
      <c r="G132" s="41"/>
      <c r="K132" s="54"/>
      <c r="L132" s="54"/>
    </row>
    <row r="133" spans="2:12" ht="22.5" customHeight="1" x14ac:dyDescent="0.25">
      <c r="B133" s="1673" t="s">
        <v>1832</v>
      </c>
      <c r="C133" s="1673"/>
      <c r="D133" s="73"/>
      <c r="E133" s="73"/>
      <c r="F133" s="74"/>
      <c r="G133" s="41"/>
      <c r="K133" s="54"/>
      <c r="L133" s="54"/>
    </row>
    <row r="134" spans="2:12" ht="21" customHeight="1" x14ac:dyDescent="0.25">
      <c r="B134" s="921" t="s">
        <v>1833</v>
      </c>
      <c r="C134" s="1259">
        <f>11236130586.506-C46</f>
        <v>8365020586.5060005</v>
      </c>
      <c r="D134" s="411"/>
      <c r="E134" s="1165" t="s">
        <v>1834</v>
      </c>
      <c r="F134" s="74"/>
      <c r="K134" s="54"/>
      <c r="L134" s="54"/>
    </row>
    <row r="135" spans="2:12" ht="21" customHeight="1" x14ac:dyDescent="0.25">
      <c r="B135" s="921" t="s">
        <v>1835</v>
      </c>
      <c r="C135" s="1259">
        <v>4668913388</v>
      </c>
      <c r="D135" s="411"/>
      <c r="E135" s="1165" t="s">
        <v>1836</v>
      </c>
      <c r="F135" s="74"/>
      <c r="K135" s="54"/>
      <c r="L135" s="54"/>
    </row>
    <row r="136" spans="2:12" ht="21" customHeight="1" x14ac:dyDescent="0.25">
      <c r="B136" s="937" t="s">
        <v>1837</v>
      </c>
      <c r="C136" s="970">
        <f>(F52-C123-C126-C124-C125-C122)*0.037</f>
        <v>4107414585.888</v>
      </c>
      <c r="D136" s="1166" t="s">
        <v>1838</v>
      </c>
      <c r="E136" s="1166" t="s">
        <v>1839</v>
      </c>
      <c r="F136" s="74"/>
    </row>
    <row r="137" spans="2:12" ht="15" x14ac:dyDescent="0.25">
      <c r="B137" s="921" t="s">
        <v>1841</v>
      </c>
      <c r="C137" s="970">
        <f>+C131-C134-C135-C136+E163+5000000000-F163+1428615287-G163</f>
        <v>27388676551.006027</v>
      </c>
      <c r="D137" s="411"/>
      <c r="E137" s="85"/>
      <c r="F137" s="74"/>
    </row>
    <row r="138" spans="2:12" x14ac:dyDescent="0.25">
      <c r="B138" s="1167" t="s">
        <v>1773</v>
      </c>
      <c r="C138" s="1011">
        <f>+C134+C135+C136+C137</f>
        <v>44530025111.400024</v>
      </c>
      <c r="D138" s="411"/>
      <c r="E138" s="411"/>
      <c r="F138" s="422"/>
    </row>
    <row r="139" spans="2:12" x14ac:dyDescent="0.25">
      <c r="B139" s="1669"/>
      <c r="C139" s="1669"/>
      <c r="D139" s="73"/>
      <c r="E139" s="73"/>
      <c r="F139" s="74"/>
    </row>
    <row r="140" spans="2:12" ht="24.75" customHeight="1" x14ac:dyDescent="0.25">
      <c r="B140" s="1670" t="s">
        <v>1842</v>
      </c>
      <c r="C140" s="1670"/>
      <c r="D140" s="124"/>
      <c r="E140" s="124"/>
      <c r="F140" s="124"/>
    </row>
    <row r="141" spans="2:12" ht="15" customHeight="1" x14ac:dyDescent="0.25">
      <c r="B141" s="940" t="s">
        <v>1843</v>
      </c>
      <c r="C141" s="1260">
        <f>+C135</f>
        <v>4668913388</v>
      </c>
      <c r="D141" s="73"/>
      <c r="E141" s="73"/>
      <c r="F141" s="74"/>
    </row>
    <row r="142" spans="2:12" ht="15" customHeight="1" x14ac:dyDescent="0.25">
      <c r="B142" s="937" t="s">
        <v>1844</v>
      </c>
      <c r="C142" s="1258">
        <f>+C136</f>
        <v>4107414585.888</v>
      </c>
      <c r="D142" s="411"/>
      <c r="E142" s="411"/>
      <c r="F142" s="74"/>
    </row>
    <row r="143" spans="2:12" ht="26.25" customHeight="1" x14ac:dyDescent="0.25">
      <c r="B143" s="921" t="s">
        <v>1845</v>
      </c>
      <c r="C143" s="1257">
        <f>+E43</f>
        <v>681193000</v>
      </c>
      <c r="D143" s="1168"/>
      <c r="E143" s="411"/>
      <c r="F143" s="74"/>
    </row>
    <row r="144" spans="2:12" ht="26.25" customHeight="1" x14ac:dyDescent="0.25">
      <c r="B144" s="1004" t="s">
        <v>3221</v>
      </c>
      <c r="C144" s="1270">
        <v>2538098716</v>
      </c>
      <c r="D144" s="73"/>
      <c r="E144" s="411"/>
      <c r="F144" s="74"/>
    </row>
    <row r="145" spans="1:8" ht="26.25" customHeight="1" x14ac:dyDescent="0.25">
      <c r="B145" s="937" t="s">
        <v>1847</v>
      </c>
      <c r="C145" s="1271">
        <f>51589822235+296687000</f>
        <v>51886509235</v>
      </c>
      <c r="D145" s="411"/>
      <c r="E145" s="411"/>
      <c r="F145" s="74"/>
      <c r="G145" s="938"/>
    </row>
    <row r="146" spans="1:8" ht="26.25" customHeight="1" x14ac:dyDescent="0.25">
      <c r="B146" s="1002" t="s">
        <v>3250</v>
      </c>
      <c r="C146" s="1270">
        <v>7000000000</v>
      </c>
      <c r="D146" s="411"/>
      <c r="E146" s="411"/>
      <c r="F146" s="74"/>
      <c r="G146" s="1253"/>
    </row>
    <row r="147" spans="1:8" ht="15" customHeight="1" x14ac:dyDescent="0.25">
      <c r="B147" s="1002" t="s">
        <v>1848</v>
      </c>
      <c r="C147" s="1272">
        <f>+(1969382468*1.2)+2500000000+1000000000</f>
        <v>5863258961.6000004</v>
      </c>
      <c r="D147" s="1169"/>
      <c r="E147" s="423"/>
      <c r="F147" s="74"/>
    </row>
    <row r="148" spans="1:8" ht="15.75" customHeight="1" x14ac:dyDescent="0.25">
      <c r="B148" s="1004" t="s">
        <v>1849</v>
      </c>
      <c r="C148" s="1262">
        <f>+'Salud 2024 '!F25</f>
        <v>10015793400</v>
      </c>
      <c r="D148" s="411"/>
      <c r="E148" s="423"/>
      <c r="F148" s="74"/>
    </row>
    <row r="149" spans="1:8" ht="25.5" x14ac:dyDescent="0.25">
      <c r="B149" s="921" t="s">
        <v>1850</v>
      </c>
      <c r="C149" s="1263">
        <f>+E14+E22+E24+E30+E55+E59+E60+E66+E69+E37+E36+E54</f>
        <v>25968006000</v>
      </c>
      <c r="D149" s="1170"/>
      <c r="E149" s="423"/>
      <c r="F149" s="74"/>
    </row>
    <row r="150" spans="1:8" ht="15" customHeight="1" x14ac:dyDescent="0.25">
      <c r="B150" s="937" t="s">
        <v>1851</v>
      </c>
      <c r="C150" s="1261">
        <f>+C126+C124+C122+C125</f>
        <v>17103048096</v>
      </c>
      <c r="D150" s="1171"/>
      <c r="E150" s="413"/>
      <c r="F150" s="74"/>
    </row>
    <row r="151" spans="1:8" ht="15" customHeight="1" x14ac:dyDescent="0.25">
      <c r="B151" s="921" t="s">
        <v>1852</v>
      </c>
      <c r="C151" s="1263">
        <f>+E11+E15+E23+E31+E33+E40+E13+C41</f>
        <v>27921702000</v>
      </c>
      <c r="D151" s="1170"/>
      <c r="E151" s="85"/>
      <c r="F151" s="74"/>
      <c r="H151" s="1150"/>
    </row>
    <row r="152" spans="1:8" x14ac:dyDescent="0.25">
      <c r="B152" s="1172" t="s">
        <v>1853</v>
      </c>
      <c r="C152" s="1012">
        <f>+C141+C142+C145+C150+C151+C143+C149+C147+C148+C144+C146</f>
        <v>157753937382.48801</v>
      </c>
      <c r="D152" s="381"/>
      <c r="E152" s="87"/>
      <c r="F152" s="88"/>
    </row>
    <row r="153" spans="1:8" x14ac:dyDescent="0.25">
      <c r="B153" s="1671"/>
      <c r="C153" s="1671"/>
      <c r="D153" s="73"/>
      <c r="E153" s="73"/>
      <c r="F153" s="74"/>
    </row>
    <row r="154" spans="1:8" x14ac:dyDescent="0.25">
      <c r="B154" s="1172" t="s">
        <v>1854</v>
      </c>
      <c r="C154" s="1012">
        <f>C156+C155</f>
        <v>11236130586.506001</v>
      </c>
      <c r="D154" s="87"/>
      <c r="E154" s="87"/>
      <c r="F154" s="88"/>
    </row>
    <row r="155" spans="1:8" ht="15" x14ac:dyDescent="0.25">
      <c r="B155" s="937" t="s">
        <v>1855</v>
      </c>
      <c r="C155" s="1258">
        <f>+C46</f>
        <v>2871110000</v>
      </c>
      <c r="D155" s="87"/>
      <c r="E155" s="409"/>
      <c r="F155" s="88"/>
    </row>
    <row r="156" spans="1:8" ht="15" x14ac:dyDescent="0.25">
      <c r="B156" s="921" t="s">
        <v>1856</v>
      </c>
      <c r="C156" s="1260">
        <f>C134</f>
        <v>8365020586.5060005</v>
      </c>
      <c r="D156" s="87"/>
      <c r="E156" s="87"/>
      <c r="F156" s="88"/>
    </row>
    <row r="157" spans="1:8" x14ac:dyDescent="0.25">
      <c r="B157" s="1172" t="s">
        <v>1857</v>
      </c>
      <c r="D157" s="73"/>
      <c r="E157" s="73"/>
      <c r="F157" s="74"/>
    </row>
    <row r="158" spans="1:8" x14ac:dyDescent="0.25">
      <c r="B158" s="942" t="s">
        <v>1858</v>
      </c>
      <c r="C158" s="943">
        <f>+C137+C122</f>
        <v>28687911431.006027</v>
      </c>
      <c r="D158" s="411"/>
      <c r="E158" s="73"/>
      <c r="F158" s="74"/>
    </row>
    <row r="159" spans="1:8" x14ac:dyDescent="0.25">
      <c r="A159" s="941"/>
      <c r="B159" s="77" t="s">
        <v>1859</v>
      </c>
      <c r="C159" s="943">
        <f>+D12+D21+D25+D26+D27+D28+D29+D39+D44+D51+D58+D61+D62+D63+D64+D65+D67+D68+C115+C111+D45</f>
        <v>30277983000</v>
      </c>
      <c r="D159" s="411"/>
      <c r="E159" s="73"/>
      <c r="F159" s="74"/>
    </row>
    <row r="160" spans="1:8" ht="15" x14ac:dyDescent="0.25">
      <c r="B160" s="942" t="s">
        <v>1860</v>
      </c>
      <c r="C160" s="944">
        <f>+D76+D77+D78+D79+D80+D81+D82+D83+D87+D88+D89+D90+D91+D92+D93+D94+D95+D96+D97+D98+D99+D100+D101+D102+D103+D104+D105+D106+D107-C148</f>
        <v>280317350600</v>
      </c>
      <c r="D160" s="411"/>
      <c r="E160" s="413"/>
      <c r="F160" s="74"/>
    </row>
    <row r="161" spans="2:7" x14ac:dyDescent="0.25">
      <c r="B161" s="1172" t="s">
        <v>1861</v>
      </c>
      <c r="C161" s="1012">
        <f>+C160+C159+C158</f>
        <v>339283245031.00604</v>
      </c>
      <c r="D161" s="409"/>
      <c r="E161" s="409"/>
      <c r="F161" s="88"/>
    </row>
    <row r="162" spans="2:7" x14ac:dyDescent="0.25">
      <c r="B162" s="1672"/>
      <c r="C162" s="1672"/>
      <c r="D162" s="409"/>
      <c r="E162" s="1173"/>
      <c r="F162" s="88"/>
    </row>
    <row r="163" spans="2:7" x14ac:dyDescent="0.25">
      <c r="B163" s="1172" t="s">
        <v>1862</v>
      </c>
      <c r="C163" s="1012">
        <f>C161+C154+C152</f>
        <v>508273313000</v>
      </c>
      <c r="D163" s="409"/>
      <c r="E163" s="1252">
        <v>10475258063.809999</v>
      </c>
      <c r="F163" s="41">
        <v>5602359746.6099854</v>
      </c>
      <c r="G163" s="41">
        <v>227850000</v>
      </c>
    </row>
    <row r="164" spans="2:7" x14ac:dyDescent="0.25">
      <c r="B164" s="77"/>
      <c r="C164" s="88"/>
      <c r="D164" s="411"/>
      <c r="E164" s="411"/>
      <c r="F164" s="74"/>
    </row>
    <row r="165" spans="2:7" x14ac:dyDescent="0.25">
      <c r="C165" s="433"/>
    </row>
    <row r="166" spans="2:7" x14ac:dyDescent="0.25">
      <c r="B166" s="1666" t="s">
        <v>3222</v>
      </c>
      <c r="C166" s="1666"/>
      <c r="D166" s="1666"/>
    </row>
    <row r="167" spans="2:7" x14ac:dyDescent="0.25">
      <c r="B167" s="1160" t="s">
        <v>970</v>
      </c>
      <c r="C167" s="1010" t="s">
        <v>971</v>
      </c>
      <c r="D167" s="1010" t="s">
        <v>956</v>
      </c>
    </row>
    <row r="168" spans="2:7" ht="15" x14ac:dyDescent="0.25">
      <c r="B168" s="921" t="s">
        <v>972</v>
      </c>
      <c r="C168" s="1257">
        <f>+C129</f>
        <v>111521205024</v>
      </c>
      <c r="D168" s="956">
        <v>1</v>
      </c>
    </row>
    <row r="169" spans="2:7" ht="15" x14ac:dyDescent="0.25">
      <c r="B169" s="921" t="s">
        <v>973</v>
      </c>
      <c r="C169" s="1257">
        <f>+C145+C147+C144+C146</f>
        <v>67287866912.599998</v>
      </c>
      <c r="D169" s="956">
        <f>+C169/$C$129</f>
        <v>0.60336387952514736</v>
      </c>
    </row>
    <row r="170" spans="2:7" ht="15" x14ac:dyDescent="0.25">
      <c r="B170" s="937" t="s">
        <v>974</v>
      </c>
      <c r="C170" s="1258">
        <f>+C134+C135+C136+C137</f>
        <v>44530025111.400024</v>
      </c>
      <c r="D170" s="957">
        <f t="shared" ref="D170" si="8">+C170/$C$129</f>
        <v>0.39929648448308025</v>
      </c>
    </row>
    <row r="173" spans="2:7" ht="12.75" customHeight="1" x14ac:dyDescent="0.25"/>
    <row r="176" spans="2:7" x14ac:dyDescent="0.25">
      <c r="B176" s="1273"/>
      <c r="C176" s="41"/>
    </row>
    <row r="177" spans="2:3" x14ac:dyDescent="0.25">
      <c r="B177" s="1273" t="s">
        <v>3252</v>
      </c>
      <c r="C177" s="41">
        <f>+C145</f>
        <v>51886509235</v>
      </c>
    </row>
    <row r="178" spans="2:3" x14ac:dyDescent="0.25">
      <c r="B178" s="1273" t="s">
        <v>3253</v>
      </c>
      <c r="C178" s="41">
        <f>+C147</f>
        <v>5863258961.6000004</v>
      </c>
    </row>
    <row r="179" spans="2:3" x14ac:dyDescent="0.25">
      <c r="B179" s="1273" t="s">
        <v>3254</v>
      </c>
      <c r="C179" s="41">
        <f>+C146</f>
        <v>7000000000</v>
      </c>
    </row>
    <row r="180" spans="2:3" x14ac:dyDescent="0.25">
      <c r="B180" s="1273" t="s">
        <v>3255</v>
      </c>
      <c r="C180" s="41">
        <f>+C144</f>
        <v>2538098716</v>
      </c>
    </row>
    <row r="181" spans="2:3" x14ac:dyDescent="0.25">
      <c r="B181" s="1273" t="s">
        <v>3256</v>
      </c>
      <c r="C181" s="41">
        <f>+C142</f>
        <v>4107414585.888</v>
      </c>
    </row>
    <row r="182" spans="2:3" x14ac:dyDescent="0.25">
      <c r="B182" s="1273" t="s">
        <v>3257</v>
      </c>
      <c r="C182" s="41">
        <f>+C135</f>
        <v>4668913388</v>
      </c>
    </row>
    <row r="183" spans="2:3" x14ac:dyDescent="0.25">
      <c r="B183" s="1273" t="s">
        <v>3258</v>
      </c>
      <c r="C183" s="41">
        <f>+C122+C124+C125+C126</f>
        <v>17103048096</v>
      </c>
    </row>
    <row r="184" spans="2:3" x14ac:dyDescent="0.25">
      <c r="B184" s="1273" t="s">
        <v>3259</v>
      </c>
      <c r="C184" s="41">
        <f>SUM(C177:C183)</f>
        <v>93167242982.487991</v>
      </c>
    </row>
    <row r="185" spans="2:3" x14ac:dyDescent="0.25">
      <c r="B185" s="1273" t="s">
        <v>3260</v>
      </c>
      <c r="C185" s="41">
        <f>+C156</f>
        <v>8365020586.5060005</v>
      </c>
    </row>
    <row r="186" spans="2:3" x14ac:dyDescent="0.25">
      <c r="B186" s="1273" t="s">
        <v>3261</v>
      </c>
      <c r="C186" s="41">
        <f>+C184+C185</f>
        <v>101532263568.99399</v>
      </c>
    </row>
    <row r="187" spans="2:3" x14ac:dyDescent="0.25">
      <c r="B187" s="1273" t="s">
        <v>3262</v>
      </c>
      <c r="C187" s="41">
        <f>+C186-F120</f>
        <v>-28391224431.006012</v>
      </c>
    </row>
    <row r="188" spans="2:3" x14ac:dyDescent="0.25">
      <c r="B188" s="1273"/>
      <c r="C188" s="41">
        <f>+C158</f>
        <v>28687911431.006027</v>
      </c>
    </row>
  </sheetData>
  <autoFilter ref="A6:XFC52" xr:uid="{00000000-0009-0000-0000-000004000000}"/>
  <mergeCells count="24">
    <mergeCell ref="A52:B52"/>
    <mergeCell ref="M120:P120"/>
    <mergeCell ref="A2:F2"/>
    <mergeCell ref="A3:F3"/>
    <mergeCell ref="A4:F4"/>
    <mergeCell ref="A5:F5"/>
    <mergeCell ref="G8:G9"/>
    <mergeCell ref="B133:C133"/>
    <mergeCell ref="A71:B71"/>
    <mergeCell ref="B73:C73"/>
    <mergeCell ref="B75:C75"/>
    <mergeCell ref="B86:C86"/>
    <mergeCell ref="B110:C110"/>
    <mergeCell ref="B114:C114"/>
    <mergeCell ref="A118:B118"/>
    <mergeCell ref="A120:B120"/>
    <mergeCell ref="B121:C121"/>
    <mergeCell ref="B127:C127"/>
    <mergeCell ref="B132:C132"/>
    <mergeCell ref="B139:C139"/>
    <mergeCell ref="B140:C140"/>
    <mergeCell ref="B153:C153"/>
    <mergeCell ref="B162:C162"/>
    <mergeCell ref="B166:D16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BDB65-887C-44A3-85B1-8F648B3A485A}">
  <sheetPr filterMode="1">
    <tabColor rgb="FFFF0000"/>
  </sheetPr>
  <dimension ref="A2:XEO145"/>
  <sheetViews>
    <sheetView zoomScale="85" zoomScaleNormal="85" workbookViewId="0">
      <pane xSplit="2" ySplit="5" topLeftCell="C108" activePane="bottomRight" state="frozen"/>
      <selection pane="topRight" activeCell="C1" sqref="C1"/>
      <selection pane="bottomLeft" activeCell="A6" sqref="A6"/>
      <selection pane="bottomRight" activeCell="D68" sqref="D68"/>
    </sheetView>
  </sheetViews>
  <sheetFormatPr baseColWidth="10" defaultColWidth="11.42578125" defaultRowHeight="12.75" x14ac:dyDescent="0.25"/>
  <cols>
    <col min="1" max="1" width="11.42578125" style="42"/>
    <col min="2" max="2" width="35.5703125" style="95" customWidth="1"/>
    <col min="3" max="3" width="17.85546875" style="42" hidden="1" customWidth="1"/>
    <col min="4" max="4" width="19" style="42" bestFit="1" customWidth="1"/>
    <col min="5" max="5" width="27" style="42" hidden="1" customWidth="1"/>
    <col min="6" max="6" width="19.140625" style="42" hidden="1" customWidth="1"/>
    <col min="7" max="7" width="16.140625" style="1519" hidden="1" customWidth="1"/>
    <col min="8" max="8" width="27.28515625" style="42" hidden="1" customWidth="1"/>
    <col min="9" max="9" width="19.28515625" style="648" hidden="1" customWidth="1"/>
    <col min="10" max="10" width="14.140625" style="42" hidden="1" customWidth="1"/>
    <col min="11" max="11" width="25.140625" style="42" hidden="1" customWidth="1"/>
    <col min="12" max="12" width="15.140625" style="42" hidden="1" customWidth="1"/>
    <col min="13" max="14" width="11.42578125" style="42" hidden="1" customWidth="1"/>
    <col min="15" max="15" width="13.140625" style="42" hidden="1" customWidth="1"/>
    <col min="16" max="16" width="13.5703125" style="42" hidden="1" customWidth="1"/>
    <col min="17" max="17" width="11.42578125" style="42" hidden="1" customWidth="1"/>
    <col min="18" max="19" width="13.140625" style="42" hidden="1" customWidth="1"/>
    <col min="20" max="21" width="11.42578125" style="42" hidden="1" customWidth="1"/>
    <col min="22" max="22" width="32.5703125" style="42" hidden="1" customWidth="1"/>
    <col min="23" max="23" width="19.7109375" style="42" customWidth="1"/>
    <col min="24" max="24" width="22.7109375" style="42" hidden="1" customWidth="1"/>
    <col min="25" max="25" width="13.7109375" style="42" hidden="1" customWidth="1"/>
    <col min="26" max="26" width="28.140625" style="42" hidden="1" customWidth="1"/>
    <col min="27" max="27" width="18.42578125" style="42" bestFit="1" customWidth="1"/>
    <col min="28" max="28" width="22.140625" style="42" hidden="1" customWidth="1"/>
    <col min="29" max="29" width="13.7109375" style="42" hidden="1" customWidth="1"/>
    <col min="30" max="30" width="37.5703125" style="42" hidden="1" customWidth="1"/>
    <col min="31" max="31" width="22.140625" style="42" customWidth="1"/>
    <col min="32" max="32" width="22.140625" style="42" hidden="1" customWidth="1"/>
    <col min="33" max="33" width="13.7109375" style="42" hidden="1" customWidth="1"/>
    <col min="34" max="34" width="0" style="42" hidden="1" customWidth="1"/>
    <col min="35" max="35" width="25.28515625" style="42" bestFit="1" customWidth="1"/>
    <col min="36" max="264" width="11.42578125" style="42"/>
    <col min="265" max="265" width="30.42578125" style="42" customWidth="1"/>
    <col min="266" max="266" width="23.28515625" style="42" bestFit="1" customWidth="1"/>
    <col min="267" max="267" width="18.140625" style="42" bestFit="1" customWidth="1"/>
    <col min="268" max="268" width="15.85546875" style="42" bestFit="1" customWidth="1"/>
    <col min="269" max="520" width="11.42578125" style="42"/>
    <col min="521" max="521" width="30.42578125" style="42" customWidth="1"/>
    <col min="522" max="522" width="23.28515625" style="42" bestFit="1" customWidth="1"/>
    <col min="523" max="523" width="18.140625" style="42" bestFit="1" customWidth="1"/>
    <col min="524" max="524" width="15.85546875" style="42" bestFit="1" customWidth="1"/>
    <col min="525" max="776" width="11.42578125" style="42"/>
    <col min="777" max="777" width="30.42578125" style="42" customWidth="1"/>
    <col min="778" max="778" width="23.28515625" style="42" bestFit="1" customWidth="1"/>
    <col min="779" max="779" width="18.140625" style="42" bestFit="1" customWidth="1"/>
    <col min="780" max="780" width="15.85546875" style="42" bestFit="1" customWidth="1"/>
    <col min="781" max="1032" width="11.42578125" style="42"/>
    <col min="1033" max="1033" width="30.42578125" style="42" customWidth="1"/>
    <col min="1034" max="1034" width="23.28515625" style="42" bestFit="1" customWidth="1"/>
    <col min="1035" max="1035" width="18.140625" style="42" bestFit="1" customWidth="1"/>
    <col min="1036" max="1036" width="15.85546875" style="42" bestFit="1" customWidth="1"/>
    <col min="1037" max="1288" width="11.42578125" style="42"/>
    <col min="1289" max="1289" width="30.42578125" style="42" customWidth="1"/>
    <col min="1290" max="1290" width="23.28515625" style="42" bestFit="1" customWidth="1"/>
    <col min="1291" max="1291" width="18.140625" style="42" bestFit="1" customWidth="1"/>
    <col min="1292" max="1292" width="15.85546875" style="42" bestFit="1" customWidth="1"/>
    <col min="1293" max="1544" width="11.42578125" style="42"/>
    <col min="1545" max="1545" width="30.42578125" style="42" customWidth="1"/>
    <col min="1546" max="1546" width="23.28515625" style="42" bestFit="1" customWidth="1"/>
    <col min="1547" max="1547" width="18.140625" style="42" bestFit="1" customWidth="1"/>
    <col min="1548" max="1548" width="15.85546875" style="42" bestFit="1" customWidth="1"/>
    <col min="1549" max="1800" width="11.42578125" style="42"/>
    <col min="1801" max="1801" width="30.42578125" style="42" customWidth="1"/>
    <col min="1802" max="1802" width="23.28515625" style="42" bestFit="1" customWidth="1"/>
    <col min="1803" max="1803" width="18.140625" style="42" bestFit="1" customWidth="1"/>
    <col min="1804" max="1804" width="15.85546875" style="42" bestFit="1" customWidth="1"/>
    <col min="1805" max="2056" width="11.42578125" style="42"/>
    <col min="2057" max="2057" width="30.42578125" style="42" customWidth="1"/>
    <col min="2058" max="2058" width="23.28515625" style="42" bestFit="1" customWidth="1"/>
    <col min="2059" max="2059" width="18.140625" style="42" bestFit="1" customWidth="1"/>
    <col min="2060" max="2060" width="15.85546875" style="42" bestFit="1" customWidth="1"/>
    <col min="2061" max="2312" width="11.42578125" style="42"/>
    <col min="2313" max="2313" width="30.42578125" style="42" customWidth="1"/>
    <col min="2314" max="2314" width="23.28515625" style="42" bestFit="1" customWidth="1"/>
    <col min="2315" max="2315" width="18.140625" style="42" bestFit="1" customWidth="1"/>
    <col min="2316" max="2316" width="15.85546875" style="42" bestFit="1" customWidth="1"/>
    <col min="2317" max="2568" width="11.42578125" style="42"/>
    <col min="2569" max="2569" width="30.42578125" style="42" customWidth="1"/>
    <col min="2570" max="2570" width="23.28515625" style="42" bestFit="1" customWidth="1"/>
    <col min="2571" max="2571" width="18.140625" style="42" bestFit="1" customWidth="1"/>
    <col min="2572" max="2572" width="15.85546875" style="42" bestFit="1" customWidth="1"/>
    <col min="2573" max="2824" width="11.42578125" style="42"/>
    <col min="2825" max="2825" width="30.42578125" style="42" customWidth="1"/>
    <col min="2826" max="2826" width="23.28515625" style="42" bestFit="1" customWidth="1"/>
    <col min="2827" max="2827" width="18.140625" style="42" bestFit="1" customWidth="1"/>
    <col min="2828" max="2828" width="15.85546875" style="42" bestFit="1" customWidth="1"/>
    <col min="2829" max="3080" width="11.42578125" style="42"/>
    <col min="3081" max="3081" width="30.42578125" style="42" customWidth="1"/>
    <col min="3082" max="3082" width="23.28515625" style="42" bestFit="1" customWidth="1"/>
    <col min="3083" max="3083" width="18.140625" style="42" bestFit="1" customWidth="1"/>
    <col min="3084" max="3084" width="15.85546875" style="42" bestFit="1" customWidth="1"/>
    <col min="3085" max="3336" width="11.42578125" style="42"/>
    <col min="3337" max="3337" width="30.42578125" style="42" customWidth="1"/>
    <col min="3338" max="3338" width="23.28515625" style="42" bestFit="1" customWidth="1"/>
    <col min="3339" max="3339" width="18.140625" style="42" bestFit="1" customWidth="1"/>
    <col min="3340" max="3340" width="15.85546875" style="42" bestFit="1" customWidth="1"/>
    <col min="3341" max="3592" width="11.42578125" style="42"/>
    <col min="3593" max="3593" width="30.42578125" style="42" customWidth="1"/>
    <col min="3594" max="3594" width="23.28515625" style="42" bestFit="1" customWidth="1"/>
    <col min="3595" max="3595" width="18.140625" style="42" bestFit="1" customWidth="1"/>
    <col min="3596" max="3596" width="15.85546875" style="42" bestFit="1" customWidth="1"/>
    <col min="3597" max="3848" width="11.42578125" style="42"/>
    <col min="3849" max="3849" width="30.42578125" style="42" customWidth="1"/>
    <col min="3850" max="3850" width="23.28515625" style="42" bestFit="1" customWidth="1"/>
    <col min="3851" max="3851" width="18.140625" style="42" bestFit="1" customWidth="1"/>
    <col min="3852" max="3852" width="15.85546875" style="42" bestFit="1" customWidth="1"/>
    <col min="3853" max="4104" width="11.42578125" style="42"/>
    <col min="4105" max="4105" width="30.42578125" style="42" customWidth="1"/>
    <col min="4106" max="4106" width="23.28515625" style="42" bestFit="1" customWidth="1"/>
    <col min="4107" max="4107" width="18.140625" style="42" bestFit="1" customWidth="1"/>
    <col min="4108" max="4108" width="15.85546875" style="42" bestFit="1" customWidth="1"/>
    <col min="4109" max="4360" width="11.42578125" style="42"/>
    <col min="4361" max="4361" width="30.42578125" style="42" customWidth="1"/>
    <col min="4362" max="4362" width="23.28515625" style="42" bestFit="1" customWidth="1"/>
    <col min="4363" max="4363" width="18.140625" style="42" bestFit="1" customWidth="1"/>
    <col min="4364" max="4364" width="15.85546875" style="42" bestFit="1" customWidth="1"/>
    <col min="4365" max="4616" width="11.42578125" style="42"/>
    <col min="4617" max="4617" width="30.42578125" style="42" customWidth="1"/>
    <col min="4618" max="4618" width="23.28515625" style="42" bestFit="1" customWidth="1"/>
    <col min="4619" max="4619" width="18.140625" style="42" bestFit="1" customWidth="1"/>
    <col min="4620" max="4620" width="15.85546875" style="42" bestFit="1" customWidth="1"/>
    <col min="4621" max="4872" width="11.42578125" style="42"/>
    <col min="4873" max="4873" width="30.42578125" style="42" customWidth="1"/>
    <col min="4874" max="4874" width="23.28515625" style="42" bestFit="1" customWidth="1"/>
    <col min="4875" max="4875" width="18.140625" style="42" bestFit="1" customWidth="1"/>
    <col min="4876" max="4876" width="15.85546875" style="42" bestFit="1" customWidth="1"/>
    <col min="4877" max="5128" width="11.42578125" style="42"/>
    <col min="5129" max="5129" width="30.42578125" style="42" customWidth="1"/>
    <col min="5130" max="5130" width="23.28515625" style="42" bestFit="1" customWidth="1"/>
    <col min="5131" max="5131" width="18.140625" style="42" bestFit="1" customWidth="1"/>
    <col min="5132" max="5132" width="15.85546875" style="42" bestFit="1" customWidth="1"/>
    <col min="5133" max="5384" width="11.42578125" style="42"/>
    <col min="5385" max="5385" width="30.42578125" style="42" customWidth="1"/>
    <col min="5386" max="5386" width="23.28515625" style="42" bestFit="1" customWidth="1"/>
    <col min="5387" max="5387" width="18.140625" style="42" bestFit="1" customWidth="1"/>
    <col min="5388" max="5388" width="15.85546875" style="42" bestFit="1" customWidth="1"/>
    <col min="5389" max="5640" width="11.42578125" style="42"/>
    <col min="5641" max="5641" width="30.42578125" style="42" customWidth="1"/>
    <col min="5642" max="5642" width="23.28515625" style="42" bestFit="1" customWidth="1"/>
    <col min="5643" max="5643" width="18.140625" style="42" bestFit="1" customWidth="1"/>
    <col min="5644" max="5644" width="15.85546875" style="42" bestFit="1" customWidth="1"/>
    <col min="5645" max="5896" width="11.42578125" style="42"/>
    <col min="5897" max="5897" width="30.42578125" style="42" customWidth="1"/>
    <col min="5898" max="5898" width="23.28515625" style="42" bestFit="1" customWidth="1"/>
    <col min="5899" max="5899" width="18.140625" style="42" bestFit="1" customWidth="1"/>
    <col min="5900" max="5900" width="15.85546875" style="42" bestFit="1" customWidth="1"/>
    <col min="5901" max="6152" width="11.42578125" style="42"/>
    <col min="6153" max="6153" width="30.42578125" style="42" customWidth="1"/>
    <col min="6154" max="6154" width="23.28515625" style="42" bestFit="1" customWidth="1"/>
    <col min="6155" max="6155" width="18.140625" style="42" bestFit="1" customWidth="1"/>
    <col min="6156" max="6156" width="15.85546875" style="42" bestFit="1" customWidth="1"/>
    <col min="6157" max="6408" width="11.42578125" style="42"/>
    <col min="6409" max="6409" width="30.42578125" style="42" customWidth="1"/>
    <col min="6410" max="6410" width="23.28515625" style="42" bestFit="1" customWidth="1"/>
    <col min="6411" max="6411" width="18.140625" style="42" bestFit="1" customWidth="1"/>
    <col min="6412" max="6412" width="15.85546875" style="42" bestFit="1" customWidth="1"/>
    <col min="6413" max="6664" width="11.42578125" style="42"/>
    <col min="6665" max="6665" width="30.42578125" style="42" customWidth="1"/>
    <col min="6666" max="6666" width="23.28515625" style="42" bestFit="1" customWidth="1"/>
    <col min="6667" max="6667" width="18.140625" style="42" bestFit="1" customWidth="1"/>
    <col min="6668" max="6668" width="15.85546875" style="42" bestFit="1" customWidth="1"/>
    <col min="6669" max="6920" width="11.42578125" style="42"/>
    <col min="6921" max="6921" width="30.42578125" style="42" customWidth="1"/>
    <col min="6922" max="6922" width="23.28515625" style="42" bestFit="1" customWidth="1"/>
    <col min="6923" max="6923" width="18.140625" style="42" bestFit="1" customWidth="1"/>
    <col min="6924" max="6924" width="15.85546875" style="42" bestFit="1" customWidth="1"/>
    <col min="6925" max="7176" width="11.42578125" style="42"/>
    <col min="7177" max="7177" width="30.42578125" style="42" customWidth="1"/>
    <col min="7178" max="7178" width="23.28515625" style="42" bestFit="1" customWidth="1"/>
    <col min="7179" max="7179" width="18.140625" style="42" bestFit="1" customWidth="1"/>
    <col min="7180" max="7180" width="15.85546875" style="42" bestFit="1" customWidth="1"/>
    <col min="7181" max="7432" width="11.42578125" style="42"/>
    <col min="7433" max="7433" width="30.42578125" style="42" customWidth="1"/>
    <col min="7434" max="7434" width="23.28515625" style="42" bestFit="1" customWidth="1"/>
    <col min="7435" max="7435" width="18.140625" style="42" bestFit="1" customWidth="1"/>
    <col min="7436" max="7436" width="15.85546875" style="42" bestFit="1" customWidth="1"/>
    <col min="7437" max="7688" width="11.42578125" style="42"/>
    <col min="7689" max="7689" width="30.42578125" style="42" customWidth="1"/>
    <col min="7690" max="7690" width="23.28515625" style="42" bestFit="1" customWidth="1"/>
    <col min="7691" max="7691" width="18.140625" style="42" bestFit="1" customWidth="1"/>
    <col min="7692" max="7692" width="15.85546875" style="42" bestFit="1" customWidth="1"/>
    <col min="7693" max="7944" width="11.42578125" style="42"/>
    <col min="7945" max="7945" width="30.42578125" style="42" customWidth="1"/>
    <col min="7946" max="7946" width="23.28515625" style="42" bestFit="1" customWidth="1"/>
    <col min="7947" max="7947" width="18.140625" style="42" bestFit="1" customWidth="1"/>
    <col min="7948" max="7948" width="15.85546875" style="42" bestFit="1" customWidth="1"/>
    <col min="7949" max="8200" width="11.42578125" style="42"/>
    <col min="8201" max="8201" width="30.42578125" style="42" customWidth="1"/>
    <col min="8202" max="8202" width="23.28515625" style="42" bestFit="1" customWidth="1"/>
    <col min="8203" max="8203" width="18.140625" style="42" bestFit="1" customWidth="1"/>
    <col min="8204" max="8204" width="15.85546875" style="42" bestFit="1" customWidth="1"/>
    <col min="8205" max="8456" width="11.42578125" style="42"/>
    <col min="8457" max="8457" width="30.42578125" style="42" customWidth="1"/>
    <col min="8458" max="8458" width="23.28515625" style="42" bestFit="1" customWidth="1"/>
    <col min="8459" max="8459" width="18.140625" style="42" bestFit="1" customWidth="1"/>
    <col min="8460" max="8460" width="15.85546875" style="42" bestFit="1" customWidth="1"/>
    <col min="8461" max="8712" width="11.42578125" style="42"/>
    <col min="8713" max="8713" width="30.42578125" style="42" customWidth="1"/>
    <col min="8714" max="8714" width="23.28515625" style="42" bestFit="1" customWidth="1"/>
    <col min="8715" max="8715" width="18.140625" style="42" bestFit="1" customWidth="1"/>
    <col min="8716" max="8716" width="15.85546875" style="42" bestFit="1" customWidth="1"/>
    <col min="8717" max="8968" width="11.42578125" style="42"/>
    <col min="8969" max="8969" width="30.42578125" style="42" customWidth="1"/>
    <col min="8970" max="8970" width="23.28515625" style="42" bestFit="1" customWidth="1"/>
    <col min="8971" max="8971" width="18.140625" style="42" bestFit="1" customWidth="1"/>
    <col min="8972" max="8972" width="15.85546875" style="42" bestFit="1" customWidth="1"/>
    <col min="8973" max="9224" width="11.42578125" style="42"/>
    <col min="9225" max="9225" width="30.42578125" style="42" customWidth="1"/>
    <col min="9226" max="9226" width="23.28515625" style="42" bestFit="1" customWidth="1"/>
    <col min="9227" max="9227" width="18.140625" style="42" bestFit="1" customWidth="1"/>
    <col min="9228" max="9228" width="15.85546875" style="42" bestFit="1" customWidth="1"/>
    <col min="9229" max="9480" width="11.42578125" style="42"/>
    <col min="9481" max="9481" width="30.42578125" style="42" customWidth="1"/>
    <col min="9482" max="9482" width="23.28515625" style="42" bestFit="1" customWidth="1"/>
    <col min="9483" max="9483" width="18.140625" style="42" bestFit="1" customWidth="1"/>
    <col min="9484" max="9484" width="15.85546875" style="42" bestFit="1" customWidth="1"/>
    <col min="9485" max="9736" width="11.42578125" style="42"/>
    <col min="9737" max="9737" width="30.42578125" style="42" customWidth="1"/>
    <col min="9738" max="9738" width="23.28515625" style="42" bestFit="1" customWidth="1"/>
    <col min="9739" max="9739" width="18.140625" style="42" bestFit="1" customWidth="1"/>
    <col min="9740" max="9740" width="15.85546875" style="42" bestFit="1" customWidth="1"/>
    <col min="9741" max="9992" width="11.42578125" style="42"/>
    <col min="9993" max="9993" width="30.42578125" style="42" customWidth="1"/>
    <col min="9994" max="9994" width="23.28515625" style="42" bestFit="1" customWidth="1"/>
    <col min="9995" max="9995" width="18.140625" style="42" bestFit="1" customWidth="1"/>
    <col min="9996" max="9996" width="15.85546875" style="42" bestFit="1" customWidth="1"/>
    <col min="9997" max="10248" width="11.42578125" style="42"/>
    <col min="10249" max="10249" width="30.42578125" style="42" customWidth="1"/>
    <col min="10250" max="10250" width="23.28515625" style="42" bestFit="1" customWidth="1"/>
    <col min="10251" max="10251" width="18.140625" style="42" bestFit="1" customWidth="1"/>
    <col min="10252" max="10252" width="15.85546875" style="42" bestFit="1" customWidth="1"/>
    <col min="10253" max="10504" width="11.42578125" style="42"/>
    <col min="10505" max="10505" width="30.42578125" style="42" customWidth="1"/>
    <col min="10506" max="10506" width="23.28515625" style="42" bestFit="1" customWidth="1"/>
    <col min="10507" max="10507" width="18.140625" style="42" bestFit="1" customWidth="1"/>
    <col min="10508" max="10508" width="15.85546875" style="42" bestFit="1" customWidth="1"/>
    <col min="10509" max="10760" width="11.42578125" style="42"/>
    <col min="10761" max="10761" width="30.42578125" style="42" customWidth="1"/>
    <col min="10762" max="10762" width="23.28515625" style="42" bestFit="1" customWidth="1"/>
    <col min="10763" max="10763" width="18.140625" style="42" bestFit="1" customWidth="1"/>
    <col min="10764" max="10764" width="15.85546875" style="42" bestFit="1" customWidth="1"/>
    <col min="10765" max="11016" width="11.42578125" style="42"/>
    <col min="11017" max="11017" width="30.42578125" style="42" customWidth="1"/>
    <col min="11018" max="11018" width="23.28515625" style="42" bestFit="1" customWidth="1"/>
    <col min="11019" max="11019" width="18.140625" style="42" bestFit="1" customWidth="1"/>
    <col min="11020" max="11020" width="15.85546875" style="42" bestFit="1" customWidth="1"/>
    <col min="11021" max="11272" width="11.42578125" style="42"/>
    <col min="11273" max="11273" width="30.42578125" style="42" customWidth="1"/>
    <col min="11274" max="11274" width="23.28515625" style="42" bestFit="1" customWidth="1"/>
    <col min="11275" max="11275" width="18.140625" style="42" bestFit="1" customWidth="1"/>
    <col min="11276" max="11276" width="15.85546875" style="42" bestFit="1" customWidth="1"/>
    <col min="11277" max="11528" width="11.42578125" style="42"/>
    <col min="11529" max="11529" width="30.42578125" style="42" customWidth="1"/>
    <col min="11530" max="11530" width="23.28515625" style="42" bestFit="1" customWidth="1"/>
    <col min="11531" max="11531" width="18.140625" style="42" bestFit="1" customWidth="1"/>
    <col min="11532" max="11532" width="15.85546875" style="42" bestFit="1" customWidth="1"/>
    <col min="11533" max="11784" width="11.42578125" style="42"/>
    <col min="11785" max="11785" width="30.42578125" style="42" customWidth="1"/>
    <col min="11786" max="11786" width="23.28515625" style="42" bestFit="1" customWidth="1"/>
    <col min="11787" max="11787" width="18.140625" style="42" bestFit="1" customWidth="1"/>
    <col min="11788" max="11788" width="15.85546875" style="42" bestFit="1" customWidth="1"/>
    <col min="11789" max="12040" width="11.42578125" style="42"/>
    <col min="12041" max="12041" width="30.42578125" style="42" customWidth="1"/>
    <col min="12042" max="12042" width="23.28515625" style="42" bestFit="1" customWidth="1"/>
    <col min="12043" max="12043" width="18.140625" style="42" bestFit="1" customWidth="1"/>
    <col min="12044" max="12044" width="15.85546875" style="42" bestFit="1" customWidth="1"/>
    <col min="12045" max="12296" width="11.42578125" style="42"/>
    <col min="12297" max="12297" width="30.42578125" style="42" customWidth="1"/>
    <col min="12298" max="12298" width="23.28515625" style="42" bestFit="1" customWidth="1"/>
    <col min="12299" max="12299" width="18.140625" style="42" bestFit="1" customWidth="1"/>
    <col min="12300" max="12300" width="15.85546875" style="42" bestFit="1" customWidth="1"/>
    <col min="12301" max="12552" width="11.42578125" style="42"/>
    <col min="12553" max="12553" width="30.42578125" style="42" customWidth="1"/>
    <col min="12554" max="12554" width="23.28515625" style="42" bestFit="1" customWidth="1"/>
    <col min="12555" max="12555" width="18.140625" style="42" bestFit="1" customWidth="1"/>
    <col min="12556" max="12556" width="15.85546875" style="42" bestFit="1" customWidth="1"/>
    <col min="12557" max="12808" width="11.42578125" style="42"/>
    <col min="12809" max="12809" width="30.42578125" style="42" customWidth="1"/>
    <col min="12810" max="12810" width="23.28515625" style="42" bestFit="1" customWidth="1"/>
    <col min="12811" max="12811" width="18.140625" style="42" bestFit="1" customWidth="1"/>
    <col min="12812" max="12812" width="15.85546875" style="42" bestFit="1" customWidth="1"/>
    <col min="12813" max="13064" width="11.42578125" style="42"/>
    <col min="13065" max="13065" width="30.42578125" style="42" customWidth="1"/>
    <col min="13066" max="13066" width="23.28515625" style="42" bestFit="1" customWidth="1"/>
    <col min="13067" max="13067" width="18.140625" style="42" bestFit="1" customWidth="1"/>
    <col min="13068" max="13068" width="15.85546875" style="42" bestFit="1" customWidth="1"/>
    <col min="13069" max="13320" width="11.42578125" style="42"/>
    <col min="13321" max="13321" width="30.42578125" style="42" customWidth="1"/>
    <col min="13322" max="13322" width="23.28515625" style="42" bestFit="1" customWidth="1"/>
    <col min="13323" max="13323" width="18.140625" style="42" bestFit="1" customWidth="1"/>
    <col min="13324" max="13324" width="15.85546875" style="42" bestFit="1" customWidth="1"/>
    <col min="13325" max="13576" width="11.42578125" style="42"/>
    <col min="13577" max="13577" width="30.42578125" style="42" customWidth="1"/>
    <col min="13578" max="13578" width="23.28515625" style="42" bestFit="1" customWidth="1"/>
    <col min="13579" max="13579" width="18.140625" style="42" bestFit="1" customWidth="1"/>
    <col min="13580" max="13580" width="15.85546875" style="42" bestFit="1" customWidth="1"/>
    <col min="13581" max="13832" width="11.42578125" style="42"/>
    <col min="13833" max="13833" width="30.42578125" style="42" customWidth="1"/>
    <col min="13834" max="13834" width="23.28515625" style="42" bestFit="1" customWidth="1"/>
    <col min="13835" max="13835" width="18.140625" style="42" bestFit="1" customWidth="1"/>
    <col min="13836" max="13836" width="15.85546875" style="42" bestFit="1" customWidth="1"/>
    <col min="13837" max="14088" width="11.42578125" style="42"/>
    <col min="14089" max="14089" width="30.42578125" style="42" customWidth="1"/>
    <col min="14090" max="14090" width="23.28515625" style="42" bestFit="1" customWidth="1"/>
    <col min="14091" max="14091" width="18.140625" style="42" bestFit="1" customWidth="1"/>
    <col min="14092" max="14092" width="15.85546875" style="42" bestFit="1" customWidth="1"/>
    <col min="14093" max="14344" width="11.42578125" style="42"/>
    <col min="14345" max="14345" width="30.42578125" style="42" customWidth="1"/>
    <col min="14346" max="14346" width="23.28515625" style="42" bestFit="1" customWidth="1"/>
    <col min="14347" max="14347" width="18.140625" style="42" bestFit="1" customWidth="1"/>
    <col min="14348" max="14348" width="15.85546875" style="42" bestFit="1" customWidth="1"/>
    <col min="14349" max="14600" width="11.42578125" style="42"/>
    <col min="14601" max="14601" width="30.42578125" style="42" customWidth="1"/>
    <col min="14602" max="14602" width="23.28515625" style="42" bestFit="1" customWidth="1"/>
    <col min="14603" max="14603" width="18.140625" style="42" bestFit="1" customWidth="1"/>
    <col min="14604" max="14604" width="15.85546875" style="42" bestFit="1" customWidth="1"/>
    <col min="14605" max="14856" width="11.42578125" style="42"/>
    <col min="14857" max="14857" width="30.42578125" style="42" customWidth="1"/>
    <col min="14858" max="14858" width="23.28515625" style="42" bestFit="1" customWidth="1"/>
    <col min="14859" max="14859" width="18.140625" style="42" bestFit="1" customWidth="1"/>
    <col min="14860" max="14860" width="15.85546875" style="42" bestFit="1" customWidth="1"/>
    <col min="14861" max="15112" width="11.42578125" style="42"/>
    <col min="15113" max="15113" width="30.42578125" style="42" customWidth="1"/>
    <col min="15114" max="15114" width="23.28515625" style="42" bestFit="1" customWidth="1"/>
    <col min="15115" max="15115" width="18.140625" style="42" bestFit="1" customWidth="1"/>
    <col min="15116" max="15116" width="15.85546875" style="42" bestFit="1" customWidth="1"/>
    <col min="15117" max="15368" width="11.42578125" style="42"/>
    <col min="15369" max="15369" width="30.42578125" style="42" customWidth="1"/>
    <col min="15370" max="15370" width="23.28515625" style="42" bestFit="1" customWidth="1"/>
    <col min="15371" max="15371" width="18.140625" style="42" bestFit="1" customWidth="1"/>
    <col min="15372" max="15372" width="15.85546875" style="42" bestFit="1" customWidth="1"/>
    <col min="15373" max="15624" width="11.42578125" style="42"/>
    <col min="15625" max="15625" width="30.42578125" style="42" customWidth="1"/>
    <col min="15626" max="15626" width="23.28515625" style="42" bestFit="1" customWidth="1"/>
    <col min="15627" max="15627" width="18.140625" style="42" bestFit="1" customWidth="1"/>
    <col min="15628" max="15628" width="15.85546875" style="42" bestFit="1" customWidth="1"/>
    <col min="15629" max="15880" width="11.42578125" style="42"/>
    <col min="15881" max="15881" width="30.42578125" style="42" customWidth="1"/>
    <col min="15882" max="15882" width="23.28515625" style="42" bestFit="1" customWidth="1"/>
    <col min="15883" max="15883" width="18.140625" style="42" bestFit="1" customWidth="1"/>
    <col min="15884" max="15884" width="15.85546875" style="42" bestFit="1" customWidth="1"/>
    <col min="15885" max="16136" width="11.42578125" style="42"/>
    <col min="16137" max="16137" width="30.42578125" style="42" customWidth="1"/>
    <col min="16138" max="16138" width="23.28515625" style="42" bestFit="1" customWidth="1"/>
    <col min="16139" max="16139" width="18.140625" style="42" bestFit="1" customWidth="1"/>
    <col min="16140" max="16140" width="15.85546875" style="42" bestFit="1" customWidth="1"/>
    <col min="16141" max="16384" width="11.42578125" style="42"/>
  </cols>
  <sheetData>
    <row r="2" spans="1:35" ht="15" customHeight="1" x14ac:dyDescent="0.25">
      <c r="A2" s="1684" t="s">
        <v>1767</v>
      </c>
      <c r="B2" s="1685"/>
      <c r="C2" s="1685"/>
      <c r="D2" s="1685"/>
      <c r="E2" s="1685"/>
      <c r="F2" s="1685"/>
      <c r="G2" s="1685"/>
      <c r="H2" s="1685"/>
      <c r="I2" s="1685"/>
      <c r="J2" s="1685"/>
      <c r="K2" s="1685"/>
      <c r="L2" s="1685"/>
      <c r="M2" s="1685"/>
      <c r="N2" s="1685"/>
      <c r="O2" s="1685"/>
      <c r="P2" s="1685"/>
      <c r="Q2" s="1685"/>
      <c r="R2" s="1685"/>
      <c r="S2" s="1685"/>
      <c r="T2" s="1685"/>
      <c r="U2" s="1685"/>
      <c r="V2" s="1685"/>
      <c r="W2" s="1685"/>
      <c r="X2" s="1685"/>
      <c r="Y2" s="1685"/>
      <c r="Z2" s="1685"/>
      <c r="AA2" s="1685"/>
      <c r="AB2" s="1685"/>
      <c r="AC2" s="1685"/>
      <c r="AD2" s="1685"/>
      <c r="AE2" s="1685"/>
      <c r="AF2" s="1685"/>
      <c r="AG2" s="1685"/>
      <c r="AH2" s="1685"/>
      <c r="AI2" s="1685"/>
    </row>
    <row r="3" spans="1:35" ht="15" customHeight="1" x14ac:dyDescent="0.25">
      <c r="A3" s="1684" t="s">
        <v>1768</v>
      </c>
      <c r="B3" s="1685"/>
      <c r="C3" s="1685"/>
      <c r="D3" s="1685"/>
      <c r="E3" s="1685"/>
      <c r="F3" s="1685"/>
      <c r="G3" s="1685"/>
      <c r="H3" s="1685"/>
      <c r="I3" s="1685"/>
      <c r="J3" s="1685"/>
      <c r="K3" s="1685"/>
      <c r="L3" s="1685"/>
      <c r="M3" s="1685"/>
      <c r="N3" s="1685"/>
      <c r="O3" s="1685"/>
      <c r="P3" s="1685"/>
      <c r="Q3" s="1685"/>
      <c r="R3" s="1685"/>
      <c r="S3" s="1685"/>
      <c r="T3" s="1685"/>
      <c r="U3" s="1685"/>
      <c r="V3" s="1685"/>
      <c r="W3" s="1685"/>
      <c r="X3" s="1685"/>
      <c r="Y3" s="1685"/>
      <c r="Z3" s="1685"/>
      <c r="AA3" s="1685"/>
      <c r="AB3" s="1685"/>
      <c r="AC3" s="1685"/>
      <c r="AD3" s="1685"/>
      <c r="AE3" s="1685"/>
      <c r="AF3" s="1685"/>
      <c r="AG3" s="1685"/>
      <c r="AH3" s="1685"/>
      <c r="AI3" s="1685"/>
    </row>
    <row r="4" spans="1:35" ht="15" customHeight="1" x14ac:dyDescent="0.25">
      <c r="A4" s="1684" t="s">
        <v>1769</v>
      </c>
      <c r="B4" s="1685"/>
      <c r="C4" s="1685"/>
      <c r="D4" s="1685"/>
      <c r="E4" s="1685"/>
      <c r="F4" s="1685"/>
      <c r="G4" s="1685"/>
      <c r="H4" s="1685"/>
      <c r="I4" s="1685"/>
      <c r="J4" s="1685"/>
      <c r="K4" s="1685"/>
      <c r="L4" s="1685"/>
      <c r="M4" s="1685"/>
      <c r="N4" s="1685"/>
      <c r="O4" s="1685"/>
      <c r="P4" s="1685"/>
      <c r="Q4" s="1685"/>
      <c r="R4" s="1685"/>
      <c r="S4" s="1685"/>
      <c r="T4" s="1685"/>
      <c r="U4" s="1685"/>
      <c r="V4" s="1685"/>
      <c r="W4" s="1685"/>
      <c r="X4" s="1685"/>
      <c r="Y4" s="1685"/>
      <c r="Z4" s="1685"/>
      <c r="AA4" s="1685"/>
      <c r="AB4" s="1685"/>
      <c r="AC4" s="1685"/>
      <c r="AD4" s="1685"/>
      <c r="AE4" s="1685"/>
      <c r="AF4" s="1685"/>
      <c r="AG4" s="1685"/>
      <c r="AH4" s="1685"/>
      <c r="AI4" s="1685"/>
    </row>
    <row r="5" spans="1:35" ht="15" customHeight="1" x14ac:dyDescent="0.25">
      <c r="A5" s="1686" t="s">
        <v>3219</v>
      </c>
      <c r="B5" s="1686"/>
      <c r="C5" s="1686"/>
      <c r="D5" s="1686"/>
      <c r="E5" s="1686"/>
      <c r="F5" s="1687"/>
      <c r="G5" s="1520"/>
      <c r="V5" s="1688">
        <v>2025</v>
      </c>
      <c r="W5" s="1689"/>
      <c r="X5" s="1690"/>
      <c r="Y5" s="1691"/>
      <c r="Z5" s="1692">
        <v>2026</v>
      </c>
      <c r="AA5" s="1693"/>
      <c r="AB5" s="1694"/>
      <c r="AC5" s="1695"/>
      <c r="AD5" s="1696">
        <v>2027</v>
      </c>
      <c r="AE5" s="1697"/>
      <c r="AF5" s="1698"/>
      <c r="AG5" s="1699"/>
      <c r="AI5" s="1700" t="s">
        <v>4450</v>
      </c>
    </row>
    <row r="6" spans="1:35" s="95" customFormat="1" ht="53.25" customHeight="1" x14ac:dyDescent="0.25">
      <c r="A6" s="1615" t="s">
        <v>1771</v>
      </c>
      <c r="B6" s="1616" t="s">
        <v>1772</v>
      </c>
      <c r="C6" s="1617" t="s">
        <v>1773</v>
      </c>
      <c r="D6" s="1617" t="s">
        <v>1774</v>
      </c>
      <c r="E6" s="1618" t="s">
        <v>1775</v>
      </c>
      <c r="F6" s="1617" t="s">
        <v>1776</v>
      </c>
      <c r="G6" s="1521"/>
      <c r="I6" s="1291"/>
      <c r="V6" s="1529" t="s">
        <v>1773</v>
      </c>
      <c r="W6" s="1530" t="s">
        <v>1774</v>
      </c>
      <c r="X6" s="1531" t="s">
        <v>1775</v>
      </c>
      <c r="Y6" s="1530" t="s">
        <v>1776</v>
      </c>
      <c r="Z6" s="1613" t="s">
        <v>1773</v>
      </c>
      <c r="AA6" s="1613" t="s">
        <v>1774</v>
      </c>
      <c r="AB6" s="1613" t="s">
        <v>1775</v>
      </c>
      <c r="AC6" s="1613" t="s">
        <v>1776</v>
      </c>
      <c r="AD6" s="1614" t="s">
        <v>1773</v>
      </c>
      <c r="AE6" s="1614" t="s">
        <v>1774</v>
      </c>
      <c r="AF6" s="1614" t="s">
        <v>1775</v>
      </c>
      <c r="AG6" s="1614" t="s">
        <v>1776</v>
      </c>
      <c r="AI6" s="1701"/>
    </row>
    <row r="7" spans="1:35" ht="25.5" hidden="1" x14ac:dyDescent="0.25">
      <c r="A7" s="1006">
        <v>20</v>
      </c>
      <c r="B7" s="923" t="s">
        <v>1023</v>
      </c>
      <c r="C7" s="42">
        <v>32803406000</v>
      </c>
      <c r="D7" s="924"/>
      <c r="E7" s="924"/>
      <c r="F7" s="1526">
        <v>32803406000</v>
      </c>
      <c r="G7" s="1520"/>
      <c r="V7" s="42">
        <v>34443576300</v>
      </c>
      <c r="W7" s="924"/>
      <c r="X7" s="924"/>
      <c r="Y7" s="1526">
        <v>34443576300</v>
      </c>
      <c r="Z7" s="42">
        <v>36165755115</v>
      </c>
      <c r="AA7" s="924"/>
      <c r="AB7" s="924"/>
      <c r="AC7" s="1526">
        <v>36165755115</v>
      </c>
      <c r="AD7" s="42">
        <v>37974042870.75</v>
      </c>
      <c r="AE7" s="924"/>
      <c r="AF7" s="924"/>
      <c r="AG7" s="1526">
        <v>37974042870.75</v>
      </c>
    </row>
    <row r="8" spans="1:35" ht="25.5" hidden="1" x14ac:dyDescent="0.25">
      <c r="A8" s="933">
        <v>20</v>
      </c>
      <c r="B8" s="923" t="s">
        <v>1157</v>
      </c>
      <c r="C8" s="42">
        <v>1478804000</v>
      </c>
      <c r="D8" s="924"/>
      <c r="E8" s="924"/>
      <c r="F8" s="1526">
        <v>1478804000</v>
      </c>
      <c r="G8" s="1682" t="s">
        <v>1777</v>
      </c>
      <c r="V8" s="42">
        <v>1774564800</v>
      </c>
      <c r="W8" s="924"/>
      <c r="X8" s="924"/>
      <c r="Y8" s="1526">
        <v>1774564800</v>
      </c>
      <c r="Z8" s="42">
        <v>2129477760</v>
      </c>
      <c r="AA8" s="924"/>
      <c r="AB8" s="924"/>
      <c r="AC8" s="1526">
        <v>2129477760</v>
      </c>
      <c r="AD8" s="42">
        <v>2555373312</v>
      </c>
      <c r="AE8" s="924"/>
      <c r="AF8" s="924"/>
      <c r="AG8" s="1526">
        <v>2555373312</v>
      </c>
    </row>
    <row r="9" spans="1:35" ht="25.5" hidden="1" x14ac:dyDescent="0.25">
      <c r="A9" s="922">
        <v>20</v>
      </c>
      <c r="B9" s="923" t="s">
        <v>1158</v>
      </c>
      <c r="C9" s="42">
        <v>7607895000</v>
      </c>
      <c r="D9" s="924"/>
      <c r="E9" s="924"/>
      <c r="F9" s="1527">
        <v>7607895000</v>
      </c>
      <c r="G9" s="1682"/>
      <c r="H9" s="42">
        <v>28774686000</v>
      </c>
      <c r="I9" s="648">
        <v>1150987440</v>
      </c>
      <c r="J9" s="42">
        <v>1150987000</v>
      </c>
      <c r="V9" s="42">
        <v>9067470170</v>
      </c>
      <c r="W9" s="924"/>
      <c r="X9" s="924"/>
      <c r="Y9" s="1527">
        <v>9067470170</v>
      </c>
      <c r="Z9" s="42">
        <v>10971638905.699999</v>
      </c>
      <c r="AA9" s="924"/>
      <c r="AB9" s="924"/>
      <c r="AC9" s="1527">
        <v>10971638905.699999</v>
      </c>
      <c r="AD9" s="42">
        <v>13275683075.896997</v>
      </c>
      <c r="AE9" s="924"/>
      <c r="AF9" s="924"/>
      <c r="AG9" s="1527">
        <v>13275683075.896997</v>
      </c>
    </row>
    <row r="10" spans="1:35" hidden="1" x14ac:dyDescent="0.25">
      <c r="A10" s="922">
        <v>20</v>
      </c>
      <c r="B10" s="923" t="s">
        <v>1779</v>
      </c>
      <c r="C10" s="42">
        <v>17264812000</v>
      </c>
      <c r="D10" s="927"/>
      <c r="E10" s="924"/>
      <c r="F10" s="1527">
        <v>17264812000</v>
      </c>
      <c r="I10" s="648">
        <v>1726481160</v>
      </c>
      <c r="J10" s="42">
        <v>1726481000</v>
      </c>
      <c r="V10" s="42">
        <v>18645996960</v>
      </c>
      <c r="W10" s="927"/>
      <c r="X10" s="924"/>
      <c r="Y10" s="1527">
        <v>18645996960</v>
      </c>
      <c r="Z10" s="42">
        <v>20137676716.800003</v>
      </c>
      <c r="AA10" s="927"/>
      <c r="AB10" s="924"/>
      <c r="AC10" s="1527">
        <v>20137676716.800003</v>
      </c>
      <c r="AD10" s="42">
        <v>21748690854.144005</v>
      </c>
      <c r="AE10" s="927"/>
      <c r="AF10" s="924"/>
      <c r="AG10" s="1527">
        <v>21748690854.144005</v>
      </c>
    </row>
    <row r="11" spans="1:35" hidden="1" x14ac:dyDescent="0.25">
      <c r="A11" s="922">
        <v>1</v>
      </c>
      <c r="B11" s="923" t="s">
        <v>1780</v>
      </c>
      <c r="C11" s="42">
        <v>5754937000</v>
      </c>
      <c r="D11" s="927"/>
      <c r="E11" s="1251">
        <v>5754937000</v>
      </c>
      <c r="F11" s="925"/>
      <c r="G11" s="1146"/>
      <c r="I11" s="648">
        <v>2877468600</v>
      </c>
      <c r="J11" s="42">
        <v>2877469000</v>
      </c>
      <c r="V11" s="42">
        <v>6215331960</v>
      </c>
      <c r="W11" s="927"/>
      <c r="X11" s="1251">
        <v>6215331960</v>
      </c>
      <c r="Y11" s="925"/>
      <c r="Z11" s="42">
        <v>6712558516.8000002</v>
      </c>
      <c r="AA11" s="927"/>
      <c r="AB11" s="1251">
        <v>6712558516.8000002</v>
      </c>
      <c r="AC11" s="925"/>
      <c r="AD11" s="42">
        <v>7249563198.144001</v>
      </c>
      <c r="AE11" s="927"/>
      <c r="AF11" s="1251">
        <v>7249563198.144001</v>
      </c>
      <c r="AG11" s="925"/>
    </row>
    <row r="12" spans="1:35" x14ac:dyDescent="0.25">
      <c r="A12" s="922">
        <v>52</v>
      </c>
      <c r="B12" s="923" t="s">
        <v>1028</v>
      </c>
      <c r="C12" s="42">
        <v>1150987000</v>
      </c>
      <c r="D12" s="924">
        <v>1150987000</v>
      </c>
      <c r="E12" s="924"/>
      <c r="F12" s="925"/>
      <c r="G12" s="1146"/>
      <c r="I12" s="648">
        <v>5754937200</v>
      </c>
      <c r="J12" s="42">
        <v>5754937000</v>
      </c>
      <c r="V12" s="42">
        <v>1243065960</v>
      </c>
      <c r="W12" s="924">
        <v>1243065960</v>
      </c>
      <c r="X12" s="924"/>
      <c r="Y12" s="925"/>
      <c r="Z12" s="42">
        <v>1342511236.8000002</v>
      </c>
      <c r="AA12" s="924">
        <v>1342511236.8000002</v>
      </c>
      <c r="AB12" s="924"/>
      <c r="AC12" s="925"/>
      <c r="AD12" s="42">
        <v>1449912135.7440002</v>
      </c>
      <c r="AE12" s="924">
        <v>1449912135.7440002</v>
      </c>
      <c r="AF12" s="924"/>
      <c r="AG12" s="925"/>
      <c r="AI12" s="1646">
        <f>+D12+W12+AA12+AE12</f>
        <v>5186476332.5440006</v>
      </c>
    </row>
    <row r="13" spans="1:35" hidden="1" x14ac:dyDescent="0.25">
      <c r="A13" s="922">
        <v>53</v>
      </c>
      <c r="B13" s="923" t="s">
        <v>1781</v>
      </c>
      <c r="C13" s="42">
        <v>1726481000</v>
      </c>
      <c r="D13" s="924"/>
      <c r="E13" s="1251">
        <v>1726481000</v>
      </c>
      <c r="F13" s="924"/>
      <c r="G13" s="42"/>
      <c r="V13" s="42">
        <v>1864599480.0000002</v>
      </c>
      <c r="W13" s="924"/>
      <c r="X13" s="1251">
        <v>1864599480.0000002</v>
      </c>
      <c r="Y13" s="924"/>
      <c r="Z13" s="42">
        <v>2013767438.4000003</v>
      </c>
      <c r="AA13" s="924"/>
      <c r="AB13" s="1251">
        <v>2013767438.4000003</v>
      </c>
      <c r="AC13" s="924"/>
      <c r="AD13" s="42">
        <v>2174868833.4720006</v>
      </c>
      <c r="AE13" s="924"/>
      <c r="AF13" s="1251">
        <v>2174868833.4720006</v>
      </c>
      <c r="AG13" s="924"/>
    </row>
    <row r="14" spans="1:35" ht="25.5" hidden="1" x14ac:dyDescent="0.25">
      <c r="A14" s="922">
        <v>13</v>
      </c>
      <c r="B14" s="923" t="s">
        <v>1030</v>
      </c>
      <c r="C14" s="42">
        <v>2877469000</v>
      </c>
      <c r="D14" s="924"/>
      <c r="E14" s="924">
        <v>2877469000</v>
      </c>
      <c r="F14" s="925"/>
      <c r="G14" s="1146"/>
      <c r="V14" s="42">
        <v>3107666520</v>
      </c>
      <c r="W14" s="924"/>
      <c r="X14" s="924">
        <v>3107666520</v>
      </c>
      <c r="Y14" s="925"/>
      <c r="Z14" s="42">
        <v>3356279841.6000004</v>
      </c>
      <c r="AA14" s="924"/>
      <c r="AB14" s="924">
        <v>3356279841.6000004</v>
      </c>
      <c r="AC14" s="925"/>
      <c r="AD14" s="42">
        <v>3624782228.9280005</v>
      </c>
      <c r="AE14" s="924"/>
      <c r="AF14" s="924">
        <v>3624782228.9280005</v>
      </c>
      <c r="AG14" s="925"/>
    </row>
    <row r="15" spans="1:35" ht="25.5" hidden="1" x14ac:dyDescent="0.25">
      <c r="A15" s="922">
        <v>145</v>
      </c>
      <c r="B15" s="923" t="s">
        <v>3237</v>
      </c>
      <c r="C15" s="42">
        <v>233083000</v>
      </c>
      <c r="D15" s="924"/>
      <c r="E15" s="1251">
        <v>233083000</v>
      </c>
      <c r="F15" s="925"/>
      <c r="G15" s="1146"/>
      <c r="V15" s="42">
        <v>244737150</v>
      </c>
      <c r="W15" s="924"/>
      <c r="X15" s="1251">
        <v>244737150</v>
      </c>
      <c r="Y15" s="925"/>
      <c r="Z15" s="42">
        <v>256974007.5</v>
      </c>
      <c r="AA15" s="924"/>
      <c r="AB15" s="1251">
        <v>256974007.5</v>
      </c>
      <c r="AC15" s="925"/>
      <c r="AD15" s="42">
        <v>269822707.875</v>
      </c>
      <c r="AE15" s="924"/>
      <c r="AF15" s="1251">
        <v>269822707.875</v>
      </c>
      <c r="AG15" s="925"/>
    </row>
    <row r="16" spans="1:35" hidden="1" x14ac:dyDescent="0.25">
      <c r="A16" s="922">
        <v>20</v>
      </c>
      <c r="B16" s="923" t="s">
        <v>3238</v>
      </c>
      <c r="C16" s="42">
        <v>4661652000</v>
      </c>
      <c r="D16" s="924"/>
      <c r="E16" s="924"/>
      <c r="F16" s="1526">
        <v>4661652000</v>
      </c>
      <c r="G16" s="1520"/>
      <c r="V16" s="42">
        <v>4894734600</v>
      </c>
      <c r="W16" s="924"/>
      <c r="X16" s="924"/>
      <c r="Y16" s="1526">
        <v>4894734600</v>
      </c>
      <c r="Z16" s="42">
        <v>5139471330</v>
      </c>
      <c r="AA16" s="924"/>
      <c r="AB16" s="924"/>
      <c r="AC16" s="1526">
        <v>5139471330</v>
      </c>
      <c r="AD16" s="42">
        <v>5396444896.5</v>
      </c>
      <c r="AE16" s="924"/>
      <c r="AF16" s="924"/>
      <c r="AG16" s="1526">
        <v>5396444896.5</v>
      </c>
    </row>
    <row r="17" spans="1:35" hidden="1" x14ac:dyDescent="0.25">
      <c r="A17" s="922">
        <v>20</v>
      </c>
      <c r="B17" s="923" t="s">
        <v>3240</v>
      </c>
      <c r="C17" s="42">
        <v>21471737000</v>
      </c>
      <c r="D17" s="924"/>
      <c r="E17" s="924"/>
      <c r="F17" s="1526">
        <v>21471737000</v>
      </c>
      <c r="G17" s="1520"/>
      <c r="V17" s="42">
        <v>22545323850</v>
      </c>
      <c r="W17" s="924"/>
      <c r="X17" s="924"/>
      <c r="Y17" s="1526">
        <v>22545323850</v>
      </c>
      <c r="Z17" s="42">
        <v>23672590042.5</v>
      </c>
      <c r="AA17" s="924"/>
      <c r="AB17" s="924"/>
      <c r="AC17" s="1526">
        <v>23672590042.5</v>
      </c>
      <c r="AD17" s="42">
        <v>24856219544.625</v>
      </c>
      <c r="AE17" s="924"/>
      <c r="AF17" s="924"/>
      <c r="AG17" s="1526">
        <v>24856219544.625</v>
      </c>
    </row>
    <row r="18" spans="1:35" ht="25.5" hidden="1" x14ac:dyDescent="0.25">
      <c r="A18" s="922">
        <v>20</v>
      </c>
      <c r="B18" s="923" t="s">
        <v>1788</v>
      </c>
      <c r="C18" s="42">
        <v>14173023000</v>
      </c>
      <c r="D18" s="924"/>
      <c r="E18" s="924"/>
      <c r="F18" s="1526">
        <v>14173023000</v>
      </c>
      <c r="G18" s="1520"/>
      <c r="V18" s="42">
        <v>14881674150</v>
      </c>
      <c r="W18" s="924"/>
      <c r="X18" s="924"/>
      <c r="Y18" s="1526">
        <v>14881674150</v>
      </c>
      <c r="Z18" s="42">
        <v>15625757857.5</v>
      </c>
      <c r="AA18" s="924"/>
      <c r="AB18" s="924"/>
      <c r="AC18" s="1526">
        <v>15625757857.5</v>
      </c>
      <c r="AD18" s="42">
        <v>16407045750.375</v>
      </c>
      <c r="AE18" s="924"/>
      <c r="AF18" s="924"/>
      <c r="AG18" s="1526">
        <v>16407045750.375</v>
      </c>
    </row>
    <row r="19" spans="1:35" ht="25.5" hidden="1" x14ac:dyDescent="0.25">
      <c r="A19" s="922">
        <v>20</v>
      </c>
      <c r="B19" s="923" t="s">
        <v>1045</v>
      </c>
      <c r="C19" s="42">
        <v>763018000</v>
      </c>
      <c r="D19" s="924"/>
      <c r="E19" s="924"/>
      <c r="F19" s="1526">
        <v>763018000</v>
      </c>
      <c r="G19" s="1520"/>
      <c r="J19" s="41">
        <v>6082423248</v>
      </c>
      <c r="V19" s="42">
        <v>801168900</v>
      </c>
      <c r="W19" s="924"/>
      <c r="X19" s="924"/>
      <c r="Y19" s="1526">
        <v>801168900</v>
      </c>
      <c r="Z19" s="42">
        <v>841227345</v>
      </c>
      <c r="AA19" s="924"/>
      <c r="AB19" s="924"/>
      <c r="AC19" s="1526">
        <v>841227345</v>
      </c>
      <c r="AD19" s="42">
        <v>883288712.25</v>
      </c>
      <c r="AE19" s="924"/>
      <c r="AF19" s="924"/>
      <c r="AG19" s="1526">
        <v>883288712.25</v>
      </c>
    </row>
    <row r="20" spans="1:35" ht="26.25" hidden="1" customHeight="1" x14ac:dyDescent="0.25">
      <c r="A20" s="922">
        <v>20</v>
      </c>
      <c r="B20" s="923" t="s">
        <v>1047</v>
      </c>
      <c r="C20" s="42">
        <v>11867811000</v>
      </c>
      <c r="D20" s="924"/>
      <c r="E20" s="924"/>
      <c r="F20" s="1527">
        <v>11867811000</v>
      </c>
      <c r="V20" s="42">
        <v>12461201550</v>
      </c>
      <c r="W20" s="924"/>
      <c r="X20" s="924"/>
      <c r="Y20" s="1527">
        <v>12461201550</v>
      </c>
      <c r="Z20" s="42">
        <v>13084261627.5</v>
      </c>
      <c r="AA20" s="924"/>
      <c r="AB20" s="924"/>
      <c r="AC20" s="1527">
        <v>13084261627.5</v>
      </c>
      <c r="AD20" s="42">
        <v>13738474708.875</v>
      </c>
      <c r="AE20" s="924"/>
      <c r="AF20" s="924"/>
      <c r="AG20" s="1527">
        <v>13738474708.875</v>
      </c>
    </row>
    <row r="21" spans="1:35" x14ac:dyDescent="0.25">
      <c r="A21" s="922">
        <v>4</v>
      </c>
      <c r="B21" s="923" t="s">
        <v>1050</v>
      </c>
      <c r="C21" s="42">
        <v>7519723000</v>
      </c>
      <c r="D21" s="927">
        <v>7519723000</v>
      </c>
      <c r="E21" s="924"/>
      <c r="F21" s="924"/>
      <c r="G21" s="42"/>
      <c r="H21" s="42">
        <v>15039446000</v>
      </c>
      <c r="K21" s="42">
        <v>15039446000</v>
      </c>
      <c r="L21" s="42">
        <v>0</v>
      </c>
      <c r="V21" s="42">
        <v>8948470370</v>
      </c>
      <c r="W21" s="927">
        <v>8948470370</v>
      </c>
      <c r="X21" s="924"/>
      <c r="Y21" s="924"/>
      <c r="Z21" s="42">
        <v>10648679740.299999</v>
      </c>
      <c r="AA21" s="927">
        <v>10648679740.299999</v>
      </c>
      <c r="AB21" s="924"/>
      <c r="AC21" s="924"/>
      <c r="AD21" s="42">
        <v>12671928890.956999</v>
      </c>
      <c r="AE21" s="927">
        <v>12671928890.956999</v>
      </c>
      <c r="AF21" s="924"/>
      <c r="AG21" s="924"/>
      <c r="AI21" s="1646">
        <f>+D21+W21+AA21+AE21</f>
        <v>39788802001.256996</v>
      </c>
    </row>
    <row r="22" spans="1:35" ht="25.5" hidden="1" x14ac:dyDescent="0.25">
      <c r="A22" s="922">
        <v>176</v>
      </c>
      <c r="B22" s="923" t="s">
        <v>1051</v>
      </c>
      <c r="C22" s="42">
        <v>3010114000</v>
      </c>
      <c r="D22" s="924"/>
      <c r="E22" s="924">
        <v>3010114000</v>
      </c>
      <c r="F22" s="925"/>
      <c r="G22" s="1146"/>
      <c r="H22" s="42">
        <v>7519723000</v>
      </c>
      <c r="I22" s="648">
        <v>7519723000</v>
      </c>
      <c r="J22" s="42">
        <v>0</v>
      </c>
      <c r="K22" s="42">
        <v>7519723000</v>
      </c>
      <c r="L22" s="42">
        <v>0</v>
      </c>
      <c r="V22" s="42">
        <v>3579388148</v>
      </c>
      <c r="W22" s="924"/>
      <c r="X22" s="924">
        <v>3579388148</v>
      </c>
      <c r="Y22" s="925"/>
      <c r="Z22" s="42">
        <v>4259471896.1199999</v>
      </c>
      <c r="AA22" s="924"/>
      <c r="AB22" s="924">
        <v>4259471896.1199999</v>
      </c>
      <c r="AC22" s="925"/>
      <c r="AD22" s="42">
        <v>5068771556.3828001</v>
      </c>
      <c r="AE22" s="924"/>
      <c r="AF22" s="924">
        <v>5068771556.3828001</v>
      </c>
      <c r="AG22" s="925"/>
    </row>
    <row r="23" spans="1:35" ht="25.5" hidden="1" x14ac:dyDescent="0.25">
      <c r="A23" s="922">
        <v>177</v>
      </c>
      <c r="B23" s="923" t="s">
        <v>1789</v>
      </c>
      <c r="C23" s="42">
        <v>4509609000</v>
      </c>
      <c r="D23" s="927"/>
      <c r="E23" s="1251">
        <v>4509609000</v>
      </c>
      <c r="F23" s="924"/>
      <c r="G23" s="42"/>
      <c r="H23" s="42">
        <v>3007889200</v>
      </c>
      <c r="I23" s="648">
        <v>3007889200</v>
      </c>
      <c r="J23" s="42">
        <v>0</v>
      </c>
      <c r="K23" s="42">
        <v>3007889000</v>
      </c>
      <c r="L23" s="42">
        <v>200</v>
      </c>
      <c r="V23" s="42">
        <v>5369082222</v>
      </c>
      <c r="W23" s="927"/>
      <c r="X23" s="1251">
        <v>5369082222</v>
      </c>
      <c r="Y23" s="924"/>
      <c r="Z23" s="42">
        <v>6389207844.1799994</v>
      </c>
      <c r="AA23" s="927"/>
      <c r="AB23" s="1251">
        <v>6389207844.1799994</v>
      </c>
      <c r="AC23" s="924"/>
      <c r="AD23" s="42">
        <v>7603157334.5741987</v>
      </c>
      <c r="AE23" s="927"/>
      <c r="AF23" s="1251">
        <v>7603157334.5741987</v>
      </c>
      <c r="AG23" s="924"/>
    </row>
    <row r="24" spans="1:35" hidden="1" x14ac:dyDescent="0.25">
      <c r="A24" s="922">
        <v>5</v>
      </c>
      <c r="B24" s="923" t="s">
        <v>1054</v>
      </c>
      <c r="C24" s="42">
        <v>633364000</v>
      </c>
      <c r="D24" s="924"/>
      <c r="E24" s="924">
        <v>633364000</v>
      </c>
      <c r="F24" s="924"/>
      <c r="G24" s="42"/>
      <c r="H24" s="42">
        <v>4511833800</v>
      </c>
      <c r="I24" s="648">
        <v>4511833800</v>
      </c>
      <c r="J24" s="42">
        <v>0</v>
      </c>
      <c r="K24" s="42">
        <v>4511834000</v>
      </c>
      <c r="L24" s="42">
        <v>-200</v>
      </c>
      <c r="V24" s="42">
        <v>753703398</v>
      </c>
      <c r="W24" s="924"/>
      <c r="X24" s="924">
        <v>753703398</v>
      </c>
      <c r="Y24" s="924"/>
      <c r="Z24" s="42">
        <v>896907043.62</v>
      </c>
      <c r="AA24" s="924"/>
      <c r="AB24" s="924">
        <v>896907043.62</v>
      </c>
      <c r="AC24" s="924"/>
      <c r="AD24" s="42">
        <v>1067319381.9078</v>
      </c>
      <c r="AE24" s="924"/>
      <c r="AF24" s="924">
        <v>1067319381.9078</v>
      </c>
      <c r="AG24" s="924"/>
    </row>
    <row r="25" spans="1:35" ht="25.5" x14ac:dyDescent="0.25">
      <c r="A25" s="922">
        <v>33</v>
      </c>
      <c r="B25" s="923" t="s">
        <v>1055</v>
      </c>
      <c r="C25" s="42">
        <v>316682000</v>
      </c>
      <c r="D25" s="924">
        <v>316682000</v>
      </c>
      <c r="E25" s="924"/>
      <c r="F25" s="925"/>
      <c r="G25" s="1146"/>
      <c r="H25" s="42">
        <v>3166821000</v>
      </c>
      <c r="K25" s="42">
        <v>3166821000</v>
      </c>
      <c r="V25" s="42">
        <v>376851699</v>
      </c>
      <c r="W25" s="924">
        <v>376851699</v>
      </c>
      <c r="X25" s="924"/>
      <c r="Y25" s="925"/>
      <c r="Z25" s="42">
        <v>448453521.81</v>
      </c>
      <c r="AA25" s="924">
        <v>448453521.81</v>
      </c>
      <c r="AB25" s="924"/>
      <c r="AC25" s="925"/>
      <c r="AD25" s="42">
        <v>533659690.95389998</v>
      </c>
      <c r="AE25" s="924">
        <v>533659690.95389998</v>
      </c>
      <c r="AF25" s="924"/>
      <c r="AG25" s="925"/>
      <c r="AI25" s="1646">
        <f t="shared" ref="AI25:AI29" si="0">+D25+W25+AA25+AE25</f>
        <v>1675646911.7638998</v>
      </c>
    </row>
    <row r="26" spans="1:35" x14ac:dyDescent="0.25">
      <c r="A26" s="922">
        <v>34</v>
      </c>
      <c r="B26" s="923" t="s">
        <v>1056</v>
      </c>
      <c r="C26" s="42">
        <v>316816000</v>
      </c>
      <c r="D26" s="924">
        <v>316816000</v>
      </c>
      <c r="E26" s="924"/>
      <c r="F26" s="925"/>
      <c r="G26" s="1146"/>
      <c r="H26" s="42">
        <v>316682100</v>
      </c>
      <c r="I26" s="648">
        <v>316682100</v>
      </c>
      <c r="J26" s="42">
        <v>0</v>
      </c>
      <c r="K26" s="42">
        <v>316682000</v>
      </c>
      <c r="L26" s="42">
        <v>100</v>
      </c>
      <c r="V26" s="42">
        <v>376851699</v>
      </c>
      <c r="W26" s="924">
        <v>376851699</v>
      </c>
      <c r="X26" s="924"/>
      <c r="Y26" s="925"/>
      <c r="Z26" s="42">
        <v>448453521.81</v>
      </c>
      <c r="AA26" s="924">
        <v>448453521.81</v>
      </c>
      <c r="AB26" s="924"/>
      <c r="AC26" s="925"/>
      <c r="AD26" s="42">
        <v>533659690.95389998</v>
      </c>
      <c r="AE26" s="924">
        <v>533659690.95389998</v>
      </c>
      <c r="AF26" s="924"/>
      <c r="AG26" s="925"/>
      <c r="AI26" s="1646">
        <f t="shared" si="0"/>
        <v>1675780911.7638998</v>
      </c>
    </row>
    <row r="27" spans="1:35" ht="25.5" x14ac:dyDescent="0.25">
      <c r="A27" s="922">
        <v>39</v>
      </c>
      <c r="B27" s="923" t="s">
        <v>1057</v>
      </c>
      <c r="C27" s="42">
        <v>1583277000</v>
      </c>
      <c r="D27" s="924">
        <v>1583277000</v>
      </c>
      <c r="E27" s="924"/>
      <c r="F27" s="924"/>
      <c r="G27" s="42"/>
      <c r="H27" s="42">
        <v>316682100</v>
      </c>
      <c r="I27" s="648">
        <v>316682100</v>
      </c>
      <c r="J27" s="42">
        <v>0</v>
      </c>
      <c r="K27" s="42">
        <v>316682000</v>
      </c>
      <c r="L27" s="42">
        <v>100</v>
      </c>
      <c r="V27" s="42">
        <v>1884258495</v>
      </c>
      <c r="W27" s="924">
        <v>1884258495</v>
      </c>
      <c r="X27" s="924"/>
      <c r="Y27" s="924"/>
      <c r="Z27" s="42">
        <v>2242267609.0499997</v>
      </c>
      <c r="AA27" s="924">
        <v>2242267609.0499997</v>
      </c>
      <c r="AB27" s="924"/>
      <c r="AC27" s="924"/>
      <c r="AD27" s="42">
        <v>2668298454.7694993</v>
      </c>
      <c r="AE27" s="924">
        <v>2668298454.7694993</v>
      </c>
      <c r="AF27" s="924"/>
      <c r="AG27" s="924"/>
      <c r="AI27" s="1646">
        <f t="shared" si="0"/>
        <v>8378101558.8194981</v>
      </c>
    </row>
    <row r="28" spans="1:35" x14ac:dyDescent="0.25">
      <c r="A28" s="922">
        <v>41</v>
      </c>
      <c r="B28" s="923" t="s">
        <v>1058</v>
      </c>
      <c r="C28" s="42">
        <v>316682000</v>
      </c>
      <c r="D28" s="927">
        <v>316682000</v>
      </c>
      <c r="E28" s="924"/>
      <c r="F28" s="925"/>
      <c r="G28" s="1146"/>
      <c r="H28" s="42">
        <v>316682100</v>
      </c>
      <c r="I28" s="648">
        <v>316682100</v>
      </c>
      <c r="J28" s="42">
        <v>0</v>
      </c>
      <c r="K28" s="42">
        <v>316682000</v>
      </c>
      <c r="L28" s="42">
        <v>100</v>
      </c>
      <c r="V28" s="42">
        <v>376851699</v>
      </c>
      <c r="W28" s="927">
        <v>376851699</v>
      </c>
      <c r="X28" s="924"/>
      <c r="Y28" s="925"/>
      <c r="Z28" s="42">
        <v>448453521.81</v>
      </c>
      <c r="AA28" s="927">
        <v>448453521.81</v>
      </c>
      <c r="AB28" s="924"/>
      <c r="AC28" s="925"/>
      <c r="AD28" s="42">
        <v>533659690.95389998</v>
      </c>
      <c r="AE28" s="927">
        <v>533659690.95389998</v>
      </c>
      <c r="AF28" s="924"/>
      <c r="AG28" s="925"/>
      <c r="AI28" s="1646">
        <f t="shared" si="0"/>
        <v>1675646911.7638998</v>
      </c>
    </row>
    <row r="29" spans="1:35" x14ac:dyDescent="0.25">
      <c r="A29" s="922">
        <v>6</v>
      </c>
      <c r="B29" s="923" t="s">
        <v>1060</v>
      </c>
      <c r="C29" s="42">
        <v>5998098000</v>
      </c>
      <c r="D29" s="924">
        <v>5998098000</v>
      </c>
      <c r="E29" s="924"/>
      <c r="F29" s="924"/>
      <c r="G29" s="42"/>
      <c r="H29" s="42">
        <v>633364200</v>
      </c>
      <c r="I29" s="648">
        <v>633364200</v>
      </c>
      <c r="J29" s="42">
        <v>0</v>
      </c>
      <c r="K29" s="42">
        <v>633364000</v>
      </c>
      <c r="L29" s="42">
        <v>200</v>
      </c>
      <c r="V29" s="42">
        <v>7136788904</v>
      </c>
      <c r="W29" s="924">
        <v>7136788904</v>
      </c>
      <c r="X29" s="924"/>
      <c r="Y29" s="924"/>
      <c r="Z29" s="42">
        <v>8492778795.7599993</v>
      </c>
      <c r="AA29" s="924">
        <v>8492778795.7599993</v>
      </c>
      <c r="AB29" s="924"/>
      <c r="AC29" s="924"/>
      <c r="AD29" s="42">
        <v>10106406766.954399</v>
      </c>
      <c r="AE29" s="924">
        <v>10106406766.954399</v>
      </c>
      <c r="AF29" s="924"/>
      <c r="AG29" s="924"/>
      <c r="AI29" s="1646">
        <f t="shared" si="0"/>
        <v>31734072466.714397</v>
      </c>
    </row>
    <row r="30" spans="1:35" ht="25.5" hidden="1" x14ac:dyDescent="0.25">
      <c r="A30" s="922">
        <v>178</v>
      </c>
      <c r="B30" s="923" t="s">
        <v>1061</v>
      </c>
      <c r="C30" s="42">
        <v>1498529000</v>
      </c>
      <c r="D30" s="924"/>
      <c r="E30" s="924">
        <v>1498529000</v>
      </c>
      <c r="F30" s="925"/>
      <c r="G30" s="1146"/>
      <c r="H30" s="42">
        <v>1583410500</v>
      </c>
      <c r="I30" s="648">
        <v>1583410500</v>
      </c>
      <c r="J30" s="42">
        <v>0</v>
      </c>
      <c r="K30" s="42">
        <v>1583411000</v>
      </c>
      <c r="L30" s="42">
        <v>-500</v>
      </c>
      <c r="O30" s="42">
        <v>7496627000</v>
      </c>
      <c r="R30" s="1295">
        <v>5998098000</v>
      </c>
      <c r="S30" s="42">
        <v>5997302000</v>
      </c>
      <c r="V30" s="42">
        <v>1784197226</v>
      </c>
      <c r="W30" s="924"/>
      <c r="X30" s="924">
        <v>1784197226</v>
      </c>
      <c r="Y30" s="925"/>
      <c r="Z30" s="42">
        <v>2123194698.9399998</v>
      </c>
      <c r="AA30" s="924"/>
      <c r="AB30" s="924">
        <v>2123194698.9399998</v>
      </c>
      <c r="AC30" s="925"/>
      <c r="AD30" s="42">
        <v>2526601691.7385998</v>
      </c>
      <c r="AE30" s="924"/>
      <c r="AF30" s="924">
        <v>2526601691.7385998</v>
      </c>
      <c r="AG30" s="925"/>
    </row>
    <row r="31" spans="1:35" s="54" customFormat="1" hidden="1" x14ac:dyDescent="0.25">
      <c r="A31" s="922">
        <v>8</v>
      </c>
      <c r="B31" s="923" t="s">
        <v>1790</v>
      </c>
      <c r="C31" s="42">
        <v>12506483000</v>
      </c>
      <c r="D31" s="927"/>
      <c r="E31" s="1251">
        <v>12506483000</v>
      </c>
      <c r="F31" s="925"/>
      <c r="G31" s="1146"/>
      <c r="H31" s="54">
        <v>7496627000</v>
      </c>
      <c r="I31" s="919"/>
      <c r="K31" s="42">
        <v>7496627000</v>
      </c>
      <c r="L31" s="54">
        <v>5997301600</v>
      </c>
      <c r="M31" s="54">
        <v>400</v>
      </c>
      <c r="O31" s="54">
        <v>7496627000</v>
      </c>
      <c r="P31" s="54">
        <v>0</v>
      </c>
      <c r="R31" s="1296">
        <v>1498529000</v>
      </c>
      <c r="S31" s="42">
        <v>1499325000</v>
      </c>
      <c r="T31" s="54">
        <v>-796000</v>
      </c>
      <c r="V31" s="42">
        <v>14882714770</v>
      </c>
      <c r="W31" s="927"/>
      <c r="X31" s="1251">
        <v>14882714770</v>
      </c>
      <c r="Y31" s="925"/>
      <c r="Z31" s="42">
        <v>17710430576.299999</v>
      </c>
      <c r="AA31" s="927"/>
      <c r="AB31" s="1251">
        <v>17710430576.299999</v>
      </c>
      <c r="AC31" s="925"/>
      <c r="AD31" s="42">
        <v>21075412385.796997</v>
      </c>
      <c r="AE31" s="927"/>
      <c r="AF31" s="1251">
        <v>21075412385.796997</v>
      </c>
      <c r="AG31" s="925"/>
    </row>
    <row r="32" spans="1:35" hidden="1" x14ac:dyDescent="0.25">
      <c r="A32" s="922">
        <v>20</v>
      </c>
      <c r="B32" s="923" t="s">
        <v>1068</v>
      </c>
      <c r="C32" s="42">
        <v>40000000</v>
      </c>
      <c r="D32" s="924"/>
      <c r="E32" s="924"/>
      <c r="F32" s="1526">
        <v>40000000</v>
      </c>
      <c r="G32" s="1520"/>
      <c r="H32" s="42">
        <v>1499325400</v>
      </c>
      <c r="K32" s="42">
        <v>1499325000</v>
      </c>
      <c r="L32" s="42">
        <v>1499325400</v>
      </c>
      <c r="M32" s="42">
        <v>-400</v>
      </c>
      <c r="O32" s="42">
        <v>5997301600</v>
      </c>
      <c r="S32" s="42">
        <v>7496627000</v>
      </c>
      <c r="V32" s="42">
        <v>42000000</v>
      </c>
      <c r="W32" s="924"/>
      <c r="X32" s="924"/>
      <c r="Y32" s="1526">
        <v>42000000</v>
      </c>
      <c r="Z32" s="42">
        <v>44100000</v>
      </c>
      <c r="AA32" s="924"/>
      <c r="AB32" s="924"/>
      <c r="AC32" s="1526">
        <v>44100000</v>
      </c>
      <c r="AD32" s="42">
        <v>46305000</v>
      </c>
      <c r="AE32" s="924"/>
      <c r="AF32" s="924"/>
      <c r="AG32" s="1526">
        <v>46305000</v>
      </c>
    </row>
    <row r="33" spans="1:35" hidden="1" x14ac:dyDescent="0.25">
      <c r="A33" s="922">
        <v>190</v>
      </c>
      <c r="B33" s="923" t="s">
        <v>1064</v>
      </c>
      <c r="C33" s="42">
        <v>2082326000</v>
      </c>
      <c r="D33" s="924"/>
      <c r="E33" s="1251">
        <v>2082326000</v>
      </c>
      <c r="F33" s="925"/>
      <c r="G33" s="1146"/>
      <c r="H33" s="42">
        <v>5997301600</v>
      </c>
      <c r="K33" s="42">
        <v>5997302000</v>
      </c>
      <c r="M33" s="42">
        <v>400</v>
      </c>
      <c r="O33" s="42">
        <v>1499325400</v>
      </c>
      <c r="V33" s="42">
        <v>2477967940</v>
      </c>
      <c r="W33" s="924"/>
      <c r="X33" s="1251">
        <v>2477967940</v>
      </c>
      <c r="Y33" s="925"/>
      <c r="Z33" s="42">
        <v>2948781848.5999999</v>
      </c>
      <c r="AA33" s="924"/>
      <c r="AB33" s="1251">
        <v>2948781848.5999999</v>
      </c>
      <c r="AC33" s="925"/>
      <c r="AD33" s="42">
        <v>3509050399.8339996</v>
      </c>
      <c r="AE33" s="924"/>
      <c r="AF33" s="1251">
        <v>3509050399.8339996</v>
      </c>
      <c r="AG33" s="925"/>
    </row>
    <row r="34" spans="1:35" hidden="1" x14ac:dyDescent="0.25">
      <c r="A34" s="922">
        <v>20</v>
      </c>
      <c r="B34" s="923" t="s">
        <v>1069</v>
      </c>
      <c r="C34" s="42">
        <v>210000000</v>
      </c>
      <c r="D34" s="924"/>
      <c r="E34" s="924"/>
      <c r="F34" s="1526">
        <v>210000000</v>
      </c>
      <c r="G34" s="1520"/>
      <c r="V34" s="42">
        <v>220500000</v>
      </c>
      <c r="W34" s="924"/>
      <c r="X34" s="924"/>
      <c r="Y34" s="1526">
        <v>220500000</v>
      </c>
      <c r="Z34" s="42">
        <v>231525000</v>
      </c>
      <c r="AA34" s="924"/>
      <c r="AB34" s="924"/>
      <c r="AC34" s="1526">
        <v>231525000</v>
      </c>
      <c r="AD34" s="42">
        <v>243101250</v>
      </c>
      <c r="AE34" s="924"/>
      <c r="AF34" s="924"/>
      <c r="AG34" s="1526">
        <v>243101250</v>
      </c>
    </row>
    <row r="35" spans="1:35" hidden="1" x14ac:dyDescent="0.25">
      <c r="A35" s="922">
        <v>20</v>
      </c>
      <c r="B35" s="923" t="s">
        <v>1070</v>
      </c>
      <c r="C35" s="42">
        <v>40000000</v>
      </c>
      <c r="D35" s="924"/>
      <c r="E35" s="924"/>
      <c r="F35" s="1526">
        <v>40000000</v>
      </c>
      <c r="G35" s="1520" t="s">
        <v>1792</v>
      </c>
      <c r="V35" s="42">
        <v>42000000</v>
      </c>
      <c r="W35" s="924"/>
      <c r="X35" s="924"/>
      <c r="Y35" s="1526">
        <v>42000000</v>
      </c>
      <c r="Z35" s="42">
        <v>44100000</v>
      </c>
      <c r="AA35" s="924"/>
      <c r="AB35" s="924"/>
      <c r="AC35" s="1526">
        <v>44100000</v>
      </c>
      <c r="AD35" s="42">
        <v>46305000</v>
      </c>
      <c r="AE35" s="924"/>
      <c r="AF35" s="924"/>
      <c r="AG35" s="1526">
        <v>46305000</v>
      </c>
    </row>
    <row r="36" spans="1:35" hidden="1" x14ac:dyDescent="0.25">
      <c r="A36" s="922">
        <v>49</v>
      </c>
      <c r="B36" s="923" t="s">
        <v>1793</v>
      </c>
      <c r="C36" s="42">
        <v>726530000</v>
      </c>
      <c r="D36" s="924"/>
      <c r="E36" s="924">
        <v>726530000</v>
      </c>
      <c r="F36" s="925"/>
      <c r="G36" s="1146"/>
      <c r="H36" s="1001" t="s">
        <v>1794</v>
      </c>
      <c r="V36" s="42">
        <v>762856500</v>
      </c>
      <c r="W36" s="924"/>
      <c r="X36" s="924">
        <v>762856500</v>
      </c>
      <c r="Y36" s="925"/>
      <c r="Z36" s="42">
        <v>800999325</v>
      </c>
      <c r="AA36" s="924"/>
      <c r="AB36" s="924">
        <v>800999325</v>
      </c>
      <c r="AC36" s="925"/>
      <c r="AD36" s="42">
        <v>841049291.25</v>
      </c>
      <c r="AE36" s="924"/>
      <c r="AF36" s="924">
        <v>841049291.25</v>
      </c>
      <c r="AG36" s="925"/>
    </row>
    <row r="37" spans="1:35" hidden="1" x14ac:dyDescent="0.25">
      <c r="A37" s="922">
        <v>133</v>
      </c>
      <c r="B37" s="923" t="s">
        <v>1795</v>
      </c>
      <c r="C37" s="42">
        <v>8000000000</v>
      </c>
      <c r="D37" s="924"/>
      <c r="E37" s="924">
        <v>8000000000</v>
      </c>
      <c r="F37" s="925">
        <v>0</v>
      </c>
      <c r="G37" s="1146"/>
      <c r="V37" s="42">
        <v>8400000000</v>
      </c>
      <c r="W37" s="924"/>
      <c r="X37" s="924">
        <v>8400000000</v>
      </c>
      <c r="Y37" s="925">
        <v>0</v>
      </c>
      <c r="Z37" s="42">
        <v>8820000000</v>
      </c>
      <c r="AA37" s="924"/>
      <c r="AB37" s="924">
        <v>8820000000</v>
      </c>
      <c r="AC37" s="925">
        <v>0</v>
      </c>
      <c r="AD37" s="42">
        <v>9261000000</v>
      </c>
      <c r="AE37" s="924"/>
      <c r="AF37" s="924">
        <v>9261000000</v>
      </c>
      <c r="AG37" s="925">
        <v>0</v>
      </c>
    </row>
    <row r="38" spans="1:35" hidden="1" x14ac:dyDescent="0.25">
      <c r="A38" s="922">
        <v>20</v>
      </c>
      <c r="B38" s="923" t="s">
        <v>1072</v>
      </c>
      <c r="C38" s="42">
        <v>30000000</v>
      </c>
      <c r="D38" s="924"/>
      <c r="E38" s="924"/>
      <c r="F38" s="1526">
        <v>30000000</v>
      </c>
      <c r="G38" s="1520"/>
      <c r="V38" s="42">
        <v>31500000</v>
      </c>
      <c r="W38" s="924"/>
      <c r="X38" s="924"/>
      <c r="Y38" s="1526">
        <v>31500000</v>
      </c>
      <c r="Z38" s="42">
        <v>33075000</v>
      </c>
      <c r="AA38" s="924"/>
      <c r="AB38" s="924"/>
      <c r="AC38" s="1526">
        <v>33075000</v>
      </c>
      <c r="AD38" s="42">
        <v>34728750</v>
      </c>
      <c r="AE38" s="924"/>
      <c r="AF38" s="924"/>
      <c r="AG38" s="1526">
        <v>34728750</v>
      </c>
    </row>
    <row r="39" spans="1:35" s="54" customFormat="1" x14ac:dyDescent="0.25">
      <c r="A39" s="922">
        <v>35</v>
      </c>
      <c r="B39" s="923" t="s">
        <v>1796</v>
      </c>
      <c r="C39" s="42">
        <v>5174318000</v>
      </c>
      <c r="D39" s="924">
        <v>5174318000</v>
      </c>
      <c r="E39" s="924"/>
      <c r="F39" s="925"/>
      <c r="G39" s="1146"/>
      <c r="I39" s="919"/>
      <c r="V39" s="42">
        <v>5433033900</v>
      </c>
      <c r="W39" s="924">
        <v>5433033900</v>
      </c>
      <c r="X39" s="924"/>
      <c r="Y39" s="925"/>
      <c r="Z39" s="42">
        <v>5704685595</v>
      </c>
      <c r="AA39" s="924">
        <v>5704685595</v>
      </c>
      <c r="AB39" s="924"/>
      <c r="AC39" s="925"/>
      <c r="AD39" s="42">
        <v>5989919874.75</v>
      </c>
      <c r="AE39" s="924">
        <v>5989919874.75</v>
      </c>
      <c r="AF39" s="924"/>
      <c r="AG39" s="925"/>
      <c r="AI39" s="1646">
        <f>+D39+W39+AA39+AE39</f>
        <v>22301957369.75</v>
      </c>
    </row>
    <row r="40" spans="1:35" s="54" customFormat="1" hidden="1" x14ac:dyDescent="0.25">
      <c r="A40" s="922">
        <v>179</v>
      </c>
      <c r="B40" s="923" t="s">
        <v>1797</v>
      </c>
      <c r="C40" s="42">
        <v>1108110000</v>
      </c>
      <c r="D40" s="924"/>
      <c r="E40" s="1251">
        <v>1108110000</v>
      </c>
      <c r="F40" s="924"/>
      <c r="G40" s="1150"/>
      <c r="H40" s="54">
        <v>23283758000</v>
      </c>
      <c r="I40" s="919"/>
      <c r="V40" s="42">
        <v>1163515500</v>
      </c>
      <c r="W40" s="924"/>
      <c r="X40" s="1251">
        <v>1163515500</v>
      </c>
      <c r="Y40" s="924"/>
      <c r="Z40" s="42">
        <v>1221691275</v>
      </c>
      <c r="AA40" s="924"/>
      <c r="AB40" s="1251">
        <v>1221691275</v>
      </c>
      <c r="AC40" s="924"/>
      <c r="AD40" s="42">
        <v>1282775838.75</v>
      </c>
      <c r="AE40" s="924"/>
      <c r="AF40" s="1251">
        <v>1282775838.75</v>
      </c>
      <c r="AG40" s="924"/>
    </row>
    <row r="41" spans="1:35" s="54" customFormat="1" hidden="1" x14ac:dyDescent="0.25">
      <c r="A41" s="922">
        <v>205</v>
      </c>
      <c r="B41" s="923" t="s">
        <v>1798</v>
      </c>
      <c r="C41" s="42">
        <v>673000</v>
      </c>
      <c r="D41" s="924"/>
      <c r="E41" s="1251">
        <v>673000</v>
      </c>
      <c r="F41" s="924"/>
      <c r="G41" s="1150"/>
      <c r="I41" s="919"/>
      <c r="V41" s="42">
        <v>706650</v>
      </c>
      <c r="W41" s="924"/>
      <c r="X41" s="1251">
        <v>706650</v>
      </c>
      <c r="Y41" s="924"/>
      <c r="Z41" s="42">
        <v>741982.5</v>
      </c>
      <c r="AA41" s="924"/>
      <c r="AB41" s="1251">
        <v>741982.5</v>
      </c>
      <c r="AC41" s="924"/>
      <c r="AD41" s="42">
        <v>779081.625</v>
      </c>
      <c r="AE41" s="924"/>
      <c r="AF41" s="1251">
        <v>779081.625</v>
      </c>
      <c r="AG41" s="924"/>
    </row>
    <row r="42" spans="1:35" hidden="1" x14ac:dyDescent="0.25">
      <c r="A42" s="922">
        <v>20</v>
      </c>
      <c r="B42" s="923" t="s">
        <v>1080</v>
      </c>
      <c r="C42" s="42">
        <v>17001330000</v>
      </c>
      <c r="D42" s="924"/>
      <c r="E42" s="924"/>
      <c r="F42" s="1527">
        <v>17001330000</v>
      </c>
      <c r="G42" s="1522"/>
      <c r="V42" s="42">
        <v>17851396500</v>
      </c>
      <c r="W42" s="924"/>
      <c r="X42" s="924"/>
      <c r="Y42" s="1527">
        <v>17851396500</v>
      </c>
      <c r="Z42" s="42">
        <v>18743966325</v>
      </c>
      <c r="AA42" s="924"/>
      <c r="AB42" s="924"/>
      <c r="AC42" s="1527">
        <v>18743966325</v>
      </c>
      <c r="AD42" s="42">
        <v>19681164641.25</v>
      </c>
      <c r="AE42" s="924"/>
      <c r="AF42" s="924"/>
      <c r="AG42" s="1527">
        <v>19681164641.25</v>
      </c>
    </row>
    <row r="43" spans="1:35" s="54" customFormat="1" hidden="1" x14ac:dyDescent="0.25">
      <c r="A43" s="922">
        <v>18</v>
      </c>
      <c r="B43" s="923" t="s">
        <v>1085</v>
      </c>
      <c r="C43" s="42">
        <v>681193000</v>
      </c>
      <c r="D43" s="924"/>
      <c r="E43" s="924">
        <v>681193000</v>
      </c>
      <c r="F43" s="924"/>
      <c r="G43" s="1150"/>
      <c r="I43" s="919"/>
      <c r="V43" s="42">
        <v>715252650</v>
      </c>
      <c r="W43" s="924"/>
      <c r="X43" s="924">
        <v>715252650</v>
      </c>
      <c r="Y43" s="924"/>
      <c r="Z43" s="42">
        <v>751015282.5</v>
      </c>
      <c r="AA43" s="924"/>
      <c r="AB43" s="924">
        <v>751015282.5</v>
      </c>
      <c r="AC43" s="924"/>
      <c r="AD43" s="42">
        <v>788566046.625</v>
      </c>
      <c r="AE43" s="924"/>
      <c r="AF43" s="924">
        <v>788566046.625</v>
      </c>
      <c r="AG43" s="924"/>
    </row>
    <row r="44" spans="1:35" s="54" customFormat="1" ht="25.5" x14ac:dyDescent="0.25">
      <c r="A44" s="922">
        <v>56</v>
      </c>
      <c r="B44" s="923" t="s">
        <v>1799</v>
      </c>
      <c r="C44" s="42">
        <v>500000000</v>
      </c>
      <c r="D44" s="924">
        <v>500000000</v>
      </c>
      <c r="E44" s="924"/>
      <c r="F44" s="924"/>
      <c r="G44" s="42"/>
      <c r="I44" s="919"/>
      <c r="V44" s="42">
        <v>550000000</v>
      </c>
      <c r="W44" s="924">
        <v>550000000</v>
      </c>
      <c r="X44" s="924"/>
      <c r="Y44" s="924"/>
      <c r="Z44" s="42">
        <v>605000000</v>
      </c>
      <c r="AA44" s="924">
        <v>605000000</v>
      </c>
      <c r="AB44" s="924"/>
      <c r="AC44" s="924"/>
      <c r="AD44" s="42">
        <v>665500000</v>
      </c>
      <c r="AE44" s="924">
        <v>665500000</v>
      </c>
      <c r="AF44" s="924"/>
      <c r="AG44" s="924"/>
      <c r="AI44" s="1646">
        <f t="shared" ref="AI44:AI45" si="1">+D44+W44+AA44+AE44</f>
        <v>2320500000</v>
      </c>
    </row>
    <row r="45" spans="1:35" x14ac:dyDescent="0.25">
      <c r="A45" s="922">
        <v>23</v>
      </c>
      <c r="B45" s="923" t="s">
        <v>1800</v>
      </c>
      <c r="C45" s="42">
        <v>697956000</v>
      </c>
      <c r="D45" s="924">
        <v>697956000</v>
      </c>
      <c r="E45" s="924"/>
      <c r="F45" s="925"/>
      <c r="G45" s="1146"/>
      <c r="W45" s="924">
        <v>0</v>
      </c>
      <c r="X45" s="924"/>
      <c r="Y45" s="925"/>
      <c r="Z45" s="42">
        <v>0</v>
      </c>
      <c r="AA45" s="924">
        <v>0</v>
      </c>
      <c r="AB45" s="924"/>
      <c r="AC45" s="925"/>
      <c r="AD45" s="42">
        <v>0</v>
      </c>
      <c r="AE45" s="924">
        <v>0</v>
      </c>
      <c r="AF45" s="924"/>
      <c r="AG45" s="925"/>
      <c r="AI45" s="1646">
        <f t="shared" si="1"/>
        <v>697956000</v>
      </c>
    </row>
    <row r="46" spans="1:35" hidden="1" x14ac:dyDescent="0.25">
      <c r="A46" s="930">
        <v>20</v>
      </c>
      <c r="B46" s="923" t="s">
        <v>3263</v>
      </c>
      <c r="C46" s="42">
        <v>217044000</v>
      </c>
      <c r="D46" s="929"/>
      <c r="E46" s="929"/>
      <c r="F46" s="1526"/>
      <c r="G46" s="1146"/>
      <c r="V46" s="42">
        <v>227896200</v>
      </c>
      <c r="W46" s="929"/>
      <c r="X46" s="929"/>
      <c r="Y46" s="1526">
        <v>227896200</v>
      </c>
      <c r="Z46" s="42">
        <v>239291010</v>
      </c>
      <c r="AA46" s="929"/>
      <c r="AB46" s="929"/>
      <c r="AC46" s="1526">
        <v>239291010</v>
      </c>
      <c r="AD46" s="42">
        <v>251255560.5</v>
      </c>
      <c r="AE46" s="929"/>
      <c r="AF46" s="929"/>
      <c r="AG46" s="1526">
        <v>251255560.5</v>
      </c>
    </row>
    <row r="47" spans="1:35" hidden="1" x14ac:dyDescent="0.25">
      <c r="A47" s="930">
        <v>20</v>
      </c>
      <c r="B47" s="923" t="s">
        <v>3264</v>
      </c>
      <c r="C47" s="42">
        <v>1000000</v>
      </c>
      <c r="D47" s="929"/>
      <c r="E47" s="929"/>
      <c r="F47" s="1526"/>
      <c r="G47" s="1146"/>
      <c r="V47" s="42">
        <v>1050000</v>
      </c>
      <c r="W47" s="929"/>
      <c r="X47" s="929"/>
      <c r="Y47" s="1526">
        <v>1050000</v>
      </c>
      <c r="Z47" s="42">
        <v>1102500</v>
      </c>
      <c r="AA47" s="929"/>
      <c r="AB47" s="929"/>
      <c r="AC47" s="1526">
        <v>1102500</v>
      </c>
      <c r="AD47" s="42">
        <v>1157625</v>
      </c>
      <c r="AE47" s="929"/>
      <c r="AF47" s="929"/>
      <c r="AG47" s="1526">
        <v>1157625</v>
      </c>
    </row>
    <row r="48" spans="1:35" hidden="1" x14ac:dyDescent="0.25">
      <c r="A48" s="930">
        <v>20</v>
      </c>
      <c r="B48" s="923" t="s">
        <v>4348</v>
      </c>
      <c r="D48" s="929"/>
      <c r="E48" s="929"/>
      <c r="F48" s="1526"/>
      <c r="G48" s="1146"/>
      <c r="V48" s="42">
        <v>119823900</v>
      </c>
      <c r="W48" s="929"/>
      <c r="X48" s="929"/>
      <c r="Y48" s="1526">
        <v>119823900</v>
      </c>
      <c r="Z48" s="42">
        <v>125815095</v>
      </c>
      <c r="AA48" s="929"/>
      <c r="AB48" s="929"/>
      <c r="AC48" s="1526">
        <v>125815095</v>
      </c>
      <c r="AD48" s="42">
        <v>132105849.75</v>
      </c>
      <c r="AE48" s="929"/>
      <c r="AF48" s="929"/>
      <c r="AG48" s="1526">
        <v>132105849.75</v>
      </c>
    </row>
    <row r="49" spans="1:35" hidden="1" x14ac:dyDescent="0.25">
      <c r="A49" s="930">
        <v>20</v>
      </c>
      <c r="B49" s="923" t="s">
        <v>3265</v>
      </c>
      <c r="C49" s="42">
        <v>1000000</v>
      </c>
      <c r="D49" s="929"/>
      <c r="E49" s="929"/>
      <c r="F49" s="1526"/>
      <c r="G49" s="1146"/>
      <c r="V49" s="42">
        <v>1050000</v>
      </c>
      <c r="W49" s="929"/>
      <c r="X49" s="929"/>
      <c r="Y49" s="1526">
        <v>1050000</v>
      </c>
      <c r="Z49" s="42">
        <v>1102500</v>
      </c>
      <c r="AA49" s="929"/>
      <c r="AB49" s="929"/>
      <c r="AC49" s="1526">
        <v>1102500</v>
      </c>
      <c r="AD49" s="42">
        <v>1157625</v>
      </c>
      <c r="AE49" s="929"/>
      <c r="AF49" s="929"/>
      <c r="AG49" s="1526">
        <v>1157625</v>
      </c>
    </row>
    <row r="50" spans="1:35" hidden="1" x14ac:dyDescent="0.25">
      <c r="A50" s="930">
        <v>20</v>
      </c>
      <c r="B50" s="923" t="s">
        <v>3266</v>
      </c>
      <c r="C50" s="42">
        <v>77643000</v>
      </c>
      <c r="D50" s="929"/>
      <c r="E50" s="929"/>
      <c r="F50" s="1526"/>
      <c r="G50" s="1146"/>
      <c r="V50" s="42">
        <v>81525150</v>
      </c>
      <c r="W50" s="929"/>
      <c r="X50" s="929"/>
      <c r="Y50" s="1526">
        <v>81525150</v>
      </c>
      <c r="Z50" s="42">
        <v>85601407.5</v>
      </c>
      <c r="AA50" s="929"/>
      <c r="AB50" s="929"/>
      <c r="AC50" s="1526">
        <v>85601407.5</v>
      </c>
      <c r="AD50" s="42">
        <v>89881477.875</v>
      </c>
      <c r="AE50" s="929"/>
      <c r="AF50" s="929"/>
      <c r="AG50" s="1526">
        <v>89881477.875</v>
      </c>
    </row>
    <row r="51" spans="1:35" ht="12.75" customHeight="1" x14ac:dyDescent="0.25">
      <c r="A51" s="930">
        <v>47</v>
      </c>
      <c r="B51" s="921" t="s">
        <v>1093</v>
      </c>
      <c r="C51" s="42">
        <v>103859000</v>
      </c>
      <c r="D51" s="929">
        <v>103859000</v>
      </c>
      <c r="E51" s="929"/>
      <c r="F51" s="925"/>
      <c r="G51" s="1146"/>
      <c r="V51" s="42">
        <v>109051950</v>
      </c>
      <c r="W51" s="929">
        <v>109051950</v>
      </c>
      <c r="X51" s="929"/>
      <c r="Y51" s="925"/>
      <c r="Z51" s="42">
        <v>114504547.5</v>
      </c>
      <c r="AA51" s="929">
        <v>114504547.5</v>
      </c>
      <c r="AB51" s="929"/>
      <c r="AC51" s="925"/>
      <c r="AD51" s="42">
        <v>120229774.875</v>
      </c>
      <c r="AE51" s="929">
        <v>120229774.875</v>
      </c>
      <c r="AF51" s="929"/>
      <c r="AG51" s="925"/>
      <c r="AI51" s="1646">
        <f>+D51+W51+AA51+AE51</f>
        <v>447645272.375</v>
      </c>
    </row>
    <row r="52" spans="1:35" ht="25.5" hidden="1" x14ac:dyDescent="0.25">
      <c r="A52" s="922">
        <v>50</v>
      </c>
      <c r="B52" s="923" t="s">
        <v>1160</v>
      </c>
      <c r="C52" s="42">
        <v>200000000</v>
      </c>
      <c r="D52" s="924"/>
      <c r="E52" s="924">
        <v>200000000</v>
      </c>
      <c r="F52" s="924"/>
      <c r="H52" s="1001" t="s">
        <v>1794</v>
      </c>
      <c r="V52" s="42">
        <v>210000000</v>
      </c>
      <c r="W52" s="924"/>
      <c r="X52" s="924">
        <v>210000000</v>
      </c>
      <c r="Y52" s="924"/>
      <c r="Z52" s="42">
        <v>220500000</v>
      </c>
      <c r="AA52" s="924"/>
      <c r="AB52" s="924">
        <v>220500000</v>
      </c>
      <c r="AC52" s="924"/>
      <c r="AD52" s="42">
        <v>231525000</v>
      </c>
      <c r="AE52" s="924"/>
      <c r="AF52" s="924">
        <v>231525000</v>
      </c>
      <c r="AG52" s="924"/>
    </row>
    <row r="53" spans="1:35" hidden="1" x14ac:dyDescent="0.25">
      <c r="A53" s="922">
        <v>135</v>
      </c>
      <c r="B53" s="923" t="s">
        <v>1803</v>
      </c>
      <c r="C53" s="42">
        <v>9000000000</v>
      </c>
      <c r="D53" s="927"/>
      <c r="E53" s="924">
        <v>9000000000</v>
      </c>
      <c r="F53" s="925"/>
      <c r="G53" s="1520"/>
      <c r="V53" s="42">
        <v>9450000000</v>
      </c>
      <c r="W53" s="927"/>
      <c r="X53" s="924">
        <v>9450000000</v>
      </c>
      <c r="Y53" s="925"/>
      <c r="Z53" s="42">
        <v>9922500000</v>
      </c>
      <c r="AA53" s="927"/>
      <c r="AB53" s="924">
        <v>9922500000</v>
      </c>
      <c r="AC53" s="925"/>
      <c r="AD53" s="42">
        <v>10418625000</v>
      </c>
      <c r="AE53" s="927"/>
      <c r="AF53" s="924">
        <v>10418625000</v>
      </c>
      <c r="AG53" s="925"/>
    </row>
    <row r="54" spans="1:35" hidden="1" x14ac:dyDescent="0.25">
      <c r="A54" s="922">
        <v>20</v>
      </c>
      <c r="B54" s="923" t="s">
        <v>606</v>
      </c>
      <c r="C54" s="42">
        <v>10000000</v>
      </c>
      <c r="D54" s="924"/>
      <c r="E54" s="924"/>
      <c r="F54" s="924">
        <v>10000000</v>
      </c>
      <c r="V54" s="42">
        <v>10500000</v>
      </c>
      <c r="W54" s="924"/>
      <c r="X54" s="924"/>
      <c r="Y54" s="924">
        <v>10500000</v>
      </c>
      <c r="Z54" s="42">
        <v>11025000</v>
      </c>
      <c r="AA54" s="924"/>
      <c r="AB54" s="924"/>
      <c r="AC54" s="924">
        <v>11025000</v>
      </c>
      <c r="AD54" s="42">
        <v>11576250</v>
      </c>
      <c r="AE54" s="924"/>
      <c r="AF54" s="924"/>
      <c r="AG54" s="924">
        <v>11576250</v>
      </c>
    </row>
    <row r="55" spans="1:35" ht="25.5" hidden="1" x14ac:dyDescent="0.25">
      <c r="A55" s="922">
        <v>20</v>
      </c>
      <c r="B55" s="923" t="s">
        <v>1804</v>
      </c>
      <c r="C55" s="42">
        <v>300000000</v>
      </c>
      <c r="D55" s="924"/>
      <c r="E55" s="924"/>
      <c r="F55" s="1527">
        <v>300000000</v>
      </c>
      <c r="V55" s="42">
        <v>306000000</v>
      </c>
      <c r="W55" s="924"/>
      <c r="X55" s="924"/>
      <c r="Y55" s="1527">
        <v>306000000</v>
      </c>
      <c r="Z55" s="42">
        <v>321300000</v>
      </c>
      <c r="AA55" s="924"/>
      <c r="AB55" s="924"/>
      <c r="AC55" s="1527">
        <v>321300000</v>
      </c>
      <c r="AD55" s="42">
        <v>337365000</v>
      </c>
      <c r="AE55" s="924"/>
      <c r="AF55" s="924"/>
      <c r="AG55" s="1527">
        <v>337365000</v>
      </c>
    </row>
    <row r="56" spans="1:35" ht="25.5" x14ac:dyDescent="0.25">
      <c r="A56" s="922">
        <v>4</v>
      </c>
      <c r="B56" s="923" t="s">
        <v>1805</v>
      </c>
      <c r="C56" s="42">
        <v>20000000</v>
      </c>
      <c r="D56" s="924">
        <v>20000000</v>
      </c>
      <c r="E56" s="924"/>
      <c r="F56" s="924"/>
      <c r="V56" s="42">
        <v>20400000</v>
      </c>
      <c r="W56" s="924">
        <v>20400000</v>
      </c>
      <c r="X56" s="924"/>
      <c r="Y56" s="924"/>
      <c r="Z56" s="42">
        <v>21420000</v>
      </c>
      <c r="AA56" s="924">
        <v>21420000</v>
      </c>
      <c r="AB56" s="924"/>
      <c r="AC56" s="924"/>
      <c r="AD56" s="42">
        <v>22491000</v>
      </c>
      <c r="AE56" s="924">
        <v>22491000</v>
      </c>
      <c r="AF56" s="924"/>
      <c r="AG56" s="924"/>
      <c r="AI56" s="1646">
        <f>+D56+W56+AA56+AE56</f>
        <v>84311000</v>
      </c>
    </row>
    <row r="57" spans="1:35" ht="25.5" hidden="1" x14ac:dyDescent="0.25">
      <c r="A57" s="922">
        <v>176</v>
      </c>
      <c r="B57" s="923" t="s">
        <v>1806</v>
      </c>
      <c r="C57" s="42">
        <v>5000000</v>
      </c>
      <c r="D57" s="924"/>
      <c r="E57" s="924">
        <v>5000000</v>
      </c>
      <c r="F57" s="924"/>
      <c r="V57" s="42">
        <v>5100000</v>
      </c>
      <c r="W57" s="924"/>
      <c r="X57" s="924">
        <v>5100000</v>
      </c>
      <c r="Y57" s="924"/>
      <c r="Z57" s="42">
        <v>5355000</v>
      </c>
      <c r="AA57" s="924"/>
      <c r="AB57" s="924">
        <v>5355000</v>
      </c>
      <c r="AC57" s="924"/>
      <c r="AD57" s="42">
        <v>5622750</v>
      </c>
      <c r="AE57" s="924"/>
      <c r="AF57" s="924">
        <v>5622750</v>
      </c>
      <c r="AG57" s="924"/>
    </row>
    <row r="58" spans="1:35" ht="25.5" hidden="1" x14ac:dyDescent="0.25">
      <c r="A58" s="922">
        <v>5</v>
      </c>
      <c r="B58" s="923" t="s">
        <v>1807</v>
      </c>
      <c r="C58" s="42">
        <v>2000000</v>
      </c>
      <c r="D58" s="924"/>
      <c r="E58" s="924">
        <v>2000000</v>
      </c>
      <c r="F58" s="924"/>
      <c r="V58" s="42">
        <v>2040000</v>
      </c>
      <c r="W58" s="924"/>
      <c r="X58" s="924">
        <v>2040000</v>
      </c>
      <c r="Y58" s="924"/>
      <c r="Z58" s="42">
        <v>2142000</v>
      </c>
      <c r="AA58" s="924"/>
      <c r="AB58" s="924">
        <v>2142000</v>
      </c>
      <c r="AC58" s="924"/>
      <c r="AD58" s="42">
        <v>2249100</v>
      </c>
      <c r="AE58" s="924"/>
      <c r="AF58" s="924">
        <v>2249100</v>
      </c>
      <c r="AG58" s="924"/>
    </row>
    <row r="59" spans="1:35" ht="25.5" x14ac:dyDescent="0.25">
      <c r="A59" s="922">
        <v>33</v>
      </c>
      <c r="B59" s="923" t="s">
        <v>1808</v>
      </c>
      <c r="C59" s="42">
        <v>1000000</v>
      </c>
      <c r="D59" s="924">
        <v>1000000</v>
      </c>
      <c r="E59" s="924"/>
      <c r="F59" s="924"/>
      <c r="V59" s="42">
        <v>1020000</v>
      </c>
      <c r="W59" s="924">
        <v>1020000</v>
      </c>
      <c r="X59" s="924"/>
      <c r="Y59" s="924"/>
      <c r="Z59" s="42">
        <v>1071000</v>
      </c>
      <c r="AA59" s="924">
        <v>1071000</v>
      </c>
      <c r="AB59" s="924"/>
      <c r="AC59" s="924"/>
      <c r="AD59" s="42">
        <v>1124550</v>
      </c>
      <c r="AE59" s="924">
        <v>1124550</v>
      </c>
      <c r="AF59" s="924"/>
      <c r="AG59" s="924"/>
      <c r="AI59" s="1646">
        <f t="shared" ref="AI59:AI75" si="2">+D59+W59+AA59+AE59</f>
        <v>4215550</v>
      </c>
    </row>
    <row r="60" spans="1:35" ht="25.5" x14ac:dyDescent="0.25">
      <c r="A60" s="922">
        <v>34</v>
      </c>
      <c r="B60" s="923" t="s">
        <v>1809</v>
      </c>
      <c r="C60" s="42">
        <v>1000000</v>
      </c>
      <c r="D60" s="924">
        <v>1000000</v>
      </c>
      <c r="E60" s="924"/>
      <c r="F60" s="924"/>
      <c r="V60" s="42">
        <v>1020000</v>
      </c>
      <c r="W60" s="924">
        <v>1020000</v>
      </c>
      <c r="X60" s="924"/>
      <c r="Y60" s="924"/>
      <c r="Z60" s="42">
        <v>1071000</v>
      </c>
      <c r="AA60" s="924">
        <v>1071000</v>
      </c>
      <c r="AB60" s="924"/>
      <c r="AC60" s="924"/>
      <c r="AD60" s="42">
        <v>1124550</v>
      </c>
      <c r="AE60" s="924">
        <v>1124550</v>
      </c>
      <c r="AF60" s="924"/>
      <c r="AG60" s="924"/>
      <c r="AI60" s="1646">
        <f t="shared" si="2"/>
        <v>4215550</v>
      </c>
    </row>
    <row r="61" spans="1:35" ht="25.5" x14ac:dyDescent="0.25">
      <c r="A61" s="922">
        <v>39</v>
      </c>
      <c r="B61" s="923" t="s">
        <v>1810</v>
      </c>
      <c r="C61" s="42">
        <v>5000000</v>
      </c>
      <c r="D61" s="924">
        <v>5000000</v>
      </c>
      <c r="E61" s="924"/>
      <c r="F61" s="924"/>
      <c r="V61" s="42">
        <v>5100000</v>
      </c>
      <c r="W61" s="924">
        <v>5100000</v>
      </c>
      <c r="X61" s="924"/>
      <c r="Y61" s="924"/>
      <c r="Z61" s="42">
        <v>5355000</v>
      </c>
      <c r="AA61" s="924">
        <v>5355000</v>
      </c>
      <c r="AB61" s="924"/>
      <c r="AC61" s="924"/>
      <c r="AD61" s="42">
        <v>5622750</v>
      </c>
      <c r="AE61" s="924">
        <v>5622750</v>
      </c>
      <c r="AF61" s="924"/>
      <c r="AG61" s="924"/>
      <c r="AI61" s="1646">
        <f t="shared" si="2"/>
        <v>21077750</v>
      </c>
    </row>
    <row r="62" spans="1:35" s="1652" customFormat="1" x14ac:dyDescent="0.25">
      <c r="A62" s="922">
        <f>+' Verdad Verdadera 24-27'!A57</f>
        <v>9</v>
      </c>
      <c r="B62" s="923" t="str">
        <f>+' Verdad Verdadera 24-27'!B57</f>
        <v>SUPERAVIT S.G.P. EDUCACION</v>
      </c>
      <c r="D62" s="924">
        <f>+' Verdad Verdadera 24-27'!C57</f>
        <v>139116291.99000001</v>
      </c>
      <c r="E62" s="924"/>
      <c r="F62" s="924"/>
      <c r="G62" s="1519"/>
      <c r="I62" s="648"/>
      <c r="W62" s="924"/>
      <c r="X62" s="924"/>
      <c r="Y62" s="924"/>
      <c r="AA62" s="924"/>
      <c r="AB62" s="924"/>
      <c r="AC62" s="924"/>
      <c r="AE62" s="924"/>
      <c r="AF62" s="924"/>
      <c r="AG62" s="924"/>
      <c r="AI62" s="1646"/>
    </row>
    <row r="63" spans="1:35" s="1652" customFormat="1" ht="25.5" x14ac:dyDescent="0.25">
      <c r="A63" s="922">
        <f>+' Verdad Verdadera 24-27'!A58</f>
        <v>82</v>
      </c>
      <c r="B63" s="923" t="str">
        <f>+' Verdad Verdadera 24-27'!B58</f>
        <v>SUPERAVIT ESTAMPILLA PRO-DESARROLLO</v>
      </c>
      <c r="D63" s="924">
        <f>+' Verdad Verdadera 24-27'!C58</f>
        <v>5801575548.9700003</v>
      </c>
      <c r="E63" s="924"/>
      <c r="F63" s="924"/>
      <c r="G63" s="1519"/>
      <c r="I63" s="648"/>
      <c r="W63" s="924"/>
      <c r="X63" s="924"/>
      <c r="Y63" s="924"/>
      <c r="AA63" s="924"/>
      <c r="AB63" s="924"/>
      <c r="AC63" s="924"/>
      <c r="AE63" s="924"/>
      <c r="AF63" s="924"/>
      <c r="AG63" s="924"/>
      <c r="AI63" s="1646"/>
    </row>
    <row r="64" spans="1:35" s="1652" customFormat="1" x14ac:dyDescent="0.25">
      <c r="A64" s="922">
        <f>+' Verdad Verdadera 24-27'!A59</f>
        <v>88</v>
      </c>
      <c r="B64" s="923" t="str">
        <f>+' Verdad Verdadera 24-27'!B59</f>
        <v>SUPERAVIT RECURSO ORDINARIO</v>
      </c>
      <c r="D64" s="924">
        <f>+' Verdad Verdadera 24-27'!C59</f>
        <v>5417614813.6199989</v>
      </c>
      <c r="E64" s="924"/>
      <c r="F64" s="924"/>
      <c r="G64" s="1519"/>
      <c r="I64" s="648"/>
      <c r="W64" s="924"/>
      <c r="X64" s="924"/>
      <c r="Y64" s="924"/>
      <c r="AA64" s="924"/>
      <c r="AB64" s="924"/>
      <c r="AC64" s="924"/>
      <c r="AE64" s="924"/>
      <c r="AF64" s="924"/>
      <c r="AG64" s="924"/>
      <c r="AI64" s="1646"/>
    </row>
    <row r="65" spans="1:35" s="1652" customFormat="1" x14ac:dyDescent="0.25">
      <c r="A65" s="922">
        <f>+' Verdad Verdadera 24-27'!A60</f>
        <v>89</v>
      </c>
      <c r="B65" s="923" t="str">
        <f>+' Verdad Verdadera 24-27'!B60</f>
        <v>SUPERAVIT SOBRETASA ACPM</v>
      </c>
      <c r="D65" s="924">
        <f>+' Verdad Verdadera 24-27'!C60</f>
        <v>893732107.30999994</v>
      </c>
      <c r="E65" s="924"/>
      <c r="F65" s="924"/>
      <c r="G65" s="1519"/>
      <c r="I65" s="648"/>
      <c r="W65" s="924"/>
      <c r="X65" s="924"/>
      <c r="Y65" s="924"/>
      <c r="AA65" s="924"/>
      <c r="AB65" s="924"/>
      <c r="AC65" s="924"/>
      <c r="AE65" s="924"/>
      <c r="AF65" s="924"/>
      <c r="AG65" s="924"/>
      <c r="AI65" s="1646"/>
    </row>
    <row r="66" spans="1:35" s="1652" customFormat="1" x14ac:dyDescent="0.25">
      <c r="A66" s="922">
        <f>+' Verdad Verdadera 24-27'!A61</f>
        <v>90</v>
      </c>
      <c r="B66" s="923" t="str">
        <f>+' Verdad Verdadera 24-27'!B61</f>
        <v>SUPERAVIT SGP AGUA POTABLE</v>
      </c>
      <c r="D66" s="924">
        <f>+' Verdad Verdadera 24-27'!C61</f>
        <v>45473661.210000001</v>
      </c>
      <c r="E66" s="924"/>
      <c r="F66" s="924"/>
      <c r="G66" s="1519"/>
      <c r="I66" s="648"/>
      <c r="W66" s="924"/>
      <c r="X66" s="924"/>
      <c r="Y66" s="924"/>
      <c r="AA66" s="924"/>
      <c r="AB66" s="924"/>
      <c r="AC66" s="924"/>
      <c r="AE66" s="924"/>
      <c r="AF66" s="924"/>
      <c r="AG66" s="924"/>
      <c r="AI66" s="1646"/>
    </row>
    <row r="67" spans="1:35" s="1652" customFormat="1" ht="25.5" x14ac:dyDescent="0.25">
      <c r="A67" s="922">
        <f>+' Verdad Verdadera 24-27'!A62</f>
        <v>91</v>
      </c>
      <c r="B67" s="923" t="str">
        <f>+' Verdad Verdadera 24-27'!B62</f>
        <v>SUPERAVIT RECURSO DESTIANDO DEL MONOPOLIO</v>
      </c>
      <c r="D67" s="924">
        <f>+' Verdad Verdadera 24-27'!C62</f>
        <v>698832206.11000001</v>
      </c>
      <c r="E67" s="924"/>
      <c r="F67" s="924"/>
      <c r="G67" s="1519"/>
      <c r="I67" s="648"/>
      <c r="W67" s="924"/>
      <c r="X67" s="924"/>
      <c r="Y67" s="924"/>
      <c r="AA67" s="924"/>
      <c r="AB67" s="924"/>
      <c r="AC67" s="924"/>
      <c r="AE67" s="924"/>
      <c r="AF67" s="924"/>
      <c r="AG67" s="924"/>
      <c r="AI67" s="1646"/>
    </row>
    <row r="68" spans="1:35" s="1652" customFormat="1" ht="25.5" x14ac:dyDescent="0.25">
      <c r="A68" s="922">
        <f>+' Verdad Verdadera 24-27'!A63</f>
        <v>137</v>
      </c>
      <c r="B68" s="923" t="str">
        <f>+' Verdad Verdadera 24-27'!B63</f>
        <v xml:space="preserve">SUPERAVIT TRANSFERENCIA DE LA NACION PAE </v>
      </c>
      <c r="D68" s="924">
        <f>+' Verdad Verdadera 24-27'!C63</f>
        <v>3373562039.04</v>
      </c>
      <c r="E68" s="924"/>
      <c r="F68" s="924"/>
      <c r="G68" s="1519"/>
      <c r="I68" s="648"/>
      <c r="W68" s="924"/>
      <c r="X68" s="924"/>
      <c r="Y68" s="924"/>
      <c r="AA68" s="924"/>
      <c r="AB68" s="924"/>
      <c r="AC68" s="924"/>
      <c r="AE68" s="924"/>
      <c r="AF68" s="924"/>
      <c r="AG68" s="924"/>
      <c r="AI68" s="1646"/>
    </row>
    <row r="69" spans="1:35" s="1652" customFormat="1" ht="25.5" x14ac:dyDescent="0.25">
      <c r="A69" s="922">
        <f>+' Verdad Verdadera 24-27'!A64</f>
        <v>186</v>
      </c>
      <c r="B69" s="923" t="str">
        <f>+' Verdad Verdadera 24-27'!B64</f>
        <v>SUPERAVIT EXTRACCION MATERIAL DE RIO MINAS Y OTROS</v>
      </c>
      <c r="D69" s="924">
        <f>+' Verdad Verdadera 24-27'!C64</f>
        <v>150448.76</v>
      </c>
      <c r="E69" s="924"/>
      <c r="F69" s="924"/>
      <c r="G69" s="1519"/>
      <c r="I69" s="648"/>
      <c r="W69" s="924"/>
      <c r="X69" s="924"/>
      <c r="Y69" s="924"/>
      <c r="AA69" s="924"/>
      <c r="AB69" s="924"/>
      <c r="AC69" s="924"/>
      <c r="AE69" s="924"/>
      <c r="AF69" s="924"/>
      <c r="AG69" s="924"/>
      <c r="AI69" s="1646"/>
    </row>
    <row r="70" spans="1:35" s="1652" customFormat="1" ht="25.5" x14ac:dyDescent="0.25">
      <c r="A70" s="922">
        <f>+' Verdad Verdadera 24-27'!A65</f>
        <v>189</v>
      </c>
      <c r="B70" s="923" t="str">
        <f>+' Verdad Verdadera 24-27'!B65</f>
        <v>SUPERÁVIT INTERESES SGP EDUCACIÓN</v>
      </c>
      <c r="D70" s="924">
        <f>+' Verdad Verdadera 24-27'!C65</f>
        <v>489152310.42000002</v>
      </c>
      <c r="E70" s="924"/>
      <c r="F70" s="924"/>
      <c r="G70" s="1519"/>
      <c r="I70" s="648"/>
      <c r="W70" s="924"/>
      <c r="X70" s="924"/>
      <c r="Y70" s="924"/>
      <c r="AA70" s="924"/>
      <c r="AB70" s="924"/>
      <c r="AC70" s="924"/>
      <c r="AE70" s="924"/>
      <c r="AF70" s="924"/>
      <c r="AG70" s="924"/>
      <c r="AI70" s="1646"/>
    </row>
    <row r="71" spans="1:35" s="1652" customFormat="1" ht="25.5" x14ac:dyDescent="0.25">
      <c r="A71" s="922">
        <f>+' Verdad Verdadera 24-27'!A66</f>
        <v>227</v>
      </c>
      <c r="B71" s="923" t="str">
        <f>+' Verdad Verdadera 24-27'!B66</f>
        <v>SUPERÁVIT CONVENIO INVIAS 1274/22 PUNTOS CRITICOS</v>
      </c>
      <c r="D71" s="924">
        <f>+' Verdad Verdadera 24-27'!C66</f>
        <v>1056276477</v>
      </c>
      <c r="E71" s="924"/>
      <c r="F71" s="924"/>
      <c r="G71" s="1519"/>
      <c r="I71" s="648"/>
      <c r="W71" s="924"/>
      <c r="X71" s="924"/>
      <c r="Y71" s="924"/>
      <c r="AA71" s="924"/>
      <c r="AB71" s="924"/>
      <c r="AC71" s="924"/>
      <c r="AE71" s="924"/>
      <c r="AF71" s="924"/>
      <c r="AG71" s="924"/>
      <c r="AI71" s="1646"/>
    </row>
    <row r="72" spans="1:35" s="1652" customFormat="1" ht="25.5" x14ac:dyDescent="0.25">
      <c r="A72" s="922">
        <f>+' Verdad Verdadera 24-27'!A67</f>
        <v>228</v>
      </c>
      <c r="B72" s="923" t="str">
        <f>+' Verdad Verdadera 24-27'!B67</f>
        <v>SUPERÁVIT CONVENIO 1609/20 INVIAS VIAS TERCIARIAS</v>
      </c>
      <c r="D72" s="924">
        <f>+' Verdad Verdadera 24-27'!C67</f>
        <v>9069171774.3999996</v>
      </c>
      <c r="E72" s="924"/>
      <c r="F72" s="924"/>
      <c r="G72" s="1519"/>
      <c r="I72" s="648"/>
      <c r="W72" s="924"/>
      <c r="X72" s="924"/>
      <c r="Y72" s="924"/>
      <c r="AA72" s="924"/>
      <c r="AB72" s="924"/>
      <c r="AC72" s="924"/>
      <c r="AE72" s="924"/>
      <c r="AF72" s="924"/>
      <c r="AG72" s="924"/>
      <c r="AI72" s="1646"/>
    </row>
    <row r="73" spans="1:35" s="1652" customFormat="1" x14ac:dyDescent="0.25">
      <c r="A73" s="922">
        <f>+' Verdad Verdadera 24-27'!A68</f>
        <v>264</v>
      </c>
      <c r="B73" s="923" t="str">
        <f>+' Verdad Verdadera 24-27'!B68</f>
        <v>SUPERÁVIT KARABIJUA</v>
      </c>
      <c r="D73" s="924">
        <f>+' Verdad Verdadera 24-27'!C68</f>
        <v>6822431</v>
      </c>
      <c r="E73" s="924"/>
      <c r="F73" s="924"/>
      <c r="G73" s="1519"/>
      <c r="I73" s="648"/>
      <c r="W73" s="924"/>
      <c r="X73" s="924"/>
      <c r="Y73" s="924"/>
      <c r="AA73" s="924"/>
      <c r="AB73" s="924"/>
      <c r="AC73" s="924"/>
      <c r="AE73" s="924"/>
      <c r="AF73" s="924"/>
      <c r="AG73" s="924"/>
      <c r="AI73" s="1646"/>
    </row>
    <row r="74" spans="1:35" ht="25.5" x14ac:dyDescent="0.25">
      <c r="A74" s="922">
        <v>41</v>
      </c>
      <c r="B74" s="923" t="s">
        <v>1811</v>
      </c>
      <c r="C74" s="42">
        <v>1000000</v>
      </c>
      <c r="D74" s="924">
        <v>1000000</v>
      </c>
      <c r="E74" s="924"/>
      <c r="F74" s="924"/>
      <c r="V74" s="42">
        <v>1020000</v>
      </c>
      <c r="W74" s="924">
        <v>1020000</v>
      </c>
      <c r="X74" s="924"/>
      <c r="Y74" s="924"/>
      <c r="Z74" s="42">
        <v>1071000</v>
      </c>
      <c r="AA74" s="924">
        <v>1071000</v>
      </c>
      <c r="AB74" s="924"/>
      <c r="AC74" s="924"/>
      <c r="AD74" s="42">
        <v>1124550</v>
      </c>
      <c r="AE74" s="924">
        <v>1124550</v>
      </c>
      <c r="AF74" s="924"/>
      <c r="AG74" s="924"/>
      <c r="AI74" s="1646">
        <f t="shared" si="2"/>
        <v>4215550</v>
      </c>
    </row>
    <row r="75" spans="1:35" ht="25.5" x14ac:dyDescent="0.25">
      <c r="A75" s="922">
        <v>6</v>
      </c>
      <c r="B75" s="923" t="s">
        <v>1812</v>
      </c>
      <c r="C75" s="42">
        <v>20000000</v>
      </c>
      <c r="D75" s="924">
        <v>20000000</v>
      </c>
      <c r="E75" s="924"/>
      <c r="F75" s="924"/>
      <c r="V75" s="42">
        <v>20400000</v>
      </c>
      <c r="W75" s="924">
        <v>20400000</v>
      </c>
      <c r="X75" s="924"/>
      <c r="Y75" s="924"/>
      <c r="Z75" s="42">
        <v>21420000</v>
      </c>
      <c r="AA75" s="924">
        <v>21420000</v>
      </c>
      <c r="AB75" s="924"/>
      <c r="AC75" s="924"/>
      <c r="AD75" s="42">
        <v>22491000</v>
      </c>
      <c r="AE75" s="924">
        <v>22491000</v>
      </c>
      <c r="AF75" s="924"/>
      <c r="AG75" s="924"/>
      <c r="AI75" s="1646">
        <f t="shared" si="2"/>
        <v>84311000</v>
      </c>
    </row>
    <row r="76" spans="1:35" ht="25.5" hidden="1" x14ac:dyDescent="0.25">
      <c r="A76" s="922">
        <v>178</v>
      </c>
      <c r="B76" s="923" t="s">
        <v>1813</v>
      </c>
      <c r="C76" s="42">
        <v>5000000</v>
      </c>
      <c r="D76" s="924"/>
      <c r="E76" s="924">
        <v>5000000</v>
      </c>
      <c r="F76" s="924"/>
      <c r="V76" s="42">
        <v>5100000</v>
      </c>
      <c r="W76" s="924"/>
      <c r="X76" s="924">
        <v>5100000</v>
      </c>
      <c r="Y76" s="924"/>
      <c r="Z76" s="42">
        <v>5355000</v>
      </c>
      <c r="AA76" s="924"/>
      <c r="AB76" s="924">
        <v>5355000</v>
      </c>
      <c r="AC76" s="924"/>
      <c r="AD76" s="42">
        <v>5622750</v>
      </c>
      <c r="AE76" s="924"/>
      <c r="AF76" s="924">
        <v>5622750</v>
      </c>
      <c r="AG76" s="924"/>
    </row>
    <row r="77" spans="1:35" ht="25.5" x14ac:dyDescent="0.25">
      <c r="A77" s="922">
        <v>42</v>
      </c>
      <c r="B77" s="923" t="s">
        <v>1814</v>
      </c>
      <c r="C77" s="42">
        <v>30000000</v>
      </c>
      <c r="D77" s="924">
        <v>30000000</v>
      </c>
      <c r="E77" s="924"/>
      <c r="F77" s="924"/>
      <c r="V77" s="42">
        <v>30600000</v>
      </c>
      <c r="W77" s="924">
        <v>30600000</v>
      </c>
      <c r="X77" s="924"/>
      <c r="Y77" s="924"/>
      <c r="Z77" s="42">
        <v>32130000</v>
      </c>
      <c r="AA77" s="924">
        <v>32130000</v>
      </c>
      <c r="AB77" s="924"/>
      <c r="AC77" s="924"/>
      <c r="AD77" s="42">
        <v>33736500</v>
      </c>
      <c r="AE77" s="924">
        <v>33736500</v>
      </c>
      <c r="AF77" s="924"/>
      <c r="AG77" s="924"/>
      <c r="AI77" s="1646">
        <f t="shared" ref="AI77:AI78" si="3">+D77+W77+AA77+AE77</f>
        <v>126466500</v>
      </c>
    </row>
    <row r="78" spans="1:35" ht="25.5" x14ac:dyDescent="0.25">
      <c r="A78" s="922">
        <v>27</v>
      </c>
      <c r="B78" s="923" t="s">
        <v>1815</v>
      </c>
      <c r="C78" s="42">
        <v>7000000</v>
      </c>
      <c r="D78" s="924">
        <v>7000000</v>
      </c>
      <c r="E78" s="924"/>
      <c r="F78" s="924"/>
      <c r="V78" s="42">
        <v>7140000</v>
      </c>
      <c r="W78" s="924">
        <v>7140000</v>
      </c>
      <c r="X78" s="924"/>
      <c r="Y78" s="924"/>
      <c r="Z78" s="42">
        <v>7497000</v>
      </c>
      <c r="AA78" s="924">
        <v>7497000</v>
      </c>
      <c r="AB78" s="924"/>
      <c r="AC78" s="924"/>
      <c r="AD78" s="42">
        <v>7871850</v>
      </c>
      <c r="AE78" s="924">
        <v>7871850</v>
      </c>
      <c r="AF78" s="924"/>
      <c r="AG78" s="924"/>
      <c r="AI78" s="1646">
        <f t="shared" si="3"/>
        <v>29508850</v>
      </c>
    </row>
    <row r="79" spans="1:35" ht="25.5" hidden="1" x14ac:dyDescent="0.25">
      <c r="A79" s="922">
        <v>136</v>
      </c>
      <c r="B79" s="923" t="s">
        <v>1816</v>
      </c>
      <c r="C79" s="42">
        <v>10000000</v>
      </c>
      <c r="D79" s="924"/>
      <c r="E79" s="924">
        <v>10000000</v>
      </c>
      <c r="F79" s="924"/>
      <c r="V79" s="42">
        <v>10200000</v>
      </c>
      <c r="W79" s="924"/>
      <c r="X79" s="924">
        <v>10200000</v>
      </c>
      <c r="Y79" s="924"/>
      <c r="Z79" s="42">
        <v>10710000</v>
      </c>
      <c r="AA79" s="924"/>
      <c r="AB79" s="924">
        <v>10710000</v>
      </c>
      <c r="AC79" s="924"/>
      <c r="AD79" s="42">
        <v>11245500</v>
      </c>
      <c r="AE79" s="924"/>
      <c r="AF79" s="924">
        <v>11245500</v>
      </c>
      <c r="AG79" s="924"/>
    </row>
    <row r="80" spans="1:35" ht="12.75" customHeight="1" x14ac:dyDescent="0.25">
      <c r="A80" s="922">
        <v>157</v>
      </c>
      <c r="B80" s="923" t="s">
        <v>4444</v>
      </c>
      <c r="C80" s="42">
        <v>0</v>
      </c>
      <c r="D80" s="924">
        <v>0</v>
      </c>
      <c r="E80" s="924"/>
      <c r="F80" s="924"/>
      <c r="V80" s="42">
        <v>15000000000</v>
      </c>
      <c r="W80" s="924">
        <v>15000000000</v>
      </c>
      <c r="X80" s="924"/>
      <c r="Y80" s="924"/>
      <c r="Z80" s="42">
        <v>30000000000</v>
      </c>
      <c r="AA80" s="924">
        <v>30000000000</v>
      </c>
      <c r="AB80" s="924"/>
      <c r="AC80" s="924"/>
      <c r="AD80" s="42">
        <v>15000000000</v>
      </c>
      <c r="AE80" s="42">
        <v>15000000000</v>
      </c>
      <c r="AF80" s="924"/>
      <c r="AG80" s="924"/>
      <c r="AI80" s="1646">
        <f>+D80+W80+AA80+AE80</f>
        <v>60000000000</v>
      </c>
    </row>
    <row r="81" spans="1:35" ht="25.5" hidden="1" x14ac:dyDescent="0.25">
      <c r="A81" s="922">
        <v>20</v>
      </c>
      <c r="B81" s="923" t="s">
        <v>1184</v>
      </c>
      <c r="C81" s="42">
        <v>200000000</v>
      </c>
      <c r="D81" s="924"/>
      <c r="E81" s="924"/>
      <c r="F81" s="1527">
        <v>200000000</v>
      </c>
      <c r="V81" s="42">
        <v>210000000</v>
      </c>
      <c r="W81" s="924"/>
      <c r="X81" s="924"/>
      <c r="Y81" s="1527">
        <v>210000000</v>
      </c>
      <c r="Z81" s="42">
        <v>220500000</v>
      </c>
      <c r="AA81" s="924"/>
      <c r="AB81" s="924"/>
      <c r="AC81" s="1527">
        <v>220500000</v>
      </c>
      <c r="AD81" s="42">
        <v>231525000</v>
      </c>
      <c r="AE81" s="924"/>
      <c r="AF81" s="924"/>
      <c r="AG81" s="1527">
        <v>231525000</v>
      </c>
    </row>
    <row r="82" spans="1:35" s="54" customFormat="1" ht="12.75" hidden="1" customHeight="1" x14ac:dyDescent="0.25">
      <c r="A82" s="42"/>
      <c r="B82" s="1674" t="s">
        <v>953</v>
      </c>
      <c r="C82" s="1674"/>
      <c r="G82" s="1518"/>
      <c r="I82" s="919"/>
      <c r="V82" s="42"/>
      <c r="W82" s="42"/>
      <c r="X82" s="42"/>
      <c r="Y82" s="42"/>
      <c r="Z82" s="42"/>
      <c r="AA82" s="42"/>
      <c r="AB82" s="42"/>
      <c r="AC82" s="42"/>
      <c r="AD82" s="42"/>
    </row>
    <row r="83" spans="1:35" ht="28.5" hidden="1" customHeight="1" x14ac:dyDescent="0.25">
      <c r="B83" s="1675" t="s">
        <v>1100</v>
      </c>
      <c r="C83" s="1683"/>
      <c r="D83" s="1156"/>
      <c r="E83" s="1156"/>
      <c r="F83" s="1156"/>
    </row>
    <row r="84" spans="1:35" ht="25.5" x14ac:dyDescent="0.25">
      <c r="A84" s="922">
        <v>25</v>
      </c>
      <c r="B84" s="923" t="s">
        <v>1101</v>
      </c>
      <c r="C84" s="1254">
        <v>173431997000</v>
      </c>
      <c r="D84" s="924">
        <v>173431997000</v>
      </c>
      <c r="E84" s="924"/>
      <c r="F84" s="924"/>
      <c r="V84" s="42">
        <v>183144188832</v>
      </c>
      <c r="W84" s="924">
        <v>183144188832</v>
      </c>
      <c r="X84" s="924"/>
      <c r="Y84" s="924"/>
      <c r="Z84" s="42">
        <v>192301398273.60001</v>
      </c>
      <c r="AA84" s="924">
        <v>192301398273.60001</v>
      </c>
      <c r="AB84" s="924"/>
      <c r="AC84" s="924"/>
      <c r="AD84" s="42">
        <v>201916468187.28003</v>
      </c>
      <c r="AE84" s="924">
        <v>201916468187.28003</v>
      </c>
      <c r="AI84" s="1646">
        <f t="shared" ref="AI84:AI90" si="4">+D84+W84+AA84+AE84</f>
        <v>750794052292.88</v>
      </c>
    </row>
    <row r="85" spans="1:35" s="54" customFormat="1" ht="25.5" x14ac:dyDescent="0.25">
      <c r="A85" s="922">
        <v>26</v>
      </c>
      <c r="B85" s="923" t="s">
        <v>1102</v>
      </c>
      <c r="C85" s="1254">
        <v>33454400000</v>
      </c>
      <c r="D85" s="924">
        <v>33454400000</v>
      </c>
      <c r="E85" s="924"/>
      <c r="F85" s="924"/>
      <c r="G85" s="1518"/>
      <c r="I85" s="919"/>
      <c r="V85" s="42">
        <v>35327846400</v>
      </c>
      <c r="W85" s="924">
        <v>35327846400</v>
      </c>
      <c r="X85" s="924"/>
      <c r="Y85" s="924"/>
      <c r="Z85" s="42">
        <v>37094238720</v>
      </c>
      <c r="AA85" s="924">
        <v>37094238720</v>
      </c>
      <c r="AB85" s="924"/>
      <c r="AC85" s="924"/>
      <c r="AD85" s="42">
        <v>38948950656</v>
      </c>
      <c r="AE85" s="924">
        <v>38948950656</v>
      </c>
      <c r="AI85" s="1646">
        <f t="shared" si="4"/>
        <v>144825435776</v>
      </c>
    </row>
    <row r="86" spans="1:35" ht="15" x14ac:dyDescent="0.25">
      <c r="A86" s="922">
        <v>25</v>
      </c>
      <c r="B86" s="923" t="s">
        <v>1105</v>
      </c>
      <c r="C86" s="1254">
        <v>684320000</v>
      </c>
      <c r="D86" s="924">
        <v>684320000</v>
      </c>
      <c r="E86" s="924"/>
      <c r="F86" s="924"/>
      <c r="V86" s="42">
        <v>722641920</v>
      </c>
      <c r="W86" s="924">
        <v>722641920</v>
      </c>
      <c r="X86" s="924"/>
      <c r="Y86" s="924"/>
      <c r="Z86" s="42">
        <v>758774016</v>
      </c>
      <c r="AA86" s="924">
        <v>758774016</v>
      </c>
      <c r="AB86" s="924"/>
      <c r="AC86" s="924"/>
      <c r="AD86" s="42">
        <v>796712716.80000007</v>
      </c>
      <c r="AE86" s="924">
        <v>796712716.80000007</v>
      </c>
      <c r="AI86" s="1646">
        <f t="shared" si="4"/>
        <v>2962448652.8000002</v>
      </c>
    </row>
    <row r="87" spans="1:35" ht="15" x14ac:dyDescent="0.25">
      <c r="A87" s="922">
        <v>25</v>
      </c>
      <c r="B87" s="923" t="s">
        <v>1106</v>
      </c>
      <c r="C87" s="1254">
        <v>1559043000</v>
      </c>
      <c r="D87" s="924">
        <v>1559043000</v>
      </c>
      <c r="E87" s="924"/>
      <c r="F87" s="924"/>
      <c r="V87" s="42">
        <v>1646349408</v>
      </c>
      <c r="W87" s="924">
        <v>1646349408</v>
      </c>
      <c r="X87" s="924"/>
      <c r="Y87" s="924"/>
      <c r="Z87" s="42">
        <v>1728666878.4000001</v>
      </c>
      <c r="AA87" s="924">
        <v>1728666878.4000001</v>
      </c>
      <c r="AB87" s="924"/>
      <c r="AC87" s="924"/>
      <c r="AD87" s="42">
        <v>1815100222.3200002</v>
      </c>
      <c r="AE87" s="924">
        <v>1815100222.3200002</v>
      </c>
      <c r="AI87" s="1646">
        <f t="shared" si="4"/>
        <v>6749159508.7199993</v>
      </c>
    </row>
    <row r="88" spans="1:35" ht="15" x14ac:dyDescent="0.25">
      <c r="A88" s="922">
        <v>81</v>
      </c>
      <c r="B88" s="923" t="s">
        <v>1107</v>
      </c>
      <c r="C88" s="1254">
        <v>9901551000</v>
      </c>
      <c r="D88" s="924">
        <v>9901551000</v>
      </c>
      <c r="E88" s="924"/>
      <c r="F88" s="924"/>
      <c r="V88" s="42">
        <v>10456037856</v>
      </c>
      <c r="W88" s="924">
        <v>10456037856</v>
      </c>
      <c r="X88" s="924"/>
      <c r="Y88" s="924"/>
      <c r="Z88" s="42">
        <v>10978839748.800001</v>
      </c>
      <c r="AA88" s="924">
        <v>10978839748.800001</v>
      </c>
      <c r="AB88" s="924"/>
      <c r="AC88" s="924"/>
      <c r="AD88" s="42">
        <v>11527781736.240002</v>
      </c>
      <c r="AE88" s="924">
        <v>11527781736.240002</v>
      </c>
      <c r="AI88" s="1646">
        <f t="shared" si="4"/>
        <v>42864210341.040009</v>
      </c>
    </row>
    <row r="89" spans="1:35" s="54" customFormat="1" ht="25.5" x14ac:dyDescent="0.25">
      <c r="A89" s="922">
        <v>21</v>
      </c>
      <c r="B89" s="923" t="s">
        <v>1113</v>
      </c>
      <c r="C89" s="1254">
        <v>248000000</v>
      </c>
      <c r="D89" s="924">
        <v>248000000</v>
      </c>
      <c r="E89" s="924"/>
      <c r="F89" s="924"/>
      <c r="G89" s="1518"/>
      <c r="I89" s="919"/>
      <c r="M89" s="53">
        <v>4000000</v>
      </c>
      <c r="V89" s="42">
        <v>252960000</v>
      </c>
      <c r="W89" s="924">
        <v>252960000</v>
      </c>
      <c r="X89" s="924"/>
      <c r="Y89" s="924"/>
      <c r="Z89" s="42">
        <v>265608000</v>
      </c>
      <c r="AA89" s="924">
        <v>265608000</v>
      </c>
      <c r="AB89" s="924"/>
      <c r="AC89" s="924"/>
      <c r="AD89" s="42">
        <v>278888400</v>
      </c>
      <c r="AE89" s="924">
        <v>278888400</v>
      </c>
      <c r="AI89" s="1646">
        <f t="shared" si="4"/>
        <v>1045456400</v>
      </c>
    </row>
    <row r="90" spans="1:35" s="54" customFormat="1" ht="25.5" x14ac:dyDescent="0.25">
      <c r="A90" s="922">
        <v>81</v>
      </c>
      <c r="B90" s="923" t="s">
        <v>1818</v>
      </c>
      <c r="C90" s="1254">
        <v>10000000</v>
      </c>
      <c r="D90" s="924">
        <v>10000000</v>
      </c>
      <c r="E90" s="924"/>
      <c r="F90" s="924"/>
      <c r="G90" s="1518"/>
      <c r="I90" s="919"/>
      <c r="M90" s="53">
        <v>8226708</v>
      </c>
      <c r="V90" s="42">
        <v>10200000</v>
      </c>
      <c r="W90" s="924">
        <v>10200000</v>
      </c>
      <c r="X90" s="924"/>
      <c r="Y90" s="924"/>
      <c r="Z90" s="42">
        <v>10710000</v>
      </c>
      <c r="AA90" s="924">
        <v>10710000</v>
      </c>
      <c r="AB90" s="924"/>
      <c r="AC90" s="924"/>
      <c r="AD90" s="42">
        <v>11245500</v>
      </c>
      <c r="AE90" s="924">
        <v>11245500</v>
      </c>
      <c r="AI90" s="1646">
        <f t="shared" si="4"/>
        <v>42155500</v>
      </c>
    </row>
    <row r="91" spans="1:35" s="54" customFormat="1" ht="15" hidden="1" x14ac:dyDescent="0.25">
      <c r="A91" s="922">
        <v>9</v>
      </c>
      <c r="B91" s="923" t="s">
        <v>606</v>
      </c>
      <c r="C91" s="1254"/>
      <c r="D91" s="924"/>
      <c r="E91" s="924"/>
      <c r="F91" s="924"/>
      <c r="G91" s="1518"/>
      <c r="I91" s="919"/>
      <c r="M91" s="53"/>
      <c r="V91" s="42"/>
      <c r="W91" s="924"/>
      <c r="X91" s="924"/>
      <c r="Y91" s="924"/>
      <c r="Z91" s="42"/>
      <c r="AA91" s="924"/>
      <c r="AB91" s="924"/>
      <c r="AC91" s="924"/>
      <c r="AD91" s="42"/>
      <c r="AE91" s="924"/>
    </row>
    <row r="92" spans="1:35" s="54" customFormat="1" ht="31.5" hidden="1" customHeight="1" x14ac:dyDescent="0.25">
      <c r="A92" s="922"/>
      <c r="B92" s="1157" t="s">
        <v>1819</v>
      </c>
      <c r="C92" s="1009">
        <v>219289311000</v>
      </c>
      <c r="D92" s="924"/>
      <c r="E92" s="924"/>
      <c r="F92" s="924"/>
      <c r="G92" s="1518"/>
      <c r="I92" s="919"/>
      <c r="V92" s="1009">
        <v>231560224416</v>
      </c>
      <c r="W92" s="42"/>
      <c r="X92" s="42"/>
      <c r="Y92" s="42"/>
      <c r="Z92" s="1009">
        <v>243138235636.79999</v>
      </c>
      <c r="AA92" s="42"/>
      <c r="AB92" s="42"/>
      <c r="AC92" s="42"/>
      <c r="AD92" s="1009">
        <v>255295147418.64001</v>
      </c>
    </row>
    <row r="93" spans="1:35" s="54" customFormat="1" ht="25.5" hidden="1" customHeight="1" x14ac:dyDescent="0.25">
      <c r="A93" s="922"/>
      <c r="B93" s="1667" t="s">
        <v>1116</v>
      </c>
      <c r="C93" s="1668"/>
      <c r="D93" s="924"/>
      <c r="E93" s="924"/>
      <c r="F93" s="924"/>
      <c r="G93" s="1518"/>
      <c r="I93" s="919"/>
      <c r="V93" s="42"/>
      <c r="W93" s="42"/>
      <c r="X93" s="42"/>
      <c r="Y93" s="42"/>
      <c r="Z93" s="42"/>
      <c r="AA93" s="42"/>
      <c r="AB93" s="42"/>
      <c r="AC93" s="42"/>
      <c r="AD93" s="42"/>
    </row>
    <row r="94" spans="1:35" s="54" customFormat="1" ht="25.5" x14ac:dyDescent="0.25">
      <c r="A94" s="922"/>
      <c r="B94" s="923" t="s">
        <v>1119</v>
      </c>
      <c r="C94" s="1254">
        <v>5409655000</v>
      </c>
      <c r="D94" s="924">
        <v>5409655000</v>
      </c>
      <c r="E94" s="924"/>
      <c r="F94" s="924"/>
      <c r="G94" s="1518"/>
      <c r="I94" s="919"/>
      <c r="V94" s="42">
        <v>5680137750</v>
      </c>
      <c r="W94" s="924">
        <v>5680137750</v>
      </c>
      <c r="X94" s="924"/>
      <c r="Y94" s="924"/>
      <c r="Z94" s="42">
        <v>5964144637.5</v>
      </c>
      <c r="AA94" s="924">
        <v>5964144637.5</v>
      </c>
      <c r="AB94" s="42"/>
      <c r="AC94" s="42"/>
      <c r="AD94" s="42">
        <v>6262351869.375</v>
      </c>
      <c r="AE94" s="924">
        <v>6262351869.375</v>
      </c>
      <c r="AI94" s="1646">
        <f t="shared" ref="AI94:AI114" si="5">+D94+W94+AA94+AE94</f>
        <v>23316289256.875</v>
      </c>
    </row>
    <row r="95" spans="1:35" s="54" customFormat="1" ht="25.5" x14ac:dyDescent="0.25">
      <c r="A95" s="922"/>
      <c r="B95" s="923" t="s">
        <v>1820</v>
      </c>
      <c r="C95" s="1254">
        <v>2148092000</v>
      </c>
      <c r="D95" s="924">
        <v>2148092000</v>
      </c>
      <c r="E95" s="924"/>
      <c r="F95" s="924"/>
      <c r="G95" s="1518"/>
      <c r="I95" s="919"/>
      <c r="V95" s="42">
        <v>2255496600</v>
      </c>
      <c r="W95" s="924">
        <v>2255496600</v>
      </c>
      <c r="X95" s="924"/>
      <c r="Y95" s="924"/>
      <c r="Z95" s="42">
        <v>2368271430</v>
      </c>
      <c r="AA95" s="924">
        <v>2368271430</v>
      </c>
      <c r="AB95" s="42"/>
      <c r="AC95" s="42"/>
      <c r="AD95" s="42">
        <v>2486685001.5</v>
      </c>
      <c r="AE95" s="924">
        <v>2486685001.5</v>
      </c>
      <c r="AI95" s="1646">
        <f t="shared" si="5"/>
        <v>9258545031.5</v>
      </c>
    </row>
    <row r="96" spans="1:35" s="54" customFormat="1" ht="25.5" x14ac:dyDescent="0.25">
      <c r="A96" s="922"/>
      <c r="B96" s="923" t="s">
        <v>1888</v>
      </c>
      <c r="C96" s="1254">
        <v>3000000</v>
      </c>
      <c r="D96" s="924">
        <v>3000000</v>
      </c>
      <c r="E96" s="924"/>
      <c r="F96" s="924"/>
      <c r="G96" s="1518"/>
      <c r="I96" s="919"/>
      <c r="V96" s="42">
        <v>3150000</v>
      </c>
      <c r="W96" s="924">
        <v>3150000</v>
      </c>
      <c r="X96" s="924"/>
      <c r="Y96" s="924"/>
      <c r="Z96" s="42">
        <v>3307500</v>
      </c>
      <c r="AA96" s="924">
        <v>3307500</v>
      </c>
      <c r="AB96" s="42"/>
      <c r="AC96" s="42"/>
      <c r="AD96" s="42">
        <v>3472875</v>
      </c>
      <c r="AE96" s="924">
        <v>3472875</v>
      </c>
      <c r="AI96" s="1646">
        <f t="shared" si="5"/>
        <v>12930375</v>
      </c>
    </row>
    <row r="97" spans="1:35" s="54" customFormat="1" ht="25.5" x14ac:dyDescent="0.25">
      <c r="A97" s="922"/>
      <c r="B97" s="923" t="s">
        <v>1889</v>
      </c>
      <c r="C97" s="1254">
        <v>1000000</v>
      </c>
      <c r="D97" s="924">
        <v>1000000</v>
      </c>
      <c r="E97" s="924"/>
      <c r="F97" s="924"/>
      <c r="G97" s="1518"/>
      <c r="I97" s="919"/>
      <c r="V97" s="42">
        <v>1050000</v>
      </c>
      <c r="W97" s="924">
        <v>1050000</v>
      </c>
      <c r="X97" s="924"/>
      <c r="Y97" s="924"/>
      <c r="Z97" s="42">
        <v>1102500</v>
      </c>
      <c r="AA97" s="924">
        <v>1102500</v>
      </c>
      <c r="AB97" s="42"/>
      <c r="AC97" s="42"/>
      <c r="AD97" s="42">
        <v>1157625</v>
      </c>
      <c r="AE97" s="924">
        <v>1157625</v>
      </c>
      <c r="AI97" s="1646">
        <f t="shared" si="5"/>
        <v>4310125</v>
      </c>
    </row>
    <row r="98" spans="1:35" s="54" customFormat="1" ht="25.5" x14ac:dyDescent="0.25">
      <c r="A98" s="922"/>
      <c r="B98" s="923" t="s">
        <v>1890</v>
      </c>
      <c r="C98" s="1254">
        <v>1000000</v>
      </c>
      <c r="D98" s="924">
        <v>1000000</v>
      </c>
      <c r="E98" s="924"/>
      <c r="F98" s="924"/>
      <c r="G98" s="1518"/>
      <c r="I98" s="919"/>
      <c r="V98" s="42">
        <v>1050000</v>
      </c>
      <c r="W98" s="924">
        <v>1050000</v>
      </c>
      <c r="X98" s="924"/>
      <c r="Y98" s="924"/>
      <c r="Z98" s="42">
        <v>1102500</v>
      </c>
      <c r="AA98" s="924">
        <v>1102500</v>
      </c>
      <c r="AB98" s="42"/>
      <c r="AC98" s="42"/>
      <c r="AD98" s="42">
        <v>1157625</v>
      </c>
      <c r="AE98" s="924">
        <v>1157625</v>
      </c>
      <c r="AI98" s="1646">
        <f t="shared" si="5"/>
        <v>4310125</v>
      </c>
    </row>
    <row r="99" spans="1:35" s="54" customFormat="1" ht="25.5" x14ac:dyDescent="0.25">
      <c r="A99" s="922"/>
      <c r="B99" s="923" t="s">
        <v>1891</v>
      </c>
      <c r="C99" s="1254">
        <v>2000000</v>
      </c>
      <c r="D99" s="924">
        <v>2000000</v>
      </c>
      <c r="E99" s="924"/>
      <c r="F99" s="924"/>
      <c r="G99" s="1518"/>
      <c r="I99" s="919"/>
      <c r="V99" s="42">
        <v>2100000</v>
      </c>
      <c r="W99" s="924">
        <v>2100000</v>
      </c>
      <c r="X99" s="924"/>
      <c r="Y99" s="924"/>
      <c r="Z99" s="42">
        <v>2205000</v>
      </c>
      <c r="AA99" s="924">
        <v>2205000</v>
      </c>
      <c r="AB99" s="42"/>
      <c r="AC99" s="42"/>
      <c r="AD99" s="42">
        <v>2315250</v>
      </c>
      <c r="AE99" s="924">
        <v>2315250</v>
      </c>
      <c r="AI99" s="1646">
        <f t="shared" si="5"/>
        <v>8620250</v>
      </c>
    </row>
    <row r="100" spans="1:35" s="54" customFormat="1" ht="15" x14ac:dyDescent="0.25">
      <c r="A100" s="922"/>
      <c r="B100" s="923" t="s">
        <v>1126</v>
      </c>
      <c r="C100" s="1254">
        <v>13674983000</v>
      </c>
      <c r="D100" s="924">
        <v>13674983000</v>
      </c>
      <c r="E100" s="924"/>
      <c r="F100" s="924"/>
      <c r="G100" s="1523">
        <v>36958741000</v>
      </c>
      <c r="H100" s="1265">
        <v>5174223740.000001</v>
      </c>
      <c r="I100" s="1292">
        <v>-94259.999999046326</v>
      </c>
      <c r="J100" s="53"/>
      <c r="K100" s="53"/>
      <c r="L100" s="53">
        <v>63</v>
      </c>
      <c r="M100" s="53"/>
      <c r="V100" s="42">
        <v>14358732150</v>
      </c>
      <c r="W100" s="924">
        <v>14358732150</v>
      </c>
      <c r="X100" s="924"/>
      <c r="Y100" s="924"/>
      <c r="Z100" s="42">
        <v>15076668757.5</v>
      </c>
      <c r="AA100" s="924">
        <v>15076668757.5</v>
      </c>
      <c r="AB100" s="42"/>
      <c r="AC100" s="42"/>
      <c r="AD100" s="42">
        <v>15830502195.375</v>
      </c>
      <c r="AE100" s="924">
        <v>15830502195.375</v>
      </c>
      <c r="AI100" s="1646">
        <f t="shared" si="5"/>
        <v>58940886102.875</v>
      </c>
    </row>
    <row r="101" spans="1:35" s="54" customFormat="1" ht="15" x14ac:dyDescent="0.25">
      <c r="A101" s="922"/>
      <c r="B101" s="923" t="s">
        <v>1127</v>
      </c>
      <c r="C101" s="1254">
        <v>4294347000</v>
      </c>
      <c r="D101" s="924">
        <v>4294347000</v>
      </c>
      <c r="E101" s="924"/>
      <c r="F101" s="924"/>
      <c r="G101" s="1523"/>
      <c r="H101" s="1265">
        <v>1108762230</v>
      </c>
      <c r="I101" s="1293">
        <v>652230</v>
      </c>
      <c r="J101" s="53"/>
      <c r="K101" s="53"/>
      <c r="L101" s="53">
        <v>37</v>
      </c>
      <c r="M101" s="53"/>
      <c r="V101" s="42">
        <v>4509064350</v>
      </c>
      <c r="W101" s="924">
        <v>4509064350</v>
      </c>
      <c r="X101" s="924"/>
      <c r="Y101" s="924"/>
      <c r="Z101" s="42">
        <v>4734517567.5</v>
      </c>
      <c r="AA101" s="924">
        <v>4734517567.5</v>
      </c>
      <c r="AB101" s="42"/>
      <c r="AC101" s="42"/>
      <c r="AD101" s="42">
        <v>4971243445.875</v>
      </c>
      <c r="AE101" s="924">
        <v>4971243445.875</v>
      </c>
      <c r="AI101" s="1646">
        <f t="shared" si="5"/>
        <v>18509172363.375</v>
      </c>
    </row>
    <row r="102" spans="1:35" s="54" customFormat="1" ht="15" x14ac:dyDescent="0.25">
      <c r="A102" s="922"/>
      <c r="B102" s="923" t="s">
        <v>1128</v>
      </c>
      <c r="C102" s="1254">
        <v>6555523000</v>
      </c>
      <c r="D102" s="924">
        <v>6555523000</v>
      </c>
      <c r="E102" s="924"/>
      <c r="F102" s="924"/>
      <c r="G102" s="1523"/>
      <c r="H102" s="1265">
        <v>17001020860</v>
      </c>
      <c r="I102" s="1293">
        <v>-309140</v>
      </c>
      <c r="J102" s="53"/>
      <c r="K102" s="53"/>
      <c r="L102" s="53"/>
      <c r="M102" s="53"/>
      <c r="V102" s="42">
        <v>6883299150</v>
      </c>
      <c r="W102" s="924">
        <v>6883299150</v>
      </c>
      <c r="X102" s="924"/>
      <c r="Y102" s="924"/>
      <c r="Z102" s="42">
        <v>7227464107.5</v>
      </c>
      <c r="AA102" s="924">
        <v>7227464107.5</v>
      </c>
      <c r="AB102" s="42"/>
      <c r="AC102" s="42"/>
      <c r="AD102" s="42">
        <v>7588837312.875</v>
      </c>
      <c r="AE102" s="924">
        <v>7588837312.875</v>
      </c>
      <c r="AI102" s="1646">
        <f t="shared" si="5"/>
        <v>28255123570.375</v>
      </c>
    </row>
    <row r="103" spans="1:35" s="54" customFormat="1" ht="15" x14ac:dyDescent="0.25">
      <c r="A103" s="922"/>
      <c r="B103" s="923" t="s">
        <v>1129</v>
      </c>
      <c r="C103" s="1254">
        <v>1039156000</v>
      </c>
      <c r="D103" s="924">
        <v>1039156000</v>
      </c>
      <c r="E103" s="924"/>
      <c r="F103" s="924"/>
      <c r="G103" s="1523"/>
      <c r="H103" s="1265"/>
      <c r="I103" s="1293"/>
      <c r="J103" s="53"/>
      <c r="K103" s="53"/>
      <c r="L103" s="53"/>
      <c r="M103" s="53"/>
      <c r="V103" s="42">
        <v>1091113800</v>
      </c>
      <c r="W103" s="924">
        <v>1091113800</v>
      </c>
      <c r="X103" s="924"/>
      <c r="Y103" s="924"/>
      <c r="Z103" s="42">
        <v>1145669490</v>
      </c>
      <c r="AA103" s="924">
        <v>1145669490</v>
      </c>
      <c r="AB103" s="42"/>
      <c r="AC103" s="42"/>
      <c r="AD103" s="42">
        <v>1202952964.5</v>
      </c>
      <c r="AE103" s="924">
        <v>1202952964.5</v>
      </c>
      <c r="AI103" s="1646">
        <f t="shared" si="5"/>
        <v>4478892254.5</v>
      </c>
    </row>
    <row r="104" spans="1:35" ht="15.75" customHeight="1" x14ac:dyDescent="0.25">
      <c r="A104" s="922"/>
      <c r="B104" s="923" t="s">
        <v>1130</v>
      </c>
      <c r="C104" s="1254">
        <v>32160000</v>
      </c>
      <c r="D104" s="924">
        <v>32160000</v>
      </c>
      <c r="E104" s="924"/>
      <c r="F104" s="924"/>
      <c r="G104" s="1523"/>
      <c r="H104" s="1265"/>
      <c r="I104" s="1294"/>
      <c r="J104" s="41"/>
      <c r="K104" s="41"/>
      <c r="L104" s="41"/>
      <c r="M104" s="41"/>
      <c r="V104" s="42">
        <v>33768000</v>
      </c>
      <c r="W104" s="924">
        <v>33768000</v>
      </c>
      <c r="X104" s="924"/>
      <c r="Y104" s="924"/>
      <c r="Z104" s="42">
        <v>35456400</v>
      </c>
      <c r="AA104" s="924">
        <v>35456400</v>
      </c>
      <c r="AD104" s="42">
        <v>37229220</v>
      </c>
      <c r="AE104" s="924">
        <v>37229220</v>
      </c>
      <c r="AI104" s="1646">
        <f t="shared" si="5"/>
        <v>138613620</v>
      </c>
    </row>
    <row r="105" spans="1:35" s="54" customFormat="1" ht="25.5" x14ac:dyDescent="0.25">
      <c r="A105" s="922"/>
      <c r="B105" s="923" t="s">
        <v>1132</v>
      </c>
      <c r="C105" s="1254">
        <v>2874685000</v>
      </c>
      <c r="D105" s="924">
        <v>2874685000</v>
      </c>
      <c r="E105" s="924"/>
      <c r="F105" s="924"/>
      <c r="G105" s="1523"/>
      <c r="H105" s="1265"/>
      <c r="I105" s="1293"/>
      <c r="J105" s="53"/>
      <c r="K105" s="53"/>
      <c r="L105" s="53"/>
      <c r="M105" s="53"/>
      <c r="V105" s="42">
        <v>3018419250</v>
      </c>
      <c r="W105" s="924">
        <v>3018419250</v>
      </c>
      <c r="X105" s="924"/>
      <c r="Y105" s="924"/>
      <c r="Z105" s="42">
        <v>3169340212.5</v>
      </c>
      <c r="AA105" s="924">
        <v>3169340212.5</v>
      </c>
      <c r="AB105" s="42"/>
      <c r="AC105" s="42"/>
      <c r="AD105" s="42">
        <v>3327807223.125</v>
      </c>
      <c r="AE105" s="924">
        <v>3327807223.125</v>
      </c>
      <c r="AI105" s="1646">
        <f t="shared" si="5"/>
        <v>12390251685.625</v>
      </c>
    </row>
    <row r="106" spans="1:35" ht="15" x14ac:dyDescent="0.25">
      <c r="A106" s="922"/>
      <c r="B106" s="923" t="s">
        <v>1133</v>
      </c>
      <c r="C106" s="1254">
        <v>935708000</v>
      </c>
      <c r="D106" s="924">
        <v>935708000</v>
      </c>
      <c r="E106" s="924"/>
      <c r="F106" s="924"/>
      <c r="G106" s="1523"/>
      <c r="H106" s="1265"/>
      <c r="I106" s="1294"/>
      <c r="J106" s="41"/>
      <c r="K106" s="41"/>
      <c r="L106" s="41"/>
      <c r="M106" s="41"/>
      <c r="V106" s="42">
        <v>982493400</v>
      </c>
      <c r="W106" s="924">
        <v>982493400</v>
      </c>
      <c r="X106" s="924"/>
      <c r="Y106" s="924"/>
      <c r="Z106" s="42">
        <v>1031618070</v>
      </c>
      <c r="AA106" s="924">
        <v>1031618070</v>
      </c>
      <c r="AD106" s="42">
        <v>1083198973.5</v>
      </c>
      <c r="AE106" s="924">
        <v>1083198973.5</v>
      </c>
      <c r="AI106" s="1646">
        <f t="shared" si="5"/>
        <v>4033018443.5</v>
      </c>
    </row>
    <row r="107" spans="1:35" ht="15" x14ac:dyDescent="0.25">
      <c r="A107" s="922"/>
      <c r="B107" s="923" t="s">
        <v>1137</v>
      </c>
      <c r="C107" s="1254">
        <v>2710326000</v>
      </c>
      <c r="D107" s="924">
        <v>2710326000</v>
      </c>
      <c r="E107" s="924"/>
      <c r="F107" s="924"/>
      <c r="G107" s="1523"/>
      <c r="H107" s="1265"/>
      <c r="I107" s="1294"/>
      <c r="J107" s="41"/>
      <c r="K107" s="41"/>
      <c r="L107" s="41"/>
      <c r="M107" s="41"/>
      <c r="V107" s="42">
        <v>2845842300</v>
      </c>
      <c r="W107" s="924">
        <v>2845842300</v>
      </c>
      <c r="X107" s="924"/>
      <c r="Y107" s="924"/>
      <c r="Z107" s="42">
        <v>2988134415</v>
      </c>
      <c r="AA107" s="924">
        <v>2988134415</v>
      </c>
      <c r="AD107" s="42">
        <v>3137541135.75</v>
      </c>
      <c r="AE107" s="924">
        <v>3137541135.75</v>
      </c>
      <c r="AI107" s="1646">
        <f t="shared" si="5"/>
        <v>11681843850.75</v>
      </c>
    </row>
    <row r="108" spans="1:35" s="54" customFormat="1" ht="15" x14ac:dyDescent="0.25">
      <c r="A108" s="922"/>
      <c r="B108" s="923" t="s">
        <v>1138</v>
      </c>
      <c r="C108" s="1254">
        <v>1496247000</v>
      </c>
      <c r="D108" s="924">
        <v>1496247000</v>
      </c>
      <c r="E108" s="924"/>
      <c r="F108" s="924"/>
      <c r="G108" s="1523"/>
      <c r="H108" s="1265"/>
      <c r="I108" s="1293"/>
      <c r="J108" s="53"/>
      <c r="K108" s="53"/>
      <c r="L108" s="53"/>
      <c r="M108" s="53"/>
      <c r="V108" s="42">
        <v>1571059350</v>
      </c>
      <c r="W108" s="924">
        <v>1571059350</v>
      </c>
      <c r="X108" s="924"/>
      <c r="Y108" s="924"/>
      <c r="Z108" s="42">
        <v>1649612317.5</v>
      </c>
      <c r="AA108" s="924">
        <v>1649612317.5</v>
      </c>
      <c r="AB108" s="42"/>
      <c r="AC108" s="42"/>
      <c r="AD108" s="42">
        <v>1732092933.375</v>
      </c>
      <c r="AE108" s="924">
        <v>1732092933.375</v>
      </c>
      <c r="AI108" s="1646">
        <f t="shared" si="5"/>
        <v>6449011600.875</v>
      </c>
    </row>
    <row r="109" spans="1:35" ht="15" x14ac:dyDescent="0.25">
      <c r="A109" s="922"/>
      <c r="B109" s="923" t="s">
        <v>1139</v>
      </c>
      <c r="C109" s="1254">
        <v>300000000</v>
      </c>
      <c r="D109" s="924">
        <v>300000000</v>
      </c>
      <c r="E109" s="924"/>
      <c r="F109" s="924"/>
      <c r="H109" s="41"/>
      <c r="I109" s="1294"/>
      <c r="J109" s="41"/>
      <c r="K109" s="41"/>
      <c r="L109" s="41"/>
      <c r="M109" s="41"/>
      <c r="V109" s="42">
        <v>315000000</v>
      </c>
      <c r="W109" s="924">
        <v>315000000</v>
      </c>
      <c r="X109" s="924"/>
      <c r="Y109" s="924"/>
      <c r="Z109" s="42">
        <v>330750000</v>
      </c>
      <c r="AA109" s="924">
        <v>330750000</v>
      </c>
      <c r="AD109" s="42">
        <v>347287500</v>
      </c>
      <c r="AE109" s="924">
        <v>347287500</v>
      </c>
      <c r="AI109" s="1646">
        <f t="shared" si="5"/>
        <v>1293037500</v>
      </c>
    </row>
    <row r="110" spans="1:35" s="54" customFormat="1" ht="15" x14ac:dyDescent="0.25">
      <c r="A110" s="922"/>
      <c r="B110" s="923" t="s">
        <v>1141</v>
      </c>
      <c r="C110" s="1254">
        <v>15500000000</v>
      </c>
      <c r="D110" s="924">
        <v>15500000000</v>
      </c>
      <c r="E110" s="924"/>
      <c r="F110" s="924"/>
      <c r="G110" s="1518"/>
      <c r="H110" s="53"/>
      <c r="I110" s="1293"/>
      <c r="J110" s="53"/>
      <c r="K110" s="53"/>
      <c r="L110" s="53"/>
      <c r="M110" s="53"/>
      <c r="V110" s="42">
        <v>16275000000</v>
      </c>
      <c r="W110" s="924">
        <v>16275000000</v>
      </c>
      <c r="X110" s="924"/>
      <c r="Y110" s="924"/>
      <c r="Z110" s="42">
        <v>17088750000</v>
      </c>
      <c r="AA110" s="924">
        <v>17088750000</v>
      </c>
      <c r="AB110" s="42"/>
      <c r="AC110" s="42"/>
      <c r="AD110" s="42">
        <v>17943187500</v>
      </c>
      <c r="AE110" s="924">
        <v>17943187500</v>
      </c>
      <c r="AI110" s="1646">
        <f t="shared" si="5"/>
        <v>66806937500</v>
      </c>
    </row>
    <row r="111" spans="1:35" s="54" customFormat="1" ht="15" x14ac:dyDescent="0.25">
      <c r="A111" s="922"/>
      <c r="B111" s="923" t="s">
        <v>1821</v>
      </c>
      <c r="C111" s="1254">
        <v>5061794000</v>
      </c>
      <c r="D111" s="924">
        <v>5061794000</v>
      </c>
      <c r="E111" s="924"/>
      <c r="F111" s="924"/>
      <c r="G111" s="1518"/>
      <c r="H111" s="53"/>
      <c r="I111" s="1293"/>
      <c r="J111" s="53"/>
      <c r="K111" s="53"/>
      <c r="L111" s="53"/>
      <c r="M111" s="53"/>
      <c r="V111" s="42">
        <v>5314883700</v>
      </c>
      <c r="W111" s="924">
        <v>5314883700</v>
      </c>
      <c r="X111" s="924"/>
      <c r="Y111" s="924"/>
      <c r="Z111" s="42">
        <v>5580627885</v>
      </c>
      <c r="AA111" s="924">
        <v>5580627885</v>
      </c>
      <c r="AB111" s="42"/>
      <c r="AC111" s="42"/>
      <c r="AD111" s="42">
        <v>5859659279.25</v>
      </c>
      <c r="AE111" s="924">
        <v>5859659279.25</v>
      </c>
      <c r="AI111" s="1646">
        <f t="shared" si="5"/>
        <v>21816964864.25</v>
      </c>
    </row>
    <row r="112" spans="1:35" s="54" customFormat="1" ht="15" x14ac:dyDescent="0.25">
      <c r="A112" s="922" t="s">
        <v>226</v>
      </c>
      <c r="B112" s="923" t="s">
        <v>1143</v>
      </c>
      <c r="C112" s="1254">
        <v>2166183000</v>
      </c>
      <c r="D112" s="924">
        <v>2166183000</v>
      </c>
      <c r="E112" s="924"/>
      <c r="F112" s="924"/>
      <c r="G112" s="1518"/>
      <c r="H112" s="53"/>
      <c r="I112" s="1293"/>
      <c r="J112" s="53"/>
      <c r="K112" s="53"/>
      <c r="L112" s="53"/>
      <c r="M112" s="53"/>
      <c r="V112" s="42">
        <v>2274492150</v>
      </c>
      <c r="W112" s="924">
        <v>2274492150</v>
      </c>
      <c r="X112" s="924"/>
      <c r="Y112" s="924"/>
      <c r="Z112" s="42">
        <v>2388216757.5</v>
      </c>
      <c r="AA112" s="924">
        <v>2388216757.5</v>
      </c>
      <c r="AB112" s="42"/>
      <c r="AC112" s="42"/>
      <c r="AD112" s="42">
        <v>2507627595.375</v>
      </c>
      <c r="AE112" s="924">
        <v>2507627595.375</v>
      </c>
      <c r="AI112" s="1646">
        <f t="shared" si="5"/>
        <v>9336519502.875</v>
      </c>
    </row>
    <row r="113" spans="1:35" s="54" customFormat="1" ht="25.5" x14ac:dyDescent="0.25">
      <c r="A113" s="922"/>
      <c r="B113" s="923" t="s">
        <v>3015</v>
      </c>
      <c r="C113" s="1254">
        <v>2874685000</v>
      </c>
      <c r="D113" s="924">
        <v>2874685000</v>
      </c>
      <c r="E113" s="924"/>
      <c r="F113" s="924"/>
      <c r="G113" s="1518"/>
      <c r="H113" s="53"/>
      <c r="I113" s="1293"/>
      <c r="J113" s="53"/>
      <c r="K113" s="53"/>
      <c r="L113" s="53"/>
      <c r="M113" s="53"/>
      <c r="V113" s="42">
        <v>3018419250</v>
      </c>
      <c r="W113" s="924">
        <v>3018419250</v>
      </c>
      <c r="X113" s="924"/>
      <c r="Y113" s="924"/>
      <c r="Z113" s="42">
        <v>3169340212.5</v>
      </c>
      <c r="AA113" s="924">
        <v>3169340212.5</v>
      </c>
      <c r="AB113" s="42"/>
      <c r="AC113" s="42"/>
      <c r="AD113" s="42">
        <v>3327807223.125</v>
      </c>
      <c r="AE113" s="924">
        <v>3327807223.125</v>
      </c>
      <c r="AI113" s="1646">
        <f t="shared" si="5"/>
        <v>12390251685.625</v>
      </c>
    </row>
    <row r="114" spans="1:35" s="54" customFormat="1" ht="15" x14ac:dyDescent="0.25">
      <c r="A114" s="930"/>
      <c r="B114" s="1046" t="s">
        <v>1146</v>
      </c>
      <c r="C114" s="1254">
        <v>3963289000</v>
      </c>
      <c r="D114" s="929">
        <v>3963289000</v>
      </c>
      <c r="E114" s="929"/>
      <c r="F114" s="929"/>
      <c r="G114" s="1518"/>
      <c r="H114" s="53"/>
      <c r="I114" s="1293"/>
      <c r="J114" s="53"/>
      <c r="K114" s="53"/>
      <c r="L114" s="53"/>
      <c r="M114" s="53"/>
      <c r="V114" s="42">
        <v>4161453450</v>
      </c>
      <c r="W114" s="929">
        <v>4161453450</v>
      </c>
      <c r="X114" s="929"/>
      <c r="Y114" s="929"/>
      <c r="Z114" s="42">
        <v>4369526122.5</v>
      </c>
      <c r="AA114" s="929">
        <v>4369526122.5</v>
      </c>
      <c r="AB114" s="42"/>
      <c r="AC114" s="42"/>
      <c r="AD114" s="42">
        <v>4588002428.625</v>
      </c>
      <c r="AE114" s="929">
        <v>4588002428.625</v>
      </c>
      <c r="AI114" s="1646">
        <f t="shared" si="5"/>
        <v>17082271001.125</v>
      </c>
    </row>
    <row r="115" spans="1:35" s="54" customFormat="1" ht="18.75" hidden="1" customHeight="1" x14ac:dyDescent="0.25">
      <c r="A115" s="42"/>
      <c r="B115" s="1157" t="s">
        <v>1822</v>
      </c>
      <c r="C115" s="1009">
        <v>71043833000</v>
      </c>
      <c r="D115" s="42"/>
      <c r="E115" s="42"/>
      <c r="F115" s="42"/>
      <c r="G115" s="1518">
        <v>290333144000</v>
      </c>
      <c r="H115" s="53"/>
      <c r="I115" s="1293"/>
      <c r="J115" s="53"/>
      <c r="K115" s="53"/>
      <c r="L115" s="53"/>
      <c r="M115" s="53"/>
      <c r="V115" s="1009">
        <v>74596024650</v>
      </c>
      <c r="W115" s="42"/>
      <c r="X115" s="42"/>
      <c r="Y115" s="42"/>
      <c r="Z115" s="1009">
        <v>78325825882.5</v>
      </c>
      <c r="AA115" s="42"/>
      <c r="AB115" s="42"/>
      <c r="AC115" s="42"/>
      <c r="AD115" s="1009">
        <v>82242117176.625</v>
      </c>
    </row>
    <row r="116" spans="1:35" s="54" customFormat="1" ht="25.5" hidden="1" customHeight="1" x14ac:dyDescent="0.25">
      <c r="A116" s="42"/>
      <c r="B116" s="1667" t="s">
        <v>1065</v>
      </c>
      <c r="C116" s="1668"/>
      <c r="D116" s="42"/>
      <c r="E116" s="42"/>
      <c r="G116" s="1518"/>
      <c r="H116" s="53"/>
      <c r="I116" s="1293"/>
      <c r="J116" s="53"/>
      <c r="K116" s="53"/>
      <c r="L116" s="53"/>
      <c r="M116" s="53"/>
      <c r="V116" s="42"/>
      <c r="W116" s="42"/>
      <c r="X116" s="42"/>
      <c r="Y116" s="42"/>
      <c r="Z116" s="42"/>
      <c r="AA116" s="42"/>
      <c r="AB116" s="42"/>
      <c r="AC116" s="42"/>
      <c r="AD116" s="42"/>
    </row>
    <row r="117" spans="1:35" s="54" customFormat="1" ht="25.5" x14ac:dyDescent="0.25">
      <c r="A117" s="933"/>
      <c r="B117" s="923" t="s">
        <v>1066</v>
      </c>
      <c r="C117" s="1254">
        <v>4052617000</v>
      </c>
      <c r="D117" s="924">
        <v>4052617000</v>
      </c>
      <c r="E117" s="935"/>
      <c r="F117" s="935"/>
      <c r="G117" s="1518"/>
      <c r="I117" s="919"/>
      <c r="V117" s="42">
        <v>4255247850</v>
      </c>
      <c r="W117" s="924">
        <v>4255247850</v>
      </c>
      <c r="X117" s="935"/>
      <c r="Y117" s="935"/>
      <c r="Z117" s="42">
        <v>4468010242.5</v>
      </c>
      <c r="AA117" s="924">
        <v>4468010242.5</v>
      </c>
      <c r="AB117" s="42"/>
      <c r="AC117" s="42"/>
      <c r="AD117" s="42">
        <v>4691410754.625</v>
      </c>
      <c r="AE117" s="924">
        <v>4691410754.625</v>
      </c>
      <c r="AI117" s="1646">
        <f>+D117+W117+AA117+AE117</f>
        <v>17467285847.125</v>
      </c>
    </row>
    <row r="118" spans="1:35" s="54" customFormat="1" ht="25.5" hidden="1" x14ac:dyDescent="0.25">
      <c r="A118" s="936"/>
      <c r="B118" s="1157" t="s">
        <v>1823</v>
      </c>
      <c r="C118" s="1009">
        <v>4052617000</v>
      </c>
      <c r="D118" s="42"/>
      <c r="E118" s="42"/>
      <c r="F118" s="42"/>
      <c r="G118" s="1518"/>
      <c r="I118" s="919"/>
      <c r="V118" s="1009">
        <v>4255247850</v>
      </c>
      <c r="W118" s="42"/>
      <c r="X118" s="42"/>
      <c r="Y118" s="42"/>
      <c r="Z118" s="1009">
        <v>4468010242.5</v>
      </c>
      <c r="AA118" s="42"/>
      <c r="AB118" s="42"/>
      <c r="AC118" s="42"/>
      <c r="AD118" s="1009">
        <v>4691410754.625</v>
      </c>
    </row>
    <row r="119" spans="1:35" s="54" customFormat="1" hidden="1" x14ac:dyDescent="0.25">
      <c r="A119" s="936"/>
      <c r="B119" s="1667" t="s">
        <v>961</v>
      </c>
      <c r="C119" s="1668"/>
      <c r="D119" s="924"/>
      <c r="E119" s="924"/>
      <c r="F119" s="924"/>
      <c r="G119" s="1518"/>
      <c r="I119" s="919"/>
      <c r="V119" s="42"/>
      <c r="W119" s="924"/>
      <c r="X119" s="924"/>
      <c r="Y119" s="924"/>
      <c r="Z119" s="42"/>
      <c r="AA119" s="42"/>
      <c r="AB119" s="42"/>
      <c r="AC119" s="42"/>
      <c r="AD119" s="42"/>
    </row>
    <row r="120" spans="1:35" s="54" customFormat="1" ht="25.5" x14ac:dyDescent="0.25">
      <c r="A120" s="923"/>
      <c r="B120" s="923" t="s">
        <v>1149</v>
      </c>
      <c r="C120" s="1254">
        <v>2461968000</v>
      </c>
      <c r="D120" s="924">
        <v>2461968000</v>
      </c>
      <c r="E120" s="924"/>
      <c r="F120" s="924"/>
      <c r="G120" s="1518"/>
      <c r="I120" s="919"/>
      <c r="V120" s="42">
        <v>2929741920</v>
      </c>
      <c r="W120" s="924">
        <v>2929741920</v>
      </c>
      <c r="X120" s="924"/>
      <c r="Y120" s="924"/>
      <c r="Z120" s="42">
        <v>3076229016</v>
      </c>
      <c r="AA120" s="924">
        <v>3076229016</v>
      </c>
      <c r="AB120" s="42"/>
      <c r="AC120" s="42"/>
      <c r="AD120" s="42">
        <v>3230040466.8000002</v>
      </c>
      <c r="AE120" s="924">
        <v>3230040466.8000002</v>
      </c>
      <c r="AI120" s="1646">
        <f>+D120+W120+AA120+AE120</f>
        <v>11697979402.799999</v>
      </c>
    </row>
    <row r="121" spans="1:35" s="54" customFormat="1" ht="21" hidden="1" customHeight="1" x14ac:dyDescent="0.25">
      <c r="A121" s="923"/>
      <c r="B121" s="1157" t="s">
        <v>1824</v>
      </c>
      <c r="C121" s="1009">
        <v>2461968000</v>
      </c>
      <c r="D121" s="924"/>
      <c r="E121" s="924"/>
      <c r="F121" s="924"/>
      <c r="G121" s="1518"/>
      <c r="I121" s="919"/>
      <c r="V121" s="1009">
        <v>2929741920</v>
      </c>
      <c r="W121" s="42"/>
      <c r="X121" s="42"/>
      <c r="Y121" s="42"/>
      <c r="Z121" s="1009">
        <v>3076229016</v>
      </c>
      <c r="AA121" s="42"/>
      <c r="AB121" s="42"/>
      <c r="AC121" s="42"/>
      <c r="AD121" s="1009">
        <v>3230040466.8000002</v>
      </c>
    </row>
    <row r="122" spans="1:35" s="54" customFormat="1" x14ac:dyDescent="0.25">
      <c r="A122" s="1677" t="s">
        <v>1825</v>
      </c>
      <c r="B122" s="1678"/>
      <c r="C122" s="1009">
        <v>296847729000</v>
      </c>
      <c r="D122" s="1009">
        <f>SUBTOTAL(9,D12:D120)</f>
        <v>347602607109.83002</v>
      </c>
      <c r="E122" s="924"/>
      <c r="F122" s="1517"/>
      <c r="G122" s="1518"/>
      <c r="I122" s="919"/>
      <c r="V122" s="1009">
        <v>313341238836</v>
      </c>
      <c r="W122" s="1009">
        <f>SUBTOTAL(9,W12:W120)</f>
        <v>354863163512</v>
      </c>
      <c r="X122" s="42"/>
      <c r="Y122" s="42"/>
      <c r="Z122" s="1009"/>
      <c r="AA122" s="1009">
        <f>SUBTOTAL(9,AA12:AA120)</f>
        <v>389595123867.64001</v>
      </c>
      <c r="AB122" s="42"/>
      <c r="AC122" s="42"/>
      <c r="AD122" s="1009">
        <v>345458715816.69</v>
      </c>
      <c r="AE122" s="1009">
        <f>SUBTOTAL(9,AE12:AE120)</f>
        <v>395827477537.60162</v>
      </c>
      <c r="AI122" s="1009">
        <f t="shared" ref="AI122:AI129" si="6">+D122+W122+AA122+AE122</f>
        <v>1487888372027.0718</v>
      </c>
    </row>
    <row r="123" spans="1:35" ht="25.5" x14ac:dyDescent="0.25">
      <c r="B123" s="942" t="s">
        <v>1858</v>
      </c>
      <c r="C123" s="943">
        <v>28687911431.006027</v>
      </c>
      <c r="D123" s="411">
        <v>28687911431.006027</v>
      </c>
      <c r="E123" s="73"/>
      <c r="F123" s="74"/>
      <c r="M123" s="1681"/>
      <c r="N123" s="1681"/>
      <c r="O123" s="1681"/>
      <c r="P123" s="1681"/>
      <c r="V123" s="942" t="s">
        <v>1858</v>
      </c>
      <c r="W123" s="943">
        <v>36962331343.500504</v>
      </c>
      <c r="X123" s="411"/>
      <c r="Z123" s="942" t="s">
        <v>1858</v>
      </c>
      <c r="AA123" s="943">
        <v>36809586662.873756</v>
      </c>
      <c r="AB123" s="411"/>
      <c r="AD123" s="942" t="s">
        <v>1858</v>
      </c>
      <c r="AE123" s="943">
        <v>39109975639.739403</v>
      </c>
      <c r="AF123" s="411"/>
      <c r="AI123" s="1646">
        <f t="shared" si="6"/>
        <v>141569805077.11969</v>
      </c>
    </row>
    <row r="124" spans="1:35" x14ac:dyDescent="0.25">
      <c r="A124" s="941"/>
      <c r="B124" s="77" t="s">
        <v>1859</v>
      </c>
      <c r="C124" s="943">
        <v>30277983000</v>
      </c>
      <c r="D124" s="411">
        <v>30277983000</v>
      </c>
      <c r="E124" s="73"/>
      <c r="F124" s="74"/>
      <c r="V124" s="77" t="s">
        <v>1859</v>
      </c>
      <c r="W124" s="943">
        <v>48706914446</v>
      </c>
      <c r="X124" s="411"/>
      <c r="Z124" s="77" t="s">
        <v>1859</v>
      </c>
      <c r="AA124" s="943">
        <v>68131062348.339996</v>
      </c>
      <c r="AB124" s="411"/>
      <c r="AD124" s="77" t="s">
        <v>1859</v>
      </c>
      <c r="AE124" s="943">
        <v>58290212942.336594</v>
      </c>
      <c r="AF124" s="411"/>
      <c r="AI124" s="1646">
        <f t="shared" si="6"/>
        <v>205406172736.67657</v>
      </c>
    </row>
    <row r="125" spans="1:35" ht="15" x14ac:dyDescent="0.25">
      <c r="B125" s="942" t="s">
        <v>1860</v>
      </c>
      <c r="C125" s="944">
        <v>280317350600</v>
      </c>
      <c r="D125" s="1656">
        <f>280317350600</f>
        <v>280317350600</v>
      </c>
      <c r="E125" s="413"/>
      <c r="F125" s="74"/>
      <c r="V125" s="942" t="s">
        <v>1860</v>
      </c>
      <c r="W125" s="1657">
        <v>295639665996</v>
      </c>
      <c r="X125" s="411"/>
      <c r="Z125" s="942" t="s">
        <v>1860</v>
      </c>
      <c r="AA125" s="1657">
        <v>310421649295.79999</v>
      </c>
      <c r="AB125" s="411"/>
      <c r="AD125" s="942" t="s">
        <v>1860</v>
      </c>
      <c r="AE125" s="1657">
        <v>325942731760.59003</v>
      </c>
      <c r="AF125" s="411"/>
      <c r="AI125" s="1646">
        <f t="shared" si="6"/>
        <v>1212321397652.3901</v>
      </c>
    </row>
    <row r="126" spans="1:35" x14ac:dyDescent="0.25">
      <c r="B126" s="1172" t="s">
        <v>1861</v>
      </c>
      <c r="C126" s="1012">
        <v>339283245031.00604</v>
      </c>
      <c r="D126" s="1012">
        <f>+D122+C123-C128</f>
        <v>366274725140.83606</v>
      </c>
      <c r="E126" s="409"/>
      <c r="F126" s="88"/>
      <c r="V126" s="1172" t="s">
        <v>1861</v>
      </c>
      <c r="W126" s="1012">
        <v>381308911785.50049</v>
      </c>
      <c r="X126" s="409">
        <f>+W122+W123-W128</f>
        <v>381308911785.50049</v>
      </c>
      <c r="Z126" s="1172" t="s">
        <v>1861</v>
      </c>
      <c r="AA126" s="1012">
        <v>415362298307.01379</v>
      </c>
      <c r="AB126" s="409">
        <f>+AA122+AA123-AA128</f>
        <v>415362298307.01379</v>
      </c>
      <c r="AD126" s="1172" t="s">
        <v>1861</v>
      </c>
      <c r="AE126" s="1012">
        <v>423342920342.66602</v>
      </c>
      <c r="AF126" s="409">
        <f>+AE122+AE123-AE128</f>
        <v>423342920342.66602</v>
      </c>
      <c r="AI126" s="1009">
        <f t="shared" si="6"/>
        <v>1586288855576.0164</v>
      </c>
    </row>
    <row r="127" spans="1:35" x14ac:dyDescent="0.25">
      <c r="B127" s="1648"/>
      <c r="C127" s="1647"/>
      <c r="D127" s="1649"/>
      <c r="E127" s="409"/>
      <c r="F127" s="88"/>
      <c r="V127" s="1167"/>
      <c r="W127" s="1649"/>
      <c r="X127" s="409"/>
      <c r="Z127" s="1167"/>
      <c r="AA127" s="1649"/>
      <c r="AB127" s="409"/>
      <c r="AD127" s="1167"/>
      <c r="AE127" s="1649"/>
      <c r="AF127" s="409"/>
      <c r="AI127" s="1650"/>
    </row>
    <row r="128" spans="1:35" ht="25.5" x14ac:dyDescent="0.25">
      <c r="B128" s="1642" t="s">
        <v>4449</v>
      </c>
      <c r="C128" s="1046">
        <f>'F Y U 2024 Presupuesto OK RED'!C148</f>
        <v>10015793400</v>
      </c>
      <c r="D128" s="1643">
        <v>10015793400</v>
      </c>
      <c r="E128" s="929"/>
      <c r="F128" s="929"/>
      <c r="G128" s="929"/>
      <c r="H128" s="929"/>
      <c r="I128" s="929"/>
      <c r="J128" s="929"/>
      <c r="K128" s="929"/>
      <c r="L128" s="929"/>
      <c r="M128" s="929"/>
      <c r="N128" s="929"/>
      <c r="O128" s="929"/>
      <c r="P128" s="929"/>
      <c r="Q128" s="929"/>
      <c r="R128" s="929"/>
      <c r="S128" s="929"/>
      <c r="T128" s="929"/>
      <c r="U128" s="929"/>
      <c r="V128" s="929" t="s">
        <v>4449</v>
      </c>
      <c r="W128" s="1643">
        <f>+' Verdad Verdadera 24-27'!W182</f>
        <v>10516583070</v>
      </c>
      <c r="X128" s="929"/>
      <c r="Y128" s="929"/>
      <c r="Z128" s="929" t="s">
        <v>4449</v>
      </c>
      <c r="AA128" s="1643">
        <f>+' Verdad Verdadera 24-27'!AA182</f>
        <v>11042412223.5</v>
      </c>
      <c r="AB128" s="929"/>
      <c r="AC128" s="929"/>
      <c r="AD128" s="929" t="s">
        <v>4449</v>
      </c>
      <c r="AE128" s="1643">
        <f>+' Verdad Verdadera 24-27'!AE182</f>
        <v>11594532834.675001</v>
      </c>
      <c r="AF128" s="929"/>
      <c r="AG128" s="929"/>
      <c r="AH128" s="929"/>
      <c r="AI128" s="1643">
        <f>+D128+W128+AA128+AE128</f>
        <v>43169321528.175003</v>
      </c>
    </row>
    <row r="129" spans="2:16369" ht="30.75" customHeight="1" x14ac:dyDescent="0.25">
      <c r="B129" s="1644" t="s">
        <v>1828</v>
      </c>
      <c r="C129" s="1046">
        <v>1299234880</v>
      </c>
      <c r="D129" s="1645">
        <v>1299234880</v>
      </c>
      <c r="E129" s="929">
        <v>5168301321</v>
      </c>
      <c r="F129" s="929">
        <v>129710175000</v>
      </c>
      <c r="G129" s="929" t="s">
        <v>1828</v>
      </c>
      <c r="H129" s="929">
        <v>1381344530</v>
      </c>
      <c r="I129" s="929"/>
      <c r="J129" s="929"/>
      <c r="K129" s="929" t="s">
        <v>1828</v>
      </c>
      <c r="L129" s="929">
        <v>1473175355</v>
      </c>
      <c r="M129" s="929"/>
      <c r="N129" s="929"/>
      <c r="O129" s="929" t="s">
        <v>1828</v>
      </c>
      <c r="P129" s="929">
        <v>1573624265</v>
      </c>
      <c r="Q129" s="929"/>
      <c r="R129" s="929"/>
      <c r="S129" s="929"/>
      <c r="T129" s="929"/>
      <c r="U129" s="929"/>
      <c r="V129" s="929" t="s">
        <v>1828</v>
      </c>
      <c r="W129" s="1645">
        <v>1381344530</v>
      </c>
      <c r="X129" s="929"/>
      <c r="Y129" s="929"/>
      <c r="Z129" s="929" t="s">
        <v>1828</v>
      </c>
      <c r="AA129" s="1645">
        <v>1473175355</v>
      </c>
      <c r="AB129" s="929"/>
      <c r="AC129" s="929"/>
      <c r="AD129" s="929" t="s">
        <v>1828</v>
      </c>
      <c r="AE129" s="1645">
        <v>1573624265</v>
      </c>
      <c r="AF129" s="929"/>
      <c r="AG129" s="929"/>
      <c r="AH129" s="929"/>
      <c r="AI129" s="1645">
        <f t="shared" si="6"/>
        <v>5727379030</v>
      </c>
      <c r="AJ129" s="1046"/>
      <c r="AK129" s="1046"/>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c r="DK129" s="54"/>
      <c r="DL129" s="54"/>
      <c r="DM129" s="54"/>
      <c r="DN129" s="54"/>
      <c r="DO129" s="54"/>
      <c r="DP129" s="54"/>
      <c r="DQ129" s="54"/>
      <c r="DR129" s="54"/>
      <c r="DS129" s="54"/>
      <c r="DT129" s="54"/>
      <c r="DU129" s="54"/>
      <c r="DV129" s="54"/>
      <c r="DW129" s="54"/>
      <c r="DX129" s="54"/>
      <c r="DY129" s="54"/>
      <c r="DZ129" s="54"/>
      <c r="EA129" s="54"/>
      <c r="EB129" s="54"/>
      <c r="EC129" s="54"/>
      <c r="ED129" s="54"/>
      <c r="EE129" s="54"/>
      <c r="EF129" s="54"/>
      <c r="EG129" s="54"/>
      <c r="EH129" s="54"/>
      <c r="EI129" s="54"/>
      <c r="EJ129" s="54"/>
      <c r="EK129" s="54"/>
      <c r="EL129" s="54"/>
      <c r="EM129" s="54"/>
      <c r="EN129" s="54"/>
      <c r="EO129" s="54"/>
      <c r="EP129" s="54"/>
      <c r="EQ129" s="54"/>
      <c r="ER129" s="54"/>
      <c r="ES129" s="54"/>
      <c r="ET129" s="54"/>
      <c r="EU129" s="54"/>
      <c r="EV129" s="54"/>
      <c r="EW129" s="54"/>
      <c r="EX129" s="54"/>
      <c r="EY129" s="54"/>
      <c r="EZ129" s="54"/>
      <c r="FA129" s="54"/>
      <c r="FB129" s="54"/>
      <c r="FC129" s="54"/>
      <c r="FD129" s="54"/>
      <c r="FE129" s="54"/>
      <c r="FF129" s="54"/>
      <c r="FG129" s="54"/>
      <c r="FH129" s="54"/>
      <c r="FI129" s="54"/>
      <c r="FJ129" s="54"/>
      <c r="FK129" s="54"/>
      <c r="FL129" s="54"/>
      <c r="FM129" s="54"/>
      <c r="FN129" s="54"/>
      <c r="FO129" s="54"/>
      <c r="FP129" s="54"/>
      <c r="FQ129" s="54"/>
      <c r="FR129" s="54"/>
      <c r="FS129" s="54"/>
      <c r="FT129" s="54"/>
      <c r="FU129" s="54"/>
      <c r="FV129" s="54"/>
      <c r="FW129" s="54"/>
      <c r="FX129" s="54"/>
      <c r="FY129" s="54"/>
      <c r="FZ129" s="54"/>
      <c r="GA129" s="54"/>
      <c r="GB129" s="54"/>
      <c r="GC129" s="54"/>
      <c r="GD129" s="54"/>
      <c r="GE129" s="54"/>
      <c r="GF129" s="54"/>
      <c r="GG129" s="54"/>
      <c r="GH129" s="54"/>
      <c r="GI129" s="54"/>
      <c r="GJ129" s="54"/>
      <c r="GK129" s="54"/>
      <c r="GL129" s="54"/>
      <c r="GM129" s="54"/>
      <c r="GN129" s="54"/>
      <c r="GO129" s="54"/>
      <c r="GP129" s="54"/>
      <c r="GQ129" s="54"/>
      <c r="GR129" s="54"/>
      <c r="GS129" s="54"/>
      <c r="GT129" s="54"/>
      <c r="GU129" s="54"/>
      <c r="GV129" s="54"/>
      <c r="GW129" s="54"/>
      <c r="GX129" s="54"/>
      <c r="GY129" s="54"/>
      <c r="GZ129" s="54"/>
      <c r="HA129" s="54"/>
      <c r="HB129" s="54"/>
      <c r="HC129" s="54"/>
      <c r="HD129" s="54"/>
      <c r="HE129" s="54"/>
      <c r="HF129" s="54"/>
      <c r="HG129" s="54"/>
      <c r="HH129" s="54"/>
      <c r="HI129" s="54"/>
      <c r="HJ129" s="54"/>
      <c r="HK129" s="54"/>
      <c r="HL129" s="54"/>
      <c r="HM129" s="54"/>
      <c r="HN129" s="54"/>
      <c r="HO129" s="54"/>
      <c r="HP129" s="54"/>
      <c r="HQ129" s="54"/>
      <c r="HR129" s="54"/>
      <c r="HS129" s="54"/>
      <c r="HT129" s="54"/>
      <c r="HU129" s="54"/>
      <c r="HV129" s="54"/>
      <c r="HW129" s="54"/>
      <c r="HX129" s="54"/>
      <c r="HY129" s="54"/>
      <c r="HZ129" s="54"/>
      <c r="IA129" s="54"/>
      <c r="IB129" s="54"/>
      <c r="IC129" s="54"/>
      <c r="ID129" s="54"/>
      <c r="IE129" s="54"/>
      <c r="IF129" s="54"/>
      <c r="IG129" s="54"/>
      <c r="IH129" s="54"/>
      <c r="II129" s="54"/>
      <c r="IJ129" s="54"/>
      <c r="IK129" s="54"/>
      <c r="IL129" s="54"/>
      <c r="IM129" s="54"/>
      <c r="IN129" s="54"/>
      <c r="IO129" s="54"/>
      <c r="IP129" s="54"/>
      <c r="IQ129" s="54"/>
      <c r="IR129" s="54"/>
      <c r="IS129" s="54"/>
      <c r="IT129" s="54"/>
      <c r="IU129" s="54"/>
      <c r="IV129" s="54"/>
      <c r="IW129" s="54"/>
      <c r="IX129" s="54"/>
      <c r="IY129" s="54"/>
      <c r="IZ129" s="54"/>
      <c r="JA129" s="54"/>
      <c r="JB129" s="54"/>
      <c r="JC129" s="54"/>
      <c r="JD129" s="54"/>
      <c r="JE129" s="54"/>
      <c r="JF129" s="54"/>
      <c r="JG129" s="54"/>
      <c r="JH129" s="54"/>
      <c r="JI129" s="54"/>
      <c r="JJ129" s="54"/>
      <c r="JK129" s="54"/>
      <c r="JL129" s="54"/>
      <c r="JM129" s="54"/>
      <c r="JN129" s="54"/>
      <c r="JO129" s="54"/>
      <c r="JP129" s="54"/>
      <c r="JQ129" s="54"/>
      <c r="JR129" s="54"/>
      <c r="JS129" s="54"/>
      <c r="JT129" s="54"/>
      <c r="JU129" s="54"/>
      <c r="JV129" s="54"/>
      <c r="JW129" s="54"/>
      <c r="JX129" s="54"/>
      <c r="JY129" s="54"/>
      <c r="JZ129" s="54"/>
      <c r="KA129" s="54"/>
      <c r="KB129" s="54"/>
      <c r="KC129" s="54"/>
      <c r="KD129" s="54"/>
      <c r="KE129" s="54"/>
      <c r="KF129" s="54"/>
      <c r="KG129" s="54"/>
      <c r="KH129" s="54"/>
      <c r="KI129" s="54"/>
      <c r="KJ129" s="54"/>
      <c r="KK129" s="54"/>
      <c r="KL129" s="54"/>
      <c r="KM129" s="54"/>
      <c r="KN129" s="54"/>
      <c r="KO129" s="54"/>
      <c r="KP129" s="54"/>
      <c r="KQ129" s="54"/>
      <c r="KR129" s="54"/>
      <c r="KS129" s="54"/>
      <c r="KT129" s="54"/>
      <c r="KU129" s="54"/>
      <c r="KV129" s="54"/>
      <c r="KW129" s="54"/>
      <c r="KX129" s="54"/>
      <c r="KY129" s="54"/>
      <c r="KZ129" s="54"/>
      <c r="LA129" s="54"/>
      <c r="LB129" s="54"/>
      <c r="LC129" s="54"/>
      <c r="LD129" s="54"/>
      <c r="LE129" s="54"/>
      <c r="LF129" s="54"/>
      <c r="LG129" s="54"/>
      <c r="LH129" s="54"/>
      <c r="LI129" s="54"/>
      <c r="LJ129" s="54"/>
      <c r="LK129" s="54"/>
      <c r="LL129" s="54"/>
      <c r="LM129" s="54"/>
      <c r="LN129" s="54"/>
      <c r="LO129" s="54"/>
      <c r="LP129" s="54"/>
      <c r="LQ129" s="54"/>
      <c r="LR129" s="54"/>
      <c r="LS129" s="54"/>
      <c r="LT129" s="54"/>
      <c r="LU129" s="54"/>
      <c r="LV129" s="54"/>
      <c r="LW129" s="54"/>
      <c r="LX129" s="54"/>
      <c r="LY129" s="54"/>
      <c r="LZ129" s="54"/>
      <c r="MA129" s="54"/>
      <c r="MB129" s="54"/>
      <c r="MC129" s="54"/>
      <c r="MD129" s="54"/>
      <c r="ME129" s="54"/>
      <c r="MF129" s="54"/>
      <c r="MG129" s="54"/>
      <c r="MH129" s="54"/>
      <c r="MI129" s="54"/>
      <c r="MJ129" s="54"/>
      <c r="MK129" s="54"/>
      <c r="ML129" s="54"/>
      <c r="MM129" s="54"/>
      <c r="MN129" s="54"/>
      <c r="MO129" s="54"/>
      <c r="MP129" s="54"/>
      <c r="MQ129" s="54"/>
      <c r="MR129" s="54"/>
      <c r="MS129" s="54"/>
      <c r="MT129" s="54"/>
      <c r="MU129" s="54"/>
      <c r="MV129" s="54"/>
      <c r="MW129" s="54"/>
      <c r="MX129" s="54"/>
      <c r="MY129" s="54"/>
      <c r="MZ129" s="54"/>
      <c r="NA129" s="54"/>
      <c r="NB129" s="54"/>
      <c r="NC129" s="54"/>
      <c r="ND129" s="54"/>
      <c r="NE129" s="54"/>
      <c r="NF129" s="54"/>
      <c r="NG129" s="54"/>
      <c r="NH129" s="54"/>
      <c r="NI129" s="54"/>
      <c r="NJ129" s="54"/>
      <c r="NK129" s="54"/>
      <c r="NL129" s="54"/>
      <c r="NM129" s="54"/>
      <c r="NN129" s="54"/>
      <c r="NO129" s="54"/>
      <c r="NP129" s="54"/>
      <c r="NQ129" s="54"/>
      <c r="NR129" s="54"/>
      <c r="NS129" s="54"/>
      <c r="NT129" s="54"/>
      <c r="NU129" s="54"/>
      <c r="NV129" s="54"/>
      <c r="NW129" s="54"/>
      <c r="NX129" s="54"/>
      <c r="NY129" s="54"/>
      <c r="NZ129" s="54"/>
      <c r="OA129" s="54"/>
      <c r="OB129" s="54"/>
      <c r="OC129" s="54"/>
      <c r="OD129" s="54"/>
      <c r="OE129" s="54"/>
      <c r="OF129" s="54"/>
      <c r="OG129" s="54"/>
      <c r="OH129" s="54"/>
      <c r="OI129" s="54"/>
      <c r="OJ129" s="54"/>
      <c r="OK129" s="54"/>
      <c r="OL129" s="54"/>
      <c r="OM129" s="54"/>
      <c r="ON129" s="54"/>
      <c r="OO129" s="54"/>
      <c r="OP129" s="54"/>
      <c r="OQ129" s="54"/>
      <c r="OR129" s="54"/>
      <c r="OS129" s="54"/>
      <c r="OT129" s="54"/>
      <c r="OU129" s="54"/>
      <c r="OV129" s="54"/>
      <c r="OW129" s="54"/>
      <c r="OX129" s="54"/>
      <c r="OY129" s="54"/>
      <c r="OZ129" s="54"/>
      <c r="PA129" s="54"/>
      <c r="PB129" s="54"/>
      <c r="PC129" s="54"/>
      <c r="PD129" s="54"/>
      <c r="PE129" s="54"/>
      <c r="PF129" s="54"/>
      <c r="PG129" s="54"/>
      <c r="PH129" s="54"/>
      <c r="PI129" s="54"/>
      <c r="PJ129" s="54"/>
      <c r="PK129" s="54"/>
      <c r="PL129" s="54"/>
      <c r="PM129" s="54"/>
      <c r="PN129" s="54"/>
      <c r="PO129" s="54"/>
      <c r="PP129" s="54"/>
      <c r="PQ129" s="54"/>
      <c r="PR129" s="54"/>
      <c r="PS129" s="54"/>
      <c r="PT129" s="54"/>
      <c r="PU129" s="54"/>
      <c r="PV129" s="54"/>
      <c r="PW129" s="54"/>
      <c r="PX129" s="54"/>
      <c r="PY129" s="54"/>
      <c r="PZ129" s="54"/>
      <c r="QA129" s="54"/>
      <c r="QB129" s="54"/>
      <c r="QC129" s="54"/>
      <c r="QD129" s="54"/>
      <c r="QE129" s="54"/>
      <c r="QF129" s="54"/>
      <c r="QG129" s="54"/>
      <c r="QH129" s="54"/>
      <c r="QI129" s="54"/>
      <c r="QJ129" s="54"/>
      <c r="QK129" s="54"/>
      <c r="QL129" s="54"/>
      <c r="QM129" s="54"/>
      <c r="QN129" s="54"/>
      <c r="QO129" s="54"/>
      <c r="QP129" s="54"/>
      <c r="QQ129" s="54"/>
      <c r="QR129" s="54"/>
      <c r="QS129" s="54"/>
      <c r="QT129" s="54"/>
      <c r="QU129" s="54"/>
      <c r="QV129" s="54"/>
      <c r="QW129" s="54"/>
      <c r="QX129" s="54"/>
      <c r="QY129" s="54"/>
      <c r="QZ129" s="54"/>
      <c r="RA129" s="54"/>
      <c r="RB129" s="54"/>
      <c r="RC129" s="54"/>
      <c r="RD129" s="54"/>
      <c r="RE129" s="54"/>
      <c r="RF129" s="54"/>
      <c r="RG129" s="54"/>
      <c r="RH129" s="54"/>
      <c r="RI129" s="54"/>
      <c r="RJ129" s="54"/>
      <c r="RK129" s="54"/>
      <c r="RL129" s="54"/>
      <c r="RM129" s="54"/>
      <c r="RN129" s="54"/>
      <c r="RO129" s="54"/>
      <c r="RP129" s="54"/>
      <c r="RQ129" s="54"/>
      <c r="RR129" s="54"/>
      <c r="RS129" s="54"/>
      <c r="RT129" s="54"/>
      <c r="RU129" s="54"/>
      <c r="RV129" s="54"/>
      <c r="RW129" s="54"/>
      <c r="RX129" s="54"/>
      <c r="RY129" s="54"/>
      <c r="RZ129" s="54"/>
      <c r="SA129" s="54"/>
      <c r="SB129" s="54"/>
      <c r="SC129" s="54"/>
      <c r="SD129" s="54"/>
      <c r="SE129" s="54"/>
      <c r="SF129" s="54"/>
      <c r="SG129" s="54"/>
      <c r="SH129" s="54"/>
      <c r="SI129" s="54"/>
      <c r="SJ129" s="54"/>
      <c r="SK129" s="54"/>
      <c r="SL129" s="54"/>
      <c r="SM129" s="54"/>
      <c r="SN129" s="54"/>
      <c r="SO129" s="54"/>
      <c r="SP129" s="54"/>
      <c r="SQ129" s="54"/>
      <c r="SR129" s="54"/>
      <c r="SS129" s="54"/>
      <c r="ST129" s="54"/>
      <c r="SU129" s="54"/>
      <c r="SV129" s="54"/>
      <c r="SW129" s="54"/>
      <c r="SX129" s="54"/>
      <c r="SY129" s="54"/>
      <c r="SZ129" s="54"/>
      <c r="TA129" s="54"/>
      <c r="TB129" s="54"/>
      <c r="TC129" s="54"/>
      <c r="TD129" s="54"/>
      <c r="TE129" s="54"/>
      <c r="TF129" s="54"/>
      <c r="TG129" s="54"/>
      <c r="TH129" s="54"/>
      <c r="TI129" s="54"/>
      <c r="TJ129" s="54"/>
      <c r="TK129" s="54"/>
      <c r="TL129" s="54"/>
      <c r="TM129" s="54"/>
      <c r="TN129" s="54"/>
      <c r="TO129" s="54"/>
      <c r="TP129" s="54"/>
      <c r="TQ129" s="54"/>
      <c r="TR129" s="54"/>
      <c r="TS129" s="54"/>
      <c r="TT129" s="54"/>
      <c r="TU129" s="54"/>
      <c r="TV129" s="54"/>
      <c r="TW129" s="54"/>
      <c r="TX129" s="54"/>
      <c r="TY129" s="54"/>
      <c r="TZ129" s="54"/>
      <c r="UA129" s="54"/>
      <c r="UB129" s="54"/>
      <c r="UC129" s="54"/>
      <c r="UD129" s="54"/>
      <c r="UE129" s="54"/>
      <c r="UF129" s="54"/>
      <c r="UG129" s="54"/>
      <c r="UH129" s="54"/>
      <c r="UI129" s="54"/>
      <c r="UJ129" s="54"/>
      <c r="UK129" s="54"/>
      <c r="UL129" s="54"/>
      <c r="UM129" s="54"/>
      <c r="UN129" s="54"/>
      <c r="UO129" s="54"/>
      <c r="UP129" s="54"/>
      <c r="UQ129" s="54"/>
      <c r="UR129" s="54"/>
      <c r="US129" s="54"/>
      <c r="UT129" s="54"/>
      <c r="UU129" s="54"/>
      <c r="UV129" s="54"/>
      <c r="UW129" s="54"/>
      <c r="UX129" s="54"/>
      <c r="UY129" s="54"/>
      <c r="UZ129" s="54"/>
      <c r="VA129" s="54"/>
      <c r="VB129" s="54"/>
      <c r="VC129" s="54"/>
      <c r="VD129" s="54"/>
      <c r="VE129" s="54"/>
      <c r="VF129" s="54"/>
      <c r="VG129" s="54"/>
      <c r="VH129" s="54"/>
      <c r="VI129" s="54"/>
      <c r="VJ129" s="54"/>
      <c r="VK129" s="54"/>
      <c r="VL129" s="54"/>
      <c r="VM129" s="54"/>
      <c r="VN129" s="54"/>
      <c r="VO129" s="54"/>
      <c r="VP129" s="54"/>
      <c r="VQ129" s="54"/>
      <c r="VR129" s="54"/>
      <c r="VS129" s="54"/>
      <c r="VT129" s="54"/>
      <c r="VU129" s="54"/>
      <c r="VV129" s="54"/>
      <c r="VW129" s="54"/>
      <c r="VX129" s="54"/>
      <c r="VY129" s="54"/>
      <c r="VZ129" s="54"/>
      <c r="WA129" s="54"/>
      <c r="WB129" s="54"/>
      <c r="WC129" s="54"/>
      <c r="WD129" s="54"/>
      <c r="WE129" s="54"/>
      <c r="WF129" s="54"/>
      <c r="WG129" s="54"/>
      <c r="WH129" s="54"/>
      <c r="WI129" s="54"/>
      <c r="WJ129" s="54"/>
      <c r="WK129" s="54"/>
      <c r="WL129" s="54"/>
      <c r="WM129" s="54"/>
      <c r="WN129" s="54"/>
      <c r="WO129" s="54"/>
      <c r="WP129" s="54"/>
      <c r="WQ129" s="54"/>
      <c r="WR129" s="54"/>
      <c r="WS129" s="54"/>
      <c r="WT129" s="54"/>
      <c r="WU129" s="54"/>
      <c r="WV129" s="54"/>
      <c r="WW129" s="54"/>
      <c r="WX129" s="54"/>
      <c r="WY129" s="54"/>
      <c r="WZ129" s="54"/>
      <c r="XA129" s="54"/>
      <c r="XB129" s="54"/>
      <c r="XC129" s="54"/>
      <c r="XD129" s="54"/>
      <c r="XE129" s="54"/>
      <c r="XF129" s="54"/>
      <c r="XG129" s="54"/>
      <c r="XH129" s="54"/>
      <c r="XI129" s="54"/>
      <c r="XJ129" s="54"/>
      <c r="XK129" s="54"/>
      <c r="XL129" s="54"/>
      <c r="XM129" s="54"/>
      <c r="XN129" s="54"/>
      <c r="XO129" s="54"/>
      <c r="XP129" s="54"/>
      <c r="XQ129" s="54"/>
      <c r="XR129" s="54"/>
      <c r="XS129" s="54"/>
      <c r="XT129" s="54"/>
      <c r="XU129" s="54"/>
      <c r="XV129" s="54"/>
      <c r="XW129" s="54"/>
      <c r="XX129" s="54"/>
      <c r="XY129" s="54"/>
      <c r="XZ129" s="54"/>
      <c r="YA129" s="54"/>
      <c r="YB129" s="54"/>
      <c r="YC129" s="54"/>
      <c r="YD129" s="54"/>
      <c r="YE129" s="54"/>
      <c r="YF129" s="54"/>
      <c r="YG129" s="54"/>
      <c r="YH129" s="54"/>
      <c r="YI129" s="54"/>
      <c r="YJ129" s="54"/>
      <c r="YK129" s="54"/>
      <c r="YL129" s="54"/>
      <c r="YM129" s="54"/>
      <c r="YN129" s="54"/>
      <c r="YO129" s="54"/>
      <c r="YP129" s="54"/>
      <c r="YQ129" s="54"/>
      <c r="YR129" s="54"/>
      <c r="YS129" s="54"/>
      <c r="YT129" s="54"/>
      <c r="YU129" s="54"/>
      <c r="YV129" s="54"/>
      <c r="YW129" s="54"/>
      <c r="YX129" s="54"/>
      <c r="YY129" s="54"/>
      <c r="YZ129" s="54"/>
      <c r="ZA129" s="54"/>
      <c r="ZB129" s="54"/>
      <c r="ZC129" s="54"/>
      <c r="ZD129" s="54"/>
      <c r="ZE129" s="54"/>
      <c r="ZF129" s="54"/>
      <c r="ZG129" s="54"/>
      <c r="ZH129" s="54"/>
      <c r="ZI129" s="54"/>
      <c r="ZJ129" s="54"/>
      <c r="ZK129" s="54"/>
      <c r="ZL129" s="54"/>
      <c r="ZM129" s="54"/>
      <c r="ZN129" s="54"/>
      <c r="ZO129" s="54"/>
      <c r="ZP129" s="54"/>
      <c r="ZQ129" s="54"/>
      <c r="ZR129" s="54"/>
      <c r="ZS129" s="54"/>
      <c r="ZT129" s="54"/>
      <c r="ZU129" s="54"/>
      <c r="ZV129" s="54"/>
      <c r="ZW129" s="54"/>
      <c r="ZX129" s="54"/>
      <c r="ZY129" s="54"/>
      <c r="ZZ129" s="54"/>
      <c r="AAA129" s="54"/>
      <c r="AAB129" s="54"/>
      <c r="AAC129" s="54"/>
      <c r="AAD129" s="54"/>
      <c r="AAE129" s="54"/>
      <c r="AAF129" s="54"/>
      <c r="AAG129" s="54"/>
      <c r="AAH129" s="54"/>
      <c r="AAI129" s="54"/>
      <c r="AAJ129" s="54"/>
      <c r="AAK129" s="54"/>
      <c r="AAL129" s="54"/>
      <c r="AAM129" s="54"/>
      <c r="AAN129" s="54"/>
      <c r="AAO129" s="54"/>
      <c r="AAP129" s="54"/>
      <c r="AAQ129" s="54"/>
      <c r="AAR129" s="54"/>
      <c r="AAS129" s="54"/>
      <c r="AAT129" s="54"/>
      <c r="AAU129" s="54"/>
      <c r="AAV129" s="54"/>
      <c r="AAW129" s="54"/>
      <c r="AAX129" s="54"/>
      <c r="AAY129" s="54"/>
      <c r="AAZ129" s="54"/>
      <c r="ABA129" s="54"/>
      <c r="ABB129" s="54"/>
      <c r="ABC129" s="54"/>
      <c r="ABD129" s="54"/>
      <c r="ABE129" s="54"/>
      <c r="ABF129" s="54"/>
      <c r="ABG129" s="54"/>
      <c r="ABH129" s="54"/>
      <c r="ABI129" s="54"/>
      <c r="ABJ129" s="54"/>
      <c r="ABK129" s="54"/>
      <c r="ABL129" s="54"/>
      <c r="ABM129" s="54"/>
      <c r="ABN129" s="54"/>
      <c r="ABO129" s="54"/>
      <c r="ABP129" s="54"/>
      <c r="ABQ129" s="54"/>
      <c r="ABR129" s="54"/>
      <c r="ABS129" s="54"/>
      <c r="ABT129" s="54"/>
      <c r="ABU129" s="54"/>
      <c r="ABV129" s="54"/>
      <c r="ABW129" s="54"/>
      <c r="ABX129" s="54"/>
      <c r="ABY129" s="54"/>
      <c r="ABZ129" s="54"/>
      <c r="ACA129" s="54"/>
      <c r="ACB129" s="54"/>
      <c r="ACC129" s="54"/>
      <c r="ACD129" s="54"/>
      <c r="ACE129" s="54"/>
      <c r="ACF129" s="54"/>
      <c r="ACG129" s="54"/>
      <c r="ACH129" s="54"/>
      <c r="ACI129" s="54"/>
      <c r="ACJ129" s="54"/>
      <c r="ACK129" s="54"/>
      <c r="ACL129" s="54"/>
      <c r="ACM129" s="54"/>
      <c r="ACN129" s="54"/>
      <c r="ACO129" s="54"/>
      <c r="ACP129" s="54"/>
      <c r="ACQ129" s="54"/>
      <c r="ACR129" s="54"/>
      <c r="ACS129" s="54"/>
      <c r="ACT129" s="54"/>
      <c r="ACU129" s="54"/>
      <c r="ACV129" s="54"/>
      <c r="ACW129" s="54"/>
      <c r="ACX129" s="54"/>
      <c r="ACY129" s="54"/>
      <c r="ACZ129" s="54"/>
      <c r="ADA129" s="54"/>
      <c r="ADB129" s="54"/>
      <c r="ADC129" s="54"/>
      <c r="ADD129" s="54"/>
      <c r="ADE129" s="54"/>
      <c r="ADF129" s="54"/>
      <c r="ADG129" s="54"/>
      <c r="ADH129" s="54"/>
      <c r="ADI129" s="54"/>
      <c r="ADJ129" s="54"/>
      <c r="ADK129" s="54"/>
      <c r="ADL129" s="54"/>
      <c r="ADM129" s="54"/>
      <c r="ADN129" s="54"/>
      <c r="ADO129" s="54"/>
      <c r="ADP129" s="54"/>
      <c r="ADQ129" s="54"/>
      <c r="ADR129" s="54"/>
      <c r="ADS129" s="54"/>
      <c r="ADT129" s="54"/>
      <c r="ADU129" s="54"/>
      <c r="ADV129" s="54"/>
      <c r="ADW129" s="54"/>
      <c r="ADX129" s="54"/>
      <c r="ADY129" s="54"/>
      <c r="ADZ129" s="54"/>
      <c r="AEA129" s="54"/>
      <c r="AEB129" s="54"/>
      <c r="AEC129" s="54"/>
      <c r="AED129" s="54"/>
      <c r="AEE129" s="54"/>
      <c r="AEF129" s="54"/>
      <c r="AEG129" s="54"/>
      <c r="AEH129" s="54"/>
      <c r="AEI129" s="54"/>
      <c r="AEJ129" s="54"/>
      <c r="AEK129" s="54"/>
      <c r="AEL129" s="54"/>
      <c r="AEM129" s="54"/>
      <c r="AEN129" s="54"/>
      <c r="AEO129" s="54"/>
      <c r="AEP129" s="54"/>
      <c r="AEQ129" s="54"/>
      <c r="AER129" s="54"/>
      <c r="AES129" s="54"/>
      <c r="AET129" s="54"/>
      <c r="AEU129" s="54"/>
      <c r="AEV129" s="54"/>
      <c r="AEW129" s="54"/>
      <c r="AEX129" s="54"/>
      <c r="AEY129" s="54"/>
      <c r="AEZ129" s="54"/>
      <c r="AFA129" s="54"/>
      <c r="AFB129" s="54"/>
      <c r="AFC129" s="54"/>
      <c r="AFD129" s="54"/>
      <c r="AFE129" s="54"/>
      <c r="AFF129" s="54"/>
      <c r="AFG129" s="54"/>
      <c r="AFH129" s="54"/>
      <c r="AFI129" s="54"/>
      <c r="AFJ129" s="54"/>
      <c r="AFK129" s="54"/>
      <c r="AFL129" s="54"/>
      <c r="AFM129" s="54"/>
      <c r="AFN129" s="54"/>
      <c r="AFO129" s="54"/>
      <c r="AFP129" s="54"/>
      <c r="AFQ129" s="54"/>
      <c r="AFR129" s="54"/>
      <c r="AFS129" s="54"/>
      <c r="AFT129" s="54"/>
      <c r="AFU129" s="54"/>
      <c r="AFV129" s="54"/>
      <c r="AFW129" s="54"/>
      <c r="AFX129" s="54"/>
      <c r="AFY129" s="54"/>
      <c r="AFZ129" s="54"/>
      <c r="AGA129" s="54"/>
      <c r="AGB129" s="54"/>
      <c r="AGC129" s="54"/>
      <c r="AGD129" s="54"/>
      <c r="AGE129" s="54"/>
      <c r="AGF129" s="54"/>
      <c r="AGG129" s="54"/>
      <c r="AGH129" s="54"/>
      <c r="AGI129" s="54"/>
      <c r="AGJ129" s="54"/>
      <c r="AGK129" s="54"/>
      <c r="AGL129" s="54"/>
      <c r="AGM129" s="54"/>
      <c r="AGN129" s="54"/>
      <c r="AGO129" s="54"/>
      <c r="AGP129" s="54"/>
      <c r="AGQ129" s="54"/>
      <c r="AGR129" s="54"/>
      <c r="AGS129" s="54"/>
      <c r="AGT129" s="54"/>
      <c r="AGU129" s="54"/>
      <c r="AGV129" s="54"/>
      <c r="AGW129" s="54"/>
      <c r="AGX129" s="54"/>
      <c r="AGY129" s="54"/>
      <c r="AGZ129" s="54"/>
      <c r="AHA129" s="54"/>
      <c r="AHB129" s="54"/>
      <c r="AHC129" s="54"/>
      <c r="AHD129" s="54"/>
      <c r="AHE129" s="54"/>
      <c r="AHF129" s="54"/>
      <c r="AHG129" s="54"/>
      <c r="AHH129" s="54"/>
      <c r="AHI129" s="54"/>
      <c r="AHJ129" s="54"/>
      <c r="AHK129" s="54"/>
      <c r="AHL129" s="54"/>
      <c r="AHM129" s="54"/>
      <c r="AHN129" s="54"/>
      <c r="AHO129" s="54"/>
      <c r="AHP129" s="54"/>
      <c r="AHQ129" s="54"/>
      <c r="AHR129" s="54"/>
      <c r="AHS129" s="54"/>
      <c r="AHT129" s="54"/>
      <c r="AHU129" s="54"/>
      <c r="AHV129" s="54"/>
      <c r="AHW129" s="54"/>
      <c r="AHX129" s="54"/>
      <c r="AHY129" s="54"/>
      <c r="AHZ129" s="54"/>
      <c r="AIA129" s="54"/>
      <c r="AIB129" s="54"/>
      <c r="AIC129" s="54"/>
      <c r="AID129" s="54"/>
      <c r="AIE129" s="54"/>
      <c r="AIF129" s="54"/>
      <c r="AIG129" s="54"/>
      <c r="AIH129" s="54"/>
      <c r="AII129" s="54"/>
      <c r="AIJ129" s="54"/>
      <c r="AIK129" s="54"/>
      <c r="AIL129" s="54"/>
      <c r="AIM129" s="54"/>
      <c r="AIN129" s="54"/>
      <c r="AIO129" s="54"/>
      <c r="AIP129" s="54"/>
      <c r="AIQ129" s="54"/>
      <c r="AIR129" s="54"/>
      <c r="AIS129" s="54"/>
      <c r="AIT129" s="54"/>
      <c r="AIU129" s="54"/>
      <c r="AIV129" s="54"/>
      <c r="AIW129" s="54"/>
      <c r="AIX129" s="54"/>
      <c r="AIY129" s="54"/>
      <c r="AIZ129" s="54"/>
      <c r="AJA129" s="54"/>
      <c r="AJB129" s="54"/>
      <c r="AJC129" s="54"/>
      <c r="AJD129" s="54"/>
      <c r="AJE129" s="54"/>
      <c r="AJF129" s="54"/>
      <c r="AJG129" s="54"/>
      <c r="AJH129" s="54"/>
      <c r="AJI129" s="54"/>
      <c r="AJJ129" s="54"/>
      <c r="AJK129" s="54"/>
      <c r="AJL129" s="54"/>
      <c r="AJM129" s="54"/>
      <c r="AJN129" s="54"/>
      <c r="AJO129" s="54"/>
      <c r="AJP129" s="54"/>
      <c r="AJQ129" s="54"/>
      <c r="AJR129" s="54"/>
      <c r="AJS129" s="54"/>
      <c r="AJT129" s="54"/>
      <c r="AJU129" s="54"/>
      <c r="AJV129" s="54"/>
      <c r="AJW129" s="54"/>
      <c r="AJX129" s="54"/>
      <c r="AJY129" s="54"/>
      <c r="AJZ129" s="54"/>
      <c r="AKA129" s="54"/>
      <c r="AKB129" s="54"/>
      <c r="AKC129" s="54"/>
      <c r="AKD129" s="54"/>
      <c r="AKE129" s="54"/>
      <c r="AKF129" s="54"/>
      <c r="AKG129" s="54"/>
      <c r="AKH129" s="54"/>
      <c r="AKI129" s="54"/>
      <c r="AKJ129" s="54"/>
      <c r="AKK129" s="54"/>
      <c r="AKL129" s="54"/>
      <c r="AKM129" s="54"/>
      <c r="AKN129" s="54"/>
      <c r="AKO129" s="54"/>
      <c r="AKP129" s="54"/>
      <c r="AKQ129" s="54"/>
      <c r="AKR129" s="54"/>
      <c r="AKS129" s="54"/>
      <c r="AKT129" s="54"/>
      <c r="AKU129" s="54"/>
      <c r="AKV129" s="54"/>
      <c r="AKW129" s="54"/>
      <c r="AKX129" s="54"/>
      <c r="AKY129" s="54"/>
      <c r="AKZ129" s="54"/>
      <c r="ALA129" s="54"/>
      <c r="ALB129" s="54"/>
      <c r="ALC129" s="54"/>
      <c r="ALD129" s="54"/>
      <c r="ALE129" s="54"/>
      <c r="ALF129" s="54"/>
      <c r="ALG129" s="54"/>
      <c r="ALH129" s="54"/>
      <c r="ALI129" s="54"/>
      <c r="ALJ129" s="54"/>
      <c r="ALK129" s="54"/>
      <c r="ALL129" s="54"/>
      <c r="ALM129" s="54"/>
      <c r="ALN129" s="54"/>
      <c r="ALO129" s="54"/>
      <c r="ALP129" s="54"/>
      <c r="ALQ129" s="54"/>
      <c r="ALR129" s="54"/>
      <c r="ALS129" s="54"/>
      <c r="ALT129" s="54"/>
      <c r="ALU129" s="54"/>
      <c r="ALV129" s="54"/>
      <c r="ALW129" s="54"/>
      <c r="ALX129" s="54"/>
      <c r="ALY129" s="54"/>
      <c r="ALZ129" s="54"/>
      <c r="AMA129" s="54"/>
      <c r="AMB129" s="54"/>
      <c r="AMC129" s="54"/>
      <c r="AMD129" s="54"/>
      <c r="AME129" s="54"/>
      <c r="AMF129" s="54"/>
      <c r="AMG129" s="54"/>
      <c r="AMH129" s="54"/>
      <c r="AMI129" s="54"/>
      <c r="AMJ129" s="54"/>
      <c r="AMK129" s="54"/>
      <c r="AML129" s="54"/>
      <c r="AMM129" s="54"/>
      <c r="AMN129" s="54"/>
      <c r="AMO129" s="54"/>
      <c r="AMP129" s="54"/>
      <c r="AMQ129" s="54"/>
      <c r="AMR129" s="54"/>
      <c r="AMS129" s="54"/>
      <c r="AMT129" s="54"/>
      <c r="AMU129" s="54"/>
      <c r="AMV129" s="54"/>
      <c r="AMW129" s="54"/>
      <c r="AMX129" s="54"/>
      <c r="AMY129" s="54"/>
      <c r="AMZ129" s="54"/>
      <c r="ANA129" s="54"/>
      <c r="ANB129" s="54"/>
      <c r="ANC129" s="54"/>
      <c r="AND129" s="54"/>
      <c r="ANE129" s="54"/>
      <c r="ANF129" s="54"/>
      <c r="ANG129" s="54"/>
      <c r="ANH129" s="54"/>
      <c r="ANI129" s="54"/>
      <c r="ANJ129" s="54"/>
      <c r="ANK129" s="54"/>
      <c r="ANL129" s="54"/>
      <c r="ANM129" s="54"/>
      <c r="ANN129" s="54"/>
      <c r="ANO129" s="54"/>
      <c r="ANP129" s="54"/>
      <c r="ANQ129" s="54"/>
      <c r="ANR129" s="54"/>
      <c r="ANS129" s="54"/>
      <c r="ANT129" s="54"/>
      <c r="ANU129" s="54"/>
      <c r="ANV129" s="54"/>
      <c r="ANW129" s="54"/>
      <c r="ANX129" s="54"/>
      <c r="ANY129" s="54"/>
      <c r="ANZ129" s="54"/>
      <c r="AOA129" s="54"/>
      <c r="AOB129" s="54"/>
      <c r="AOC129" s="54"/>
      <c r="AOD129" s="54"/>
      <c r="AOE129" s="54"/>
      <c r="AOF129" s="54"/>
      <c r="AOG129" s="54"/>
      <c r="AOH129" s="54"/>
      <c r="AOI129" s="54"/>
      <c r="AOJ129" s="54"/>
      <c r="AOK129" s="54"/>
      <c r="AOL129" s="54"/>
      <c r="AOM129" s="54"/>
      <c r="AON129" s="54"/>
      <c r="AOO129" s="54"/>
      <c r="AOP129" s="54"/>
      <c r="AOQ129" s="54"/>
      <c r="AOR129" s="54"/>
      <c r="AOS129" s="54"/>
      <c r="AOT129" s="54"/>
      <c r="AOU129" s="54"/>
      <c r="AOV129" s="54"/>
      <c r="AOW129" s="54"/>
      <c r="AOX129" s="54"/>
      <c r="AOY129" s="54"/>
      <c r="AOZ129" s="54"/>
      <c r="APA129" s="54"/>
      <c r="APB129" s="54"/>
      <c r="APC129" s="54"/>
      <c r="APD129" s="54"/>
      <c r="APE129" s="54"/>
      <c r="APF129" s="54"/>
      <c r="APG129" s="54"/>
      <c r="APH129" s="54"/>
      <c r="API129" s="54"/>
      <c r="APJ129" s="54"/>
      <c r="APK129" s="54"/>
      <c r="APL129" s="54"/>
      <c r="APM129" s="54"/>
      <c r="APN129" s="54"/>
      <c r="APO129" s="54"/>
      <c r="APP129" s="54"/>
      <c r="APQ129" s="54"/>
      <c r="APR129" s="54"/>
      <c r="APS129" s="54"/>
      <c r="APT129" s="54"/>
      <c r="APU129" s="54"/>
      <c r="APV129" s="54"/>
      <c r="APW129" s="54"/>
      <c r="APX129" s="54"/>
      <c r="APY129" s="54"/>
      <c r="APZ129" s="54"/>
      <c r="AQA129" s="54"/>
      <c r="AQB129" s="54"/>
      <c r="AQC129" s="54"/>
      <c r="AQD129" s="54"/>
      <c r="AQE129" s="54"/>
      <c r="AQF129" s="54"/>
      <c r="AQG129" s="54"/>
      <c r="AQH129" s="54"/>
      <c r="AQI129" s="54"/>
      <c r="AQJ129" s="54"/>
      <c r="AQK129" s="54"/>
      <c r="AQL129" s="54"/>
      <c r="AQM129" s="54"/>
      <c r="AQN129" s="54"/>
      <c r="AQO129" s="54"/>
      <c r="AQP129" s="54"/>
      <c r="AQQ129" s="54"/>
      <c r="AQR129" s="54"/>
      <c r="AQS129" s="54"/>
      <c r="AQT129" s="54"/>
      <c r="AQU129" s="54"/>
      <c r="AQV129" s="54"/>
      <c r="AQW129" s="54"/>
      <c r="AQX129" s="54"/>
      <c r="AQY129" s="54"/>
      <c r="AQZ129" s="54"/>
      <c r="ARA129" s="54"/>
      <c r="ARB129" s="54"/>
      <c r="ARC129" s="54"/>
      <c r="ARD129" s="54"/>
      <c r="ARE129" s="54"/>
      <c r="ARF129" s="54"/>
      <c r="ARG129" s="54"/>
      <c r="ARH129" s="54"/>
      <c r="ARI129" s="54"/>
      <c r="ARJ129" s="54"/>
      <c r="ARK129" s="54"/>
      <c r="ARL129" s="54"/>
      <c r="ARM129" s="54"/>
      <c r="ARN129" s="54"/>
      <c r="ARO129" s="54"/>
      <c r="ARP129" s="54"/>
      <c r="ARQ129" s="54"/>
      <c r="ARR129" s="54"/>
      <c r="ARS129" s="54"/>
      <c r="ART129" s="54"/>
      <c r="ARU129" s="54"/>
      <c r="ARV129" s="54"/>
      <c r="ARW129" s="54"/>
      <c r="ARX129" s="54"/>
      <c r="ARY129" s="54"/>
      <c r="ARZ129" s="54"/>
      <c r="ASA129" s="54"/>
      <c r="ASB129" s="54"/>
      <c r="ASC129" s="54"/>
      <c r="ASD129" s="54"/>
      <c r="ASE129" s="54"/>
      <c r="ASF129" s="54"/>
      <c r="ASG129" s="54"/>
      <c r="ASH129" s="54"/>
      <c r="ASI129" s="54"/>
      <c r="ASJ129" s="54"/>
      <c r="ASK129" s="54"/>
      <c r="ASL129" s="54"/>
      <c r="ASM129" s="54"/>
      <c r="ASN129" s="54"/>
      <c r="ASO129" s="54"/>
      <c r="ASP129" s="54"/>
      <c r="ASQ129" s="54"/>
      <c r="ASR129" s="54"/>
      <c r="ASS129" s="54"/>
      <c r="AST129" s="54"/>
      <c r="ASU129" s="54"/>
      <c r="ASV129" s="54"/>
      <c r="ASW129" s="54"/>
      <c r="ASX129" s="54"/>
      <c r="ASY129" s="54"/>
      <c r="ASZ129" s="54"/>
      <c r="ATA129" s="54"/>
      <c r="ATB129" s="54"/>
      <c r="ATC129" s="54"/>
      <c r="ATD129" s="54"/>
      <c r="ATE129" s="54"/>
      <c r="ATF129" s="54"/>
      <c r="ATG129" s="54"/>
      <c r="ATH129" s="54"/>
      <c r="ATI129" s="54"/>
      <c r="ATJ129" s="54"/>
      <c r="ATK129" s="54"/>
      <c r="ATL129" s="54"/>
      <c r="ATM129" s="54"/>
      <c r="ATN129" s="54"/>
      <c r="ATO129" s="54"/>
      <c r="ATP129" s="54"/>
      <c r="ATQ129" s="54"/>
      <c r="ATR129" s="54"/>
      <c r="ATS129" s="54"/>
      <c r="ATT129" s="54"/>
      <c r="ATU129" s="54"/>
      <c r="ATV129" s="54"/>
      <c r="ATW129" s="54"/>
      <c r="ATX129" s="54"/>
      <c r="ATY129" s="54"/>
      <c r="ATZ129" s="54"/>
      <c r="AUA129" s="54"/>
      <c r="AUB129" s="54"/>
      <c r="AUC129" s="54"/>
      <c r="AUD129" s="54"/>
      <c r="AUE129" s="54"/>
      <c r="AUF129" s="54"/>
      <c r="AUG129" s="54"/>
      <c r="AUH129" s="54"/>
      <c r="AUI129" s="54"/>
      <c r="AUJ129" s="54"/>
      <c r="AUK129" s="54"/>
      <c r="AUL129" s="54"/>
      <c r="AUM129" s="54"/>
      <c r="AUN129" s="54"/>
      <c r="AUO129" s="54"/>
      <c r="AUP129" s="54"/>
      <c r="AUQ129" s="54"/>
      <c r="AUR129" s="54"/>
      <c r="AUS129" s="54"/>
      <c r="AUT129" s="54"/>
      <c r="AUU129" s="54"/>
      <c r="AUV129" s="54"/>
      <c r="AUW129" s="54"/>
      <c r="AUX129" s="54"/>
      <c r="AUY129" s="54"/>
      <c r="AUZ129" s="54"/>
      <c r="AVA129" s="54"/>
      <c r="AVB129" s="54"/>
      <c r="AVC129" s="54"/>
      <c r="AVD129" s="54"/>
      <c r="AVE129" s="54"/>
      <c r="AVF129" s="54"/>
      <c r="AVG129" s="54"/>
      <c r="AVH129" s="54"/>
      <c r="AVI129" s="54"/>
      <c r="AVJ129" s="54"/>
      <c r="AVK129" s="54"/>
      <c r="AVL129" s="54"/>
      <c r="AVM129" s="54"/>
      <c r="AVN129" s="54"/>
      <c r="AVO129" s="54"/>
      <c r="AVP129" s="54"/>
      <c r="AVQ129" s="54"/>
      <c r="AVR129" s="54"/>
      <c r="AVS129" s="54"/>
      <c r="AVT129" s="54"/>
      <c r="AVU129" s="54"/>
      <c r="AVV129" s="54"/>
      <c r="AVW129" s="54"/>
      <c r="AVX129" s="54"/>
      <c r="AVY129" s="54"/>
      <c r="AVZ129" s="54"/>
      <c r="AWA129" s="54"/>
      <c r="AWB129" s="54"/>
      <c r="AWC129" s="54"/>
      <c r="AWD129" s="54"/>
      <c r="AWE129" s="54"/>
      <c r="AWF129" s="54"/>
      <c r="AWG129" s="54"/>
      <c r="AWH129" s="54"/>
      <c r="AWI129" s="54"/>
      <c r="AWJ129" s="54"/>
      <c r="AWK129" s="54"/>
      <c r="AWL129" s="54"/>
      <c r="AWM129" s="54"/>
      <c r="AWN129" s="54"/>
      <c r="AWO129" s="54"/>
      <c r="AWP129" s="54"/>
      <c r="AWQ129" s="54"/>
      <c r="AWR129" s="54"/>
      <c r="AWS129" s="54"/>
      <c r="AWT129" s="54"/>
      <c r="AWU129" s="54"/>
      <c r="AWV129" s="54"/>
      <c r="AWW129" s="54"/>
      <c r="AWX129" s="54"/>
      <c r="AWY129" s="54"/>
      <c r="AWZ129" s="54"/>
      <c r="AXA129" s="54"/>
      <c r="AXB129" s="54"/>
      <c r="AXC129" s="54"/>
      <c r="AXD129" s="54"/>
      <c r="AXE129" s="54"/>
      <c r="AXF129" s="54"/>
      <c r="AXG129" s="54"/>
      <c r="AXH129" s="54"/>
      <c r="AXI129" s="54"/>
      <c r="AXJ129" s="54"/>
      <c r="AXK129" s="54"/>
      <c r="AXL129" s="54"/>
      <c r="AXM129" s="54"/>
      <c r="AXN129" s="54"/>
      <c r="AXO129" s="54"/>
      <c r="AXP129" s="54"/>
      <c r="AXQ129" s="54"/>
      <c r="AXR129" s="54"/>
      <c r="AXS129" s="54"/>
      <c r="AXT129" s="54"/>
      <c r="AXU129" s="54"/>
      <c r="AXV129" s="54"/>
      <c r="AXW129" s="54"/>
      <c r="AXX129" s="54"/>
      <c r="AXY129" s="54"/>
      <c r="AXZ129" s="54"/>
      <c r="AYA129" s="54"/>
      <c r="AYB129" s="54"/>
      <c r="AYC129" s="54"/>
      <c r="AYD129" s="54"/>
      <c r="AYE129" s="54"/>
      <c r="AYF129" s="54"/>
      <c r="AYG129" s="54"/>
      <c r="AYH129" s="54"/>
      <c r="AYI129" s="54"/>
      <c r="AYJ129" s="54"/>
      <c r="AYK129" s="54"/>
      <c r="AYL129" s="54"/>
      <c r="AYM129" s="54"/>
      <c r="AYN129" s="54"/>
      <c r="AYO129" s="54"/>
      <c r="AYP129" s="54"/>
      <c r="AYQ129" s="54"/>
      <c r="AYR129" s="54"/>
      <c r="AYS129" s="54"/>
      <c r="AYT129" s="54"/>
      <c r="AYU129" s="54"/>
      <c r="AYV129" s="54"/>
      <c r="AYW129" s="54"/>
      <c r="AYX129" s="54"/>
      <c r="AYY129" s="54"/>
      <c r="AYZ129" s="54"/>
      <c r="AZA129" s="54"/>
      <c r="AZB129" s="54"/>
      <c r="AZC129" s="54"/>
      <c r="AZD129" s="54"/>
      <c r="AZE129" s="54"/>
      <c r="AZF129" s="54"/>
      <c r="AZG129" s="54"/>
      <c r="AZH129" s="54"/>
      <c r="AZI129" s="54"/>
      <c r="AZJ129" s="54"/>
      <c r="AZK129" s="54"/>
      <c r="AZL129" s="54"/>
      <c r="AZM129" s="54"/>
      <c r="AZN129" s="54"/>
      <c r="AZO129" s="54"/>
      <c r="AZP129" s="54"/>
      <c r="AZQ129" s="54"/>
      <c r="AZR129" s="54"/>
      <c r="AZS129" s="54"/>
      <c r="AZT129" s="54"/>
      <c r="AZU129" s="54"/>
      <c r="AZV129" s="54"/>
      <c r="AZW129" s="54"/>
      <c r="AZX129" s="54"/>
      <c r="AZY129" s="54"/>
      <c r="AZZ129" s="54"/>
      <c r="BAA129" s="54"/>
      <c r="BAB129" s="54"/>
      <c r="BAC129" s="54"/>
      <c r="BAD129" s="54"/>
      <c r="BAE129" s="54"/>
      <c r="BAF129" s="54"/>
      <c r="BAG129" s="54"/>
      <c r="BAH129" s="54"/>
      <c r="BAI129" s="54"/>
      <c r="BAJ129" s="54"/>
      <c r="BAK129" s="54"/>
      <c r="BAL129" s="54"/>
      <c r="BAM129" s="54"/>
      <c r="BAN129" s="54"/>
      <c r="BAO129" s="54"/>
      <c r="BAP129" s="54"/>
      <c r="BAQ129" s="54"/>
      <c r="BAR129" s="54"/>
      <c r="BAS129" s="54"/>
      <c r="BAT129" s="54"/>
      <c r="BAU129" s="54"/>
      <c r="BAV129" s="54"/>
      <c r="BAW129" s="54"/>
      <c r="BAX129" s="54"/>
      <c r="BAY129" s="54"/>
      <c r="BAZ129" s="54"/>
      <c r="BBA129" s="54"/>
      <c r="BBB129" s="54"/>
      <c r="BBC129" s="54"/>
      <c r="BBD129" s="54"/>
      <c r="BBE129" s="54"/>
      <c r="BBF129" s="54"/>
      <c r="BBG129" s="54"/>
      <c r="BBH129" s="54"/>
      <c r="BBI129" s="54"/>
      <c r="BBJ129" s="54"/>
      <c r="BBK129" s="54"/>
      <c r="BBL129" s="54"/>
      <c r="BBM129" s="54"/>
      <c r="BBN129" s="54"/>
      <c r="BBO129" s="54"/>
      <c r="BBP129" s="54"/>
      <c r="BBQ129" s="54"/>
      <c r="BBR129" s="54"/>
      <c r="BBS129" s="54"/>
      <c r="BBT129" s="54"/>
      <c r="BBU129" s="54"/>
      <c r="BBV129" s="54"/>
      <c r="BBW129" s="54"/>
      <c r="BBX129" s="54"/>
      <c r="BBY129" s="54"/>
      <c r="BBZ129" s="54"/>
      <c r="BCA129" s="54"/>
      <c r="BCB129" s="54"/>
      <c r="BCC129" s="54"/>
      <c r="BCD129" s="54"/>
      <c r="BCE129" s="54"/>
      <c r="BCF129" s="54"/>
      <c r="BCG129" s="54"/>
      <c r="BCH129" s="54"/>
      <c r="BCI129" s="54"/>
      <c r="BCJ129" s="54"/>
      <c r="BCK129" s="54"/>
      <c r="BCL129" s="54"/>
      <c r="BCM129" s="54"/>
      <c r="BCN129" s="54"/>
      <c r="BCO129" s="54"/>
      <c r="BCP129" s="54"/>
      <c r="BCQ129" s="54"/>
      <c r="BCR129" s="54"/>
      <c r="BCS129" s="54"/>
      <c r="BCT129" s="54"/>
      <c r="BCU129" s="54"/>
      <c r="BCV129" s="54"/>
      <c r="BCW129" s="54"/>
      <c r="BCX129" s="54"/>
      <c r="BCY129" s="54"/>
      <c r="BCZ129" s="54"/>
      <c r="BDA129" s="54"/>
      <c r="BDB129" s="54"/>
      <c r="BDC129" s="54"/>
      <c r="BDD129" s="54"/>
      <c r="BDE129" s="54"/>
      <c r="BDF129" s="54"/>
      <c r="BDG129" s="54"/>
      <c r="BDH129" s="54"/>
      <c r="BDI129" s="54"/>
      <c r="BDJ129" s="54"/>
      <c r="BDK129" s="54"/>
      <c r="BDL129" s="54"/>
      <c r="BDM129" s="54"/>
      <c r="BDN129" s="54"/>
      <c r="BDO129" s="54"/>
      <c r="BDP129" s="54"/>
      <c r="BDQ129" s="54"/>
      <c r="BDR129" s="54"/>
      <c r="BDS129" s="54"/>
      <c r="BDT129" s="54"/>
      <c r="BDU129" s="54"/>
      <c r="BDV129" s="54"/>
      <c r="BDW129" s="54"/>
      <c r="BDX129" s="54"/>
      <c r="BDY129" s="54"/>
      <c r="BDZ129" s="54"/>
      <c r="BEA129" s="54"/>
      <c r="BEB129" s="54"/>
      <c r="BEC129" s="54"/>
      <c r="BED129" s="54"/>
      <c r="BEE129" s="54"/>
      <c r="BEF129" s="54"/>
      <c r="BEG129" s="54"/>
      <c r="BEH129" s="54"/>
      <c r="BEI129" s="54"/>
      <c r="BEJ129" s="54"/>
      <c r="BEK129" s="54"/>
      <c r="BEL129" s="54"/>
      <c r="BEM129" s="54"/>
      <c r="BEN129" s="54"/>
      <c r="BEO129" s="54"/>
      <c r="BEP129" s="54"/>
      <c r="BEQ129" s="54"/>
      <c r="BER129" s="54"/>
      <c r="BES129" s="54"/>
      <c r="BET129" s="54"/>
      <c r="BEU129" s="54"/>
      <c r="BEV129" s="54"/>
      <c r="BEW129" s="54"/>
      <c r="BEX129" s="54"/>
      <c r="BEY129" s="54"/>
      <c r="BEZ129" s="54"/>
      <c r="BFA129" s="54"/>
      <c r="BFB129" s="54"/>
      <c r="BFC129" s="54"/>
      <c r="BFD129" s="54"/>
      <c r="BFE129" s="54"/>
      <c r="BFF129" s="54"/>
      <c r="BFG129" s="54"/>
      <c r="BFH129" s="54"/>
      <c r="BFI129" s="54"/>
      <c r="BFJ129" s="54"/>
      <c r="BFK129" s="54"/>
      <c r="BFL129" s="54"/>
      <c r="BFM129" s="54"/>
      <c r="BFN129" s="54"/>
      <c r="BFO129" s="54"/>
      <c r="BFP129" s="54"/>
      <c r="BFQ129" s="54"/>
      <c r="BFR129" s="54"/>
      <c r="BFS129" s="54"/>
      <c r="BFT129" s="54"/>
      <c r="BFU129" s="54"/>
      <c r="BFV129" s="54"/>
      <c r="BFW129" s="54"/>
      <c r="BFX129" s="54"/>
      <c r="BFY129" s="54"/>
      <c r="BFZ129" s="54"/>
      <c r="BGA129" s="54"/>
      <c r="BGB129" s="54"/>
      <c r="BGC129" s="54"/>
      <c r="BGD129" s="54"/>
      <c r="BGE129" s="54"/>
      <c r="BGF129" s="54"/>
      <c r="BGG129" s="54"/>
      <c r="BGH129" s="54"/>
      <c r="BGI129" s="54"/>
      <c r="BGJ129" s="54"/>
      <c r="BGK129" s="54"/>
      <c r="BGL129" s="54"/>
      <c r="BGM129" s="54"/>
      <c r="BGN129" s="54"/>
      <c r="BGO129" s="54"/>
      <c r="BGP129" s="54"/>
      <c r="BGQ129" s="54"/>
      <c r="BGR129" s="54"/>
      <c r="BGS129" s="54"/>
      <c r="BGT129" s="54"/>
      <c r="BGU129" s="54"/>
      <c r="BGV129" s="54"/>
      <c r="BGW129" s="54"/>
      <c r="BGX129" s="54"/>
      <c r="BGY129" s="54"/>
      <c r="BGZ129" s="54"/>
      <c r="BHA129" s="54"/>
      <c r="BHB129" s="54"/>
      <c r="BHC129" s="54"/>
      <c r="BHD129" s="54"/>
      <c r="BHE129" s="54"/>
      <c r="BHF129" s="54"/>
      <c r="BHG129" s="54"/>
      <c r="BHH129" s="54"/>
      <c r="BHI129" s="54"/>
      <c r="BHJ129" s="54"/>
      <c r="BHK129" s="54"/>
      <c r="BHL129" s="54"/>
      <c r="BHM129" s="54"/>
      <c r="BHN129" s="54"/>
      <c r="BHO129" s="54"/>
      <c r="BHP129" s="54"/>
      <c r="BHQ129" s="54"/>
      <c r="BHR129" s="54"/>
      <c r="BHS129" s="54"/>
      <c r="BHT129" s="54"/>
      <c r="BHU129" s="54"/>
      <c r="BHV129" s="54"/>
      <c r="BHW129" s="54"/>
      <c r="BHX129" s="54"/>
      <c r="BHY129" s="54"/>
      <c r="BHZ129" s="54"/>
      <c r="BIA129" s="54"/>
      <c r="BIB129" s="54"/>
      <c r="BIC129" s="54"/>
      <c r="BID129" s="54"/>
      <c r="BIE129" s="54"/>
      <c r="BIF129" s="54"/>
      <c r="BIG129" s="54"/>
      <c r="BIH129" s="54"/>
      <c r="BII129" s="54"/>
      <c r="BIJ129" s="54"/>
      <c r="BIK129" s="54"/>
      <c r="BIL129" s="54"/>
      <c r="BIM129" s="54"/>
      <c r="BIN129" s="54"/>
      <c r="BIO129" s="54"/>
      <c r="BIP129" s="54"/>
      <c r="BIQ129" s="54"/>
      <c r="BIR129" s="54"/>
      <c r="BIS129" s="54"/>
      <c r="BIT129" s="54"/>
      <c r="BIU129" s="54"/>
      <c r="BIV129" s="54"/>
      <c r="BIW129" s="54"/>
      <c r="BIX129" s="54"/>
      <c r="BIY129" s="54"/>
      <c r="BIZ129" s="54"/>
      <c r="BJA129" s="54"/>
      <c r="BJB129" s="54"/>
      <c r="BJC129" s="54"/>
      <c r="BJD129" s="54"/>
      <c r="BJE129" s="54"/>
      <c r="BJF129" s="54"/>
      <c r="BJG129" s="54"/>
      <c r="BJH129" s="54"/>
      <c r="BJI129" s="54"/>
      <c r="BJJ129" s="54"/>
      <c r="BJK129" s="54"/>
      <c r="BJL129" s="54"/>
      <c r="BJM129" s="54"/>
      <c r="BJN129" s="54"/>
      <c r="BJO129" s="54"/>
      <c r="BJP129" s="54"/>
      <c r="BJQ129" s="54"/>
      <c r="BJR129" s="54"/>
      <c r="BJS129" s="54"/>
      <c r="BJT129" s="54"/>
      <c r="BJU129" s="54"/>
      <c r="BJV129" s="54"/>
      <c r="BJW129" s="54"/>
      <c r="BJX129" s="54"/>
      <c r="BJY129" s="54"/>
      <c r="BJZ129" s="54"/>
      <c r="BKA129" s="54"/>
      <c r="BKB129" s="54"/>
      <c r="BKC129" s="54"/>
      <c r="BKD129" s="54"/>
      <c r="BKE129" s="54"/>
      <c r="BKF129" s="54"/>
      <c r="BKG129" s="54"/>
      <c r="BKH129" s="54"/>
      <c r="BKI129" s="54"/>
      <c r="BKJ129" s="54"/>
      <c r="BKK129" s="54"/>
      <c r="BKL129" s="54"/>
      <c r="BKM129" s="54"/>
      <c r="BKN129" s="54"/>
      <c r="BKO129" s="54"/>
      <c r="BKP129" s="54"/>
      <c r="BKQ129" s="54"/>
      <c r="BKR129" s="54"/>
      <c r="BKS129" s="54"/>
      <c r="BKT129" s="54"/>
      <c r="BKU129" s="54"/>
      <c r="BKV129" s="54"/>
      <c r="BKW129" s="54"/>
      <c r="BKX129" s="54"/>
      <c r="BKY129" s="54"/>
      <c r="BKZ129" s="54"/>
      <c r="BLA129" s="54"/>
      <c r="BLB129" s="54"/>
      <c r="BLC129" s="54"/>
      <c r="BLD129" s="54"/>
      <c r="BLE129" s="54"/>
      <c r="BLF129" s="54"/>
      <c r="BLG129" s="54"/>
      <c r="BLH129" s="54"/>
      <c r="BLI129" s="54"/>
      <c r="BLJ129" s="54"/>
      <c r="BLK129" s="54"/>
      <c r="BLL129" s="54"/>
      <c r="BLM129" s="54"/>
      <c r="BLN129" s="54"/>
      <c r="BLO129" s="54"/>
      <c r="BLP129" s="54"/>
      <c r="BLQ129" s="54"/>
      <c r="BLR129" s="54"/>
      <c r="BLS129" s="54"/>
      <c r="BLT129" s="54"/>
      <c r="BLU129" s="54"/>
      <c r="BLV129" s="54"/>
      <c r="BLW129" s="54"/>
      <c r="BLX129" s="54"/>
      <c r="BLY129" s="54"/>
      <c r="BLZ129" s="54"/>
      <c r="BMA129" s="54"/>
      <c r="BMB129" s="54"/>
      <c r="BMC129" s="54"/>
      <c r="BMD129" s="54"/>
      <c r="BME129" s="54"/>
      <c r="BMF129" s="54"/>
      <c r="BMG129" s="54"/>
      <c r="BMH129" s="54"/>
      <c r="BMI129" s="54"/>
      <c r="BMJ129" s="54"/>
      <c r="BMK129" s="54"/>
      <c r="BML129" s="54"/>
      <c r="BMM129" s="54"/>
      <c r="BMN129" s="54"/>
      <c r="BMO129" s="54"/>
      <c r="BMP129" s="54"/>
      <c r="BMQ129" s="54"/>
      <c r="BMR129" s="54"/>
      <c r="BMS129" s="54"/>
      <c r="BMT129" s="54"/>
      <c r="BMU129" s="54"/>
      <c r="BMV129" s="54"/>
      <c r="BMW129" s="54"/>
      <c r="BMX129" s="54"/>
      <c r="BMY129" s="54"/>
      <c r="BMZ129" s="54"/>
      <c r="BNA129" s="54"/>
      <c r="BNB129" s="54"/>
      <c r="BNC129" s="54"/>
      <c r="BND129" s="54"/>
      <c r="BNE129" s="54"/>
      <c r="BNF129" s="54"/>
      <c r="BNG129" s="54"/>
      <c r="BNH129" s="54"/>
      <c r="BNI129" s="54"/>
      <c r="BNJ129" s="54"/>
      <c r="BNK129" s="54"/>
      <c r="BNL129" s="54"/>
      <c r="BNM129" s="54"/>
      <c r="BNN129" s="54"/>
      <c r="BNO129" s="54"/>
      <c r="BNP129" s="54"/>
      <c r="BNQ129" s="54"/>
      <c r="BNR129" s="54"/>
      <c r="BNS129" s="54"/>
      <c r="BNT129" s="54"/>
      <c r="BNU129" s="54"/>
      <c r="BNV129" s="54"/>
      <c r="BNW129" s="54"/>
      <c r="BNX129" s="54"/>
      <c r="BNY129" s="54"/>
      <c r="BNZ129" s="54"/>
      <c r="BOA129" s="54"/>
      <c r="BOB129" s="54"/>
      <c r="BOC129" s="54"/>
      <c r="BOD129" s="54"/>
      <c r="BOE129" s="54"/>
      <c r="BOF129" s="54"/>
      <c r="BOG129" s="54"/>
      <c r="BOH129" s="54"/>
      <c r="BOI129" s="54"/>
      <c r="BOJ129" s="54"/>
      <c r="BOK129" s="54"/>
      <c r="BOL129" s="54"/>
      <c r="BOM129" s="54"/>
      <c r="BON129" s="54"/>
      <c r="BOO129" s="54"/>
      <c r="BOP129" s="54"/>
      <c r="BOQ129" s="54"/>
      <c r="BOR129" s="54"/>
      <c r="BOS129" s="54"/>
      <c r="BOT129" s="54"/>
      <c r="BOU129" s="54"/>
      <c r="BOV129" s="54"/>
      <c r="BOW129" s="54"/>
      <c r="BOX129" s="54"/>
      <c r="BOY129" s="54"/>
      <c r="BOZ129" s="54"/>
      <c r="BPA129" s="54"/>
      <c r="BPB129" s="54"/>
      <c r="BPC129" s="54"/>
      <c r="BPD129" s="54"/>
      <c r="BPE129" s="54"/>
      <c r="BPF129" s="54"/>
      <c r="BPG129" s="54"/>
      <c r="BPH129" s="54"/>
      <c r="BPI129" s="54"/>
      <c r="BPJ129" s="54"/>
      <c r="BPK129" s="54"/>
      <c r="BPL129" s="54"/>
      <c r="BPM129" s="54"/>
      <c r="BPN129" s="54"/>
      <c r="BPO129" s="54"/>
      <c r="BPP129" s="54"/>
      <c r="BPQ129" s="54"/>
      <c r="BPR129" s="54"/>
      <c r="BPS129" s="54"/>
      <c r="BPT129" s="54"/>
      <c r="BPU129" s="54"/>
      <c r="BPV129" s="54"/>
      <c r="BPW129" s="54"/>
      <c r="BPX129" s="54"/>
      <c r="BPY129" s="54"/>
      <c r="BPZ129" s="54"/>
      <c r="BQA129" s="54"/>
      <c r="BQB129" s="54"/>
      <c r="BQC129" s="54"/>
      <c r="BQD129" s="54"/>
      <c r="BQE129" s="54"/>
      <c r="BQF129" s="54"/>
      <c r="BQG129" s="54"/>
      <c r="BQH129" s="54"/>
      <c r="BQI129" s="54"/>
      <c r="BQJ129" s="54"/>
      <c r="BQK129" s="54"/>
      <c r="BQL129" s="54"/>
      <c r="BQM129" s="54"/>
      <c r="BQN129" s="54"/>
      <c r="BQO129" s="54"/>
      <c r="BQP129" s="54"/>
      <c r="BQQ129" s="54"/>
      <c r="BQR129" s="54"/>
      <c r="BQS129" s="54"/>
      <c r="BQT129" s="54"/>
      <c r="BQU129" s="54"/>
      <c r="BQV129" s="54"/>
      <c r="BQW129" s="54"/>
      <c r="BQX129" s="54"/>
      <c r="BQY129" s="54"/>
      <c r="BQZ129" s="54"/>
      <c r="BRA129" s="54"/>
      <c r="BRB129" s="54"/>
      <c r="BRC129" s="54"/>
      <c r="BRD129" s="54"/>
      <c r="BRE129" s="54"/>
      <c r="BRF129" s="54"/>
      <c r="BRG129" s="54"/>
      <c r="BRH129" s="54"/>
      <c r="BRI129" s="54"/>
      <c r="BRJ129" s="54"/>
      <c r="BRK129" s="54"/>
      <c r="BRL129" s="54"/>
      <c r="BRM129" s="54"/>
      <c r="BRN129" s="54"/>
      <c r="BRO129" s="54"/>
      <c r="BRP129" s="54"/>
      <c r="BRQ129" s="54"/>
      <c r="BRR129" s="54"/>
      <c r="BRS129" s="54"/>
      <c r="BRT129" s="54"/>
      <c r="BRU129" s="54"/>
      <c r="BRV129" s="54"/>
      <c r="BRW129" s="54"/>
      <c r="BRX129" s="54"/>
      <c r="BRY129" s="54"/>
      <c r="BRZ129" s="54"/>
      <c r="BSA129" s="54"/>
      <c r="BSB129" s="54"/>
      <c r="BSC129" s="54"/>
      <c r="BSD129" s="54"/>
      <c r="BSE129" s="54"/>
      <c r="BSF129" s="54"/>
      <c r="BSG129" s="54"/>
      <c r="BSH129" s="54"/>
      <c r="BSI129" s="54"/>
      <c r="BSJ129" s="54"/>
      <c r="BSK129" s="54"/>
      <c r="BSL129" s="54"/>
      <c r="BSM129" s="54"/>
      <c r="BSN129" s="54"/>
      <c r="BSO129" s="54"/>
      <c r="BSP129" s="54"/>
      <c r="BSQ129" s="54"/>
      <c r="BSR129" s="54"/>
      <c r="BSS129" s="54"/>
      <c r="BST129" s="54"/>
      <c r="BSU129" s="54"/>
      <c r="BSV129" s="54"/>
      <c r="BSW129" s="54"/>
      <c r="BSX129" s="54"/>
      <c r="BSY129" s="54"/>
      <c r="BSZ129" s="54"/>
      <c r="BTA129" s="54"/>
      <c r="BTB129" s="54"/>
      <c r="BTC129" s="54"/>
      <c r="BTD129" s="54"/>
      <c r="BTE129" s="54"/>
      <c r="BTF129" s="54"/>
      <c r="BTG129" s="54"/>
      <c r="BTH129" s="54"/>
      <c r="BTI129" s="54"/>
      <c r="BTJ129" s="54"/>
      <c r="BTK129" s="54"/>
      <c r="BTL129" s="54"/>
      <c r="BTM129" s="54"/>
      <c r="BTN129" s="54"/>
      <c r="BTO129" s="54"/>
      <c r="BTP129" s="54"/>
      <c r="BTQ129" s="54"/>
      <c r="BTR129" s="54"/>
      <c r="BTS129" s="54"/>
      <c r="BTT129" s="54"/>
      <c r="BTU129" s="54"/>
      <c r="BTV129" s="54"/>
      <c r="BTW129" s="54"/>
      <c r="BTX129" s="54"/>
      <c r="BTY129" s="54"/>
      <c r="BTZ129" s="54"/>
      <c r="BUA129" s="54"/>
      <c r="BUB129" s="54"/>
      <c r="BUC129" s="54"/>
      <c r="BUD129" s="54"/>
      <c r="BUE129" s="54"/>
      <c r="BUF129" s="54"/>
      <c r="BUG129" s="54"/>
      <c r="BUH129" s="54"/>
      <c r="BUI129" s="54"/>
      <c r="BUJ129" s="54"/>
      <c r="BUK129" s="54"/>
      <c r="BUL129" s="54"/>
      <c r="BUM129" s="54"/>
      <c r="BUN129" s="54"/>
      <c r="BUO129" s="54"/>
      <c r="BUP129" s="54"/>
      <c r="BUQ129" s="54"/>
      <c r="BUR129" s="54"/>
      <c r="BUS129" s="54"/>
      <c r="BUT129" s="54"/>
      <c r="BUU129" s="54"/>
      <c r="BUV129" s="54"/>
      <c r="BUW129" s="54"/>
      <c r="BUX129" s="54"/>
      <c r="BUY129" s="54"/>
      <c r="BUZ129" s="54"/>
      <c r="BVA129" s="54"/>
      <c r="BVB129" s="54"/>
      <c r="BVC129" s="54"/>
      <c r="BVD129" s="54"/>
      <c r="BVE129" s="54"/>
      <c r="BVF129" s="54"/>
      <c r="BVG129" s="54"/>
      <c r="BVH129" s="54"/>
      <c r="BVI129" s="54"/>
      <c r="BVJ129" s="54"/>
      <c r="BVK129" s="54"/>
      <c r="BVL129" s="54"/>
      <c r="BVM129" s="54"/>
      <c r="BVN129" s="54"/>
      <c r="BVO129" s="54"/>
      <c r="BVP129" s="54"/>
      <c r="BVQ129" s="54"/>
      <c r="BVR129" s="54"/>
      <c r="BVS129" s="54"/>
      <c r="BVT129" s="54"/>
      <c r="BVU129" s="54"/>
      <c r="BVV129" s="54"/>
      <c r="BVW129" s="54"/>
      <c r="BVX129" s="54"/>
      <c r="BVY129" s="54"/>
      <c r="BVZ129" s="54"/>
      <c r="BWA129" s="54"/>
      <c r="BWB129" s="54"/>
      <c r="BWC129" s="54"/>
      <c r="BWD129" s="54"/>
      <c r="BWE129" s="54"/>
      <c r="BWF129" s="54"/>
      <c r="BWG129" s="54"/>
      <c r="BWH129" s="54"/>
      <c r="BWI129" s="54"/>
      <c r="BWJ129" s="54"/>
      <c r="BWK129" s="54"/>
      <c r="BWL129" s="54"/>
      <c r="BWM129" s="54"/>
      <c r="BWN129" s="54"/>
      <c r="BWO129" s="54"/>
      <c r="BWP129" s="54"/>
      <c r="BWQ129" s="54"/>
      <c r="BWR129" s="54"/>
      <c r="BWS129" s="54"/>
      <c r="BWT129" s="54"/>
      <c r="BWU129" s="54"/>
      <c r="BWV129" s="54"/>
      <c r="BWW129" s="54"/>
      <c r="BWX129" s="54"/>
      <c r="BWY129" s="54"/>
      <c r="BWZ129" s="54"/>
      <c r="BXA129" s="54"/>
      <c r="BXB129" s="54"/>
      <c r="BXC129" s="54"/>
      <c r="BXD129" s="54"/>
      <c r="BXE129" s="54"/>
      <c r="BXF129" s="54"/>
      <c r="BXG129" s="54"/>
      <c r="BXH129" s="54"/>
      <c r="BXI129" s="54"/>
      <c r="BXJ129" s="54"/>
      <c r="BXK129" s="54"/>
      <c r="BXL129" s="54"/>
      <c r="BXM129" s="54"/>
      <c r="BXN129" s="54"/>
      <c r="BXO129" s="54"/>
      <c r="BXP129" s="54"/>
      <c r="BXQ129" s="54"/>
      <c r="BXR129" s="54"/>
      <c r="BXS129" s="54"/>
      <c r="BXT129" s="54"/>
      <c r="BXU129" s="54"/>
      <c r="BXV129" s="54"/>
      <c r="BXW129" s="54"/>
      <c r="BXX129" s="54"/>
      <c r="BXY129" s="54"/>
      <c r="BXZ129" s="54"/>
      <c r="BYA129" s="54"/>
      <c r="BYB129" s="54"/>
      <c r="BYC129" s="54"/>
      <c r="BYD129" s="54"/>
      <c r="BYE129" s="54"/>
      <c r="BYF129" s="54"/>
      <c r="BYG129" s="54"/>
      <c r="BYH129" s="54"/>
      <c r="BYI129" s="54"/>
      <c r="BYJ129" s="54"/>
      <c r="BYK129" s="54"/>
      <c r="BYL129" s="54"/>
      <c r="BYM129" s="54"/>
      <c r="BYN129" s="54"/>
      <c r="BYO129" s="54"/>
      <c r="BYP129" s="54"/>
      <c r="BYQ129" s="54"/>
      <c r="BYR129" s="54"/>
      <c r="BYS129" s="54"/>
      <c r="BYT129" s="54"/>
      <c r="BYU129" s="54"/>
      <c r="BYV129" s="54"/>
      <c r="BYW129" s="54"/>
      <c r="BYX129" s="54"/>
      <c r="BYY129" s="54"/>
      <c r="BYZ129" s="54"/>
      <c r="BZA129" s="54"/>
      <c r="BZB129" s="54"/>
      <c r="BZC129" s="54"/>
      <c r="BZD129" s="54"/>
      <c r="BZE129" s="54"/>
      <c r="BZF129" s="54"/>
      <c r="BZG129" s="54"/>
      <c r="BZH129" s="54"/>
      <c r="BZI129" s="54"/>
      <c r="BZJ129" s="54"/>
      <c r="BZK129" s="54"/>
      <c r="BZL129" s="54"/>
      <c r="BZM129" s="54"/>
      <c r="BZN129" s="54"/>
      <c r="BZO129" s="54"/>
      <c r="BZP129" s="54"/>
      <c r="BZQ129" s="54"/>
      <c r="BZR129" s="54"/>
      <c r="BZS129" s="54"/>
      <c r="BZT129" s="54"/>
      <c r="BZU129" s="54"/>
      <c r="BZV129" s="54"/>
      <c r="BZW129" s="54"/>
      <c r="BZX129" s="54"/>
      <c r="BZY129" s="54"/>
      <c r="BZZ129" s="54"/>
      <c r="CAA129" s="54"/>
      <c r="CAB129" s="54"/>
      <c r="CAC129" s="54"/>
      <c r="CAD129" s="54"/>
      <c r="CAE129" s="54"/>
      <c r="CAF129" s="54"/>
      <c r="CAG129" s="54"/>
      <c r="CAH129" s="54"/>
      <c r="CAI129" s="54"/>
      <c r="CAJ129" s="54"/>
      <c r="CAK129" s="54"/>
      <c r="CAL129" s="54"/>
      <c r="CAM129" s="54"/>
      <c r="CAN129" s="54"/>
      <c r="CAO129" s="54"/>
      <c r="CAP129" s="54"/>
      <c r="CAQ129" s="54"/>
      <c r="CAR129" s="54"/>
      <c r="CAS129" s="54"/>
      <c r="CAT129" s="54"/>
      <c r="CAU129" s="54"/>
      <c r="CAV129" s="54"/>
      <c r="CAW129" s="54"/>
      <c r="CAX129" s="54"/>
      <c r="CAY129" s="54"/>
      <c r="CAZ129" s="54"/>
      <c r="CBA129" s="54"/>
      <c r="CBB129" s="54"/>
      <c r="CBC129" s="54"/>
      <c r="CBD129" s="54"/>
      <c r="CBE129" s="54"/>
      <c r="CBF129" s="54"/>
      <c r="CBG129" s="54"/>
      <c r="CBH129" s="54"/>
      <c r="CBI129" s="54"/>
      <c r="CBJ129" s="54"/>
      <c r="CBK129" s="54"/>
      <c r="CBL129" s="54"/>
      <c r="CBM129" s="54"/>
      <c r="CBN129" s="54"/>
      <c r="CBO129" s="54"/>
      <c r="CBP129" s="54"/>
      <c r="CBQ129" s="54"/>
      <c r="CBR129" s="54"/>
      <c r="CBS129" s="54"/>
      <c r="CBT129" s="54"/>
      <c r="CBU129" s="54"/>
      <c r="CBV129" s="54"/>
      <c r="CBW129" s="54"/>
      <c r="CBX129" s="54"/>
      <c r="CBY129" s="54"/>
      <c r="CBZ129" s="54"/>
      <c r="CCA129" s="54"/>
      <c r="CCB129" s="54"/>
      <c r="CCC129" s="54"/>
      <c r="CCD129" s="54"/>
      <c r="CCE129" s="54"/>
      <c r="CCF129" s="54"/>
      <c r="CCG129" s="54"/>
      <c r="CCH129" s="54"/>
      <c r="CCI129" s="54"/>
      <c r="CCJ129" s="54"/>
      <c r="CCK129" s="54"/>
      <c r="CCL129" s="54"/>
      <c r="CCM129" s="54"/>
      <c r="CCN129" s="54"/>
      <c r="CCO129" s="54"/>
      <c r="CCP129" s="54"/>
      <c r="CCQ129" s="54"/>
      <c r="CCR129" s="54"/>
      <c r="CCS129" s="54"/>
      <c r="CCT129" s="54"/>
      <c r="CCU129" s="54"/>
      <c r="CCV129" s="54"/>
      <c r="CCW129" s="54"/>
      <c r="CCX129" s="54"/>
      <c r="CCY129" s="54"/>
      <c r="CCZ129" s="54"/>
      <c r="CDA129" s="54"/>
      <c r="CDB129" s="54"/>
      <c r="CDC129" s="54"/>
      <c r="CDD129" s="54"/>
      <c r="CDE129" s="54"/>
      <c r="CDF129" s="54"/>
      <c r="CDG129" s="54"/>
      <c r="CDH129" s="54"/>
      <c r="CDI129" s="54"/>
      <c r="CDJ129" s="54"/>
      <c r="CDK129" s="54"/>
      <c r="CDL129" s="54"/>
      <c r="CDM129" s="54"/>
      <c r="CDN129" s="54"/>
      <c r="CDO129" s="54"/>
      <c r="CDP129" s="54"/>
      <c r="CDQ129" s="54"/>
      <c r="CDR129" s="54"/>
      <c r="CDS129" s="54"/>
      <c r="CDT129" s="54"/>
      <c r="CDU129" s="54"/>
      <c r="CDV129" s="54"/>
      <c r="CDW129" s="54"/>
      <c r="CDX129" s="54"/>
      <c r="CDY129" s="54"/>
      <c r="CDZ129" s="54"/>
      <c r="CEA129" s="54"/>
      <c r="CEB129" s="54"/>
      <c r="CEC129" s="54"/>
      <c r="CED129" s="54"/>
      <c r="CEE129" s="54"/>
      <c r="CEF129" s="54"/>
      <c r="CEG129" s="54"/>
      <c r="CEH129" s="54"/>
      <c r="CEI129" s="54"/>
      <c r="CEJ129" s="54"/>
      <c r="CEK129" s="54"/>
      <c r="CEL129" s="54"/>
      <c r="CEM129" s="54"/>
      <c r="CEN129" s="54"/>
      <c r="CEO129" s="54"/>
      <c r="CEP129" s="54"/>
      <c r="CEQ129" s="54"/>
      <c r="CER129" s="54"/>
      <c r="CES129" s="54"/>
      <c r="CET129" s="54"/>
      <c r="CEU129" s="54"/>
      <c r="CEV129" s="54"/>
      <c r="CEW129" s="54"/>
      <c r="CEX129" s="54"/>
      <c r="CEY129" s="54"/>
      <c r="CEZ129" s="54"/>
      <c r="CFA129" s="54"/>
      <c r="CFB129" s="54"/>
      <c r="CFC129" s="54"/>
      <c r="CFD129" s="54"/>
      <c r="CFE129" s="54"/>
      <c r="CFF129" s="54"/>
      <c r="CFG129" s="54"/>
      <c r="CFH129" s="54"/>
      <c r="CFI129" s="54"/>
      <c r="CFJ129" s="54"/>
      <c r="CFK129" s="54"/>
      <c r="CFL129" s="54"/>
      <c r="CFM129" s="54"/>
      <c r="CFN129" s="54"/>
      <c r="CFO129" s="54"/>
      <c r="CFP129" s="54"/>
      <c r="CFQ129" s="54"/>
      <c r="CFR129" s="54"/>
      <c r="CFS129" s="54"/>
      <c r="CFT129" s="54"/>
      <c r="CFU129" s="54"/>
      <c r="CFV129" s="54"/>
      <c r="CFW129" s="54"/>
      <c r="CFX129" s="54"/>
      <c r="CFY129" s="54"/>
      <c r="CFZ129" s="54"/>
      <c r="CGA129" s="54"/>
      <c r="CGB129" s="54"/>
      <c r="CGC129" s="54"/>
      <c r="CGD129" s="54"/>
      <c r="CGE129" s="54"/>
      <c r="CGF129" s="54"/>
      <c r="CGG129" s="54"/>
      <c r="CGH129" s="54"/>
      <c r="CGI129" s="54"/>
      <c r="CGJ129" s="54"/>
      <c r="CGK129" s="54"/>
      <c r="CGL129" s="54"/>
      <c r="CGM129" s="54"/>
      <c r="CGN129" s="54"/>
      <c r="CGO129" s="54"/>
      <c r="CGP129" s="54"/>
      <c r="CGQ129" s="54"/>
      <c r="CGR129" s="54"/>
      <c r="CGS129" s="54"/>
      <c r="CGT129" s="54"/>
      <c r="CGU129" s="54"/>
      <c r="CGV129" s="54"/>
      <c r="CGW129" s="54"/>
      <c r="CGX129" s="54"/>
      <c r="CGY129" s="54"/>
      <c r="CGZ129" s="54"/>
      <c r="CHA129" s="54"/>
      <c r="CHB129" s="54"/>
      <c r="CHC129" s="54"/>
      <c r="CHD129" s="54"/>
      <c r="CHE129" s="54"/>
      <c r="CHF129" s="54"/>
      <c r="CHG129" s="54"/>
      <c r="CHH129" s="54"/>
      <c r="CHI129" s="54"/>
      <c r="CHJ129" s="54"/>
      <c r="CHK129" s="54"/>
      <c r="CHL129" s="54"/>
      <c r="CHM129" s="54"/>
      <c r="CHN129" s="54"/>
      <c r="CHO129" s="54"/>
      <c r="CHP129" s="54"/>
      <c r="CHQ129" s="54"/>
      <c r="CHR129" s="54"/>
      <c r="CHS129" s="54"/>
      <c r="CHT129" s="54"/>
      <c r="CHU129" s="54"/>
      <c r="CHV129" s="54"/>
      <c r="CHW129" s="54"/>
      <c r="CHX129" s="54"/>
      <c r="CHY129" s="54"/>
      <c r="CHZ129" s="54"/>
      <c r="CIA129" s="54"/>
      <c r="CIB129" s="54"/>
      <c r="CIC129" s="54"/>
      <c r="CID129" s="54"/>
      <c r="CIE129" s="54"/>
      <c r="CIF129" s="54"/>
      <c r="CIG129" s="54"/>
      <c r="CIH129" s="54"/>
      <c r="CII129" s="54"/>
      <c r="CIJ129" s="54"/>
      <c r="CIK129" s="54"/>
      <c r="CIL129" s="54"/>
      <c r="CIM129" s="54"/>
      <c r="CIN129" s="54"/>
      <c r="CIO129" s="54"/>
      <c r="CIP129" s="54"/>
      <c r="CIQ129" s="54"/>
      <c r="CIR129" s="54"/>
      <c r="CIS129" s="54"/>
      <c r="CIT129" s="54"/>
      <c r="CIU129" s="54"/>
      <c r="CIV129" s="54"/>
      <c r="CIW129" s="54"/>
      <c r="CIX129" s="54"/>
      <c r="CIY129" s="54"/>
      <c r="CIZ129" s="54"/>
      <c r="CJA129" s="54"/>
      <c r="CJB129" s="54"/>
      <c r="CJC129" s="54"/>
      <c r="CJD129" s="54"/>
      <c r="CJE129" s="54"/>
      <c r="CJF129" s="54"/>
      <c r="CJG129" s="54"/>
      <c r="CJH129" s="54"/>
      <c r="CJI129" s="54"/>
      <c r="CJJ129" s="54"/>
      <c r="CJK129" s="54"/>
      <c r="CJL129" s="54"/>
      <c r="CJM129" s="54"/>
      <c r="CJN129" s="54"/>
      <c r="CJO129" s="54"/>
      <c r="CJP129" s="54"/>
      <c r="CJQ129" s="54"/>
      <c r="CJR129" s="54"/>
      <c r="CJS129" s="54"/>
      <c r="CJT129" s="54"/>
      <c r="CJU129" s="54"/>
      <c r="CJV129" s="54"/>
      <c r="CJW129" s="54"/>
      <c r="CJX129" s="54"/>
      <c r="CJY129" s="54"/>
      <c r="CJZ129" s="54"/>
      <c r="CKA129" s="54"/>
      <c r="CKB129" s="54"/>
      <c r="CKC129" s="54"/>
      <c r="CKD129" s="54"/>
      <c r="CKE129" s="54"/>
      <c r="CKF129" s="54"/>
      <c r="CKG129" s="54"/>
      <c r="CKH129" s="54"/>
      <c r="CKI129" s="54"/>
      <c r="CKJ129" s="54"/>
      <c r="CKK129" s="54"/>
      <c r="CKL129" s="54"/>
      <c r="CKM129" s="54"/>
      <c r="CKN129" s="54"/>
      <c r="CKO129" s="54"/>
      <c r="CKP129" s="54"/>
      <c r="CKQ129" s="54"/>
      <c r="CKR129" s="54"/>
      <c r="CKS129" s="54"/>
      <c r="CKT129" s="54"/>
      <c r="CKU129" s="54"/>
      <c r="CKV129" s="54"/>
      <c r="CKW129" s="54"/>
      <c r="CKX129" s="54"/>
      <c r="CKY129" s="54"/>
      <c r="CKZ129" s="54"/>
      <c r="CLA129" s="54"/>
      <c r="CLB129" s="54"/>
      <c r="CLC129" s="54"/>
      <c r="CLD129" s="54"/>
      <c r="CLE129" s="54"/>
      <c r="CLF129" s="54"/>
      <c r="CLG129" s="54"/>
      <c r="CLH129" s="54"/>
      <c r="CLI129" s="54"/>
      <c r="CLJ129" s="54"/>
      <c r="CLK129" s="54"/>
      <c r="CLL129" s="54"/>
      <c r="CLM129" s="54"/>
      <c r="CLN129" s="54"/>
      <c r="CLO129" s="54"/>
      <c r="CLP129" s="54"/>
      <c r="CLQ129" s="54"/>
      <c r="CLR129" s="54"/>
      <c r="CLS129" s="54"/>
      <c r="CLT129" s="54"/>
      <c r="CLU129" s="54"/>
      <c r="CLV129" s="54"/>
      <c r="CLW129" s="54"/>
      <c r="CLX129" s="54"/>
      <c r="CLY129" s="54"/>
      <c r="CLZ129" s="54"/>
      <c r="CMA129" s="54"/>
      <c r="CMB129" s="54"/>
      <c r="CMC129" s="54"/>
      <c r="CMD129" s="54"/>
      <c r="CME129" s="54"/>
      <c r="CMF129" s="54"/>
      <c r="CMG129" s="54"/>
      <c r="CMH129" s="54"/>
      <c r="CMI129" s="54"/>
      <c r="CMJ129" s="54"/>
      <c r="CMK129" s="54"/>
      <c r="CML129" s="54"/>
      <c r="CMM129" s="54"/>
      <c r="CMN129" s="54"/>
      <c r="CMO129" s="54"/>
      <c r="CMP129" s="54"/>
      <c r="CMQ129" s="54"/>
      <c r="CMR129" s="54"/>
      <c r="CMS129" s="54"/>
      <c r="CMT129" s="54"/>
      <c r="CMU129" s="54"/>
      <c r="CMV129" s="54"/>
      <c r="CMW129" s="54"/>
      <c r="CMX129" s="54"/>
      <c r="CMY129" s="54"/>
      <c r="CMZ129" s="54"/>
      <c r="CNA129" s="54"/>
      <c r="CNB129" s="54"/>
      <c r="CNC129" s="54"/>
      <c r="CND129" s="54"/>
      <c r="CNE129" s="54"/>
      <c r="CNF129" s="54"/>
      <c r="CNG129" s="54"/>
      <c r="CNH129" s="54"/>
      <c r="CNI129" s="54"/>
      <c r="CNJ129" s="54"/>
      <c r="CNK129" s="54"/>
      <c r="CNL129" s="54"/>
      <c r="CNM129" s="54"/>
      <c r="CNN129" s="54"/>
      <c r="CNO129" s="54"/>
      <c r="CNP129" s="54"/>
      <c r="CNQ129" s="54"/>
      <c r="CNR129" s="54"/>
      <c r="CNS129" s="54"/>
      <c r="CNT129" s="54"/>
      <c r="CNU129" s="54"/>
      <c r="CNV129" s="54"/>
      <c r="CNW129" s="54"/>
      <c r="CNX129" s="54"/>
      <c r="CNY129" s="54"/>
      <c r="CNZ129" s="54"/>
      <c r="COA129" s="54"/>
      <c r="COB129" s="54"/>
      <c r="COC129" s="54"/>
      <c r="COD129" s="54"/>
      <c r="COE129" s="54"/>
      <c r="COF129" s="54"/>
      <c r="COG129" s="54"/>
      <c r="COH129" s="54"/>
      <c r="COI129" s="54"/>
      <c r="COJ129" s="54"/>
      <c r="COK129" s="54"/>
      <c r="COL129" s="54"/>
      <c r="COM129" s="54"/>
      <c r="CON129" s="54"/>
      <c r="COO129" s="54"/>
      <c r="COP129" s="54"/>
      <c r="COQ129" s="54"/>
      <c r="COR129" s="54"/>
      <c r="COS129" s="54"/>
      <c r="COT129" s="54"/>
      <c r="COU129" s="54"/>
      <c r="COV129" s="54"/>
      <c r="COW129" s="54"/>
      <c r="COX129" s="54"/>
      <c r="COY129" s="54"/>
      <c r="COZ129" s="54"/>
      <c r="CPA129" s="54"/>
      <c r="CPB129" s="54"/>
      <c r="CPC129" s="54"/>
      <c r="CPD129" s="54"/>
      <c r="CPE129" s="54"/>
      <c r="CPF129" s="54"/>
      <c r="CPG129" s="54"/>
      <c r="CPH129" s="54"/>
      <c r="CPI129" s="54"/>
      <c r="CPJ129" s="54"/>
      <c r="CPK129" s="54"/>
      <c r="CPL129" s="54"/>
      <c r="CPM129" s="54"/>
      <c r="CPN129" s="54"/>
      <c r="CPO129" s="54"/>
      <c r="CPP129" s="54"/>
      <c r="CPQ129" s="54"/>
      <c r="CPR129" s="54"/>
      <c r="CPS129" s="54"/>
      <c r="CPT129" s="54"/>
      <c r="CPU129" s="54"/>
      <c r="CPV129" s="54"/>
      <c r="CPW129" s="54"/>
      <c r="CPX129" s="54"/>
      <c r="CPY129" s="54"/>
      <c r="CPZ129" s="54"/>
      <c r="CQA129" s="54"/>
      <c r="CQB129" s="54"/>
      <c r="CQC129" s="54"/>
      <c r="CQD129" s="54"/>
      <c r="CQE129" s="54"/>
      <c r="CQF129" s="54"/>
      <c r="CQG129" s="54"/>
      <c r="CQH129" s="54"/>
      <c r="CQI129" s="54"/>
      <c r="CQJ129" s="54"/>
      <c r="CQK129" s="54"/>
      <c r="CQL129" s="54"/>
      <c r="CQM129" s="54"/>
      <c r="CQN129" s="54"/>
      <c r="CQO129" s="54"/>
      <c r="CQP129" s="54"/>
      <c r="CQQ129" s="54"/>
      <c r="CQR129" s="54"/>
      <c r="CQS129" s="54"/>
      <c r="CQT129" s="54"/>
      <c r="CQU129" s="54"/>
      <c r="CQV129" s="54"/>
      <c r="CQW129" s="54"/>
      <c r="CQX129" s="54"/>
      <c r="CQY129" s="54"/>
      <c r="CQZ129" s="54"/>
      <c r="CRA129" s="54"/>
      <c r="CRB129" s="54"/>
      <c r="CRC129" s="54"/>
      <c r="CRD129" s="54"/>
      <c r="CRE129" s="54"/>
      <c r="CRF129" s="54"/>
      <c r="CRG129" s="54"/>
      <c r="CRH129" s="54"/>
      <c r="CRI129" s="54"/>
      <c r="CRJ129" s="54"/>
      <c r="CRK129" s="54"/>
      <c r="CRL129" s="54"/>
      <c r="CRM129" s="54"/>
      <c r="CRN129" s="54"/>
      <c r="CRO129" s="54"/>
      <c r="CRP129" s="54"/>
      <c r="CRQ129" s="54"/>
      <c r="CRR129" s="54"/>
      <c r="CRS129" s="54"/>
      <c r="CRT129" s="54"/>
      <c r="CRU129" s="54"/>
      <c r="CRV129" s="54"/>
      <c r="CRW129" s="54"/>
      <c r="CRX129" s="54"/>
      <c r="CRY129" s="54"/>
      <c r="CRZ129" s="54"/>
      <c r="CSA129" s="54"/>
      <c r="CSB129" s="54"/>
      <c r="CSC129" s="54"/>
      <c r="CSD129" s="54"/>
      <c r="CSE129" s="54"/>
      <c r="CSF129" s="54"/>
      <c r="CSG129" s="54"/>
      <c r="CSH129" s="54"/>
      <c r="CSI129" s="54"/>
      <c r="CSJ129" s="54"/>
      <c r="CSK129" s="54"/>
      <c r="CSL129" s="54"/>
      <c r="CSM129" s="54"/>
      <c r="CSN129" s="54"/>
      <c r="CSO129" s="54"/>
      <c r="CSP129" s="54"/>
      <c r="CSQ129" s="54"/>
      <c r="CSR129" s="54"/>
      <c r="CSS129" s="54"/>
      <c r="CST129" s="54"/>
      <c r="CSU129" s="54"/>
      <c r="CSV129" s="54"/>
      <c r="CSW129" s="54"/>
      <c r="CSX129" s="54"/>
      <c r="CSY129" s="54"/>
      <c r="CSZ129" s="54"/>
      <c r="CTA129" s="54"/>
      <c r="CTB129" s="54"/>
      <c r="CTC129" s="54"/>
      <c r="CTD129" s="54"/>
      <c r="CTE129" s="54"/>
      <c r="CTF129" s="54"/>
      <c r="CTG129" s="54"/>
      <c r="CTH129" s="54"/>
      <c r="CTI129" s="54"/>
      <c r="CTJ129" s="54"/>
      <c r="CTK129" s="54"/>
      <c r="CTL129" s="54"/>
      <c r="CTM129" s="54"/>
      <c r="CTN129" s="54"/>
      <c r="CTO129" s="54"/>
      <c r="CTP129" s="54"/>
      <c r="CTQ129" s="54"/>
      <c r="CTR129" s="54"/>
      <c r="CTS129" s="54"/>
      <c r="CTT129" s="54"/>
      <c r="CTU129" s="54"/>
      <c r="CTV129" s="54"/>
      <c r="CTW129" s="54"/>
      <c r="CTX129" s="54"/>
      <c r="CTY129" s="54"/>
      <c r="CTZ129" s="54"/>
      <c r="CUA129" s="54"/>
      <c r="CUB129" s="54"/>
      <c r="CUC129" s="54"/>
      <c r="CUD129" s="54"/>
      <c r="CUE129" s="54"/>
      <c r="CUF129" s="54"/>
      <c r="CUG129" s="54"/>
      <c r="CUH129" s="54"/>
      <c r="CUI129" s="54"/>
      <c r="CUJ129" s="54"/>
      <c r="CUK129" s="54"/>
      <c r="CUL129" s="54"/>
      <c r="CUM129" s="54"/>
      <c r="CUN129" s="54"/>
      <c r="CUO129" s="54"/>
      <c r="CUP129" s="54"/>
      <c r="CUQ129" s="54"/>
      <c r="CUR129" s="54"/>
      <c r="CUS129" s="54"/>
      <c r="CUT129" s="54"/>
      <c r="CUU129" s="54"/>
      <c r="CUV129" s="54"/>
      <c r="CUW129" s="54"/>
      <c r="CUX129" s="54"/>
      <c r="CUY129" s="54"/>
      <c r="CUZ129" s="54"/>
      <c r="CVA129" s="54"/>
      <c r="CVB129" s="54"/>
      <c r="CVC129" s="54"/>
      <c r="CVD129" s="54"/>
      <c r="CVE129" s="54"/>
      <c r="CVF129" s="54"/>
      <c r="CVG129" s="54"/>
      <c r="CVH129" s="54"/>
      <c r="CVI129" s="54"/>
      <c r="CVJ129" s="54"/>
      <c r="CVK129" s="54"/>
      <c r="CVL129" s="54"/>
      <c r="CVM129" s="54"/>
      <c r="CVN129" s="54"/>
      <c r="CVO129" s="54"/>
      <c r="CVP129" s="54"/>
      <c r="CVQ129" s="54"/>
      <c r="CVR129" s="54"/>
      <c r="CVS129" s="54"/>
      <c r="CVT129" s="54"/>
      <c r="CVU129" s="54"/>
      <c r="CVV129" s="54"/>
      <c r="CVW129" s="54"/>
      <c r="CVX129" s="54"/>
      <c r="CVY129" s="54"/>
      <c r="CVZ129" s="54"/>
      <c r="CWA129" s="54"/>
      <c r="CWB129" s="54"/>
      <c r="CWC129" s="54"/>
      <c r="CWD129" s="54"/>
      <c r="CWE129" s="54"/>
      <c r="CWF129" s="54"/>
      <c r="CWG129" s="54"/>
      <c r="CWH129" s="54"/>
      <c r="CWI129" s="54"/>
      <c r="CWJ129" s="54"/>
      <c r="CWK129" s="54"/>
      <c r="CWL129" s="54"/>
      <c r="CWM129" s="54"/>
      <c r="CWN129" s="54"/>
      <c r="CWO129" s="54"/>
      <c r="CWP129" s="54"/>
      <c r="CWQ129" s="54"/>
      <c r="CWR129" s="54"/>
      <c r="CWS129" s="54"/>
      <c r="CWT129" s="54"/>
      <c r="CWU129" s="54"/>
      <c r="CWV129" s="54"/>
      <c r="CWW129" s="54"/>
      <c r="CWX129" s="54"/>
      <c r="CWY129" s="54"/>
      <c r="CWZ129" s="54"/>
      <c r="CXA129" s="54"/>
      <c r="CXB129" s="54"/>
      <c r="CXC129" s="54"/>
      <c r="CXD129" s="54"/>
      <c r="CXE129" s="54"/>
      <c r="CXF129" s="54"/>
      <c r="CXG129" s="54"/>
      <c r="CXH129" s="54"/>
      <c r="CXI129" s="54"/>
      <c r="CXJ129" s="54"/>
      <c r="CXK129" s="54"/>
      <c r="CXL129" s="54"/>
      <c r="CXM129" s="54"/>
      <c r="CXN129" s="54"/>
      <c r="CXO129" s="54"/>
      <c r="CXP129" s="54"/>
      <c r="CXQ129" s="54"/>
      <c r="CXR129" s="54"/>
      <c r="CXS129" s="54"/>
      <c r="CXT129" s="54"/>
      <c r="CXU129" s="54"/>
      <c r="CXV129" s="54"/>
      <c r="CXW129" s="54"/>
      <c r="CXX129" s="54"/>
      <c r="CXY129" s="54"/>
      <c r="CXZ129" s="54"/>
      <c r="CYA129" s="54"/>
      <c r="CYB129" s="54"/>
      <c r="CYC129" s="54"/>
      <c r="CYD129" s="54"/>
      <c r="CYE129" s="54"/>
      <c r="CYF129" s="54"/>
      <c r="CYG129" s="54"/>
      <c r="CYH129" s="54"/>
      <c r="CYI129" s="54"/>
      <c r="CYJ129" s="54"/>
      <c r="CYK129" s="54"/>
      <c r="CYL129" s="54"/>
      <c r="CYM129" s="54"/>
      <c r="CYN129" s="54"/>
      <c r="CYO129" s="54"/>
      <c r="CYP129" s="54"/>
      <c r="CYQ129" s="54"/>
      <c r="CYR129" s="54"/>
      <c r="CYS129" s="54"/>
      <c r="CYT129" s="54"/>
      <c r="CYU129" s="54"/>
      <c r="CYV129" s="54"/>
      <c r="CYW129" s="54"/>
      <c r="CYX129" s="54"/>
      <c r="CYY129" s="54"/>
      <c r="CYZ129" s="54"/>
      <c r="CZA129" s="54"/>
      <c r="CZB129" s="54"/>
      <c r="CZC129" s="54"/>
      <c r="CZD129" s="54"/>
      <c r="CZE129" s="54"/>
      <c r="CZF129" s="54"/>
      <c r="CZG129" s="54"/>
      <c r="CZH129" s="54"/>
      <c r="CZI129" s="54"/>
      <c r="CZJ129" s="54"/>
      <c r="CZK129" s="54"/>
      <c r="CZL129" s="54"/>
      <c r="CZM129" s="54"/>
      <c r="CZN129" s="54"/>
      <c r="CZO129" s="54"/>
      <c r="CZP129" s="54"/>
      <c r="CZQ129" s="54"/>
      <c r="CZR129" s="54"/>
      <c r="CZS129" s="54"/>
      <c r="CZT129" s="54"/>
      <c r="CZU129" s="54"/>
      <c r="CZV129" s="54"/>
      <c r="CZW129" s="54"/>
      <c r="CZX129" s="54"/>
      <c r="CZY129" s="54"/>
      <c r="CZZ129" s="54"/>
      <c r="DAA129" s="54"/>
      <c r="DAB129" s="54"/>
      <c r="DAC129" s="54"/>
      <c r="DAD129" s="54"/>
      <c r="DAE129" s="54"/>
      <c r="DAF129" s="54"/>
      <c r="DAG129" s="54"/>
      <c r="DAH129" s="54"/>
      <c r="DAI129" s="54"/>
      <c r="DAJ129" s="54"/>
      <c r="DAK129" s="54"/>
      <c r="DAL129" s="54"/>
      <c r="DAM129" s="54"/>
      <c r="DAN129" s="54"/>
      <c r="DAO129" s="54"/>
      <c r="DAP129" s="54"/>
      <c r="DAQ129" s="54"/>
      <c r="DAR129" s="54"/>
      <c r="DAS129" s="54"/>
      <c r="DAT129" s="54"/>
      <c r="DAU129" s="54"/>
      <c r="DAV129" s="54"/>
      <c r="DAW129" s="54"/>
      <c r="DAX129" s="54"/>
      <c r="DAY129" s="54"/>
      <c r="DAZ129" s="54"/>
      <c r="DBA129" s="54"/>
      <c r="DBB129" s="54"/>
      <c r="DBC129" s="54"/>
      <c r="DBD129" s="54"/>
      <c r="DBE129" s="54"/>
      <c r="DBF129" s="54"/>
      <c r="DBG129" s="54"/>
      <c r="DBH129" s="54"/>
      <c r="DBI129" s="54"/>
      <c r="DBJ129" s="54"/>
      <c r="DBK129" s="54"/>
      <c r="DBL129" s="54"/>
      <c r="DBM129" s="54"/>
      <c r="DBN129" s="54"/>
      <c r="DBO129" s="54"/>
      <c r="DBP129" s="54"/>
      <c r="DBQ129" s="54"/>
      <c r="DBR129" s="54"/>
      <c r="DBS129" s="54"/>
      <c r="DBT129" s="54"/>
      <c r="DBU129" s="54"/>
      <c r="DBV129" s="54"/>
      <c r="DBW129" s="54"/>
      <c r="DBX129" s="54"/>
      <c r="DBY129" s="54"/>
      <c r="DBZ129" s="54"/>
      <c r="DCA129" s="54"/>
      <c r="DCB129" s="54"/>
      <c r="DCC129" s="54"/>
      <c r="DCD129" s="54"/>
      <c r="DCE129" s="54"/>
      <c r="DCF129" s="54"/>
      <c r="DCG129" s="54"/>
      <c r="DCH129" s="54"/>
      <c r="DCI129" s="54"/>
      <c r="DCJ129" s="54"/>
      <c r="DCK129" s="54"/>
      <c r="DCL129" s="54"/>
      <c r="DCM129" s="54"/>
      <c r="DCN129" s="54"/>
      <c r="DCO129" s="54"/>
      <c r="DCP129" s="54"/>
      <c r="DCQ129" s="54"/>
      <c r="DCR129" s="54"/>
      <c r="DCS129" s="54"/>
      <c r="DCT129" s="54"/>
      <c r="DCU129" s="54"/>
      <c r="DCV129" s="54"/>
      <c r="DCW129" s="54"/>
      <c r="DCX129" s="54"/>
      <c r="DCY129" s="54"/>
      <c r="DCZ129" s="54"/>
      <c r="DDA129" s="54"/>
      <c r="DDB129" s="54"/>
      <c r="DDC129" s="54"/>
      <c r="DDD129" s="54"/>
      <c r="DDE129" s="54"/>
      <c r="DDF129" s="54"/>
      <c r="DDG129" s="54"/>
      <c r="DDH129" s="54"/>
      <c r="DDI129" s="54"/>
      <c r="DDJ129" s="54"/>
      <c r="DDK129" s="54"/>
      <c r="DDL129" s="54"/>
      <c r="DDM129" s="54"/>
      <c r="DDN129" s="54"/>
      <c r="DDO129" s="54"/>
      <c r="DDP129" s="54"/>
      <c r="DDQ129" s="54"/>
      <c r="DDR129" s="54"/>
      <c r="DDS129" s="54"/>
      <c r="DDT129" s="54"/>
      <c r="DDU129" s="54"/>
      <c r="DDV129" s="54"/>
      <c r="DDW129" s="54"/>
      <c r="DDX129" s="54"/>
      <c r="DDY129" s="54"/>
      <c r="DDZ129" s="54"/>
      <c r="DEA129" s="54"/>
      <c r="DEB129" s="54"/>
      <c r="DEC129" s="54"/>
      <c r="DED129" s="54"/>
      <c r="DEE129" s="54"/>
      <c r="DEF129" s="54"/>
      <c r="DEG129" s="54"/>
      <c r="DEH129" s="54"/>
      <c r="DEI129" s="54"/>
      <c r="DEJ129" s="54"/>
      <c r="DEK129" s="54"/>
      <c r="DEL129" s="54"/>
      <c r="DEM129" s="54"/>
      <c r="DEN129" s="54"/>
      <c r="DEO129" s="54"/>
      <c r="DEP129" s="54"/>
      <c r="DEQ129" s="54"/>
      <c r="DER129" s="54"/>
      <c r="DES129" s="54"/>
      <c r="DET129" s="54"/>
      <c r="DEU129" s="54"/>
      <c r="DEV129" s="54"/>
      <c r="DEW129" s="54"/>
      <c r="DEX129" s="54"/>
      <c r="DEY129" s="54"/>
      <c r="DEZ129" s="54"/>
      <c r="DFA129" s="54"/>
      <c r="DFB129" s="54"/>
      <c r="DFC129" s="54"/>
      <c r="DFD129" s="54"/>
      <c r="DFE129" s="54"/>
      <c r="DFF129" s="54"/>
      <c r="DFG129" s="54"/>
      <c r="DFH129" s="54"/>
      <c r="DFI129" s="54"/>
      <c r="DFJ129" s="54"/>
      <c r="DFK129" s="54"/>
      <c r="DFL129" s="54"/>
      <c r="DFM129" s="54"/>
      <c r="DFN129" s="54"/>
      <c r="DFO129" s="54"/>
      <c r="DFP129" s="54"/>
      <c r="DFQ129" s="54"/>
      <c r="DFR129" s="54"/>
      <c r="DFS129" s="54"/>
      <c r="DFT129" s="54"/>
      <c r="DFU129" s="54"/>
      <c r="DFV129" s="54"/>
      <c r="DFW129" s="54"/>
      <c r="DFX129" s="54"/>
      <c r="DFY129" s="54"/>
      <c r="DFZ129" s="54"/>
      <c r="DGA129" s="54"/>
      <c r="DGB129" s="54"/>
      <c r="DGC129" s="54"/>
      <c r="DGD129" s="54"/>
      <c r="DGE129" s="54"/>
      <c r="DGF129" s="54"/>
      <c r="DGG129" s="54"/>
      <c r="DGH129" s="54"/>
      <c r="DGI129" s="54"/>
      <c r="DGJ129" s="54"/>
      <c r="DGK129" s="54"/>
      <c r="DGL129" s="54"/>
      <c r="DGM129" s="54"/>
      <c r="DGN129" s="54"/>
      <c r="DGO129" s="54"/>
      <c r="DGP129" s="54"/>
      <c r="DGQ129" s="54"/>
      <c r="DGR129" s="54"/>
      <c r="DGS129" s="54"/>
      <c r="DGT129" s="54"/>
      <c r="DGU129" s="54"/>
      <c r="DGV129" s="54"/>
      <c r="DGW129" s="54"/>
      <c r="DGX129" s="54"/>
      <c r="DGY129" s="54"/>
      <c r="DGZ129" s="54"/>
      <c r="DHA129" s="54"/>
      <c r="DHB129" s="54"/>
      <c r="DHC129" s="54"/>
      <c r="DHD129" s="54"/>
      <c r="DHE129" s="54"/>
      <c r="DHF129" s="54"/>
      <c r="DHG129" s="54"/>
      <c r="DHH129" s="54"/>
      <c r="DHI129" s="54"/>
      <c r="DHJ129" s="54"/>
      <c r="DHK129" s="54"/>
      <c r="DHL129" s="54"/>
      <c r="DHM129" s="54"/>
      <c r="DHN129" s="54"/>
      <c r="DHO129" s="54"/>
      <c r="DHP129" s="54"/>
      <c r="DHQ129" s="54"/>
      <c r="DHR129" s="54"/>
      <c r="DHS129" s="54"/>
      <c r="DHT129" s="54"/>
      <c r="DHU129" s="54"/>
      <c r="DHV129" s="54"/>
      <c r="DHW129" s="54"/>
      <c r="DHX129" s="54"/>
      <c r="DHY129" s="54"/>
      <c r="DHZ129" s="54"/>
      <c r="DIA129" s="54"/>
      <c r="DIB129" s="54"/>
      <c r="DIC129" s="54"/>
      <c r="DID129" s="54"/>
      <c r="DIE129" s="54"/>
      <c r="DIF129" s="54"/>
      <c r="DIG129" s="54"/>
      <c r="DIH129" s="54"/>
      <c r="DII129" s="54"/>
      <c r="DIJ129" s="54"/>
      <c r="DIK129" s="54"/>
      <c r="DIL129" s="54"/>
      <c r="DIM129" s="54"/>
      <c r="DIN129" s="54"/>
      <c r="DIO129" s="54"/>
      <c r="DIP129" s="54"/>
      <c r="DIQ129" s="54"/>
      <c r="DIR129" s="54"/>
      <c r="DIS129" s="54"/>
      <c r="DIT129" s="54"/>
      <c r="DIU129" s="54"/>
      <c r="DIV129" s="54"/>
      <c r="DIW129" s="54"/>
      <c r="DIX129" s="54"/>
      <c r="DIY129" s="54"/>
      <c r="DIZ129" s="54"/>
      <c r="DJA129" s="54"/>
      <c r="DJB129" s="54"/>
      <c r="DJC129" s="54"/>
      <c r="DJD129" s="54"/>
      <c r="DJE129" s="54"/>
      <c r="DJF129" s="54"/>
      <c r="DJG129" s="54"/>
      <c r="DJH129" s="54"/>
      <c r="DJI129" s="54"/>
      <c r="DJJ129" s="54"/>
      <c r="DJK129" s="54"/>
      <c r="DJL129" s="54"/>
      <c r="DJM129" s="54"/>
      <c r="DJN129" s="54"/>
      <c r="DJO129" s="54"/>
      <c r="DJP129" s="54"/>
      <c r="DJQ129" s="54"/>
      <c r="DJR129" s="54"/>
      <c r="DJS129" s="54"/>
      <c r="DJT129" s="54"/>
      <c r="DJU129" s="54"/>
      <c r="DJV129" s="54"/>
      <c r="DJW129" s="54"/>
      <c r="DJX129" s="54"/>
      <c r="DJY129" s="54"/>
      <c r="DJZ129" s="54"/>
      <c r="DKA129" s="54"/>
      <c r="DKB129" s="54"/>
      <c r="DKC129" s="54"/>
      <c r="DKD129" s="54"/>
      <c r="DKE129" s="54"/>
      <c r="DKF129" s="54"/>
      <c r="DKG129" s="54"/>
      <c r="DKH129" s="54"/>
      <c r="DKI129" s="54"/>
      <c r="DKJ129" s="54"/>
      <c r="DKK129" s="54"/>
      <c r="DKL129" s="54"/>
      <c r="DKM129" s="54"/>
      <c r="DKN129" s="54"/>
      <c r="DKO129" s="54"/>
      <c r="DKP129" s="54"/>
      <c r="DKQ129" s="54"/>
      <c r="DKR129" s="54"/>
      <c r="DKS129" s="54"/>
      <c r="DKT129" s="54"/>
      <c r="DKU129" s="54"/>
      <c r="DKV129" s="54"/>
      <c r="DKW129" s="54"/>
      <c r="DKX129" s="54"/>
      <c r="DKY129" s="54"/>
      <c r="DKZ129" s="54"/>
      <c r="DLA129" s="54"/>
      <c r="DLB129" s="54"/>
      <c r="DLC129" s="54"/>
      <c r="DLD129" s="54"/>
      <c r="DLE129" s="54"/>
      <c r="DLF129" s="54"/>
      <c r="DLG129" s="54"/>
      <c r="DLH129" s="54"/>
      <c r="DLI129" s="54"/>
      <c r="DLJ129" s="54"/>
      <c r="DLK129" s="54"/>
      <c r="DLL129" s="54"/>
      <c r="DLM129" s="54"/>
      <c r="DLN129" s="54"/>
      <c r="DLO129" s="54"/>
      <c r="DLP129" s="54"/>
      <c r="DLQ129" s="54"/>
      <c r="DLR129" s="54"/>
      <c r="DLS129" s="54"/>
      <c r="DLT129" s="54"/>
      <c r="DLU129" s="54"/>
      <c r="DLV129" s="54"/>
      <c r="DLW129" s="54"/>
      <c r="DLX129" s="54"/>
      <c r="DLY129" s="54"/>
      <c r="DLZ129" s="54"/>
      <c r="DMA129" s="54"/>
      <c r="DMB129" s="54"/>
      <c r="DMC129" s="54"/>
      <c r="DMD129" s="54"/>
      <c r="DME129" s="54"/>
      <c r="DMF129" s="54"/>
      <c r="DMG129" s="54"/>
      <c r="DMH129" s="54"/>
      <c r="DMI129" s="54"/>
      <c r="DMJ129" s="54"/>
      <c r="DMK129" s="54"/>
      <c r="DML129" s="54"/>
      <c r="DMM129" s="54"/>
      <c r="DMN129" s="54"/>
      <c r="DMO129" s="54"/>
      <c r="DMP129" s="54"/>
      <c r="DMQ129" s="54"/>
      <c r="DMR129" s="54"/>
      <c r="DMS129" s="54"/>
      <c r="DMT129" s="54"/>
      <c r="DMU129" s="54"/>
      <c r="DMV129" s="54"/>
      <c r="DMW129" s="54"/>
      <c r="DMX129" s="54"/>
      <c r="DMY129" s="54"/>
      <c r="DMZ129" s="54"/>
      <c r="DNA129" s="54"/>
      <c r="DNB129" s="54"/>
      <c r="DNC129" s="54"/>
      <c r="DND129" s="54"/>
      <c r="DNE129" s="54"/>
      <c r="DNF129" s="54"/>
      <c r="DNG129" s="54"/>
      <c r="DNH129" s="54"/>
      <c r="DNI129" s="54"/>
      <c r="DNJ129" s="54"/>
      <c r="DNK129" s="54"/>
      <c r="DNL129" s="54"/>
      <c r="DNM129" s="54"/>
      <c r="DNN129" s="54"/>
      <c r="DNO129" s="54"/>
      <c r="DNP129" s="54"/>
      <c r="DNQ129" s="54"/>
      <c r="DNR129" s="54"/>
      <c r="DNS129" s="54"/>
      <c r="DNT129" s="54"/>
      <c r="DNU129" s="54"/>
      <c r="DNV129" s="54"/>
      <c r="DNW129" s="54"/>
      <c r="DNX129" s="54"/>
      <c r="DNY129" s="54"/>
      <c r="DNZ129" s="54"/>
      <c r="DOA129" s="54"/>
      <c r="DOB129" s="54"/>
      <c r="DOC129" s="54"/>
      <c r="DOD129" s="54"/>
      <c r="DOE129" s="54"/>
      <c r="DOF129" s="54"/>
      <c r="DOG129" s="54"/>
      <c r="DOH129" s="54"/>
      <c r="DOI129" s="54"/>
      <c r="DOJ129" s="54"/>
      <c r="DOK129" s="54"/>
      <c r="DOL129" s="54"/>
      <c r="DOM129" s="54"/>
      <c r="DON129" s="54"/>
      <c r="DOO129" s="54"/>
      <c r="DOP129" s="54"/>
      <c r="DOQ129" s="54"/>
      <c r="DOR129" s="54"/>
      <c r="DOS129" s="54"/>
      <c r="DOT129" s="54"/>
      <c r="DOU129" s="54"/>
      <c r="DOV129" s="54"/>
      <c r="DOW129" s="54"/>
      <c r="DOX129" s="54"/>
      <c r="DOY129" s="54"/>
      <c r="DOZ129" s="54"/>
      <c r="DPA129" s="54"/>
      <c r="DPB129" s="54"/>
      <c r="DPC129" s="54"/>
      <c r="DPD129" s="54"/>
      <c r="DPE129" s="54"/>
      <c r="DPF129" s="54"/>
      <c r="DPG129" s="54"/>
      <c r="DPH129" s="54"/>
      <c r="DPI129" s="54"/>
      <c r="DPJ129" s="54"/>
      <c r="DPK129" s="54"/>
      <c r="DPL129" s="54"/>
      <c r="DPM129" s="54"/>
      <c r="DPN129" s="54"/>
      <c r="DPO129" s="54"/>
      <c r="DPP129" s="54"/>
      <c r="DPQ129" s="54"/>
      <c r="DPR129" s="54"/>
      <c r="DPS129" s="54"/>
      <c r="DPT129" s="54"/>
      <c r="DPU129" s="54"/>
      <c r="DPV129" s="54"/>
      <c r="DPW129" s="54"/>
      <c r="DPX129" s="54"/>
      <c r="DPY129" s="54"/>
      <c r="DPZ129" s="54"/>
      <c r="DQA129" s="54"/>
      <c r="DQB129" s="54"/>
      <c r="DQC129" s="54"/>
      <c r="DQD129" s="54"/>
      <c r="DQE129" s="54"/>
      <c r="DQF129" s="54"/>
      <c r="DQG129" s="54"/>
      <c r="DQH129" s="54"/>
      <c r="DQI129" s="54"/>
      <c r="DQJ129" s="54"/>
      <c r="DQK129" s="54"/>
      <c r="DQL129" s="54"/>
      <c r="DQM129" s="54"/>
      <c r="DQN129" s="54"/>
      <c r="DQO129" s="54"/>
      <c r="DQP129" s="54"/>
      <c r="DQQ129" s="54"/>
      <c r="DQR129" s="54"/>
      <c r="DQS129" s="54"/>
      <c r="DQT129" s="54"/>
      <c r="DQU129" s="54"/>
      <c r="DQV129" s="54"/>
      <c r="DQW129" s="54"/>
      <c r="DQX129" s="54"/>
      <c r="DQY129" s="54"/>
      <c r="DQZ129" s="54"/>
      <c r="DRA129" s="54"/>
      <c r="DRB129" s="54"/>
      <c r="DRC129" s="54"/>
      <c r="DRD129" s="54"/>
      <c r="DRE129" s="54"/>
      <c r="DRF129" s="54"/>
      <c r="DRG129" s="54"/>
      <c r="DRH129" s="54"/>
      <c r="DRI129" s="54"/>
      <c r="DRJ129" s="54"/>
      <c r="DRK129" s="54"/>
      <c r="DRL129" s="54"/>
      <c r="DRM129" s="54"/>
      <c r="DRN129" s="54"/>
      <c r="DRO129" s="54"/>
      <c r="DRP129" s="54"/>
      <c r="DRQ129" s="54"/>
      <c r="DRR129" s="54"/>
      <c r="DRS129" s="54"/>
      <c r="DRT129" s="54"/>
      <c r="DRU129" s="54"/>
      <c r="DRV129" s="54"/>
      <c r="DRW129" s="54"/>
      <c r="DRX129" s="54"/>
      <c r="DRY129" s="54"/>
      <c r="DRZ129" s="54"/>
      <c r="DSA129" s="54"/>
      <c r="DSB129" s="54"/>
      <c r="DSC129" s="54"/>
      <c r="DSD129" s="54"/>
      <c r="DSE129" s="54"/>
      <c r="DSF129" s="54"/>
      <c r="DSG129" s="54"/>
      <c r="DSH129" s="54"/>
      <c r="DSI129" s="54"/>
      <c r="DSJ129" s="54"/>
      <c r="DSK129" s="54"/>
      <c r="DSL129" s="54"/>
      <c r="DSM129" s="54"/>
      <c r="DSN129" s="54"/>
      <c r="DSO129" s="54"/>
      <c r="DSP129" s="54"/>
      <c r="DSQ129" s="54"/>
      <c r="DSR129" s="54"/>
      <c r="DSS129" s="54"/>
      <c r="DST129" s="54"/>
      <c r="DSU129" s="54"/>
      <c r="DSV129" s="54"/>
      <c r="DSW129" s="54"/>
      <c r="DSX129" s="54"/>
      <c r="DSY129" s="54"/>
      <c r="DSZ129" s="54"/>
      <c r="DTA129" s="54"/>
      <c r="DTB129" s="54"/>
      <c r="DTC129" s="54"/>
      <c r="DTD129" s="54"/>
      <c r="DTE129" s="54"/>
      <c r="DTF129" s="54"/>
      <c r="DTG129" s="54"/>
      <c r="DTH129" s="54"/>
      <c r="DTI129" s="54"/>
      <c r="DTJ129" s="54"/>
      <c r="DTK129" s="54"/>
      <c r="DTL129" s="54"/>
      <c r="DTM129" s="54"/>
      <c r="DTN129" s="54"/>
      <c r="DTO129" s="54"/>
      <c r="DTP129" s="54"/>
      <c r="DTQ129" s="54"/>
      <c r="DTR129" s="54"/>
      <c r="DTS129" s="54"/>
      <c r="DTT129" s="54"/>
      <c r="DTU129" s="54"/>
      <c r="DTV129" s="54"/>
      <c r="DTW129" s="54"/>
      <c r="DTX129" s="54"/>
      <c r="DTY129" s="54"/>
      <c r="DTZ129" s="54"/>
      <c r="DUA129" s="54"/>
      <c r="DUB129" s="54"/>
      <c r="DUC129" s="54"/>
      <c r="DUD129" s="54"/>
      <c r="DUE129" s="54"/>
      <c r="DUF129" s="54"/>
      <c r="DUG129" s="54"/>
      <c r="DUH129" s="54"/>
      <c r="DUI129" s="54"/>
      <c r="DUJ129" s="54"/>
      <c r="DUK129" s="54"/>
      <c r="DUL129" s="54"/>
      <c r="DUM129" s="54"/>
      <c r="DUN129" s="54"/>
      <c r="DUO129" s="54"/>
      <c r="DUP129" s="54"/>
      <c r="DUQ129" s="54"/>
      <c r="DUR129" s="54"/>
      <c r="DUS129" s="54"/>
      <c r="DUT129" s="54"/>
      <c r="DUU129" s="54"/>
      <c r="DUV129" s="54"/>
      <c r="DUW129" s="54"/>
      <c r="DUX129" s="54"/>
      <c r="DUY129" s="54"/>
      <c r="DUZ129" s="54"/>
      <c r="DVA129" s="54"/>
      <c r="DVB129" s="54"/>
      <c r="DVC129" s="54"/>
      <c r="DVD129" s="54"/>
      <c r="DVE129" s="54"/>
      <c r="DVF129" s="54"/>
      <c r="DVG129" s="54"/>
      <c r="DVH129" s="54"/>
      <c r="DVI129" s="54"/>
      <c r="DVJ129" s="54"/>
      <c r="DVK129" s="54"/>
      <c r="DVL129" s="54"/>
      <c r="DVM129" s="54"/>
      <c r="DVN129" s="54"/>
      <c r="DVO129" s="54"/>
      <c r="DVP129" s="54"/>
      <c r="DVQ129" s="54"/>
      <c r="DVR129" s="54"/>
      <c r="DVS129" s="54"/>
      <c r="DVT129" s="54"/>
      <c r="DVU129" s="54"/>
      <c r="DVV129" s="54"/>
      <c r="DVW129" s="54"/>
      <c r="DVX129" s="54"/>
      <c r="DVY129" s="54"/>
      <c r="DVZ129" s="54"/>
      <c r="DWA129" s="54"/>
      <c r="DWB129" s="54"/>
      <c r="DWC129" s="54"/>
      <c r="DWD129" s="54"/>
      <c r="DWE129" s="54"/>
      <c r="DWF129" s="54"/>
      <c r="DWG129" s="54"/>
      <c r="DWH129" s="54"/>
      <c r="DWI129" s="54"/>
      <c r="DWJ129" s="54"/>
      <c r="DWK129" s="54"/>
      <c r="DWL129" s="54"/>
      <c r="DWM129" s="54"/>
      <c r="DWN129" s="54"/>
      <c r="DWO129" s="54"/>
      <c r="DWP129" s="54"/>
      <c r="DWQ129" s="54"/>
      <c r="DWR129" s="54"/>
      <c r="DWS129" s="54"/>
      <c r="DWT129" s="54"/>
      <c r="DWU129" s="54"/>
      <c r="DWV129" s="54"/>
      <c r="DWW129" s="54"/>
      <c r="DWX129" s="54"/>
      <c r="DWY129" s="54"/>
      <c r="DWZ129" s="54"/>
      <c r="DXA129" s="54"/>
      <c r="DXB129" s="54"/>
      <c r="DXC129" s="54"/>
      <c r="DXD129" s="54"/>
      <c r="DXE129" s="54"/>
      <c r="DXF129" s="54"/>
      <c r="DXG129" s="54"/>
      <c r="DXH129" s="54"/>
      <c r="DXI129" s="54"/>
      <c r="DXJ129" s="54"/>
      <c r="DXK129" s="54"/>
      <c r="DXL129" s="54"/>
      <c r="DXM129" s="54"/>
      <c r="DXN129" s="54"/>
      <c r="DXO129" s="54"/>
      <c r="DXP129" s="54"/>
      <c r="DXQ129" s="54"/>
      <c r="DXR129" s="54"/>
      <c r="DXS129" s="54"/>
      <c r="DXT129" s="54"/>
      <c r="DXU129" s="54"/>
      <c r="DXV129" s="54"/>
      <c r="DXW129" s="54"/>
      <c r="DXX129" s="54"/>
      <c r="DXY129" s="54"/>
      <c r="DXZ129" s="54"/>
      <c r="DYA129" s="54"/>
      <c r="DYB129" s="54"/>
      <c r="DYC129" s="54"/>
      <c r="DYD129" s="54"/>
      <c r="DYE129" s="54"/>
      <c r="DYF129" s="54"/>
      <c r="DYG129" s="54"/>
      <c r="DYH129" s="54"/>
      <c r="DYI129" s="54"/>
      <c r="DYJ129" s="54"/>
      <c r="DYK129" s="54"/>
      <c r="DYL129" s="54"/>
      <c r="DYM129" s="54"/>
      <c r="DYN129" s="54"/>
      <c r="DYO129" s="54"/>
      <c r="DYP129" s="54"/>
      <c r="DYQ129" s="54"/>
      <c r="DYR129" s="54"/>
      <c r="DYS129" s="54"/>
      <c r="DYT129" s="54"/>
      <c r="DYU129" s="54"/>
      <c r="DYV129" s="54"/>
      <c r="DYW129" s="54"/>
      <c r="DYX129" s="54"/>
      <c r="DYY129" s="54"/>
      <c r="DYZ129" s="54"/>
      <c r="DZA129" s="54"/>
      <c r="DZB129" s="54"/>
      <c r="DZC129" s="54"/>
      <c r="DZD129" s="54"/>
      <c r="DZE129" s="54"/>
      <c r="DZF129" s="54"/>
      <c r="DZG129" s="54"/>
      <c r="DZH129" s="54"/>
      <c r="DZI129" s="54"/>
      <c r="DZJ129" s="54"/>
      <c r="DZK129" s="54"/>
      <c r="DZL129" s="54"/>
      <c r="DZM129" s="54"/>
      <c r="DZN129" s="54"/>
      <c r="DZO129" s="54"/>
      <c r="DZP129" s="54"/>
      <c r="DZQ129" s="54"/>
      <c r="DZR129" s="54"/>
      <c r="DZS129" s="54"/>
      <c r="DZT129" s="54"/>
      <c r="DZU129" s="54"/>
      <c r="DZV129" s="54"/>
      <c r="DZW129" s="54"/>
      <c r="DZX129" s="54"/>
      <c r="DZY129" s="54"/>
      <c r="DZZ129" s="54"/>
      <c r="EAA129" s="54"/>
      <c r="EAB129" s="54"/>
      <c r="EAC129" s="54"/>
      <c r="EAD129" s="54"/>
      <c r="EAE129" s="54"/>
      <c r="EAF129" s="54"/>
      <c r="EAG129" s="54"/>
      <c r="EAH129" s="54"/>
      <c r="EAI129" s="54"/>
      <c r="EAJ129" s="54"/>
      <c r="EAK129" s="54"/>
      <c r="EAL129" s="54"/>
      <c r="EAM129" s="54"/>
      <c r="EAN129" s="54"/>
      <c r="EAO129" s="54"/>
      <c r="EAP129" s="54"/>
      <c r="EAQ129" s="54"/>
      <c r="EAR129" s="54"/>
      <c r="EAS129" s="54"/>
      <c r="EAT129" s="54"/>
      <c r="EAU129" s="54"/>
      <c r="EAV129" s="54"/>
      <c r="EAW129" s="54"/>
      <c r="EAX129" s="54"/>
      <c r="EAY129" s="54"/>
      <c r="EAZ129" s="54"/>
      <c r="EBA129" s="54"/>
      <c r="EBB129" s="54"/>
      <c r="EBC129" s="54"/>
      <c r="EBD129" s="54"/>
      <c r="EBE129" s="54"/>
      <c r="EBF129" s="54"/>
      <c r="EBG129" s="54"/>
      <c r="EBH129" s="54"/>
      <c r="EBI129" s="54"/>
      <c r="EBJ129" s="54"/>
      <c r="EBK129" s="54"/>
      <c r="EBL129" s="54"/>
      <c r="EBM129" s="54"/>
      <c r="EBN129" s="54"/>
      <c r="EBO129" s="54"/>
      <c r="EBP129" s="54"/>
      <c r="EBQ129" s="54"/>
      <c r="EBR129" s="54"/>
      <c r="EBS129" s="54"/>
      <c r="EBT129" s="54"/>
      <c r="EBU129" s="54"/>
      <c r="EBV129" s="54"/>
      <c r="EBW129" s="54"/>
      <c r="EBX129" s="54"/>
      <c r="EBY129" s="54"/>
      <c r="EBZ129" s="54"/>
      <c r="ECA129" s="54"/>
      <c r="ECB129" s="54"/>
      <c r="ECC129" s="54"/>
      <c r="ECD129" s="54"/>
      <c r="ECE129" s="54"/>
      <c r="ECF129" s="54"/>
      <c r="ECG129" s="54"/>
      <c r="ECH129" s="54"/>
      <c r="ECI129" s="54"/>
      <c r="ECJ129" s="54"/>
      <c r="ECK129" s="54"/>
      <c r="ECL129" s="54"/>
      <c r="ECM129" s="54"/>
      <c r="ECN129" s="54"/>
      <c r="ECO129" s="54"/>
      <c r="ECP129" s="54"/>
      <c r="ECQ129" s="54"/>
      <c r="ECR129" s="54"/>
      <c r="ECS129" s="54"/>
      <c r="ECT129" s="54"/>
      <c r="ECU129" s="54"/>
      <c r="ECV129" s="54"/>
      <c r="ECW129" s="54"/>
      <c r="ECX129" s="54"/>
      <c r="ECY129" s="54"/>
      <c r="ECZ129" s="54"/>
      <c r="EDA129" s="54"/>
      <c r="EDB129" s="54"/>
      <c r="EDC129" s="54"/>
      <c r="EDD129" s="54"/>
      <c r="EDE129" s="54"/>
      <c r="EDF129" s="54"/>
      <c r="EDG129" s="54"/>
      <c r="EDH129" s="54"/>
      <c r="EDI129" s="54"/>
      <c r="EDJ129" s="54"/>
      <c r="EDK129" s="54"/>
      <c r="EDL129" s="54"/>
      <c r="EDM129" s="54"/>
      <c r="EDN129" s="54"/>
      <c r="EDO129" s="54"/>
      <c r="EDP129" s="54"/>
      <c r="EDQ129" s="54"/>
      <c r="EDR129" s="54"/>
      <c r="EDS129" s="54"/>
      <c r="EDT129" s="54"/>
      <c r="EDU129" s="54"/>
      <c r="EDV129" s="54"/>
      <c r="EDW129" s="54"/>
      <c r="EDX129" s="54"/>
      <c r="EDY129" s="54"/>
      <c r="EDZ129" s="54"/>
      <c r="EEA129" s="54"/>
      <c r="EEB129" s="54"/>
      <c r="EEC129" s="54"/>
      <c r="EED129" s="54"/>
      <c r="EEE129" s="54"/>
      <c r="EEF129" s="54"/>
      <c r="EEG129" s="54"/>
      <c r="EEH129" s="54"/>
      <c r="EEI129" s="54"/>
      <c r="EEJ129" s="54"/>
      <c r="EEK129" s="54"/>
      <c r="EEL129" s="54"/>
      <c r="EEM129" s="54"/>
      <c r="EEN129" s="54"/>
      <c r="EEO129" s="54"/>
      <c r="EEP129" s="54"/>
      <c r="EEQ129" s="54"/>
      <c r="EER129" s="54"/>
      <c r="EES129" s="54"/>
      <c r="EET129" s="54"/>
      <c r="EEU129" s="54"/>
      <c r="EEV129" s="54"/>
      <c r="EEW129" s="54"/>
      <c r="EEX129" s="54"/>
      <c r="EEY129" s="54"/>
      <c r="EEZ129" s="54"/>
      <c r="EFA129" s="54"/>
      <c r="EFB129" s="54"/>
      <c r="EFC129" s="54"/>
      <c r="EFD129" s="54"/>
      <c r="EFE129" s="54"/>
      <c r="EFF129" s="54"/>
      <c r="EFG129" s="54"/>
      <c r="EFH129" s="54"/>
      <c r="EFI129" s="54"/>
      <c r="EFJ129" s="54"/>
      <c r="EFK129" s="54"/>
      <c r="EFL129" s="54"/>
      <c r="EFM129" s="54"/>
      <c r="EFN129" s="54"/>
      <c r="EFO129" s="54"/>
      <c r="EFP129" s="54"/>
      <c r="EFQ129" s="54"/>
      <c r="EFR129" s="54"/>
      <c r="EFS129" s="54"/>
      <c r="EFT129" s="54"/>
      <c r="EFU129" s="54"/>
      <c r="EFV129" s="54"/>
      <c r="EFW129" s="54"/>
      <c r="EFX129" s="54"/>
      <c r="EFY129" s="54"/>
      <c r="EFZ129" s="54"/>
      <c r="EGA129" s="54"/>
      <c r="EGB129" s="54"/>
      <c r="EGC129" s="54"/>
      <c r="EGD129" s="54"/>
      <c r="EGE129" s="54"/>
      <c r="EGF129" s="54"/>
      <c r="EGG129" s="54"/>
      <c r="EGH129" s="54"/>
      <c r="EGI129" s="54"/>
      <c r="EGJ129" s="54"/>
      <c r="EGK129" s="54"/>
      <c r="EGL129" s="54"/>
      <c r="EGM129" s="54"/>
      <c r="EGN129" s="54"/>
      <c r="EGO129" s="54"/>
      <c r="EGP129" s="54"/>
      <c r="EGQ129" s="54"/>
      <c r="EGR129" s="54"/>
      <c r="EGS129" s="54"/>
      <c r="EGT129" s="54"/>
      <c r="EGU129" s="54"/>
      <c r="EGV129" s="54"/>
      <c r="EGW129" s="54"/>
      <c r="EGX129" s="54"/>
      <c r="EGY129" s="54"/>
      <c r="EGZ129" s="54"/>
      <c r="EHA129" s="54"/>
      <c r="EHB129" s="54"/>
      <c r="EHC129" s="54"/>
      <c r="EHD129" s="54"/>
      <c r="EHE129" s="54"/>
      <c r="EHF129" s="54"/>
      <c r="EHG129" s="54"/>
      <c r="EHH129" s="54"/>
      <c r="EHI129" s="54"/>
      <c r="EHJ129" s="54"/>
      <c r="EHK129" s="54"/>
      <c r="EHL129" s="54"/>
      <c r="EHM129" s="54"/>
      <c r="EHN129" s="54"/>
      <c r="EHO129" s="54"/>
      <c r="EHP129" s="54"/>
      <c r="EHQ129" s="54"/>
      <c r="EHR129" s="54"/>
      <c r="EHS129" s="54"/>
      <c r="EHT129" s="54"/>
      <c r="EHU129" s="54"/>
      <c r="EHV129" s="54"/>
      <c r="EHW129" s="54"/>
      <c r="EHX129" s="54"/>
      <c r="EHY129" s="54"/>
      <c r="EHZ129" s="54"/>
      <c r="EIA129" s="54"/>
      <c r="EIB129" s="54"/>
      <c r="EIC129" s="54"/>
      <c r="EID129" s="54"/>
      <c r="EIE129" s="54"/>
      <c r="EIF129" s="54"/>
      <c r="EIG129" s="54"/>
      <c r="EIH129" s="54"/>
      <c r="EII129" s="54"/>
      <c r="EIJ129" s="54"/>
      <c r="EIK129" s="54"/>
      <c r="EIL129" s="54"/>
      <c r="EIM129" s="54"/>
      <c r="EIN129" s="54"/>
      <c r="EIO129" s="54"/>
      <c r="EIP129" s="54"/>
      <c r="EIQ129" s="54"/>
      <c r="EIR129" s="54"/>
      <c r="EIS129" s="54"/>
      <c r="EIT129" s="54"/>
      <c r="EIU129" s="54"/>
      <c r="EIV129" s="54"/>
      <c r="EIW129" s="54"/>
      <c r="EIX129" s="54"/>
      <c r="EIY129" s="54"/>
      <c r="EIZ129" s="54"/>
      <c r="EJA129" s="54"/>
      <c r="EJB129" s="54"/>
      <c r="EJC129" s="54"/>
      <c r="EJD129" s="54"/>
      <c r="EJE129" s="54"/>
      <c r="EJF129" s="54"/>
      <c r="EJG129" s="54"/>
      <c r="EJH129" s="54"/>
      <c r="EJI129" s="54"/>
      <c r="EJJ129" s="54"/>
      <c r="EJK129" s="54"/>
      <c r="EJL129" s="54"/>
      <c r="EJM129" s="54"/>
      <c r="EJN129" s="54"/>
      <c r="EJO129" s="54"/>
      <c r="EJP129" s="54"/>
      <c r="EJQ129" s="54"/>
      <c r="EJR129" s="54"/>
      <c r="EJS129" s="54"/>
      <c r="EJT129" s="54"/>
      <c r="EJU129" s="54"/>
      <c r="EJV129" s="54"/>
      <c r="EJW129" s="54"/>
      <c r="EJX129" s="54"/>
      <c r="EJY129" s="54"/>
      <c r="EJZ129" s="54"/>
      <c r="EKA129" s="54"/>
      <c r="EKB129" s="54"/>
      <c r="EKC129" s="54"/>
      <c r="EKD129" s="54"/>
      <c r="EKE129" s="54"/>
      <c r="EKF129" s="54"/>
      <c r="EKG129" s="54"/>
      <c r="EKH129" s="54"/>
      <c r="EKI129" s="54"/>
      <c r="EKJ129" s="54"/>
      <c r="EKK129" s="54"/>
      <c r="EKL129" s="54"/>
      <c r="EKM129" s="54"/>
      <c r="EKN129" s="54"/>
      <c r="EKO129" s="54"/>
      <c r="EKP129" s="54"/>
      <c r="EKQ129" s="54"/>
      <c r="EKR129" s="54"/>
      <c r="EKS129" s="54"/>
      <c r="EKT129" s="54"/>
      <c r="EKU129" s="54"/>
      <c r="EKV129" s="54"/>
      <c r="EKW129" s="54"/>
      <c r="EKX129" s="54"/>
      <c r="EKY129" s="54"/>
      <c r="EKZ129" s="54"/>
      <c r="ELA129" s="54"/>
      <c r="ELB129" s="54"/>
      <c r="ELC129" s="54"/>
      <c r="ELD129" s="54"/>
      <c r="ELE129" s="54"/>
      <c r="ELF129" s="54"/>
      <c r="ELG129" s="54"/>
      <c r="ELH129" s="54"/>
      <c r="ELI129" s="54"/>
      <c r="ELJ129" s="54"/>
      <c r="ELK129" s="54"/>
      <c r="ELL129" s="54"/>
      <c r="ELM129" s="54"/>
      <c r="ELN129" s="54"/>
      <c r="ELO129" s="54"/>
      <c r="ELP129" s="54"/>
      <c r="ELQ129" s="54"/>
      <c r="ELR129" s="54"/>
      <c r="ELS129" s="54"/>
      <c r="ELT129" s="54"/>
      <c r="ELU129" s="54"/>
      <c r="ELV129" s="54"/>
      <c r="ELW129" s="54"/>
      <c r="ELX129" s="54"/>
      <c r="ELY129" s="54"/>
      <c r="ELZ129" s="54"/>
      <c r="EMA129" s="54"/>
      <c r="EMB129" s="54"/>
      <c r="EMC129" s="54"/>
      <c r="EMD129" s="54"/>
      <c r="EME129" s="54"/>
      <c r="EMF129" s="54"/>
      <c r="EMG129" s="54"/>
      <c r="EMH129" s="54"/>
      <c r="EMI129" s="54"/>
      <c r="EMJ129" s="54"/>
      <c r="EMK129" s="54"/>
      <c r="EML129" s="54"/>
      <c r="EMM129" s="54"/>
      <c r="EMN129" s="54"/>
      <c r="EMO129" s="54"/>
      <c r="EMP129" s="54"/>
      <c r="EMQ129" s="54"/>
      <c r="EMR129" s="54"/>
      <c r="EMS129" s="54"/>
      <c r="EMT129" s="54"/>
      <c r="EMU129" s="54"/>
      <c r="EMV129" s="54"/>
      <c r="EMW129" s="54"/>
      <c r="EMX129" s="54"/>
      <c r="EMY129" s="54"/>
      <c r="EMZ129" s="54"/>
      <c r="ENA129" s="54"/>
      <c r="ENB129" s="54"/>
      <c r="ENC129" s="54"/>
      <c r="END129" s="54"/>
      <c r="ENE129" s="54"/>
      <c r="ENF129" s="54"/>
      <c r="ENG129" s="54"/>
      <c r="ENH129" s="54"/>
      <c r="ENI129" s="54"/>
      <c r="ENJ129" s="54"/>
      <c r="ENK129" s="54"/>
      <c r="ENL129" s="54"/>
      <c r="ENM129" s="54"/>
      <c r="ENN129" s="54"/>
      <c r="ENO129" s="54"/>
      <c r="ENP129" s="54"/>
      <c r="ENQ129" s="54"/>
      <c r="ENR129" s="54"/>
      <c r="ENS129" s="54"/>
      <c r="ENT129" s="54"/>
      <c r="ENU129" s="54"/>
      <c r="ENV129" s="54"/>
      <c r="ENW129" s="54"/>
      <c r="ENX129" s="54"/>
      <c r="ENY129" s="54"/>
      <c r="ENZ129" s="54"/>
      <c r="EOA129" s="54"/>
      <c r="EOB129" s="54"/>
      <c r="EOC129" s="54"/>
      <c r="EOD129" s="54"/>
      <c r="EOE129" s="54"/>
      <c r="EOF129" s="54"/>
      <c r="EOG129" s="54"/>
      <c r="EOH129" s="54"/>
      <c r="EOI129" s="54"/>
      <c r="EOJ129" s="54"/>
      <c r="EOK129" s="54"/>
      <c r="EOL129" s="54"/>
      <c r="EOM129" s="54"/>
      <c r="EON129" s="54"/>
      <c r="EOO129" s="54"/>
      <c r="EOP129" s="54"/>
      <c r="EOQ129" s="54"/>
      <c r="EOR129" s="54"/>
      <c r="EOS129" s="54"/>
      <c r="EOT129" s="54"/>
      <c r="EOU129" s="54"/>
      <c r="EOV129" s="54"/>
      <c r="EOW129" s="54"/>
      <c r="EOX129" s="54"/>
      <c r="EOY129" s="54"/>
      <c r="EOZ129" s="54"/>
      <c r="EPA129" s="54"/>
      <c r="EPB129" s="54"/>
      <c r="EPC129" s="54"/>
      <c r="EPD129" s="54"/>
      <c r="EPE129" s="54"/>
      <c r="EPF129" s="54"/>
      <c r="EPG129" s="54"/>
      <c r="EPH129" s="54"/>
      <c r="EPI129" s="54"/>
      <c r="EPJ129" s="54"/>
      <c r="EPK129" s="54"/>
      <c r="EPL129" s="54"/>
      <c r="EPM129" s="54"/>
      <c r="EPN129" s="54"/>
      <c r="EPO129" s="54"/>
      <c r="EPP129" s="54"/>
      <c r="EPQ129" s="54"/>
      <c r="EPR129" s="54"/>
      <c r="EPS129" s="54"/>
      <c r="EPT129" s="54"/>
      <c r="EPU129" s="54"/>
      <c r="EPV129" s="54"/>
      <c r="EPW129" s="54"/>
      <c r="EPX129" s="54"/>
      <c r="EPY129" s="54"/>
      <c r="EPZ129" s="54"/>
      <c r="EQA129" s="54"/>
      <c r="EQB129" s="54"/>
      <c r="EQC129" s="54"/>
      <c r="EQD129" s="54"/>
      <c r="EQE129" s="54"/>
      <c r="EQF129" s="54"/>
      <c r="EQG129" s="54"/>
      <c r="EQH129" s="54"/>
      <c r="EQI129" s="54"/>
      <c r="EQJ129" s="54"/>
      <c r="EQK129" s="54"/>
      <c r="EQL129" s="54"/>
      <c r="EQM129" s="54"/>
      <c r="EQN129" s="54"/>
      <c r="EQO129" s="54"/>
      <c r="EQP129" s="54"/>
      <c r="EQQ129" s="54"/>
      <c r="EQR129" s="54"/>
      <c r="EQS129" s="54"/>
      <c r="EQT129" s="54"/>
      <c r="EQU129" s="54"/>
      <c r="EQV129" s="54"/>
      <c r="EQW129" s="54"/>
      <c r="EQX129" s="54"/>
      <c r="EQY129" s="54"/>
      <c r="EQZ129" s="54"/>
      <c r="ERA129" s="54"/>
      <c r="ERB129" s="54"/>
      <c r="ERC129" s="54"/>
      <c r="ERD129" s="54"/>
      <c r="ERE129" s="54"/>
      <c r="ERF129" s="54"/>
      <c r="ERG129" s="54"/>
      <c r="ERH129" s="54"/>
      <c r="ERI129" s="54"/>
      <c r="ERJ129" s="54"/>
      <c r="ERK129" s="54"/>
      <c r="ERL129" s="54"/>
      <c r="ERM129" s="54"/>
      <c r="ERN129" s="54"/>
      <c r="ERO129" s="54"/>
      <c r="ERP129" s="54"/>
      <c r="ERQ129" s="54"/>
      <c r="ERR129" s="54"/>
      <c r="ERS129" s="54"/>
      <c r="ERT129" s="54"/>
      <c r="ERU129" s="54"/>
      <c r="ERV129" s="54"/>
      <c r="ERW129" s="54"/>
      <c r="ERX129" s="54"/>
      <c r="ERY129" s="54"/>
      <c r="ERZ129" s="54"/>
      <c r="ESA129" s="54"/>
      <c r="ESB129" s="54"/>
      <c r="ESC129" s="54"/>
      <c r="ESD129" s="54"/>
      <c r="ESE129" s="54"/>
      <c r="ESF129" s="54"/>
      <c r="ESG129" s="54"/>
      <c r="ESH129" s="54"/>
      <c r="ESI129" s="54"/>
      <c r="ESJ129" s="54"/>
      <c r="ESK129" s="54"/>
      <c r="ESL129" s="54"/>
      <c r="ESM129" s="54"/>
      <c r="ESN129" s="54"/>
      <c r="ESO129" s="54"/>
      <c r="ESP129" s="54"/>
      <c r="ESQ129" s="54"/>
      <c r="ESR129" s="54"/>
      <c r="ESS129" s="54"/>
      <c r="EST129" s="54"/>
      <c r="ESU129" s="54"/>
      <c r="ESV129" s="54"/>
      <c r="ESW129" s="54"/>
      <c r="ESX129" s="54"/>
      <c r="ESY129" s="54"/>
      <c r="ESZ129" s="54"/>
      <c r="ETA129" s="54"/>
      <c r="ETB129" s="54"/>
      <c r="ETC129" s="54"/>
      <c r="ETD129" s="54"/>
      <c r="ETE129" s="54"/>
      <c r="ETF129" s="54"/>
      <c r="ETG129" s="54"/>
      <c r="ETH129" s="54"/>
      <c r="ETI129" s="54"/>
      <c r="ETJ129" s="54"/>
      <c r="ETK129" s="54"/>
      <c r="ETL129" s="54"/>
      <c r="ETM129" s="54"/>
      <c r="ETN129" s="54"/>
      <c r="ETO129" s="54"/>
      <c r="ETP129" s="54"/>
      <c r="ETQ129" s="54"/>
      <c r="ETR129" s="54"/>
      <c r="ETS129" s="54"/>
      <c r="ETT129" s="54"/>
      <c r="ETU129" s="54"/>
      <c r="ETV129" s="54"/>
      <c r="ETW129" s="54"/>
      <c r="ETX129" s="54"/>
      <c r="ETY129" s="54"/>
      <c r="ETZ129" s="54"/>
      <c r="EUA129" s="54"/>
      <c r="EUB129" s="54"/>
      <c r="EUC129" s="54"/>
      <c r="EUD129" s="54"/>
      <c r="EUE129" s="54"/>
      <c r="EUF129" s="54"/>
      <c r="EUG129" s="54"/>
      <c r="EUH129" s="54"/>
      <c r="EUI129" s="54"/>
      <c r="EUJ129" s="54"/>
      <c r="EUK129" s="54"/>
      <c r="EUL129" s="54"/>
      <c r="EUM129" s="54"/>
      <c r="EUN129" s="54"/>
      <c r="EUO129" s="54"/>
      <c r="EUP129" s="54"/>
      <c r="EUQ129" s="54"/>
      <c r="EUR129" s="54"/>
      <c r="EUS129" s="54"/>
      <c r="EUT129" s="54"/>
      <c r="EUU129" s="54"/>
      <c r="EUV129" s="54"/>
      <c r="EUW129" s="54"/>
      <c r="EUX129" s="54"/>
      <c r="EUY129" s="54"/>
      <c r="EUZ129" s="54"/>
      <c r="EVA129" s="54"/>
      <c r="EVB129" s="54"/>
      <c r="EVC129" s="54"/>
      <c r="EVD129" s="54"/>
      <c r="EVE129" s="54"/>
      <c r="EVF129" s="54"/>
      <c r="EVG129" s="54"/>
      <c r="EVH129" s="54"/>
      <c r="EVI129" s="54"/>
      <c r="EVJ129" s="54"/>
      <c r="EVK129" s="54"/>
      <c r="EVL129" s="54"/>
      <c r="EVM129" s="54"/>
      <c r="EVN129" s="54"/>
      <c r="EVO129" s="54"/>
      <c r="EVP129" s="54"/>
      <c r="EVQ129" s="54"/>
      <c r="EVR129" s="54"/>
      <c r="EVS129" s="54"/>
      <c r="EVT129" s="54"/>
      <c r="EVU129" s="54"/>
      <c r="EVV129" s="54"/>
      <c r="EVW129" s="54"/>
      <c r="EVX129" s="54"/>
      <c r="EVY129" s="54"/>
      <c r="EVZ129" s="54"/>
      <c r="EWA129" s="54"/>
      <c r="EWB129" s="54"/>
      <c r="EWC129" s="54"/>
      <c r="EWD129" s="54"/>
      <c r="EWE129" s="54"/>
      <c r="EWF129" s="54"/>
      <c r="EWG129" s="54"/>
      <c r="EWH129" s="54"/>
      <c r="EWI129" s="54"/>
      <c r="EWJ129" s="54"/>
      <c r="EWK129" s="54"/>
      <c r="EWL129" s="54"/>
      <c r="EWM129" s="54"/>
      <c r="EWN129" s="54"/>
      <c r="EWO129" s="54"/>
      <c r="EWP129" s="54"/>
      <c r="EWQ129" s="54"/>
      <c r="EWR129" s="54"/>
      <c r="EWS129" s="54"/>
      <c r="EWT129" s="54"/>
      <c r="EWU129" s="54"/>
      <c r="EWV129" s="54"/>
      <c r="EWW129" s="54"/>
      <c r="EWX129" s="54"/>
      <c r="EWY129" s="54"/>
      <c r="EWZ129" s="54"/>
      <c r="EXA129" s="54"/>
      <c r="EXB129" s="54"/>
      <c r="EXC129" s="54"/>
      <c r="EXD129" s="54"/>
      <c r="EXE129" s="54"/>
      <c r="EXF129" s="54"/>
      <c r="EXG129" s="54"/>
      <c r="EXH129" s="54"/>
      <c r="EXI129" s="54"/>
      <c r="EXJ129" s="54"/>
      <c r="EXK129" s="54"/>
      <c r="EXL129" s="54"/>
      <c r="EXM129" s="54"/>
      <c r="EXN129" s="54"/>
      <c r="EXO129" s="54"/>
      <c r="EXP129" s="54"/>
      <c r="EXQ129" s="54"/>
      <c r="EXR129" s="54"/>
      <c r="EXS129" s="54"/>
      <c r="EXT129" s="54"/>
      <c r="EXU129" s="54"/>
      <c r="EXV129" s="54"/>
      <c r="EXW129" s="54"/>
      <c r="EXX129" s="54"/>
      <c r="EXY129" s="54"/>
      <c r="EXZ129" s="54"/>
      <c r="EYA129" s="54"/>
      <c r="EYB129" s="54"/>
      <c r="EYC129" s="54"/>
      <c r="EYD129" s="54"/>
      <c r="EYE129" s="54"/>
      <c r="EYF129" s="54"/>
      <c r="EYG129" s="54"/>
      <c r="EYH129" s="54"/>
      <c r="EYI129" s="54"/>
      <c r="EYJ129" s="54"/>
      <c r="EYK129" s="54"/>
      <c r="EYL129" s="54"/>
      <c r="EYM129" s="54"/>
      <c r="EYN129" s="54"/>
      <c r="EYO129" s="54"/>
      <c r="EYP129" s="54"/>
      <c r="EYQ129" s="54"/>
      <c r="EYR129" s="54"/>
      <c r="EYS129" s="54"/>
      <c r="EYT129" s="54"/>
      <c r="EYU129" s="54"/>
      <c r="EYV129" s="54"/>
      <c r="EYW129" s="54"/>
      <c r="EYX129" s="54"/>
      <c r="EYY129" s="54"/>
      <c r="EYZ129" s="54"/>
      <c r="EZA129" s="54"/>
      <c r="EZB129" s="54"/>
      <c r="EZC129" s="54"/>
      <c r="EZD129" s="54"/>
      <c r="EZE129" s="54"/>
      <c r="EZF129" s="54"/>
      <c r="EZG129" s="54"/>
      <c r="EZH129" s="54"/>
      <c r="EZI129" s="54"/>
      <c r="EZJ129" s="54"/>
      <c r="EZK129" s="54"/>
      <c r="EZL129" s="54"/>
      <c r="EZM129" s="54"/>
      <c r="EZN129" s="54"/>
      <c r="EZO129" s="54"/>
      <c r="EZP129" s="54"/>
      <c r="EZQ129" s="54"/>
      <c r="EZR129" s="54"/>
      <c r="EZS129" s="54"/>
      <c r="EZT129" s="54"/>
      <c r="EZU129" s="54"/>
      <c r="EZV129" s="54"/>
      <c r="EZW129" s="54"/>
      <c r="EZX129" s="54"/>
      <c r="EZY129" s="54"/>
      <c r="EZZ129" s="54"/>
      <c r="FAA129" s="54"/>
      <c r="FAB129" s="54"/>
      <c r="FAC129" s="54"/>
      <c r="FAD129" s="54"/>
      <c r="FAE129" s="54"/>
      <c r="FAF129" s="54"/>
      <c r="FAG129" s="54"/>
      <c r="FAH129" s="54"/>
      <c r="FAI129" s="54"/>
      <c r="FAJ129" s="54"/>
      <c r="FAK129" s="54"/>
      <c r="FAL129" s="54"/>
      <c r="FAM129" s="54"/>
      <c r="FAN129" s="54"/>
      <c r="FAO129" s="54"/>
      <c r="FAP129" s="54"/>
      <c r="FAQ129" s="54"/>
      <c r="FAR129" s="54"/>
      <c r="FAS129" s="54"/>
      <c r="FAT129" s="54"/>
      <c r="FAU129" s="54"/>
      <c r="FAV129" s="54"/>
      <c r="FAW129" s="54"/>
      <c r="FAX129" s="54"/>
      <c r="FAY129" s="54"/>
      <c r="FAZ129" s="54"/>
      <c r="FBA129" s="54"/>
      <c r="FBB129" s="54"/>
      <c r="FBC129" s="54"/>
      <c r="FBD129" s="54"/>
      <c r="FBE129" s="54"/>
      <c r="FBF129" s="54"/>
      <c r="FBG129" s="54"/>
      <c r="FBH129" s="54"/>
      <c r="FBI129" s="54"/>
      <c r="FBJ129" s="54"/>
      <c r="FBK129" s="54"/>
      <c r="FBL129" s="54"/>
      <c r="FBM129" s="54"/>
      <c r="FBN129" s="54"/>
      <c r="FBO129" s="54"/>
      <c r="FBP129" s="54"/>
      <c r="FBQ129" s="54"/>
      <c r="FBR129" s="54"/>
      <c r="FBS129" s="54"/>
      <c r="FBT129" s="54"/>
      <c r="FBU129" s="54"/>
      <c r="FBV129" s="54"/>
      <c r="FBW129" s="54"/>
      <c r="FBX129" s="54"/>
      <c r="FBY129" s="54"/>
      <c r="FBZ129" s="54"/>
      <c r="FCA129" s="54"/>
      <c r="FCB129" s="54"/>
      <c r="FCC129" s="54"/>
      <c r="FCD129" s="54"/>
      <c r="FCE129" s="54"/>
      <c r="FCF129" s="54"/>
      <c r="FCG129" s="54"/>
      <c r="FCH129" s="54"/>
      <c r="FCI129" s="54"/>
      <c r="FCJ129" s="54"/>
      <c r="FCK129" s="54"/>
      <c r="FCL129" s="54"/>
      <c r="FCM129" s="54"/>
      <c r="FCN129" s="54"/>
      <c r="FCO129" s="54"/>
      <c r="FCP129" s="54"/>
      <c r="FCQ129" s="54"/>
      <c r="FCR129" s="54"/>
      <c r="FCS129" s="54"/>
      <c r="FCT129" s="54"/>
      <c r="FCU129" s="54"/>
      <c r="FCV129" s="54"/>
      <c r="FCW129" s="54"/>
      <c r="FCX129" s="54"/>
      <c r="FCY129" s="54"/>
      <c r="FCZ129" s="54"/>
      <c r="FDA129" s="54"/>
      <c r="FDB129" s="54"/>
      <c r="FDC129" s="54"/>
      <c r="FDD129" s="54"/>
      <c r="FDE129" s="54"/>
      <c r="FDF129" s="54"/>
      <c r="FDG129" s="54"/>
      <c r="FDH129" s="54"/>
      <c r="FDI129" s="54"/>
      <c r="FDJ129" s="54"/>
      <c r="FDK129" s="54"/>
      <c r="FDL129" s="54"/>
      <c r="FDM129" s="54"/>
      <c r="FDN129" s="54"/>
      <c r="FDO129" s="54"/>
      <c r="FDP129" s="54"/>
      <c r="FDQ129" s="54"/>
      <c r="FDR129" s="54"/>
      <c r="FDS129" s="54"/>
      <c r="FDT129" s="54"/>
      <c r="FDU129" s="54"/>
      <c r="FDV129" s="54"/>
      <c r="FDW129" s="54"/>
      <c r="FDX129" s="54"/>
      <c r="FDY129" s="54"/>
      <c r="FDZ129" s="54"/>
      <c r="FEA129" s="54"/>
      <c r="FEB129" s="54"/>
      <c r="FEC129" s="54"/>
      <c r="FED129" s="54"/>
      <c r="FEE129" s="54"/>
      <c r="FEF129" s="54"/>
      <c r="FEG129" s="54"/>
      <c r="FEH129" s="54"/>
      <c r="FEI129" s="54"/>
      <c r="FEJ129" s="54"/>
      <c r="FEK129" s="54"/>
      <c r="FEL129" s="54"/>
      <c r="FEM129" s="54"/>
      <c r="FEN129" s="54"/>
      <c r="FEO129" s="54"/>
      <c r="FEP129" s="54"/>
      <c r="FEQ129" s="54"/>
      <c r="FER129" s="54"/>
      <c r="FES129" s="54"/>
      <c r="FET129" s="54"/>
      <c r="FEU129" s="54"/>
      <c r="FEV129" s="54"/>
      <c r="FEW129" s="54"/>
      <c r="FEX129" s="54"/>
      <c r="FEY129" s="54"/>
      <c r="FEZ129" s="54"/>
      <c r="FFA129" s="54"/>
      <c r="FFB129" s="54"/>
      <c r="FFC129" s="54"/>
      <c r="FFD129" s="54"/>
      <c r="FFE129" s="54"/>
      <c r="FFF129" s="54"/>
      <c r="FFG129" s="54"/>
      <c r="FFH129" s="54"/>
      <c r="FFI129" s="54"/>
      <c r="FFJ129" s="54"/>
      <c r="FFK129" s="54"/>
      <c r="FFL129" s="54"/>
      <c r="FFM129" s="54"/>
      <c r="FFN129" s="54"/>
      <c r="FFO129" s="54"/>
      <c r="FFP129" s="54"/>
      <c r="FFQ129" s="54"/>
      <c r="FFR129" s="54"/>
      <c r="FFS129" s="54"/>
      <c r="FFT129" s="54"/>
      <c r="FFU129" s="54"/>
      <c r="FFV129" s="54"/>
      <c r="FFW129" s="54"/>
      <c r="FFX129" s="54"/>
      <c r="FFY129" s="54"/>
      <c r="FFZ129" s="54"/>
      <c r="FGA129" s="54"/>
      <c r="FGB129" s="54"/>
      <c r="FGC129" s="54"/>
      <c r="FGD129" s="54"/>
      <c r="FGE129" s="54"/>
      <c r="FGF129" s="54"/>
      <c r="FGG129" s="54"/>
      <c r="FGH129" s="54"/>
      <c r="FGI129" s="54"/>
      <c r="FGJ129" s="54"/>
      <c r="FGK129" s="54"/>
      <c r="FGL129" s="54"/>
      <c r="FGM129" s="54"/>
      <c r="FGN129" s="54"/>
      <c r="FGO129" s="54"/>
      <c r="FGP129" s="54"/>
      <c r="FGQ129" s="54"/>
      <c r="FGR129" s="54"/>
      <c r="FGS129" s="54"/>
      <c r="FGT129" s="54"/>
      <c r="FGU129" s="54"/>
      <c r="FGV129" s="54"/>
      <c r="FGW129" s="54"/>
      <c r="FGX129" s="54"/>
      <c r="FGY129" s="54"/>
      <c r="FGZ129" s="54"/>
      <c r="FHA129" s="54"/>
      <c r="FHB129" s="54"/>
      <c r="FHC129" s="54"/>
      <c r="FHD129" s="54"/>
      <c r="FHE129" s="54"/>
      <c r="FHF129" s="54"/>
      <c r="FHG129" s="54"/>
      <c r="FHH129" s="54"/>
      <c r="FHI129" s="54"/>
      <c r="FHJ129" s="54"/>
      <c r="FHK129" s="54"/>
      <c r="FHL129" s="54"/>
      <c r="FHM129" s="54"/>
      <c r="FHN129" s="54"/>
      <c r="FHO129" s="54"/>
      <c r="FHP129" s="54"/>
      <c r="FHQ129" s="54"/>
      <c r="FHR129" s="54"/>
      <c r="FHS129" s="54"/>
      <c r="FHT129" s="54"/>
      <c r="FHU129" s="54"/>
      <c r="FHV129" s="54"/>
      <c r="FHW129" s="54"/>
      <c r="FHX129" s="54"/>
      <c r="FHY129" s="54"/>
      <c r="FHZ129" s="54"/>
      <c r="FIA129" s="54"/>
      <c r="FIB129" s="54"/>
      <c r="FIC129" s="54"/>
      <c r="FID129" s="54"/>
      <c r="FIE129" s="54"/>
      <c r="FIF129" s="54"/>
      <c r="FIG129" s="54"/>
      <c r="FIH129" s="54"/>
      <c r="FII129" s="54"/>
      <c r="FIJ129" s="54"/>
      <c r="FIK129" s="54"/>
      <c r="FIL129" s="54"/>
      <c r="FIM129" s="54"/>
      <c r="FIN129" s="54"/>
      <c r="FIO129" s="54"/>
      <c r="FIP129" s="54"/>
      <c r="FIQ129" s="54"/>
      <c r="FIR129" s="54"/>
      <c r="FIS129" s="54"/>
      <c r="FIT129" s="54"/>
      <c r="FIU129" s="54"/>
      <c r="FIV129" s="54"/>
      <c r="FIW129" s="54"/>
      <c r="FIX129" s="54"/>
      <c r="FIY129" s="54"/>
      <c r="FIZ129" s="54"/>
      <c r="FJA129" s="54"/>
      <c r="FJB129" s="54"/>
      <c r="FJC129" s="54"/>
      <c r="FJD129" s="54"/>
      <c r="FJE129" s="54"/>
      <c r="FJF129" s="54"/>
      <c r="FJG129" s="54"/>
      <c r="FJH129" s="54"/>
      <c r="FJI129" s="54"/>
      <c r="FJJ129" s="54"/>
      <c r="FJK129" s="54"/>
      <c r="FJL129" s="54"/>
      <c r="FJM129" s="54"/>
      <c r="FJN129" s="54"/>
      <c r="FJO129" s="54"/>
      <c r="FJP129" s="54"/>
      <c r="FJQ129" s="54"/>
      <c r="FJR129" s="54"/>
      <c r="FJS129" s="54"/>
      <c r="FJT129" s="54"/>
      <c r="FJU129" s="54"/>
      <c r="FJV129" s="54"/>
      <c r="FJW129" s="54"/>
      <c r="FJX129" s="54"/>
      <c r="FJY129" s="54"/>
      <c r="FJZ129" s="54"/>
      <c r="FKA129" s="54"/>
      <c r="FKB129" s="54"/>
      <c r="FKC129" s="54"/>
      <c r="FKD129" s="54"/>
      <c r="FKE129" s="54"/>
      <c r="FKF129" s="54"/>
      <c r="FKG129" s="54"/>
      <c r="FKH129" s="54"/>
      <c r="FKI129" s="54"/>
      <c r="FKJ129" s="54"/>
      <c r="FKK129" s="54"/>
      <c r="FKL129" s="54"/>
      <c r="FKM129" s="54"/>
      <c r="FKN129" s="54"/>
      <c r="FKO129" s="54"/>
      <c r="FKP129" s="54"/>
      <c r="FKQ129" s="54"/>
      <c r="FKR129" s="54"/>
      <c r="FKS129" s="54"/>
      <c r="FKT129" s="54"/>
      <c r="FKU129" s="54"/>
      <c r="FKV129" s="54"/>
      <c r="FKW129" s="54"/>
      <c r="FKX129" s="54"/>
      <c r="FKY129" s="54"/>
      <c r="FKZ129" s="54"/>
      <c r="FLA129" s="54"/>
      <c r="FLB129" s="54"/>
      <c r="FLC129" s="54"/>
      <c r="FLD129" s="54"/>
      <c r="FLE129" s="54"/>
      <c r="FLF129" s="54"/>
      <c r="FLG129" s="54"/>
      <c r="FLH129" s="54"/>
      <c r="FLI129" s="54"/>
      <c r="FLJ129" s="54"/>
      <c r="FLK129" s="54"/>
      <c r="FLL129" s="54"/>
      <c r="FLM129" s="54"/>
      <c r="FLN129" s="54"/>
      <c r="FLO129" s="54"/>
      <c r="FLP129" s="54"/>
      <c r="FLQ129" s="54"/>
      <c r="FLR129" s="54"/>
      <c r="FLS129" s="54"/>
      <c r="FLT129" s="54"/>
      <c r="FLU129" s="54"/>
      <c r="FLV129" s="54"/>
      <c r="FLW129" s="54"/>
      <c r="FLX129" s="54"/>
      <c r="FLY129" s="54"/>
      <c r="FLZ129" s="54"/>
      <c r="FMA129" s="54"/>
      <c r="FMB129" s="54"/>
      <c r="FMC129" s="54"/>
      <c r="FMD129" s="54"/>
      <c r="FME129" s="54"/>
      <c r="FMF129" s="54"/>
      <c r="FMG129" s="54"/>
      <c r="FMH129" s="54"/>
      <c r="FMI129" s="54"/>
      <c r="FMJ129" s="54"/>
      <c r="FMK129" s="54"/>
      <c r="FML129" s="54"/>
      <c r="FMM129" s="54"/>
      <c r="FMN129" s="54"/>
      <c r="FMO129" s="54"/>
      <c r="FMP129" s="54"/>
      <c r="FMQ129" s="54"/>
      <c r="FMR129" s="54"/>
      <c r="FMS129" s="54"/>
      <c r="FMT129" s="54"/>
      <c r="FMU129" s="54"/>
      <c r="FMV129" s="54"/>
      <c r="FMW129" s="54"/>
      <c r="FMX129" s="54"/>
      <c r="FMY129" s="54"/>
      <c r="FMZ129" s="54"/>
      <c r="FNA129" s="54"/>
      <c r="FNB129" s="54"/>
      <c r="FNC129" s="54"/>
      <c r="FND129" s="54"/>
      <c r="FNE129" s="54"/>
      <c r="FNF129" s="54"/>
      <c r="FNG129" s="54"/>
      <c r="FNH129" s="54"/>
      <c r="FNI129" s="54"/>
      <c r="FNJ129" s="54"/>
      <c r="FNK129" s="54"/>
      <c r="FNL129" s="54"/>
      <c r="FNM129" s="54"/>
      <c r="FNN129" s="54"/>
      <c r="FNO129" s="54"/>
      <c r="FNP129" s="54"/>
      <c r="FNQ129" s="54"/>
      <c r="FNR129" s="54"/>
      <c r="FNS129" s="54"/>
      <c r="FNT129" s="54"/>
      <c r="FNU129" s="54"/>
      <c r="FNV129" s="54"/>
      <c r="FNW129" s="54"/>
      <c r="FNX129" s="54"/>
      <c r="FNY129" s="54"/>
      <c r="FNZ129" s="54"/>
      <c r="FOA129" s="54"/>
      <c r="FOB129" s="54"/>
      <c r="FOC129" s="54"/>
      <c r="FOD129" s="54"/>
      <c r="FOE129" s="54"/>
      <c r="FOF129" s="54"/>
      <c r="FOG129" s="54"/>
      <c r="FOH129" s="54"/>
      <c r="FOI129" s="54"/>
      <c r="FOJ129" s="54"/>
      <c r="FOK129" s="54"/>
      <c r="FOL129" s="54"/>
      <c r="FOM129" s="54"/>
      <c r="FON129" s="54"/>
      <c r="FOO129" s="54"/>
      <c r="FOP129" s="54"/>
      <c r="FOQ129" s="54"/>
      <c r="FOR129" s="54"/>
      <c r="FOS129" s="54"/>
      <c r="FOT129" s="54"/>
      <c r="FOU129" s="54"/>
      <c r="FOV129" s="54"/>
      <c r="FOW129" s="54"/>
      <c r="FOX129" s="54"/>
      <c r="FOY129" s="54"/>
      <c r="FOZ129" s="54"/>
      <c r="FPA129" s="54"/>
      <c r="FPB129" s="54"/>
      <c r="FPC129" s="54"/>
      <c r="FPD129" s="54"/>
      <c r="FPE129" s="54"/>
      <c r="FPF129" s="54"/>
      <c r="FPG129" s="54"/>
      <c r="FPH129" s="54"/>
      <c r="FPI129" s="54"/>
      <c r="FPJ129" s="54"/>
      <c r="FPK129" s="54"/>
      <c r="FPL129" s="54"/>
      <c r="FPM129" s="54"/>
      <c r="FPN129" s="54"/>
      <c r="FPO129" s="54"/>
      <c r="FPP129" s="54"/>
      <c r="FPQ129" s="54"/>
      <c r="FPR129" s="54"/>
      <c r="FPS129" s="54"/>
      <c r="FPT129" s="54"/>
      <c r="FPU129" s="54"/>
      <c r="FPV129" s="54"/>
      <c r="FPW129" s="54"/>
      <c r="FPX129" s="54"/>
      <c r="FPY129" s="54"/>
      <c r="FPZ129" s="54"/>
      <c r="FQA129" s="54"/>
      <c r="FQB129" s="54"/>
      <c r="FQC129" s="54"/>
      <c r="FQD129" s="54"/>
      <c r="FQE129" s="54"/>
      <c r="FQF129" s="54"/>
      <c r="FQG129" s="54"/>
      <c r="FQH129" s="54"/>
      <c r="FQI129" s="54"/>
      <c r="FQJ129" s="54"/>
      <c r="FQK129" s="54"/>
      <c r="FQL129" s="54"/>
      <c r="FQM129" s="54"/>
      <c r="FQN129" s="54"/>
      <c r="FQO129" s="54"/>
      <c r="FQP129" s="54"/>
      <c r="FQQ129" s="54"/>
      <c r="FQR129" s="54"/>
      <c r="FQS129" s="54"/>
      <c r="FQT129" s="54"/>
      <c r="FQU129" s="54"/>
      <c r="FQV129" s="54"/>
      <c r="FQW129" s="54"/>
      <c r="FQX129" s="54"/>
      <c r="FQY129" s="54"/>
      <c r="FQZ129" s="54"/>
      <c r="FRA129" s="54"/>
      <c r="FRB129" s="54"/>
      <c r="FRC129" s="54"/>
      <c r="FRD129" s="54"/>
      <c r="FRE129" s="54"/>
      <c r="FRF129" s="54"/>
      <c r="FRG129" s="54"/>
      <c r="FRH129" s="54"/>
      <c r="FRI129" s="54"/>
      <c r="FRJ129" s="54"/>
      <c r="FRK129" s="54"/>
      <c r="FRL129" s="54"/>
      <c r="FRM129" s="54"/>
      <c r="FRN129" s="54"/>
      <c r="FRO129" s="54"/>
      <c r="FRP129" s="54"/>
      <c r="FRQ129" s="54"/>
      <c r="FRR129" s="54"/>
      <c r="FRS129" s="54"/>
      <c r="FRT129" s="54"/>
      <c r="FRU129" s="54"/>
      <c r="FRV129" s="54"/>
      <c r="FRW129" s="54"/>
      <c r="FRX129" s="54"/>
      <c r="FRY129" s="54"/>
      <c r="FRZ129" s="54"/>
      <c r="FSA129" s="54"/>
      <c r="FSB129" s="54"/>
      <c r="FSC129" s="54"/>
      <c r="FSD129" s="54"/>
      <c r="FSE129" s="54"/>
      <c r="FSF129" s="54"/>
      <c r="FSG129" s="54"/>
      <c r="FSH129" s="54"/>
      <c r="FSI129" s="54"/>
      <c r="FSJ129" s="54"/>
      <c r="FSK129" s="54"/>
      <c r="FSL129" s="54"/>
      <c r="FSM129" s="54"/>
      <c r="FSN129" s="54"/>
      <c r="FSO129" s="54"/>
      <c r="FSP129" s="54"/>
      <c r="FSQ129" s="54"/>
      <c r="FSR129" s="54"/>
      <c r="FSS129" s="54"/>
      <c r="FST129" s="54"/>
      <c r="FSU129" s="54"/>
      <c r="FSV129" s="54"/>
      <c r="FSW129" s="54"/>
      <c r="FSX129" s="54"/>
      <c r="FSY129" s="54"/>
      <c r="FSZ129" s="54"/>
      <c r="FTA129" s="54"/>
      <c r="FTB129" s="54"/>
      <c r="FTC129" s="54"/>
      <c r="FTD129" s="54"/>
      <c r="FTE129" s="54"/>
      <c r="FTF129" s="54"/>
      <c r="FTG129" s="54"/>
      <c r="FTH129" s="54"/>
      <c r="FTI129" s="54"/>
      <c r="FTJ129" s="54"/>
      <c r="FTK129" s="54"/>
      <c r="FTL129" s="54"/>
      <c r="FTM129" s="54"/>
      <c r="FTN129" s="54"/>
      <c r="FTO129" s="54"/>
      <c r="FTP129" s="54"/>
      <c r="FTQ129" s="54"/>
      <c r="FTR129" s="54"/>
      <c r="FTS129" s="54"/>
      <c r="FTT129" s="54"/>
      <c r="FTU129" s="54"/>
      <c r="FTV129" s="54"/>
      <c r="FTW129" s="54"/>
      <c r="FTX129" s="54"/>
      <c r="FTY129" s="54"/>
      <c r="FTZ129" s="54"/>
      <c r="FUA129" s="54"/>
      <c r="FUB129" s="54"/>
      <c r="FUC129" s="54"/>
      <c r="FUD129" s="54"/>
      <c r="FUE129" s="54"/>
      <c r="FUF129" s="54"/>
      <c r="FUG129" s="54"/>
      <c r="FUH129" s="54"/>
      <c r="FUI129" s="54"/>
      <c r="FUJ129" s="54"/>
      <c r="FUK129" s="54"/>
      <c r="FUL129" s="54"/>
      <c r="FUM129" s="54"/>
      <c r="FUN129" s="54"/>
      <c r="FUO129" s="54"/>
      <c r="FUP129" s="54"/>
      <c r="FUQ129" s="54"/>
      <c r="FUR129" s="54"/>
      <c r="FUS129" s="54"/>
      <c r="FUT129" s="54"/>
      <c r="FUU129" s="54"/>
      <c r="FUV129" s="54"/>
      <c r="FUW129" s="54"/>
      <c r="FUX129" s="54"/>
      <c r="FUY129" s="54"/>
      <c r="FUZ129" s="54"/>
      <c r="FVA129" s="54"/>
      <c r="FVB129" s="54"/>
      <c r="FVC129" s="54"/>
      <c r="FVD129" s="54"/>
      <c r="FVE129" s="54"/>
      <c r="FVF129" s="54"/>
      <c r="FVG129" s="54"/>
      <c r="FVH129" s="54"/>
      <c r="FVI129" s="54"/>
      <c r="FVJ129" s="54"/>
      <c r="FVK129" s="54"/>
      <c r="FVL129" s="54"/>
      <c r="FVM129" s="54"/>
      <c r="FVN129" s="54"/>
      <c r="FVO129" s="54"/>
      <c r="FVP129" s="54"/>
      <c r="FVQ129" s="54"/>
      <c r="FVR129" s="54"/>
      <c r="FVS129" s="54"/>
      <c r="FVT129" s="54"/>
      <c r="FVU129" s="54"/>
      <c r="FVV129" s="54"/>
      <c r="FVW129" s="54"/>
      <c r="FVX129" s="54"/>
      <c r="FVY129" s="54"/>
      <c r="FVZ129" s="54"/>
      <c r="FWA129" s="54"/>
      <c r="FWB129" s="54"/>
      <c r="FWC129" s="54"/>
      <c r="FWD129" s="54"/>
      <c r="FWE129" s="54"/>
      <c r="FWF129" s="54"/>
      <c r="FWG129" s="54"/>
      <c r="FWH129" s="54"/>
      <c r="FWI129" s="54"/>
      <c r="FWJ129" s="54"/>
      <c r="FWK129" s="54"/>
      <c r="FWL129" s="54"/>
      <c r="FWM129" s="54"/>
      <c r="FWN129" s="54"/>
      <c r="FWO129" s="54"/>
      <c r="FWP129" s="54"/>
      <c r="FWQ129" s="54"/>
      <c r="FWR129" s="54"/>
      <c r="FWS129" s="54"/>
      <c r="FWT129" s="54"/>
      <c r="FWU129" s="54"/>
      <c r="FWV129" s="54"/>
      <c r="FWW129" s="54"/>
      <c r="FWX129" s="54"/>
      <c r="FWY129" s="54"/>
      <c r="FWZ129" s="54"/>
      <c r="FXA129" s="54"/>
      <c r="FXB129" s="54"/>
      <c r="FXC129" s="54"/>
      <c r="FXD129" s="54"/>
      <c r="FXE129" s="54"/>
      <c r="FXF129" s="54"/>
      <c r="FXG129" s="54"/>
      <c r="FXH129" s="54"/>
      <c r="FXI129" s="54"/>
      <c r="FXJ129" s="54"/>
      <c r="FXK129" s="54"/>
      <c r="FXL129" s="54"/>
      <c r="FXM129" s="54"/>
      <c r="FXN129" s="54"/>
      <c r="FXO129" s="54"/>
      <c r="FXP129" s="54"/>
      <c r="FXQ129" s="54"/>
      <c r="FXR129" s="54"/>
      <c r="FXS129" s="54"/>
      <c r="FXT129" s="54"/>
      <c r="FXU129" s="54"/>
      <c r="FXV129" s="54"/>
      <c r="FXW129" s="54"/>
      <c r="FXX129" s="54"/>
      <c r="FXY129" s="54"/>
      <c r="FXZ129" s="54"/>
      <c r="FYA129" s="54"/>
      <c r="FYB129" s="54"/>
      <c r="FYC129" s="54"/>
      <c r="FYD129" s="54"/>
      <c r="FYE129" s="54"/>
      <c r="FYF129" s="54"/>
      <c r="FYG129" s="54"/>
      <c r="FYH129" s="54"/>
      <c r="FYI129" s="54"/>
      <c r="FYJ129" s="54"/>
      <c r="FYK129" s="54"/>
      <c r="FYL129" s="54"/>
      <c r="FYM129" s="54"/>
      <c r="FYN129" s="54"/>
      <c r="FYO129" s="54"/>
      <c r="FYP129" s="54"/>
      <c r="FYQ129" s="54"/>
      <c r="FYR129" s="54"/>
      <c r="FYS129" s="54"/>
      <c r="FYT129" s="54"/>
      <c r="FYU129" s="54"/>
      <c r="FYV129" s="54"/>
      <c r="FYW129" s="54"/>
      <c r="FYX129" s="54"/>
      <c r="FYY129" s="54"/>
      <c r="FYZ129" s="54"/>
      <c r="FZA129" s="54"/>
      <c r="FZB129" s="54"/>
      <c r="FZC129" s="54"/>
      <c r="FZD129" s="54"/>
      <c r="FZE129" s="54"/>
      <c r="FZF129" s="54"/>
      <c r="FZG129" s="54"/>
      <c r="FZH129" s="54"/>
      <c r="FZI129" s="54"/>
      <c r="FZJ129" s="54"/>
      <c r="FZK129" s="54"/>
      <c r="FZL129" s="54"/>
      <c r="FZM129" s="54"/>
      <c r="FZN129" s="54"/>
      <c r="FZO129" s="54"/>
      <c r="FZP129" s="54"/>
      <c r="FZQ129" s="54"/>
      <c r="FZR129" s="54"/>
      <c r="FZS129" s="54"/>
      <c r="FZT129" s="54"/>
      <c r="FZU129" s="54"/>
      <c r="FZV129" s="54"/>
      <c r="FZW129" s="54"/>
      <c r="FZX129" s="54"/>
      <c r="FZY129" s="54"/>
      <c r="FZZ129" s="54"/>
      <c r="GAA129" s="54"/>
      <c r="GAB129" s="54"/>
      <c r="GAC129" s="54"/>
      <c r="GAD129" s="54"/>
      <c r="GAE129" s="54"/>
      <c r="GAF129" s="54"/>
      <c r="GAG129" s="54"/>
      <c r="GAH129" s="54"/>
      <c r="GAI129" s="54"/>
      <c r="GAJ129" s="54"/>
      <c r="GAK129" s="54"/>
      <c r="GAL129" s="54"/>
      <c r="GAM129" s="54"/>
      <c r="GAN129" s="54"/>
      <c r="GAO129" s="54"/>
      <c r="GAP129" s="54"/>
      <c r="GAQ129" s="54"/>
      <c r="GAR129" s="54"/>
      <c r="GAS129" s="54"/>
      <c r="GAT129" s="54"/>
      <c r="GAU129" s="54"/>
      <c r="GAV129" s="54"/>
      <c r="GAW129" s="54"/>
      <c r="GAX129" s="54"/>
      <c r="GAY129" s="54"/>
      <c r="GAZ129" s="54"/>
      <c r="GBA129" s="54"/>
      <c r="GBB129" s="54"/>
      <c r="GBC129" s="54"/>
      <c r="GBD129" s="54"/>
      <c r="GBE129" s="54"/>
      <c r="GBF129" s="54"/>
      <c r="GBG129" s="54"/>
      <c r="GBH129" s="54"/>
      <c r="GBI129" s="54"/>
      <c r="GBJ129" s="54"/>
      <c r="GBK129" s="54"/>
      <c r="GBL129" s="54"/>
      <c r="GBM129" s="54"/>
      <c r="GBN129" s="54"/>
      <c r="GBO129" s="54"/>
      <c r="GBP129" s="54"/>
      <c r="GBQ129" s="54"/>
      <c r="GBR129" s="54"/>
      <c r="GBS129" s="54"/>
      <c r="GBT129" s="54"/>
      <c r="GBU129" s="54"/>
      <c r="GBV129" s="54"/>
      <c r="GBW129" s="54"/>
      <c r="GBX129" s="54"/>
      <c r="GBY129" s="54"/>
      <c r="GBZ129" s="54"/>
      <c r="GCA129" s="54"/>
      <c r="GCB129" s="54"/>
      <c r="GCC129" s="54"/>
      <c r="GCD129" s="54"/>
      <c r="GCE129" s="54"/>
      <c r="GCF129" s="54"/>
      <c r="GCG129" s="54"/>
      <c r="GCH129" s="54"/>
      <c r="GCI129" s="54"/>
      <c r="GCJ129" s="54"/>
      <c r="GCK129" s="54"/>
      <c r="GCL129" s="54"/>
      <c r="GCM129" s="54"/>
      <c r="GCN129" s="54"/>
      <c r="GCO129" s="54"/>
      <c r="GCP129" s="54"/>
      <c r="GCQ129" s="54"/>
      <c r="GCR129" s="54"/>
      <c r="GCS129" s="54"/>
      <c r="GCT129" s="54"/>
      <c r="GCU129" s="54"/>
      <c r="GCV129" s="54"/>
      <c r="GCW129" s="54"/>
      <c r="GCX129" s="54"/>
      <c r="GCY129" s="54"/>
      <c r="GCZ129" s="54"/>
      <c r="GDA129" s="54"/>
      <c r="GDB129" s="54"/>
      <c r="GDC129" s="54"/>
      <c r="GDD129" s="54"/>
      <c r="GDE129" s="54"/>
      <c r="GDF129" s="54"/>
      <c r="GDG129" s="54"/>
      <c r="GDH129" s="54"/>
      <c r="GDI129" s="54"/>
      <c r="GDJ129" s="54"/>
      <c r="GDK129" s="54"/>
      <c r="GDL129" s="54"/>
      <c r="GDM129" s="54"/>
      <c r="GDN129" s="54"/>
      <c r="GDO129" s="54"/>
      <c r="GDP129" s="54"/>
      <c r="GDQ129" s="54"/>
      <c r="GDR129" s="54"/>
      <c r="GDS129" s="54"/>
      <c r="GDT129" s="54"/>
      <c r="GDU129" s="54"/>
      <c r="GDV129" s="54"/>
      <c r="GDW129" s="54"/>
      <c r="GDX129" s="54"/>
      <c r="GDY129" s="54"/>
      <c r="GDZ129" s="54"/>
      <c r="GEA129" s="54"/>
      <c r="GEB129" s="54"/>
      <c r="GEC129" s="54"/>
      <c r="GED129" s="54"/>
      <c r="GEE129" s="54"/>
      <c r="GEF129" s="54"/>
      <c r="GEG129" s="54"/>
      <c r="GEH129" s="54"/>
      <c r="GEI129" s="54"/>
      <c r="GEJ129" s="54"/>
      <c r="GEK129" s="54"/>
      <c r="GEL129" s="54"/>
      <c r="GEM129" s="54"/>
      <c r="GEN129" s="54"/>
      <c r="GEO129" s="54"/>
      <c r="GEP129" s="54"/>
      <c r="GEQ129" s="54"/>
      <c r="GER129" s="54"/>
      <c r="GES129" s="54"/>
      <c r="GET129" s="54"/>
      <c r="GEU129" s="54"/>
      <c r="GEV129" s="54"/>
      <c r="GEW129" s="54"/>
      <c r="GEX129" s="54"/>
      <c r="GEY129" s="54"/>
      <c r="GEZ129" s="54"/>
      <c r="GFA129" s="54"/>
      <c r="GFB129" s="54"/>
      <c r="GFC129" s="54"/>
      <c r="GFD129" s="54"/>
      <c r="GFE129" s="54"/>
      <c r="GFF129" s="54"/>
      <c r="GFG129" s="54"/>
      <c r="GFH129" s="54"/>
      <c r="GFI129" s="54"/>
      <c r="GFJ129" s="54"/>
      <c r="GFK129" s="54"/>
      <c r="GFL129" s="54"/>
      <c r="GFM129" s="54"/>
      <c r="GFN129" s="54"/>
      <c r="GFO129" s="54"/>
      <c r="GFP129" s="54"/>
      <c r="GFQ129" s="54"/>
      <c r="GFR129" s="54"/>
      <c r="GFS129" s="54"/>
      <c r="GFT129" s="54"/>
      <c r="GFU129" s="54"/>
      <c r="GFV129" s="54"/>
      <c r="GFW129" s="54"/>
      <c r="GFX129" s="54"/>
      <c r="GFY129" s="54"/>
      <c r="GFZ129" s="54"/>
      <c r="GGA129" s="54"/>
      <c r="GGB129" s="54"/>
      <c r="GGC129" s="54"/>
      <c r="GGD129" s="54"/>
      <c r="GGE129" s="54"/>
      <c r="GGF129" s="54"/>
      <c r="GGG129" s="54"/>
      <c r="GGH129" s="54"/>
      <c r="GGI129" s="54"/>
      <c r="GGJ129" s="54"/>
      <c r="GGK129" s="54"/>
      <c r="GGL129" s="54"/>
      <c r="GGM129" s="54"/>
      <c r="GGN129" s="54"/>
      <c r="GGO129" s="54"/>
      <c r="GGP129" s="54"/>
      <c r="GGQ129" s="54"/>
      <c r="GGR129" s="54"/>
      <c r="GGS129" s="54"/>
      <c r="GGT129" s="54"/>
      <c r="GGU129" s="54"/>
      <c r="GGV129" s="54"/>
      <c r="GGW129" s="54"/>
      <c r="GGX129" s="54"/>
      <c r="GGY129" s="54"/>
      <c r="GGZ129" s="54"/>
      <c r="GHA129" s="54"/>
      <c r="GHB129" s="54"/>
      <c r="GHC129" s="54"/>
      <c r="GHD129" s="54"/>
      <c r="GHE129" s="54"/>
      <c r="GHF129" s="54"/>
      <c r="GHG129" s="54"/>
      <c r="GHH129" s="54"/>
      <c r="GHI129" s="54"/>
      <c r="GHJ129" s="54"/>
      <c r="GHK129" s="54"/>
      <c r="GHL129" s="54"/>
      <c r="GHM129" s="54"/>
      <c r="GHN129" s="54"/>
      <c r="GHO129" s="54"/>
      <c r="GHP129" s="54"/>
      <c r="GHQ129" s="54"/>
      <c r="GHR129" s="54"/>
      <c r="GHS129" s="54"/>
      <c r="GHT129" s="54"/>
      <c r="GHU129" s="54"/>
      <c r="GHV129" s="54"/>
      <c r="GHW129" s="54"/>
      <c r="GHX129" s="54"/>
      <c r="GHY129" s="54"/>
      <c r="GHZ129" s="54"/>
      <c r="GIA129" s="54"/>
      <c r="GIB129" s="54"/>
      <c r="GIC129" s="54"/>
      <c r="GID129" s="54"/>
      <c r="GIE129" s="54"/>
      <c r="GIF129" s="54"/>
      <c r="GIG129" s="54"/>
      <c r="GIH129" s="54"/>
      <c r="GII129" s="54"/>
      <c r="GIJ129" s="54"/>
      <c r="GIK129" s="54"/>
      <c r="GIL129" s="54"/>
      <c r="GIM129" s="54"/>
      <c r="GIN129" s="54"/>
      <c r="GIO129" s="54"/>
      <c r="GIP129" s="54"/>
      <c r="GIQ129" s="54"/>
      <c r="GIR129" s="54"/>
      <c r="GIS129" s="54"/>
      <c r="GIT129" s="54"/>
      <c r="GIU129" s="54"/>
      <c r="GIV129" s="54"/>
      <c r="GIW129" s="54"/>
      <c r="GIX129" s="54"/>
      <c r="GIY129" s="54"/>
      <c r="GIZ129" s="54"/>
      <c r="GJA129" s="54"/>
      <c r="GJB129" s="54"/>
      <c r="GJC129" s="54"/>
      <c r="GJD129" s="54"/>
      <c r="GJE129" s="54"/>
      <c r="GJF129" s="54"/>
      <c r="GJG129" s="54"/>
      <c r="GJH129" s="54"/>
      <c r="GJI129" s="54"/>
      <c r="GJJ129" s="54"/>
      <c r="GJK129" s="54"/>
      <c r="GJL129" s="54"/>
      <c r="GJM129" s="54"/>
      <c r="GJN129" s="54"/>
      <c r="GJO129" s="54"/>
      <c r="GJP129" s="54"/>
      <c r="GJQ129" s="54"/>
      <c r="GJR129" s="54"/>
      <c r="GJS129" s="54"/>
      <c r="GJT129" s="54"/>
      <c r="GJU129" s="54"/>
      <c r="GJV129" s="54"/>
      <c r="GJW129" s="54"/>
      <c r="GJX129" s="54"/>
      <c r="GJY129" s="54"/>
      <c r="GJZ129" s="54"/>
      <c r="GKA129" s="54"/>
      <c r="GKB129" s="54"/>
      <c r="GKC129" s="54"/>
      <c r="GKD129" s="54"/>
      <c r="GKE129" s="54"/>
      <c r="GKF129" s="54"/>
      <c r="GKG129" s="54"/>
      <c r="GKH129" s="54"/>
      <c r="GKI129" s="54"/>
      <c r="GKJ129" s="54"/>
      <c r="GKK129" s="54"/>
      <c r="GKL129" s="54"/>
      <c r="GKM129" s="54"/>
      <c r="GKN129" s="54"/>
      <c r="GKO129" s="54"/>
      <c r="GKP129" s="54"/>
      <c r="GKQ129" s="54"/>
      <c r="GKR129" s="54"/>
      <c r="GKS129" s="54"/>
      <c r="GKT129" s="54"/>
      <c r="GKU129" s="54"/>
      <c r="GKV129" s="54"/>
      <c r="GKW129" s="54"/>
      <c r="GKX129" s="54"/>
      <c r="GKY129" s="54"/>
      <c r="GKZ129" s="54"/>
      <c r="GLA129" s="54"/>
      <c r="GLB129" s="54"/>
      <c r="GLC129" s="54"/>
      <c r="GLD129" s="54"/>
      <c r="GLE129" s="54"/>
      <c r="GLF129" s="54"/>
      <c r="GLG129" s="54"/>
      <c r="GLH129" s="54"/>
      <c r="GLI129" s="54"/>
      <c r="GLJ129" s="54"/>
      <c r="GLK129" s="54"/>
      <c r="GLL129" s="54"/>
      <c r="GLM129" s="54"/>
      <c r="GLN129" s="54"/>
      <c r="GLO129" s="54"/>
      <c r="GLP129" s="54"/>
      <c r="GLQ129" s="54"/>
      <c r="GLR129" s="54"/>
      <c r="GLS129" s="54"/>
      <c r="GLT129" s="54"/>
      <c r="GLU129" s="54"/>
      <c r="GLV129" s="54"/>
      <c r="GLW129" s="54"/>
      <c r="GLX129" s="54"/>
      <c r="GLY129" s="54"/>
      <c r="GLZ129" s="54"/>
      <c r="GMA129" s="54"/>
      <c r="GMB129" s="54"/>
      <c r="GMC129" s="54"/>
      <c r="GMD129" s="54"/>
      <c r="GME129" s="54"/>
      <c r="GMF129" s="54"/>
      <c r="GMG129" s="54"/>
      <c r="GMH129" s="54"/>
      <c r="GMI129" s="54"/>
      <c r="GMJ129" s="54"/>
      <c r="GMK129" s="54"/>
      <c r="GML129" s="54"/>
      <c r="GMM129" s="54"/>
      <c r="GMN129" s="54"/>
      <c r="GMO129" s="54"/>
      <c r="GMP129" s="54"/>
      <c r="GMQ129" s="54"/>
      <c r="GMR129" s="54"/>
      <c r="GMS129" s="54"/>
      <c r="GMT129" s="54"/>
      <c r="GMU129" s="54"/>
      <c r="GMV129" s="54"/>
      <c r="GMW129" s="54"/>
      <c r="GMX129" s="54"/>
      <c r="GMY129" s="54"/>
      <c r="GMZ129" s="54"/>
      <c r="GNA129" s="54"/>
      <c r="GNB129" s="54"/>
      <c r="GNC129" s="54"/>
      <c r="GND129" s="54"/>
      <c r="GNE129" s="54"/>
      <c r="GNF129" s="54"/>
      <c r="GNG129" s="54"/>
      <c r="GNH129" s="54"/>
      <c r="GNI129" s="54"/>
      <c r="GNJ129" s="54"/>
      <c r="GNK129" s="54"/>
      <c r="GNL129" s="54"/>
      <c r="GNM129" s="54"/>
      <c r="GNN129" s="54"/>
      <c r="GNO129" s="54"/>
      <c r="GNP129" s="54"/>
      <c r="GNQ129" s="54"/>
      <c r="GNR129" s="54"/>
      <c r="GNS129" s="54"/>
      <c r="GNT129" s="54"/>
      <c r="GNU129" s="54"/>
      <c r="GNV129" s="54"/>
      <c r="GNW129" s="54"/>
      <c r="GNX129" s="54"/>
      <c r="GNY129" s="54"/>
      <c r="GNZ129" s="54"/>
      <c r="GOA129" s="54"/>
      <c r="GOB129" s="54"/>
      <c r="GOC129" s="54"/>
      <c r="GOD129" s="54"/>
      <c r="GOE129" s="54"/>
      <c r="GOF129" s="54"/>
      <c r="GOG129" s="54"/>
      <c r="GOH129" s="54"/>
      <c r="GOI129" s="54"/>
      <c r="GOJ129" s="54"/>
      <c r="GOK129" s="54"/>
      <c r="GOL129" s="54"/>
      <c r="GOM129" s="54"/>
      <c r="GON129" s="54"/>
      <c r="GOO129" s="54"/>
      <c r="GOP129" s="54"/>
      <c r="GOQ129" s="54"/>
      <c r="GOR129" s="54"/>
      <c r="GOS129" s="54"/>
      <c r="GOT129" s="54"/>
      <c r="GOU129" s="54"/>
      <c r="GOV129" s="54"/>
      <c r="GOW129" s="54"/>
      <c r="GOX129" s="54"/>
      <c r="GOY129" s="54"/>
      <c r="GOZ129" s="54"/>
      <c r="GPA129" s="54"/>
      <c r="GPB129" s="54"/>
      <c r="GPC129" s="54"/>
      <c r="GPD129" s="54"/>
      <c r="GPE129" s="54"/>
      <c r="GPF129" s="54"/>
      <c r="GPG129" s="54"/>
      <c r="GPH129" s="54"/>
      <c r="GPI129" s="54"/>
      <c r="GPJ129" s="54"/>
      <c r="GPK129" s="54"/>
      <c r="GPL129" s="54"/>
      <c r="GPM129" s="54"/>
      <c r="GPN129" s="54"/>
      <c r="GPO129" s="54"/>
      <c r="GPP129" s="54"/>
      <c r="GPQ129" s="54"/>
      <c r="GPR129" s="54"/>
      <c r="GPS129" s="54"/>
      <c r="GPT129" s="54"/>
      <c r="GPU129" s="54"/>
      <c r="GPV129" s="54"/>
      <c r="GPW129" s="54"/>
      <c r="GPX129" s="54"/>
      <c r="GPY129" s="54"/>
      <c r="GPZ129" s="54"/>
      <c r="GQA129" s="54"/>
      <c r="GQB129" s="54"/>
      <c r="GQC129" s="54"/>
      <c r="GQD129" s="54"/>
      <c r="GQE129" s="54"/>
      <c r="GQF129" s="54"/>
      <c r="GQG129" s="54"/>
      <c r="GQH129" s="54"/>
      <c r="GQI129" s="54"/>
      <c r="GQJ129" s="54"/>
      <c r="GQK129" s="54"/>
      <c r="GQL129" s="54"/>
      <c r="GQM129" s="54"/>
      <c r="GQN129" s="54"/>
      <c r="GQO129" s="54"/>
      <c r="GQP129" s="54"/>
      <c r="GQQ129" s="54"/>
      <c r="GQR129" s="54"/>
      <c r="GQS129" s="54"/>
      <c r="GQT129" s="54"/>
      <c r="GQU129" s="54"/>
      <c r="GQV129" s="54"/>
      <c r="GQW129" s="54"/>
      <c r="GQX129" s="54"/>
      <c r="GQY129" s="54"/>
      <c r="GQZ129" s="54"/>
      <c r="GRA129" s="54"/>
      <c r="GRB129" s="54"/>
      <c r="GRC129" s="54"/>
      <c r="GRD129" s="54"/>
      <c r="GRE129" s="54"/>
      <c r="GRF129" s="54"/>
      <c r="GRG129" s="54"/>
      <c r="GRH129" s="54"/>
      <c r="GRI129" s="54"/>
      <c r="GRJ129" s="54"/>
      <c r="GRK129" s="54"/>
      <c r="GRL129" s="54"/>
      <c r="GRM129" s="54"/>
      <c r="GRN129" s="54"/>
      <c r="GRO129" s="54"/>
      <c r="GRP129" s="54"/>
      <c r="GRQ129" s="54"/>
      <c r="GRR129" s="54"/>
      <c r="GRS129" s="54"/>
      <c r="GRT129" s="54"/>
      <c r="GRU129" s="54"/>
      <c r="GRV129" s="54"/>
      <c r="GRW129" s="54"/>
      <c r="GRX129" s="54"/>
      <c r="GRY129" s="54"/>
      <c r="GRZ129" s="54"/>
      <c r="GSA129" s="54"/>
      <c r="GSB129" s="54"/>
      <c r="GSC129" s="54"/>
      <c r="GSD129" s="54"/>
      <c r="GSE129" s="54"/>
      <c r="GSF129" s="54"/>
      <c r="GSG129" s="54"/>
      <c r="GSH129" s="54"/>
      <c r="GSI129" s="54"/>
      <c r="GSJ129" s="54"/>
      <c r="GSK129" s="54"/>
      <c r="GSL129" s="54"/>
      <c r="GSM129" s="54"/>
      <c r="GSN129" s="54"/>
      <c r="GSO129" s="54"/>
      <c r="GSP129" s="54"/>
      <c r="GSQ129" s="54"/>
      <c r="GSR129" s="54"/>
      <c r="GSS129" s="54"/>
      <c r="GST129" s="54"/>
      <c r="GSU129" s="54"/>
      <c r="GSV129" s="54"/>
      <c r="GSW129" s="54"/>
      <c r="GSX129" s="54"/>
      <c r="GSY129" s="54"/>
      <c r="GSZ129" s="54"/>
      <c r="GTA129" s="54"/>
      <c r="GTB129" s="54"/>
      <c r="GTC129" s="54"/>
      <c r="GTD129" s="54"/>
      <c r="GTE129" s="54"/>
      <c r="GTF129" s="54"/>
      <c r="GTG129" s="54"/>
      <c r="GTH129" s="54"/>
      <c r="GTI129" s="54"/>
      <c r="GTJ129" s="54"/>
      <c r="GTK129" s="54"/>
      <c r="GTL129" s="54"/>
      <c r="GTM129" s="54"/>
      <c r="GTN129" s="54"/>
      <c r="GTO129" s="54"/>
      <c r="GTP129" s="54"/>
      <c r="GTQ129" s="54"/>
      <c r="GTR129" s="54"/>
      <c r="GTS129" s="54"/>
      <c r="GTT129" s="54"/>
      <c r="GTU129" s="54"/>
      <c r="GTV129" s="54"/>
      <c r="GTW129" s="54"/>
      <c r="GTX129" s="54"/>
      <c r="GTY129" s="54"/>
      <c r="GTZ129" s="54"/>
      <c r="GUA129" s="54"/>
      <c r="GUB129" s="54"/>
      <c r="GUC129" s="54"/>
      <c r="GUD129" s="54"/>
      <c r="GUE129" s="54"/>
      <c r="GUF129" s="54"/>
      <c r="GUG129" s="54"/>
      <c r="GUH129" s="54"/>
      <c r="GUI129" s="54"/>
      <c r="GUJ129" s="54"/>
      <c r="GUK129" s="54"/>
      <c r="GUL129" s="54"/>
      <c r="GUM129" s="54"/>
      <c r="GUN129" s="54"/>
      <c r="GUO129" s="54"/>
      <c r="GUP129" s="54"/>
      <c r="GUQ129" s="54"/>
      <c r="GUR129" s="54"/>
      <c r="GUS129" s="54"/>
      <c r="GUT129" s="54"/>
      <c r="GUU129" s="54"/>
      <c r="GUV129" s="54"/>
      <c r="GUW129" s="54"/>
      <c r="GUX129" s="54"/>
      <c r="GUY129" s="54"/>
      <c r="GUZ129" s="54"/>
      <c r="GVA129" s="54"/>
      <c r="GVB129" s="54"/>
      <c r="GVC129" s="54"/>
      <c r="GVD129" s="54"/>
      <c r="GVE129" s="54"/>
      <c r="GVF129" s="54"/>
      <c r="GVG129" s="54"/>
      <c r="GVH129" s="54"/>
      <c r="GVI129" s="54"/>
      <c r="GVJ129" s="54"/>
      <c r="GVK129" s="54"/>
      <c r="GVL129" s="54"/>
      <c r="GVM129" s="54"/>
      <c r="GVN129" s="54"/>
      <c r="GVO129" s="54"/>
      <c r="GVP129" s="54"/>
      <c r="GVQ129" s="54"/>
      <c r="GVR129" s="54"/>
      <c r="GVS129" s="54"/>
      <c r="GVT129" s="54"/>
      <c r="GVU129" s="54"/>
      <c r="GVV129" s="54"/>
      <c r="GVW129" s="54"/>
      <c r="GVX129" s="54"/>
      <c r="GVY129" s="54"/>
      <c r="GVZ129" s="54"/>
      <c r="GWA129" s="54"/>
      <c r="GWB129" s="54"/>
      <c r="GWC129" s="54"/>
      <c r="GWD129" s="54"/>
      <c r="GWE129" s="54"/>
      <c r="GWF129" s="54"/>
      <c r="GWG129" s="54"/>
      <c r="GWH129" s="54"/>
      <c r="GWI129" s="54"/>
      <c r="GWJ129" s="54"/>
      <c r="GWK129" s="54"/>
      <c r="GWL129" s="54"/>
      <c r="GWM129" s="54"/>
      <c r="GWN129" s="54"/>
      <c r="GWO129" s="54"/>
      <c r="GWP129" s="54"/>
      <c r="GWQ129" s="54"/>
      <c r="GWR129" s="54"/>
      <c r="GWS129" s="54"/>
      <c r="GWT129" s="54"/>
      <c r="GWU129" s="54"/>
      <c r="GWV129" s="54"/>
      <c r="GWW129" s="54"/>
      <c r="GWX129" s="54"/>
      <c r="GWY129" s="54"/>
      <c r="GWZ129" s="54"/>
      <c r="GXA129" s="54"/>
      <c r="GXB129" s="54"/>
      <c r="GXC129" s="54"/>
      <c r="GXD129" s="54"/>
      <c r="GXE129" s="54"/>
      <c r="GXF129" s="54"/>
      <c r="GXG129" s="54"/>
      <c r="GXH129" s="54"/>
      <c r="GXI129" s="54"/>
      <c r="GXJ129" s="54"/>
      <c r="GXK129" s="54"/>
      <c r="GXL129" s="54"/>
      <c r="GXM129" s="54"/>
      <c r="GXN129" s="54"/>
      <c r="GXO129" s="54"/>
      <c r="GXP129" s="54"/>
      <c r="GXQ129" s="54"/>
      <c r="GXR129" s="54"/>
      <c r="GXS129" s="54"/>
      <c r="GXT129" s="54"/>
      <c r="GXU129" s="54"/>
      <c r="GXV129" s="54"/>
      <c r="GXW129" s="54"/>
      <c r="GXX129" s="54"/>
      <c r="GXY129" s="54"/>
      <c r="GXZ129" s="54"/>
      <c r="GYA129" s="54"/>
      <c r="GYB129" s="54"/>
      <c r="GYC129" s="54"/>
      <c r="GYD129" s="54"/>
      <c r="GYE129" s="54"/>
      <c r="GYF129" s="54"/>
      <c r="GYG129" s="54"/>
      <c r="GYH129" s="54"/>
      <c r="GYI129" s="54"/>
      <c r="GYJ129" s="54"/>
      <c r="GYK129" s="54"/>
      <c r="GYL129" s="54"/>
      <c r="GYM129" s="54"/>
      <c r="GYN129" s="54"/>
      <c r="GYO129" s="54"/>
      <c r="GYP129" s="54"/>
      <c r="GYQ129" s="54"/>
      <c r="GYR129" s="54"/>
      <c r="GYS129" s="54"/>
      <c r="GYT129" s="54"/>
      <c r="GYU129" s="54"/>
      <c r="GYV129" s="54"/>
      <c r="GYW129" s="54"/>
      <c r="GYX129" s="54"/>
      <c r="GYY129" s="54"/>
      <c r="GYZ129" s="54"/>
      <c r="GZA129" s="54"/>
      <c r="GZB129" s="54"/>
      <c r="GZC129" s="54"/>
      <c r="GZD129" s="54"/>
      <c r="GZE129" s="54"/>
      <c r="GZF129" s="54"/>
      <c r="GZG129" s="54"/>
      <c r="GZH129" s="54"/>
      <c r="GZI129" s="54"/>
      <c r="GZJ129" s="54"/>
      <c r="GZK129" s="54"/>
      <c r="GZL129" s="54"/>
      <c r="GZM129" s="54"/>
      <c r="GZN129" s="54"/>
      <c r="GZO129" s="54"/>
      <c r="GZP129" s="54"/>
      <c r="GZQ129" s="54"/>
      <c r="GZR129" s="54"/>
      <c r="GZS129" s="54"/>
      <c r="GZT129" s="54"/>
      <c r="GZU129" s="54"/>
      <c r="GZV129" s="54"/>
      <c r="GZW129" s="54"/>
      <c r="GZX129" s="54"/>
      <c r="GZY129" s="54"/>
      <c r="GZZ129" s="54"/>
      <c r="HAA129" s="54"/>
      <c r="HAB129" s="54"/>
      <c r="HAC129" s="54"/>
      <c r="HAD129" s="54"/>
      <c r="HAE129" s="54"/>
      <c r="HAF129" s="54"/>
      <c r="HAG129" s="54"/>
      <c r="HAH129" s="54"/>
      <c r="HAI129" s="54"/>
      <c r="HAJ129" s="54"/>
      <c r="HAK129" s="54"/>
      <c r="HAL129" s="54"/>
      <c r="HAM129" s="54"/>
      <c r="HAN129" s="54"/>
      <c r="HAO129" s="54"/>
      <c r="HAP129" s="54"/>
      <c r="HAQ129" s="54"/>
      <c r="HAR129" s="54"/>
      <c r="HAS129" s="54"/>
      <c r="HAT129" s="54"/>
      <c r="HAU129" s="54"/>
      <c r="HAV129" s="54"/>
      <c r="HAW129" s="54"/>
      <c r="HAX129" s="54"/>
      <c r="HAY129" s="54"/>
      <c r="HAZ129" s="54"/>
      <c r="HBA129" s="54"/>
      <c r="HBB129" s="54"/>
      <c r="HBC129" s="54"/>
      <c r="HBD129" s="54"/>
      <c r="HBE129" s="54"/>
      <c r="HBF129" s="54"/>
      <c r="HBG129" s="54"/>
      <c r="HBH129" s="54"/>
      <c r="HBI129" s="54"/>
      <c r="HBJ129" s="54"/>
      <c r="HBK129" s="54"/>
      <c r="HBL129" s="54"/>
      <c r="HBM129" s="54"/>
      <c r="HBN129" s="54"/>
      <c r="HBO129" s="54"/>
      <c r="HBP129" s="54"/>
      <c r="HBQ129" s="54"/>
      <c r="HBR129" s="54"/>
      <c r="HBS129" s="54"/>
      <c r="HBT129" s="54"/>
      <c r="HBU129" s="54"/>
      <c r="HBV129" s="54"/>
      <c r="HBW129" s="54"/>
      <c r="HBX129" s="54"/>
      <c r="HBY129" s="54"/>
      <c r="HBZ129" s="54"/>
      <c r="HCA129" s="54"/>
      <c r="HCB129" s="54"/>
      <c r="HCC129" s="54"/>
      <c r="HCD129" s="54"/>
      <c r="HCE129" s="54"/>
      <c r="HCF129" s="54"/>
      <c r="HCG129" s="54"/>
      <c r="HCH129" s="54"/>
      <c r="HCI129" s="54"/>
      <c r="HCJ129" s="54"/>
      <c r="HCK129" s="54"/>
      <c r="HCL129" s="54"/>
      <c r="HCM129" s="54"/>
      <c r="HCN129" s="54"/>
      <c r="HCO129" s="54"/>
      <c r="HCP129" s="54"/>
      <c r="HCQ129" s="54"/>
      <c r="HCR129" s="54"/>
      <c r="HCS129" s="54"/>
      <c r="HCT129" s="54"/>
      <c r="HCU129" s="54"/>
      <c r="HCV129" s="54"/>
      <c r="HCW129" s="54"/>
      <c r="HCX129" s="54"/>
      <c r="HCY129" s="54"/>
      <c r="HCZ129" s="54"/>
      <c r="HDA129" s="54"/>
      <c r="HDB129" s="54"/>
      <c r="HDC129" s="54"/>
      <c r="HDD129" s="54"/>
      <c r="HDE129" s="54"/>
      <c r="HDF129" s="54"/>
      <c r="HDG129" s="54"/>
      <c r="HDH129" s="54"/>
      <c r="HDI129" s="54"/>
      <c r="HDJ129" s="54"/>
      <c r="HDK129" s="54"/>
      <c r="HDL129" s="54"/>
      <c r="HDM129" s="54"/>
      <c r="HDN129" s="54"/>
      <c r="HDO129" s="54"/>
      <c r="HDP129" s="54"/>
      <c r="HDQ129" s="54"/>
      <c r="HDR129" s="54"/>
      <c r="HDS129" s="54"/>
      <c r="HDT129" s="54"/>
      <c r="HDU129" s="54"/>
      <c r="HDV129" s="54"/>
      <c r="HDW129" s="54"/>
      <c r="HDX129" s="54"/>
      <c r="HDY129" s="54"/>
      <c r="HDZ129" s="54"/>
      <c r="HEA129" s="54"/>
      <c r="HEB129" s="54"/>
      <c r="HEC129" s="54"/>
      <c r="HED129" s="54"/>
      <c r="HEE129" s="54"/>
      <c r="HEF129" s="54"/>
      <c r="HEG129" s="54"/>
      <c r="HEH129" s="54"/>
      <c r="HEI129" s="54"/>
      <c r="HEJ129" s="54"/>
      <c r="HEK129" s="54"/>
      <c r="HEL129" s="54"/>
      <c r="HEM129" s="54"/>
      <c r="HEN129" s="54"/>
      <c r="HEO129" s="54"/>
      <c r="HEP129" s="54"/>
      <c r="HEQ129" s="54"/>
      <c r="HER129" s="54"/>
      <c r="HES129" s="54"/>
      <c r="HET129" s="54"/>
      <c r="HEU129" s="54"/>
      <c r="HEV129" s="54"/>
      <c r="HEW129" s="54"/>
      <c r="HEX129" s="54"/>
      <c r="HEY129" s="54"/>
      <c r="HEZ129" s="54"/>
      <c r="HFA129" s="54"/>
      <c r="HFB129" s="54"/>
      <c r="HFC129" s="54"/>
      <c r="HFD129" s="54"/>
      <c r="HFE129" s="54"/>
      <c r="HFF129" s="54"/>
      <c r="HFG129" s="54"/>
      <c r="HFH129" s="54"/>
      <c r="HFI129" s="54"/>
      <c r="HFJ129" s="54"/>
      <c r="HFK129" s="54"/>
      <c r="HFL129" s="54"/>
      <c r="HFM129" s="54"/>
      <c r="HFN129" s="54"/>
      <c r="HFO129" s="54"/>
      <c r="HFP129" s="54"/>
      <c r="HFQ129" s="54"/>
      <c r="HFR129" s="54"/>
      <c r="HFS129" s="54"/>
      <c r="HFT129" s="54"/>
      <c r="HFU129" s="54"/>
      <c r="HFV129" s="54"/>
      <c r="HFW129" s="54"/>
      <c r="HFX129" s="54"/>
      <c r="HFY129" s="54"/>
      <c r="HFZ129" s="54"/>
      <c r="HGA129" s="54"/>
      <c r="HGB129" s="54"/>
      <c r="HGC129" s="54"/>
      <c r="HGD129" s="54"/>
      <c r="HGE129" s="54"/>
      <c r="HGF129" s="54"/>
      <c r="HGG129" s="54"/>
      <c r="HGH129" s="54"/>
      <c r="HGI129" s="54"/>
      <c r="HGJ129" s="54"/>
      <c r="HGK129" s="54"/>
      <c r="HGL129" s="54"/>
      <c r="HGM129" s="54"/>
      <c r="HGN129" s="54"/>
      <c r="HGO129" s="54"/>
      <c r="HGP129" s="54"/>
      <c r="HGQ129" s="54"/>
      <c r="HGR129" s="54"/>
      <c r="HGS129" s="54"/>
      <c r="HGT129" s="54"/>
      <c r="HGU129" s="54"/>
      <c r="HGV129" s="54"/>
      <c r="HGW129" s="54"/>
      <c r="HGX129" s="54"/>
      <c r="HGY129" s="54"/>
      <c r="HGZ129" s="54"/>
      <c r="HHA129" s="54"/>
      <c r="HHB129" s="54"/>
      <c r="HHC129" s="54"/>
      <c r="HHD129" s="54"/>
      <c r="HHE129" s="54"/>
      <c r="HHF129" s="54"/>
      <c r="HHG129" s="54"/>
      <c r="HHH129" s="54"/>
      <c r="HHI129" s="54"/>
      <c r="HHJ129" s="54"/>
      <c r="HHK129" s="54"/>
      <c r="HHL129" s="54"/>
      <c r="HHM129" s="54"/>
      <c r="HHN129" s="54"/>
      <c r="HHO129" s="54"/>
      <c r="HHP129" s="54"/>
      <c r="HHQ129" s="54"/>
      <c r="HHR129" s="54"/>
      <c r="HHS129" s="54"/>
      <c r="HHT129" s="54"/>
      <c r="HHU129" s="54"/>
      <c r="HHV129" s="54"/>
      <c r="HHW129" s="54"/>
      <c r="HHX129" s="54"/>
      <c r="HHY129" s="54"/>
      <c r="HHZ129" s="54"/>
      <c r="HIA129" s="54"/>
      <c r="HIB129" s="54"/>
      <c r="HIC129" s="54"/>
      <c r="HID129" s="54"/>
      <c r="HIE129" s="54"/>
      <c r="HIF129" s="54"/>
      <c r="HIG129" s="54"/>
      <c r="HIH129" s="54"/>
      <c r="HII129" s="54"/>
      <c r="HIJ129" s="54"/>
      <c r="HIK129" s="54"/>
      <c r="HIL129" s="54"/>
      <c r="HIM129" s="54"/>
      <c r="HIN129" s="54"/>
      <c r="HIO129" s="54"/>
      <c r="HIP129" s="54"/>
      <c r="HIQ129" s="54"/>
      <c r="HIR129" s="54"/>
      <c r="HIS129" s="54"/>
      <c r="HIT129" s="54"/>
      <c r="HIU129" s="54"/>
      <c r="HIV129" s="54"/>
      <c r="HIW129" s="54"/>
      <c r="HIX129" s="54"/>
      <c r="HIY129" s="54"/>
      <c r="HIZ129" s="54"/>
      <c r="HJA129" s="54"/>
      <c r="HJB129" s="54"/>
      <c r="HJC129" s="54"/>
      <c r="HJD129" s="54"/>
      <c r="HJE129" s="54"/>
      <c r="HJF129" s="54"/>
      <c r="HJG129" s="54"/>
      <c r="HJH129" s="54"/>
      <c r="HJI129" s="54"/>
      <c r="HJJ129" s="54"/>
      <c r="HJK129" s="54"/>
      <c r="HJL129" s="54"/>
      <c r="HJM129" s="54"/>
      <c r="HJN129" s="54"/>
      <c r="HJO129" s="54"/>
      <c r="HJP129" s="54"/>
      <c r="HJQ129" s="54"/>
      <c r="HJR129" s="54"/>
      <c r="HJS129" s="54"/>
      <c r="HJT129" s="54"/>
      <c r="HJU129" s="54"/>
      <c r="HJV129" s="54"/>
      <c r="HJW129" s="54"/>
      <c r="HJX129" s="54"/>
      <c r="HJY129" s="54"/>
      <c r="HJZ129" s="54"/>
      <c r="HKA129" s="54"/>
      <c r="HKB129" s="54"/>
      <c r="HKC129" s="54"/>
      <c r="HKD129" s="54"/>
      <c r="HKE129" s="54"/>
      <c r="HKF129" s="54"/>
      <c r="HKG129" s="54"/>
      <c r="HKH129" s="54"/>
      <c r="HKI129" s="54"/>
      <c r="HKJ129" s="54"/>
      <c r="HKK129" s="54"/>
      <c r="HKL129" s="54"/>
      <c r="HKM129" s="54"/>
      <c r="HKN129" s="54"/>
      <c r="HKO129" s="54"/>
      <c r="HKP129" s="54"/>
      <c r="HKQ129" s="54"/>
      <c r="HKR129" s="54"/>
      <c r="HKS129" s="54"/>
      <c r="HKT129" s="54"/>
      <c r="HKU129" s="54"/>
      <c r="HKV129" s="54"/>
      <c r="HKW129" s="54"/>
      <c r="HKX129" s="54"/>
      <c r="HKY129" s="54"/>
      <c r="HKZ129" s="54"/>
      <c r="HLA129" s="54"/>
      <c r="HLB129" s="54"/>
      <c r="HLC129" s="54"/>
      <c r="HLD129" s="54"/>
      <c r="HLE129" s="54"/>
      <c r="HLF129" s="54"/>
      <c r="HLG129" s="54"/>
      <c r="HLH129" s="54"/>
      <c r="HLI129" s="54"/>
      <c r="HLJ129" s="54"/>
      <c r="HLK129" s="54"/>
      <c r="HLL129" s="54"/>
      <c r="HLM129" s="54"/>
      <c r="HLN129" s="54"/>
      <c r="HLO129" s="54"/>
      <c r="HLP129" s="54"/>
      <c r="HLQ129" s="54"/>
      <c r="HLR129" s="54"/>
      <c r="HLS129" s="54"/>
      <c r="HLT129" s="54"/>
      <c r="HLU129" s="54"/>
      <c r="HLV129" s="54"/>
      <c r="HLW129" s="54"/>
      <c r="HLX129" s="54"/>
      <c r="HLY129" s="54"/>
      <c r="HLZ129" s="54"/>
      <c r="HMA129" s="54"/>
      <c r="HMB129" s="54"/>
      <c r="HMC129" s="54"/>
      <c r="HMD129" s="54"/>
      <c r="HME129" s="54"/>
      <c r="HMF129" s="54"/>
      <c r="HMG129" s="54"/>
      <c r="HMH129" s="54"/>
      <c r="HMI129" s="54"/>
      <c r="HMJ129" s="54"/>
      <c r="HMK129" s="54"/>
      <c r="HML129" s="54"/>
      <c r="HMM129" s="54"/>
      <c r="HMN129" s="54"/>
      <c r="HMO129" s="54"/>
      <c r="HMP129" s="54"/>
      <c r="HMQ129" s="54"/>
      <c r="HMR129" s="54"/>
      <c r="HMS129" s="54"/>
      <c r="HMT129" s="54"/>
      <c r="HMU129" s="54"/>
      <c r="HMV129" s="54"/>
      <c r="HMW129" s="54"/>
      <c r="HMX129" s="54"/>
      <c r="HMY129" s="54"/>
      <c r="HMZ129" s="54"/>
      <c r="HNA129" s="54"/>
      <c r="HNB129" s="54"/>
      <c r="HNC129" s="54"/>
      <c r="HND129" s="54"/>
      <c r="HNE129" s="54"/>
      <c r="HNF129" s="54"/>
      <c r="HNG129" s="54"/>
      <c r="HNH129" s="54"/>
      <c r="HNI129" s="54"/>
      <c r="HNJ129" s="54"/>
      <c r="HNK129" s="54"/>
      <c r="HNL129" s="54"/>
      <c r="HNM129" s="54"/>
      <c r="HNN129" s="54"/>
      <c r="HNO129" s="54"/>
      <c r="HNP129" s="54"/>
      <c r="HNQ129" s="54"/>
      <c r="HNR129" s="54"/>
      <c r="HNS129" s="54"/>
      <c r="HNT129" s="54"/>
      <c r="HNU129" s="54"/>
      <c r="HNV129" s="54"/>
      <c r="HNW129" s="54"/>
      <c r="HNX129" s="54"/>
      <c r="HNY129" s="54"/>
      <c r="HNZ129" s="54"/>
      <c r="HOA129" s="54"/>
      <c r="HOB129" s="54"/>
      <c r="HOC129" s="54"/>
      <c r="HOD129" s="54"/>
      <c r="HOE129" s="54"/>
      <c r="HOF129" s="54"/>
      <c r="HOG129" s="54"/>
      <c r="HOH129" s="54"/>
      <c r="HOI129" s="54"/>
      <c r="HOJ129" s="54"/>
      <c r="HOK129" s="54"/>
      <c r="HOL129" s="54"/>
      <c r="HOM129" s="54"/>
      <c r="HON129" s="54"/>
      <c r="HOO129" s="54"/>
      <c r="HOP129" s="54"/>
      <c r="HOQ129" s="54"/>
      <c r="HOR129" s="54"/>
      <c r="HOS129" s="54"/>
      <c r="HOT129" s="54"/>
      <c r="HOU129" s="54"/>
      <c r="HOV129" s="54"/>
      <c r="HOW129" s="54"/>
      <c r="HOX129" s="54"/>
      <c r="HOY129" s="54"/>
      <c r="HOZ129" s="54"/>
      <c r="HPA129" s="54"/>
      <c r="HPB129" s="54"/>
      <c r="HPC129" s="54"/>
      <c r="HPD129" s="54"/>
      <c r="HPE129" s="54"/>
      <c r="HPF129" s="54"/>
      <c r="HPG129" s="54"/>
      <c r="HPH129" s="54"/>
      <c r="HPI129" s="54"/>
      <c r="HPJ129" s="54"/>
      <c r="HPK129" s="54"/>
      <c r="HPL129" s="54"/>
      <c r="HPM129" s="54"/>
      <c r="HPN129" s="54"/>
      <c r="HPO129" s="54"/>
      <c r="HPP129" s="54"/>
      <c r="HPQ129" s="54"/>
      <c r="HPR129" s="54"/>
      <c r="HPS129" s="54"/>
      <c r="HPT129" s="54"/>
      <c r="HPU129" s="54"/>
      <c r="HPV129" s="54"/>
      <c r="HPW129" s="54"/>
      <c r="HPX129" s="54"/>
      <c r="HPY129" s="54"/>
      <c r="HPZ129" s="54"/>
      <c r="HQA129" s="54"/>
      <c r="HQB129" s="54"/>
      <c r="HQC129" s="54"/>
      <c r="HQD129" s="54"/>
      <c r="HQE129" s="54"/>
      <c r="HQF129" s="54"/>
      <c r="HQG129" s="54"/>
      <c r="HQH129" s="54"/>
      <c r="HQI129" s="54"/>
      <c r="HQJ129" s="54"/>
      <c r="HQK129" s="54"/>
      <c r="HQL129" s="54"/>
      <c r="HQM129" s="54"/>
      <c r="HQN129" s="54"/>
      <c r="HQO129" s="54"/>
      <c r="HQP129" s="54"/>
      <c r="HQQ129" s="54"/>
      <c r="HQR129" s="54"/>
      <c r="HQS129" s="54"/>
      <c r="HQT129" s="54"/>
      <c r="HQU129" s="54"/>
      <c r="HQV129" s="54"/>
      <c r="HQW129" s="54"/>
      <c r="HQX129" s="54"/>
      <c r="HQY129" s="54"/>
      <c r="HQZ129" s="54"/>
      <c r="HRA129" s="54"/>
      <c r="HRB129" s="54"/>
      <c r="HRC129" s="54"/>
      <c r="HRD129" s="54"/>
      <c r="HRE129" s="54"/>
      <c r="HRF129" s="54"/>
      <c r="HRG129" s="54"/>
      <c r="HRH129" s="54"/>
      <c r="HRI129" s="54"/>
      <c r="HRJ129" s="54"/>
      <c r="HRK129" s="54"/>
      <c r="HRL129" s="54"/>
      <c r="HRM129" s="54"/>
      <c r="HRN129" s="54"/>
      <c r="HRO129" s="54"/>
      <c r="HRP129" s="54"/>
      <c r="HRQ129" s="54"/>
      <c r="HRR129" s="54"/>
      <c r="HRS129" s="54"/>
      <c r="HRT129" s="54"/>
      <c r="HRU129" s="54"/>
      <c r="HRV129" s="54"/>
      <c r="HRW129" s="54"/>
      <c r="HRX129" s="54"/>
      <c r="HRY129" s="54"/>
      <c r="HRZ129" s="54"/>
      <c r="HSA129" s="54"/>
      <c r="HSB129" s="54"/>
      <c r="HSC129" s="54"/>
      <c r="HSD129" s="54"/>
      <c r="HSE129" s="54"/>
      <c r="HSF129" s="54"/>
      <c r="HSG129" s="54"/>
      <c r="HSH129" s="54"/>
      <c r="HSI129" s="54"/>
      <c r="HSJ129" s="54"/>
      <c r="HSK129" s="54"/>
      <c r="HSL129" s="54"/>
      <c r="HSM129" s="54"/>
      <c r="HSN129" s="54"/>
      <c r="HSO129" s="54"/>
      <c r="HSP129" s="54"/>
      <c r="HSQ129" s="54"/>
      <c r="HSR129" s="54"/>
      <c r="HSS129" s="54"/>
      <c r="HST129" s="54"/>
      <c r="HSU129" s="54"/>
      <c r="HSV129" s="54"/>
      <c r="HSW129" s="54"/>
      <c r="HSX129" s="54"/>
      <c r="HSY129" s="54"/>
      <c r="HSZ129" s="54"/>
      <c r="HTA129" s="54"/>
      <c r="HTB129" s="54"/>
      <c r="HTC129" s="54"/>
      <c r="HTD129" s="54"/>
      <c r="HTE129" s="54"/>
      <c r="HTF129" s="54"/>
      <c r="HTG129" s="54"/>
      <c r="HTH129" s="54"/>
      <c r="HTI129" s="54"/>
      <c r="HTJ129" s="54"/>
      <c r="HTK129" s="54"/>
      <c r="HTL129" s="54"/>
      <c r="HTM129" s="54"/>
      <c r="HTN129" s="54"/>
      <c r="HTO129" s="54"/>
      <c r="HTP129" s="54"/>
      <c r="HTQ129" s="54"/>
      <c r="HTR129" s="54"/>
      <c r="HTS129" s="54"/>
      <c r="HTT129" s="54"/>
      <c r="HTU129" s="54"/>
      <c r="HTV129" s="54"/>
      <c r="HTW129" s="54"/>
      <c r="HTX129" s="54"/>
      <c r="HTY129" s="54"/>
      <c r="HTZ129" s="54"/>
      <c r="HUA129" s="54"/>
      <c r="HUB129" s="54"/>
      <c r="HUC129" s="54"/>
      <c r="HUD129" s="54"/>
      <c r="HUE129" s="54"/>
      <c r="HUF129" s="54"/>
      <c r="HUG129" s="54"/>
      <c r="HUH129" s="54"/>
      <c r="HUI129" s="54"/>
      <c r="HUJ129" s="54"/>
      <c r="HUK129" s="54"/>
      <c r="HUL129" s="54"/>
      <c r="HUM129" s="54"/>
      <c r="HUN129" s="54"/>
      <c r="HUO129" s="54"/>
      <c r="HUP129" s="54"/>
      <c r="HUQ129" s="54"/>
      <c r="HUR129" s="54"/>
      <c r="HUS129" s="54"/>
      <c r="HUT129" s="54"/>
      <c r="HUU129" s="54"/>
      <c r="HUV129" s="54"/>
      <c r="HUW129" s="54"/>
      <c r="HUX129" s="54"/>
      <c r="HUY129" s="54"/>
      <c r="HUZ129" s="54"/>
      <c r="HVA129" s="54"/>
      <c r="HVB129" s="54"/>
      <c r="HVC129" s="54"/>
      <c r="HVD129" s="54"/>
      <c r="HVE129" s="54"/>
      <c r="HVF129" s="54"/>
      <c r="HVG129" s="54"/>
      <c r="HVH129" s="54"/>
      <c r="HVI129" s="54"/>
      <c r="HVJ129" s="54"/>
      <c r="HVK129" s="54"/>
      <c r="HVL129" s="54"/>
      <c r="HVM129" s="54"/>
      <c r="HVN129" s="54"/>
      <c r="HVO129" s="54"/>
      <c r="HVP129" s="54"/>
      <c r="HVQ129" s="54"/>
      <c r="HVR129" s="54"/>
      <c r="HVS129" s="54"/>
      <c r="HVT129" s="54"/>
      <c r="HVU129" s="54"/>
      <c r="HVV129" s="54"/>
      <c r="HVW129" s="54"/>
      <c r="HVX129" s="54"/>
      <c r="HVY129" s="54"/>
      <c r="HVZ129" s="54"/>
      <c r="HWA129" s="54"/>
      <c r="HWB129" s="54"/>
      <c r="HWC129" s="54"/>
      <c r="HWD129" s="54"/>
      <c r="HWE129" s="54"/>
      <c r="HWF129" s="54"/>
      <c r="HWG129" s="54"/>
      <c r="HWH129" s="54"/>
      <c r="HWI129" s="54"/>
      <c r="HWJ129" s="54"/>
      <c r="HWK129" s="54"/>
      <c r="HWL129" s="54"/>
      <c r="HWM129" s="54"/>
      <c r="HWN129" s="54"/>
      <c r="HWO129" s="54"/>
      <c r="HWP129" s="54"/>
      <c r="HWQ129" s="54"/>
      <c r="HWR129" s="54"/>
      <c r="HWS129" s="54"/>
      <c r="HWT129" s="54"/>
      <c r="HWU129" s="54"/>
      <c r="HWV129" s="54"/>
      <c r="HWW129" s="54"/>
      <c r="HWX129" s="54"/>
      <c r="HWY129" s="54"/>
      <c r="HWZ129" s="54"/>
      <c r="HXA129" s="54"/>
      <c r="HXB129" s="54"/>
      <c r="HXC129" s="54"/>
      <c r="HXD129" s="54"/>
      <c r="HXE129" s="54"/>
      <c r="HXF129" s="54"/>
      <c r="HXG129" s="54"/>
      <c r="HXH129" s="54"/>
      <c r="HXI129" s="54"/>
      <c r="HXJ129" s="54"/>
      <c r="HXK129" s="54"/>
      <c r="HXL129" s="54"/>
      <c r="HXM129" s="54"/>
      <c r="HXN129" s="54"/>
      <c r="HXO129" s="54"/>
      <c r="HXP129" s="54"/>
      <c r="HXQ129" s="54"/>
      <c r="HXR129" s="54"/>
      <c r="HXS129" s="54"/>
      <c r="HXT129" s="54"/>
      <c r="HXU129" s="54"/>
      <c r="HXV129" s="54"/>
      <c r="HXW129" s="54"/>
      <c r="HXX129" s="54"/>
      <c r="HXY129" s="54"/>
      <c r="HXZ129" s="54"/>
      <c r="HYA129" s="54"/>
      <c r="HYB129" s="54"/>
      <c r="HYC129" s="54"/>
      <c r="HYD129" s="54"/>
      <c r="HYE129" s="54"/>
      <c r="HYF129" s="54"/>
      <c r="HYG129" s="54"/>
      <c r="HYH129" s="54"/>
      <c r="HYI129" s="54"/>
      <c r="HYJ129" s="54"/>
      <c r="HYK129" s="54"/>
      <c r="HYL129" s="54"/>
      <c r="HYM129" s="54"/>
      <c r="HYN129" s="54"/>
      <c r="HYO129" s="54"/>
      <c r="HYP129" s="54"/>
      <c r="HYQ129" s="54"/>
      <c r="HYR129" s="54"/>
      <c r="HYS129" s="54"/>
      <c r="HYT129" s="54"/>
      <c r="HYU129" s="54"/>
      <c r="HYV129" s="54"/>
      <c r="HYW129" s="54"/>
      <c r="HYX129" s="54"/>
      <c r="HYY129" s="54"/>
      <c r="HYZ129" s="54"/>
      <c r="HZA129" s="54"/>
      <c r="HZB129" s="54"/>
      <c r="HZC129" s="54"/>
      <c r="HZD129" s="54"/>
      <c r="HZE129" s="54"/>
      <c r="HZF129" s="54"/>
      <c r="HZG129" s="54"/>
      <c r="HZH129" s="54"/>
      <c r="HZI129" s="54"/>
      <c r="HZJ129" s="54"/>
      <c r="HZK129" s="54"/>
      <c r="HZL129" s="54"/>
      <c r="HZM129" s="54"/>
      <c r="HZN129" s="54"/>
      <c r="HZO129" s="54"/>
      <c r="HZP129" s="54"/>
      <c r="HZQ129" s="54"/>
      <c r="HZR129" s="54"/>
      <c r="HZS129" s="54"/>
      <c r="HZT129" s="54"/>
      <c r="HZU129" s="54"/>
      <c r="HZV129" s="54"/>
      <c r="HZW129" s="54"/>
      <c r="HZX129" s="54"/>
      <c r="HZY129" s="54"/>
      <c r="HZZ129" s="54"/>
      <c r="IAA129" s="54"/>
      <c r="IAB129" s="54"/>
      <c r="IAC129" s="54"/>
      <c r="IAD129" s="54"/>
      <c r="IAE129" s="54"/>
      <c r="IAF129" s="54"/>
      <c r="IAG129" s="54"/>
      <c r="IAH129" s="54"/>
      <c r="IAI129" s="54"/>
      <c r="IAJ129" s="54"/>
      <c r="IAK129" s="54"/>
      <c r="IAL129" s="54"/>
      <c r="IAM129" s="54"/>
      <c r="IAN129" s="54"/>
      <c r="IAO129" s="54"/>
      <c r="IAP129" s="54"/>
      <c r="IAQ129" s="54"/>
      <c r="IAR129" s="54"/>
      <c r="IAS129" s="54"/>
      <c r="IAT129" s="54"/>
      <c r="IAU129" s="54"/>
      <c r="IAV129" s="54"/>
      <c r="IAW129" s="54"/>
      <c r="IAX129" s="54"/>
      <c r="IAY129" s="54"/>
      <c r="IAZ129" s="54"/>
      <c r="IBA129" s="54"/>
      <c r="IBB129" s="54"/>
      <c r="IBC129" s="54"/>
      <c r="IBD129" s="54"/>
      <c r="IBE129" s="54"/>
      <c r="IBF129" s="54"/>
      <c r="IBG129" s="54"/>
      <c r="IBH129" s="54"/>
      <c r="IBI129" s="54"/>
      <c r="IBJ129" s="54"/>
      <c r="IBK129" s="54"/>
      <c r="IBL129" s="54"/>
      <c r="IBM129" s="54"/>
      <c r="IBN129" s="54"/>
      <c r="IBO129" s="54"/>
      <c r="IBP129" s="54"/>
      <c r="IBQ129" s="54"/>
      <c r="IBR129" s="54"/>
      <c r="IBS129" s="54"/>
      <c r="IBT129" s="54"/>
      <c r="IBU129" s="54"/>
      <c r="IBV129" s="54"/>
      <c r="IBW129" s="54"/>
      <c r="IBX129" s="54"/>
      <c r="IBY129" s="54"/>
      <c r="IBZ129" s="54"/>
      <c r="ICA129" s="54"/>
      <c r="ICB129" s="54"/>
      <c r="ICC129" s="54"/>
      <c r="ICD129" s="54"/>
      <c r="ICE129" s="54"/>
      <c r="ICF129" s="54"/>
      <c r="ICG129" s="54"/>
      <c r="ICH129" s="54"/>
      <c r="ICI129" s="54"/>
      <c r="ICJ129" s="54"/>
      <c r="ICK129" s="54"/>
      <c r="ICL129" s="54"/>
      <c r="ICM129" s="54"/>
      <c r="ICN129" s="54"/>
      <c r="ICO129" s="54"/>
      <c r="ICP129" s="54"/>
      <c r="ICQ129" s="54"/>
      <c r="ICR129" s="54"/>
      <c r="ICS129" s="54"/>
      <c r="ICT129" s="54"/>
      <c r="ICU129" s="54"/>
      <c r="ICV129" s="54"/>
      <c r="ICW129" s="54"/>
      <c r="ICX129" s="54"/>
      <c r="ICY129" s="54"/>
      <c r="ICZ129" s="54"/>
      <c r="IDA129" s="54"/>
      <c r="IDB129" s="54"/>
      <c r="IDC129" s="54"/>
      <c r="IDD129" s="54"/>
      <c r="IDE129" s="54"/>
      <c r="IDF129" s="54"/>
      <c r="IDG129" s="54"/>
      <c r="IDH129" s="54"/>
      <c r="IDI129" s="54"/>
      <c r="IDJ129" s="54"/>
      <c r="IDK129" s="54"/>
      <c r="IDL129" s="54"/>
      <c r="IDM129" s="54"/>
      <c r="IDN129" s="54"/>
      <c r="IDO129" s="54"/>
      <c r="IDP129" s="54"/>
      <c r="IDQ129" s="54"/>
      <c r="IDR129" s="54"/>
      <c r="IDS129" s="54"/>
      <c r="IDT129" s="54"/>
      <c r="IDU129" s="54"/>
      <c r="IDV129" s="54"/>
      <c r="IDW129" s="54"/>
      <c r="IDX129" s="54"/>
      <c r="IDY129" s="54"/>
      <c r="IDZ129" s="54"/>
      <c r="IEA129" s="54"/>
      <c r="IEB129" s="54"/>
      <c r="IEC129" s="54"/>
      <c r="IED129" s="54"/>
      <c r="IEE129" s="54"/>
      <c r="IEF129" s="54"/>
      <c r="IEG129" s="54"/>
      <c r="IEH129" s="54"/>
      <c r="IEI129" s="54"/>
      <c r="IEJ129" s="54"/>
      <c r="IEK129" s="54"/>
      <c r="IEL129" s="54"/>
      <c r="IEM129" s="54"/>
      <c r="IEN129" s="54"/>
      <c r="IEO129" s="54"/>
      <c r="IEP129" s="54"/>
      <c r="IEQ129" s="54"/>
      <c r="IER129" s="54"/>
      <c r="IES129" s="54"/>
      <c r="IET129" s="54"/>
      <c r="IEU129" s="54"/>
      <c r="IEV129" s="54"/>
      <c r="IEW129" s="54"/>
      <c r="IEX129" s="54"/>
      <c r="IEY129" s="54"/>
      <c r="IEZ129" s="54"/>
      <c r="IFA129" s="54"/>
      <c r="IFB129" s="54"/>
      <c r="IFC129" s="54"/>
      <c r="IFD129" s="54"/>
      <c r="IFE129" s="54"/>
      <c r="IFF129" s="54"/>
      <c r="IFG129" s="54"/>
      <c r="IFH129" s="54"/>
      <c r="IFI129" s="54"/>
      <c r="IFJ129" s="54"/>
      <c r="IFK129" s="54"/>
      <c r="IFL129" s="54"/>
      <c r="IFM129" s="54"/>
      <c r="IFN129" s="54"/>
      <c r="IFO129" s="54"/>
      <c r="IFP129" s="54"/>
      <c r="IFQ129" s="54"/>
      <c r="IFR129" s="54"/>
      <c r="IFS129" s="54"/>
      <c r="IFT129" s="54"/>
      <c r="IFU129" s="54"/>
      <c r="IFV129" s="54"/>
      <c r="IFW129" s="54"/>
      <c r="IFX129" s="54"/>
      <c r="IFY129" s="54"/>
      <c r="IFZ129" s="54"/>
      <c r="IGA129" s="54"/>
      <c r="IGB129" s="54"/>
      <c r="IGC129" s="54"/>
      <c r="IGD129" s="54"/>
      <c r="IGE129" s="54"/>
      <c r="IGF129" s="54"/>
      <c r="IGG129" s="54"/>
      <c r="IGH129" s="54"/>
      <c r="IGI129" s="54"/>
      <c r="IGJ129" s="54"/>
      <c r="IGK129" s="54"/>
      <c r="IGL129" s="54"/>
      <c r="IGM129" s="54"/>
      <c r="IGN129" s="54"/>
      <c r="IGO129" s="54"/>
      <c r="IGP129" s="54"/>
      <c r="IGQ129" s="54"/>
      <c r="IGR129" s="54"/>
      <c r="IGS129" s="54"/>
      <c r="IGT129" s="54"/>
      <c r="IGU129" s="54"/>
      <c r="IGV129" s="54"/>
      <c r="IGW129" s="54"/>
      <c r="IGX129" s="54"/>
      <c r="IGY129" s="54"/>
      <c r="IGZ129" s="54"/>
      <c r="IHA129" s="54"/>
      <c r="IHB129" s="54"/>
      <c r="IHC129" s="54"/>
      <c r="IHD129" s="54"/>
      <c r="IHE129" s="54"/>
      <c r="IHF129" s="54"/>
      <c r="IHG129" s="54"/>
      <c r="IHH129" s="54"/>
      <c r="IHI129" s="54"/>
      <c r="IHJ129" s="54"/>
      <c r="IHK129" s="54"/>
      <c r="IHL129" s="54"/>
      <c r="IHM129" s="54"/>
      <c r="IHN129" s="54"/>
      <c r="IHO129" s="54"/>
      <c r="IHP129" s="54"/>
      <c r="IHQ129" s="54"/>
      <c r="IHR129" s="54"/>
      <c r="IHS129" s="54"/>
      <c r="IHT129" s="54"/>
      <c r="IHU129" s="54"/>
      <c r="IHV129" s="54"/>
      <c r="IHW129" s="54"/>
      <c r="IHX129" s="54"/>
      <c r="IHY129" s="54"/>
      <c r="IHZ129" s="54"/>
      <c r="IIA129" s="54"/>
      <c r="IIB129" s="54"/>
      <c r="IIC129" s="54"/>
      <c r="IID129" s="54"/>
      <c r="IIE129" s="54"/>
      <c r="IIF129" s="54"/>
      <c r="IIG129" s="54"/>
      <c r="IIH129" s="54"/>
      <c r="III129" s="54"/>
      <c r="IIJ129" s="54"/>
      <c r="IIK129" s="54"/>
      <c r="IIL129" s="54"/>
      <c r="IIM129" s="54"/>
      <c r="IIN129" s="54"/>
      <c r="IIO129" s="54"/>
      <c r="IIP129" s="54"/>
      <c r="IIQ129" s="54"/>
      <c r="IIR129" s="54"/>
      <c r="IIS129" s="54"/>
      <c r="IIT129" s="54"/>
      <c r="IIU129" s="54"/>
      <c r="IIV129" s="54"/>
      <c r="IIW129" s="54"/>
      <c r="IIX129" s="54"/>
      <c r="IIY129" s="54"/>
      <c r="IIZ129" s="54"/>
      <c r="IJA129" s="54"/>
      <c r="IJB129" s="54"/>
      <c r="IJC129" s="54"/>
      <c r="IJD129" s="54"/>
      <c r="IJE129" s="54"/>
      <c r="IJF129" s="54"/>
      <c r="IJG129" s="54"/>
      <c r="IJH129" s="54"/>
      <c r="IJI129" s="54"/>
      <c r="IJJ129" s="54"/>
      <c r="IJK129" s="54"/>
      <c r="IJL129" s="54"/>
      <c r="IJM129" s="54"/>
      <c r="IJN129" s="54"/>
      <c r="IJO129" s="54"/>
      <c r="IJP129" s="54"/>
      <c r="IJQ129" s="54"/>
      <c r="IJR129" s="54"/>
      <c r="IJS129" s="54"/>
      <c r="IJT129" s="54"/>
      <c r="IJU129" s="54"/>
      <c r="IJV129" s="54"/>
      <c r="IJW129" s="54"/>
      <c r="IJX129" s="54"/>
      <c r="IJY129" s="54"/>
      <c r="IJZ129" s="54"/>
      <c r="IKA129" s="54"/>
      <c r="IKB129" s="54"/>
      <c r="IKC129" s="54"/>
      <c r="IKD129" s="54"/>
      <c r="IKE129" s="54"/>
      <c r="IKF129" s="54"/>
      <c r="IKG129" s="54"/>
      <c r="IKH129" s="54"/>
      <c r="IKI129" s="54"/>
      <c r="IKJ129" s="54"/>
      <c r="IKK129" s="54"/>
      <c r="IKL129" s="54"/>
      <c r="IKM129" s="54"/>
      <c r="IKN129" s="54"/>
      <c r="IKO129" s="54"/>
      <c r="IKP129" s="54"/>
      <c r="IKQ129" s="54"/>
      <c r="IKR129" s="54"/>
      <c r="IKS129" s="54"/>
      <c r="IKT129" s="54"/>
      <c r="IKU129" s="54"/>
      <c r="IKV129" s="54"/>
      <c r="IKW129" s="54"/>
      <c r="IKX129" s="54"/>
      <c r="IKY129" s="54"/>
      <c r="IKZ129" s="54"/>
      <c r="ILA129" s="54"/>
      <c r="ILB129" s="54"/>
      <c r="ILC129" s="54"/>
      <c r="ILD129" s="54"/>
      <c r="ILE129" s="54"/>
      <c r="ILF129" s="54"/>
      <c r="ILG129" s="54"/>
      <c r="ILH129" s="54"/>
      <c r="ILI129" s="54"/>
      <c r="ILJ129" s="54"/>
      <c r="ILK129" s="54"/>
      <c r="ILL129" s="54"/>
      <c r="ILM129" s="54"/>
      <c r="ILN129" s="54"/>
      <c r="ILO129" s="54"/>
      <c r="ILP129" s="54"/>
      <c r="ILQ129" s="54"/>
      <c r="ILR129" s="54"/>
      <c r="ILS129" s="54"/>
      <c r="ILT129" s="54"/>
      <c r="ILU129" s="54"/>
      <c r="ILV129" s="54"/>
      <c r="ILW129" s="54"/>
      <c r="ILX129" s="54"/>
      <c r="ILY129" s="54"/>
      <c r="ILZ129" s="54"/>
      <c r="IMA129" s="54"/>
      <c r="IMB129" s="54"/>
      <c r="IMC129" s="54"/>
      <c r="IMD129" s="54"/>
      <c r="IME129" s="54"/>
      <c r="IMF129" s="54"/>
      <c r="IMG129" s="54"/>
      <c r="IMH129" s="54"/>
      <c r="IMI129" s="54"/>
      <c r="IMJ129" s="54"/>
      <c r="IMK129" s="54"/>
      <c r="IML129" s="54"/>
      <c r="IMM129" s="54"/>
      <c r="IMN129" s="54"/>
      <c r="IMO129" s="54"/>
      <c r="IMP129" s="54"/>
      <c r="IMQ129" s="54"/>
      <c r="IMR129" s="54"/>
      <c r="IMS129" s="54"/>
      <c r="IMT129" s="54"/>
      <c r="IMU129" s="54"/>
      <c r="IMV129" s="54"/>
      <c r="IMW129" s="54"/>
      <c r="IMX129" s="54"/>
      <c r="IMY129" s="54"/>
      <c r="IMZ129" s="54"/>
      <c r="INA129" s="54"/>
      <c r="INB129" s="54"/>
      <c r="INC129" s="54"/>
      <c r="IND129" s="54"/>
      <c r="INE129" s="54"/>
      <c r="INF129" s="54"/>
      <c r="ING129" s="54"/>
      <c r="INH129" s="54"/>
      <c r="INI129" s="54"/>
      <c r="INJ129" s="54"/>
      <c r="INK129" s="54"/>
      <c r="INL129" s="54"/>
      <c r="INM129" s="54"/>
      <c r="INN129" s="54"/>
      <c r="INO129" s="54"/>
      <c r="INP129" s="54"/>
      <c r="INQ129" s="54"/>
      <c r="INR129" s="54"/>
      <c r="INS129" s="54"/>
      <c r="INT129" s="54"/>
      <c r="INU129" s="54"/>
      <c r="INV129" s="54"/>
      <c r="INW129" s="54"/>
      <c r="INX129" s="54"/>
      <c r="INY129" s="54"/>
      <c r="INZ129" s="54"/>
      <c r="IOA129" s="54"/>
      <c r="IOB129" s="54"/>
      <c r="IOC129" s="54"/>
      <c r="IOD129" s="54"/>
      <c r="IOE129" s="54"/>
      <c r="IOF129" s="54"/>
      <c r="IOG129" s="54"/>
      <c r="IOH129" s="54"/>
      <c r="IOI129" s="54"/>
      <c r="IOJ129" s="54"/>
      <c r="IOK129" s="54"/>
      <c r="IOL129" s="54"/>
      <c r="IOM129" s="54"/>
      <c r="ION129" s="54"/>
      <c r="IOO129" s="54"/>
      <c r="IOP129" s="54"/>
      <c r="IOQ129" s="54"/>
      <c r="IOR129" s="54"/>
      <c r="IOS129" s="54"/>
      <c r="IOT129" s="54"/>
      <c r="IOU129" s="54"/>
      <c r="IOV129" s="54"/>
      <c r="IOW129" s="54"/>
      <c r="IOX129" s="54"/>
      <c r="IOY129" s="54"/>
      <c r="IOZ129" s="54"/>
      <c r="IPA129" s="54"/>
      <c r="IPB129" s="54"/>
      <c r="IPC129" s="54"/>
      <c r="IPD129" s="54"/>
      <c r="IPE129" s="54"/>
      <c r="IPF129" s="54"/>
      <c r="IPG129" s="54"/>
      <c r="IPH129" s="54"/>
      <c r="IPI129" s="54"/>
      <c r="IPJ129" s="54"/>
      <c r="IPK129" s="54"/>
      <c r="IPL129" s="54"/>
      <c r="IPM129" s="54"/>
      <c r="IPN129" s="54"/>
      <c r="IPO129" s="54"/>
      <c r="IPP129" s="54"/>
      <c r="IPQ129" s="54"/>
      <c r="IPR129" s="54"/>
      <c r="IPS129" s="54"/>
      <c r="IPT129" s="54"/>
      <c r="IPU129" s="54"/>
      <c r="IPV129" s="54"/>
      <c r="IPW129" s="54"/>
      <c r="IPX129" s="54"/>
      <c r="IPY129" s="54"/>
      <c r="IPZ129" s="54"/>
      <c r="IQA129" s="54"/>
      <c r="IQB129" s="54"/>
      <c r="IQC129" s="54"/>
      <c r="IQD129" s="54"/>
      <c r="IQE129" s="54"/>
      <c r="IQF129" s="54"/>
      <c r="IQG129" s="54"/>
      <c r="IQH129" s="54"/>
      <c r="IQI129" s="54"/>
      <c r="IQJ129" s="54"/>
      <c r="IQK129" s="54"/>
      <c r="IQL129" s="54"/>
      <c r="IQM129" s="54"/>
      <c r="IQN129" s="54"/>
      <c r="IQO129" s="54"/>
      <c r="IQP129" s="54"/>
      <c r="IQQ129" s="54"/>
      <c r="IQR129" s="54"/>
      <c r="IQS129" s="54"/>
      <c r="IQT129" s="54"/>
      <c r="IQU129" s="54"/>
      <c r="IQV129" s="54"/>
      <c r="IQW129" s="54"/>
      <c r="IQX129" s="54"/>
      <c r="IQY129" s="54"/>
      <c r="IQZ129" s="54"/>
      <c r="IRA129" s="54"/>
      <c r="IRB129" s="54"/>
      <c r="IRC129" s="54"/>
      <c r="IRD129" s="54"/>
      <c r="IRE129" s="54"/>
      <c r="IRF129" s="54"/>
      <c r="IRG129" s="54"/>
      <c r="IRH129" s="54"/>
      <c r="IRI129" s="54"/>
      <c r="IRJ129" s="54"/>
      <c r="IRK129" s="54"/>
      <c r="IRL129" s="54"/>
      <c r="IRM129" s="54"/>
      <c r="IRN129" s="54"/>
      <c r="IRO129" s="54"/>
      <c r="IRP129" s="54"/>
      <c r="IRQ129" s="54"/>
      <c r="IRR129" s="54"/>
      <c r="IRS129" s="54"/>
      <c r="IRT129" s="54"/>
      <c r="IRU129" s="54"/>
      <c r="IRV129" s="54"/>
      <c r="IRW129" s="54"/>
      <c r="IRX129" s="54"/>
      <c r="IRY129" s="54"/>
      <c r="IRZ129" s="54"/>
      <c r="ISA129" s="54"/>
      <c r="ISB129" s="54"/>
      <c r="ISC129" s="54"/>
      <c r="ISD129" s="54"/>
      <c r="ISE129" s="54"/>
      <c r="ISF129" s="54"/>
      <c r="ISG129" s="54"/>
      <c r="ISH129" s="54"/>
      <c r="ISI129" s="54"/>
      <c r="ISJ129" s="54"/>
      <c r="ISK129" s="54"/>
      <c r="ISL129" s="54"/>
      <c r="ISM129" s="54"/>
      <c r="ISN129" s="54"/>
      <c r="ISO129" s="54"/>
      <c r="ISP129" s="54"/>
      <c r="ISQ129" s="54"/>
      <c r="ISR129" s="54"/>
      <c r="ISS129" s="54"/>
      <c r="IST129" s="54"/>
      <c r="ISU129" s="54"/>
      <c r="ISV129" s="54"/>
      <c r="ISW129" s="54"/>
      <c r="ISX129" s="54"/>
      <c r="ISY129" s="54"/>
      <c r="ISZ129" s="54"/>
      <c r="ITA129" s="54"/>
      <c r="ITB129" s="54"/>
      <c r="ITC129" s="54"/>
      <c r="ITD129" s="54"/>
      <c r="ITE129" s="54"/>
      <c r="ITF129" s="54"/>
      <c r="ITG129" s="54"/>
      <c r="ITH129" s="54"/>
      <c r="ITI129" s="54"/>
      <c r="ITJ129" s="54"/>
      <c r="ITK129" s="54"/>
      <c r="ITL129" s="54"/>
      <c r="ITM129" s="54"/>
      <c r="ITN129" s="54"/>
      <c r="ITO129" s="54"/>
      <c r="ITP129" s="54"/>
      <c r="ITQ129" s="54"/>
      <c r="ITR129" s="54"/>
      <c r="ITS129" s="54"/>
      <c r="ITT129" s="54"/>
      <c r="ITU129" s="54"/>
      <c r="ITV129" s="54"/>
      <c r="ITW129" s="54"/>
      <c r="ITX129" s="54"/>
      <c r="ITY129" s="54"/>
      <c r="ITZ129" s="54"/>
      <c r="IUA129" s="54"/>
      <c r="IUB129" s="54"/>
      <c r="IUC129" s="54"/>
      <c r="IUD129" s="54"/>
      <c r="IUE129" s="54"/>
      <c r="IUF129" s="54"/>
      <c r="IUG129" s="54"/>
      <c r="IUH129" s="54"/>
      <c r="IUI129" s="54"/>
      <c r="IUJ129" s="54"/>
      <c r="IUK129" s="54"/>
      <c r="IUL129" s="54"/>
      <c r="IUM129" s="54"/>
      <c r="IUN129" s="54"/>
      <c r="IUO129" s="54"/>
      <c r="IUP129" s="54"/>
      <c r="IUQ129" s="54"/>
      <c r="IUR129" s="54"/>
      <c r="IUS129" s="54"/>
      <c r="IUT129" s="54"/>
      <c r="IUU129" s="54"/>
      <c r="IUV129" s="54"/>
      <c r="IUW129" s="54"/>
      <c r="IUX129" s="54"/>
      <c r="IUY129" s="54"/>
      <c r="IUZ129" s="54"/>
      <c r="IVA129" s="54"/>
      <c r="IVB129" s="54"/>
      <c r="IVC129" s="54"/>
      <c r="IVD129" s="54"/>
      <c r="IVE129" s="54"/>
      <c r="IVF129" s="54"/>
      <c r="IVG129" s="54"/>
      <c r="IVH129" s="54"/>
      <c r="IVI129" s="54"/>
      <c r="IVJ129" s="54"/>
      <c r="IVK129" s="54"/>
      <c r="IVL129" s="54"/>
      <c r="IVM129" s="54"/>
      <c r="IVN129" s="54"/>
      <c r="IVO129" s="54"/>
      <c r="IVP129" s="54"/>
      <c r="IVQ129" s="54"/>
      <c r="IVR129" s="54"/>
      <c r="IVS129" s="54"/>
      <c r="IVT129" s="54"/>
      <c r="IVU129" s="54"/>
      <c r="IVV129" s="54"/>
      <c r="IVW129" s="54"/>
      <c r="IVX129" s="54"/>
      <c r="IVY129" s="54"/>
      <c r="IVZ129" s="54"/>
      <c r="IWA129" s="54"/>
      <c r="IWB129" s="54"/>
      <c r="IWC129" s="54"/>
      <c r="IWD129" s="54"/>
      <c r="IWE129" s="54"/>
      <c r="IWF129" s="54"/>
      <c r="IWG129" s="54"/>
      <c r="IWH129" s="54"/>
      <c r="IWI129" s="54"/>
      <c r="IWJ129" s="54"/>
      <c r="IWK129" s="54"/>
      <c r="IWL129" s="54"/>
      <c r="IWM129" s="54"/>
      <c r="IWN129" s="54"/>
      <c r="IWO129" s="54"/>
      <c r="IWP129" s="54"/>
      <c r="IWQ129" s="54"/>
      <c r="IWR129" s="54"/>
      <c r="IWS129" s="54"/>
      <c r="IWT129" s="54"/>
      <c r="IWU129" s="54"/>
      <c r="IWV129" s="54"/>
      <c r="IWW129" s="54"/>
      <c r="IWX129" s="54"/>
      <c r="IWY129" s="54"/>
      <c r="IWZ129" s="54"/>
      <c r="IXA129" s="54"/>
      <c r="IXB129" s="54"/>
      <c r="IXC129" s="54"/>
      <c r="IXD129" s="54"/>
      <c r="IXE129" s="54"/>
      <c r="IXF129" s="54"/>
      <c r="IXG129" s="54"/>
      <c r="IXH129" s="54"/>
      <c r="IXI129" s="54"/>
      <c r="IXJ129" s="54"/>
      <c r="IXK129" s="54"/>
      <c r="IXL129" s="54"/>
      <c r="IXM129" s="54"/>
      <c r="IXN129" s="54"/>
      <c r="IXO129" s="54"/>
      <c r="IXP129" s="54"/>
      <c r="IXQ129" s="54"/>
      <c r="IXR129" s="54"/>
      <c r="IXS129" s="54"/>
      <c r="IXT129" s="54"/>
      <c r="IXU129" s="54"/>
      <c r="IXV129" s="54"/>
      <c r="IXW129" s="54"/>
      <c r="IXX129" s="54"/>
      <c r="IXY129" s="54"/>
      <c r="IXZ129" s="54"/>
      <c r="IYA129" s="54"/>
      <c r="IYB129" s="54"/>
      <c r="IYC129" s="54"/>
      <c r="IYD129" s="54"/>
      <c r="IYE129" s="54"/>
      <c r="IYF129" s="54"/>
      <c r="IYG129" s="54"/>
      <c r="IYH129" s="54"/>
      <c r="IYI129" s="54"/>
      <c r="IYJ129" s="54"/>
      <c r="IYK129" s="54"/>
      <c r="IYL129" s="54"/>
      <c r="IYM129" s="54"/>
      <c r="IYN129" s="54"/>
      <c r="IYO129" s="54"/>
      <c r="IYP129" s="54"/>
      <c r="IYQ129" s="54"/>
      <c r="IYR129" s="54"/>
      <c r="IYS129" s="54"/>
      <c r="IYT129" s="54"/>
      <c r="IYU129" s="54"/>
      <c r="IYV129" s="54"/>
      <c r="IYW129" s="54"/>
      <c r="IYX129" s="54"/>
      <c r="IYY129" s="54"/>
      <c r="IYZ129" s="54"/>
      <c r="IZA129" s="54"/>
      <c r="IZB129" s="54"/>
      <c r="IZC129" s="54"/>
      <c r="IZD129" s="54"/>
      <c r="IZE129" s="54"/>
      <c r="IZF129" s="54"/>
      <c r="IZG129" s="54"/>
      <c r="IZH129" s="54"/>
      <c r="IZI129" s="54"/>
      <c r="IZJ129" s="54"/>
      <c r="IZK129" s="54"/>
      <c r="IZL129" s="54"/>
      <c r="IZM129" s="54"/>
      <c r="IZN129" s="54"/>
      <c r="IZO129" s="54"/>
      <c r="IZP129" s="54"/>
      <c r="IZQ129" s="54"/>
      <c r="IZR129" s="54"/>
      <c r="IZS129" s="54"/>
      <c r="IZT129" s="54"/>
      <c r="IZU129" s="54"/>
      <c r="IZV129" s="54"/>
      <c r="IZW129" s="54"/>
      <c r="IZX129" s="54"/>
      <c r="IZY129" s="54"/>
      <c r="IZZ129" s="54"/>
      <c r="JAA129" s="54"/>
      <c r="JAB129" s="54"/>
      <c r="JAC129" s="54"/>
      <c r="JAD129" s="54"/>
      <c r="JAE129" s="54"/>
      <c r="JAF129" s="54"/>
      <c r="JAG129" s="54"/>
      <c r="JAH129" s="54"/>
      <c r="JAI129" s="54"/>
      <c r="JAJ129" s="54"/>
      <c r="JAK129" s="54"/>
      <c r="JAL129" s="54"/>
      <c r="JAM129" s="54"/>
      <c r="JAN129" s="54"/>
      <c r="JAO129" s="54"/>
      <c r="JAP129" s="54"/>
      <c r="JAQ129" s="54"/>
      <c r="JAR129" s="54"/>
      <c r="JAS129" s="54"/>
      <c r="JAT129" s="54"/>
      <c r="JAU129" s="54"/>
      <c r="JAV129" s="54"/>
      <c r="JAW129" s="54"/>
      <c r="JAX129" s="54"/>
      <c r="JAY129" s="54"/>
      <c r="JAZ129" s="54"/>
      <c r="JBA129" s="54"/>
      <c r="JBB129" s="54"/>
      <c r="JBC129" s="54"/>
      <c r="JBD129" s="54"/>
      <c r="JBE129" s="54"/>
      <c r="JBF129" s="54"/>
      <c r="JBG129" s="54"/>
      <c r="JBH129" s="54"/>
      <c r="JBI129" s="54"/>
      <c r="JBJ129" s="54"/>
      <c r="JBK129" s="54"/>
      <c r="JBL129" s="54"/>
      <c r="JBM129" s="54"/>
      <c r="JBN129" s="54"/>
      <c r="JBO129" s="54"/>
      <c r="JBP129" s="54"/>
      <c r="JBQ129" s="54"/>
      <c r="JBR129" s="54"/>
      <c r="JBS129" s="54"/>
      <c r="JBT129" s="54"/>
      <c r="JBU129" s="54"/>
      <c r="JBV129" s="54"/>
      <c r="JBW129" s="54"/>
      <c r="JBX129" s="54"/>
      <c r="JBY129" s="54"/>
      <c r="JBZ129" s="54"/>
      <c r="JCA129" s="54"/>
      <c r="JCB129" s="54"/>
      <c r="JCC129" s="54"/>
      <c r="JCD129" s="54"/>
      <c r="JCE129" s="54"/>
      <c r="JCF129" s="54"/>
      <c r="JCG129" s="54"/>
      <c r="JCH129" s="54"/>
      <c r="JCI129" s="54"/>
      <c r="JCJ129" s="54"/>
      <c r="JCK129" s="54"/>
      <c r="JCL129" s="54"/>
      <c r="JCM129" s="54"/>
      <c r="JCN129" s="54"/>
      <c r="JCO129" s="54"/>
      <c r="JCP129" s="54"/>
      <c r="JCQ129" s="54"/>
      <c r="JCR129" s="54"/>
      <c r="JCS129" s="54"/>
      <c r="JCT129" s="54"/>
      <c r="JCU129" s="54"/>
      <c r="JCV129" s="54"/>
      <c r="JCW129" s="54"/>
      <c r="JCX129" s="54"/>
      <c r="JCY129" s="54"/>
      <c r="JCZ129" s="54"/>
      <c r="JDA129" s="54"/>
      <c r="JDB129" s="54"/>
      <c r="JDC129" s="54"/>
      <c r="JDD129" s="54"/>
      <c r="JDE129" s="54"/>
      <c r="JDF129" s="54"/>
      <c r="JDG129" s="54"/>
      <c r="JDH129" s="54"/>
      <c r="JDI129" s="54"/>
      <c r="JDJ129" s="54"/>
      <c r="JDK129" s="54"/>
      <c r="JDL129" s="54"/>
      <c r="JDM129" s="54"/>
      <c r="JDN129" s="54"/>
      <c r="JDO129" s="54"/>
      <c r="JDP129" s="54"/>
      <c r="JDQ129" s="54"/>
      <c r="JDR129" s="54"/>
      <c r="JDS129" s="54"/>
      <c r="JDT129" s="54"/>
      <c r="JDU129" s="54"/>
      <c r="JDV129" s="54"/>
      <c r="JDW129" s="54"/>
      <c r="JDX129" s="54"/>
      <c r="JDY129" s="54"/>
      <c r="JDZ129" s="54"/>
      <c r="JEA129" s="54"/>
      <c r="JEB129" s="54"/>
      <c r="JEC129" s="54"/>
      <c r="JED129" s="54"/>
      <c r="JEE129" s="54"/>
      <c r="JEF129" s="54"/>
      <c r="JEG129" s="54"/>
      <c r="JEH129" s="54"/>
      <c r="JEI129" s="54"/>
      <c r="JEJ129" s="54"/>
      <c r="JEK129" s="54"/>
      <c r="JEL129" s="54"/>
      <c r="JEM129" s="54"/>
      <c r="JEN129" s="54"/>
      <c r="JEO129" s="54"/>
      <c r="JEP129" s="54"/>
      <c r="JEQ129" s="54"/>
      <c r="JER129" s="54"/>
      <c r="JES129" s="54"/>
      <c r="JET129" s="54"/>
      <c r="JEU129" s="54"/>
      <c r="JEV129" s="54"/>
      <c r="JEW129" s="54"/>
      <c r="JEX129" s="54"/>
      <c r="JEY129" s="54"/>
      <c r="JEZ129" s="54"/>
      <c r="JFA129" s="54"/>
      <c r="JFB129" s="54"/>
      <c r="JFC129" s="54"/>
      <c r="JFD129" s="54"/>
      <c r="JFE129" s="54"/>
      <c r="JFF129" s="54"/>
      <c r="JFG129" s="54"/>
      <c r="JFH129" s="54"/>
      <c r="JFI129" s="54"/>
      <c r="JFJ129" s="54"/>
      <c r="JFK129" s="54"/>
      <c r="JFL129" s="54"/>
      <c r="JFM129" s="54"/>
      <c r="JFN129" s="54"/>
      <c r="JFO129" s="54"/>
      <c r="JFP129" s="54"/>
      <c r="JFQ129" s="54"/>
      <c r="JFR129" s="54"/>
      <c r="JFS129" s="54"/>
      <c r="JFT129" s="54"/>
      <c r="JFU129" s="54"/>
      <c r="JFV129" s="54"/>
      <c r="JFW129" s="54"/>
      <c r="JFX129" s="54"/>
      <c r="JFY129" s="54"/>
      <c r="JFZ129" s="54"/>
      <c r="JGA129" s="54"/>
      <c r="JGB129" s="54"/>
      <c r="JGC129" s="54"/>
      <c r="JGD129" s="54"/>
      <c r="JGE129" s="54"/>
      <c r="JGF129" s="54"/>
      <c r="JGG129" s="54"/>
      <c r="JGH129" s="54"/>
      <c r="JGI129" s="54"/>
      <c r="JGJ129" s="54"/>
      <c r="JGK129" s="54"/>
      <c r="JGL129" s="54"/>
      <c r="JGM129" s="54"/>
      <c r="JGN129" s="54"/>
      <c r="JGO129" s="54"/>
      <c r="JGP129" s="54"/>
      <c r="JGQ129" s="54"/>
      <c r="JGR129" s="54"/>
      <c r="JGS129" s="54"/>
      <c r="JGT129" s="54"/>
      <c r="JGU129" s="54"/>
      <c r="JGV129" s="54"/>
      <c r="JGW129" s="54"/>
      <c r="JGX129" s="54"/>
      <c r="JGY129" s="54"/>
      <c r="JGZ129" s="54"/>
      <c r="JHA129" s="54"/>
      <c r="JHB129" s="54"/>
      <c r="JHC129" s="54"/>
      <c r="JHD129" s="54"/>
      <c r="JHE129" s="54"/>
      <c r="JHF129" s="54"/>
      <c r="JHG129" s="54"/>
      <c r="JHH129" s="54"/>
      <c r="JHI129" s="54"/>
      <c r="JHJ129" s="54"/>
      <c r="JHK129" s="54"/>
      <c r="JHL129" s="54"/>
      <c r="JHM129" s="54"/>
      <c r="JHN129" s="54"/>
      <c r="JHO129" s="54"/>
      <c r="JHP129" s="54"/>
      <c r="JHQ129" s="54"/>
      <c r="JHR129" s="54"/>
      <c r="JHS129" s="54"/>
      <c r="JHT129" s="54"/>
      <c r="JHU129" s="54"/>
      <c r="JHV129" s="54"/>
      <c r="JHW129" s="54"/>
      <c r="JHX129" s="54"/>
      <c r="JHY129" s="54"/>
      <c r="JHZ129" s="54"/>
      <c r="JIA129" s="54"/>
      <c r="JIB129" s="54"/>
      <c r="JIC129" s="54"/>
      <c r="JID129" s="54"/>
      <c r="JIE129" s="54"/>
      <c r="JIF129" s="54"/>
      <c r="JIG129" s="54"/>
      <c r="JIH129" s="54"/>
      <c r="JII129" s="54"/>
      <c r="JIJ129" s="54"/>
      <c r="JIK129" s="54"/>
      <c r="JIL129" s="54"/>
      <c r="JIM129" s="54"/>
      <c r="JIN129" s="54"/>
      <c r="JIO129" s="54"/>
      <c r="JIP129" s="54"/>
      <c r="JIQ129" s="54"/>
      <c r="JIR129" s="54"/>
      <c r="JIS129" s="54"/>
      <c r="JIT129" s="54"/>
      <c r="JIU129" s="54"/>
      <c r="JIV129" s="54"/>
      <c r="JIW129" s="54"/>
      <c r="JIX129" s="54"/>
      <c r="JIY129" s="54"/>
      <c r="JIZ129" s="54"/>
      <c r="JJA129" s="54"/>
      <c r="JJB129" s="54"/>
      <c r="JJC129" s="54"/>
      <c r="JJD129" s="54"/>
      <c r="JJE129" s="54"/>
      <c r="JJF129" s="54"/>
      <c r="JJG129" s="54"/>
      <c r="JJH129" s="54"/>
      <c r="JJI129" s="54"/>
      <c r="JJJ129" s="54"/>
      <c r="JJK129" s="54"/>
      <c r="JJL129" s="54"/>
      <c r="JJM129" s="54"/>
      <c r="JJN129" s="54"/>
      <c r="JJO129" s="54"/>
      <c r="JJP129" s="54"/>
      <c r="JJQ129" s="54"/>
      <c r="JJR129" s="54"/>
      <c r="JJS129" s="54"/>
      <c r="JJT129" s="54"/>
      <c r="JJU129" s="54"/>
      <c r="JJV129" s="54"/>
      <c r="JJW129" s="54"/>
      <c r="JJX129" s="54"/>
      <c r="JJY129" s="54"/>
      <c r="JJZ129" s="54"/>
      <c r="JKA129" s="54"/>
      <c r="JKB129" s="54"/>
      <c r="JKC129" s="54"/>
      <c r="JKD129" s="54"/>
      <c r="JKE129" s="54"/>
      <c r="JKF129" s="54"/>
      <c r="JKG129" s="54"/>
      <c r="JKH129" s="54"/>
      <c r="JKI129" s="54"/>
      <c r="JKJ129" s="54"/>
      <c r="JKK129" s="54"/>
      <c r="JKL129" s="54"/>
      <c r="JKM129" s="54"/>
      <c r="JKN129" s="54"/>
      <c r="JKO129" s="54"/>
      <c r="JKP129" s="54"/>
      <c r="JKQ129" s="54"/>
      <c r="JKR129" s="54"/>
      <c r="JKS129" s="54"/>
      <c r="JKT129" s="54"/>
      <c r="JKU129" s="54"/>
      <c r="JKV129" s="54"/>
      <c r="JKW129" s="54"/>
      <c r="JKX129" s="54"/>
      <c r="JKY129" s="54"/>
      <c r="JKZ129" s="54"/>
      <c r="JLA129" s="54"/>
      <c r="JLB129" s="54"/>
      <c r="JLC129" s="54"/>
      <c r="JLD129" s="54"/>
      <c r="JLE129" s="54"/>
      <c r="JLF129" s="54"/>
      <c r="JLG129" s="54"/>
      <c r="JLH129" s="54"/>
      <c r="JLI129" s="54"/>
      <c r="JLJ129" s="54"/>
      <c r="JLK129" s="54"/>
      <c r="JLL129" s="54"/>
      <c r="JLM129" s="54"/>
      <c r="JLN129" s="54"/>
      <c r="JLO129" s="54"/>
      <c r="JLP129" s="54"/>
      <c r="JLQ129" s="54"/>
      <c r="JLR129" s="54"/>
      <c r="JLS129" s="54"/>
      <c r="JLT129" s="54"/>
      <c r="JLU129" s="54"/>
      <c r="JLV129" s="54"/>
      <c r="JLW129" s="54"/>
      <c r="JLX129" s="54"/>
      <c r="JLY129" s="54"/>
      <c r="JLZ129" s="54"/>
      <c r="JMA129" s="54"/>
      <c r="JMB129" s="54"/>
      <c r="JMC129" s="54"/>
      <c r="JMD129" s="54"/>
      <c r="JME129" s="54"/>
      <c r="JMF129" s="54"/>
      <c r="JMG129" s="54"/>
      <c r="JMH129" s="54"/>
      <c r="JMI129" s="54"/>
      <c r="JMJ129" s="54"/>
      <c r="JMK129" s="54"/>
      <c r="JML129" s="54"/>
      <c r="JMM129" s="54"/>
      <c r="JMN129" s="54"/>
      <c r="JMO129" s="54"/>
      <c r="JMP129" s="54"/>
      <c r="JMQ129" s="54"/>
      <c r="JMR129" s="54"/>
      <c r="JMS129" s="54"/>
      <c r="JMT129" s="54"/>
      <c r="JMU129" s="54"/>
      <c r="JMV129" s="54"/>
      <c r="JMW129" s="54"/>
      <c r="JMX129" s="54"/>
      <c r="JMY129" s="54"/>
      <c r="JMZ129" s="54"/>
      <c r="JNA129" s="54"/>
      <c r="JNB129" s="54"/>
      <c r="JNC129" s="54"/>
      <c r="JND129" s="54"/>
      <c r="JNE129" s="54"/>
      <c r="JNF129" s="54"/>
      <c r="JNG129" s="54"/>
      <c r="JNH129" s="54"/>
      <c r="JNI129" s="54"/>
      <c r="JNJ129" s="54"/>
      <c r="JNK129" s="54"/>
      <c r="JNL129" s="54"/>
      <c r="JNM129" s="54"/>
      <c r="JNN129" s="54"/>
      <c r="JNO129" s="54"/>
      <c r="JNP129" s="54"/>
      <c r="JNQ129" s="54"/>
      <c r="JNR129" s="54"/>
      <c r="JNS129" s="54"/>
      <c r="JNT129" s="54"/>
      <c r="JNU129" s="54"/>
      <c r="JNV129" s="54"/>
      <c r="JNW129" s="54"/>
      <c r="JNX129" s="54"/>
      <c r="JNY129" s="54"/>
      <c r="JNZ129" s="54"/>
      <c r="JOA129" s="54"/>
      <c r="JOB129" s="54"/>
      <c r="JOC129" s="54"/>
      <c r="JOD129" s="54"/>
      <c r="JOE129" s="54"/>
      <c r="JOF129" s="54"/>
      <c r="JOG129" s="54"/>
      <c r="JOH129" s="54"/>
      <c r="JOI129" s="54"/>
      <c r="JOJ129" s="54"/>
      <c r="JOK129" s="54"/>
      <c r="JOL129" s="54"/>
      <c r="JOM129" s="54"/>
      <c r="JON129" s="54"/>
      <c r="JOO129" s="54"/>
      <c r="JOP129" s="54"/>
      <c r="JOQ129" s="54"/>
      <c r="JOR129" s="54"/>
      <c r="JOS129" s="54"/>
      <c r="JOT129" s="54"/>
      <c r="JOU129" s="54"/>
      <c r="JOV129" s="54"/>
      <c r="JOW129" s="54"/>
      <c r="JOX129" s="54"/>
      <c r="JOY129" s="54"/>
      <c r="JOZ129" s="54"/>
      <c r="JPA129" s="54"/>
      <c r="JPB129" s="54"/>
      <c r="JPC129" s="54"/>
      <c r="JPD129" s="54"/>
      <c r="JPE129" s="54"/>
      <c r="JPF129" s="54"/>
      <c r="JPG129" s="54"/>
      <c r="JPH129" s="54"/>
      <c r="JPI129" s="54"/>
      <c r="JPJ129" s="54"/>
      <c r="JPK129" s="54"/>
      <c r="JPL129" s="54"/>
      <c r="JPM129" s="54"/>
      <c r="JPN129" s="54"/>
      <c r="JPO129" s="54"/>
      <c r="JPP129" s="54"/>
      <c r="JPQ129" s="54"/>
      <c r="JPR129" s="54"/>
      <c r="JPS129" s="54"/>
      <c r="JPT129" s="54"/>
      <c r="JPU129" s="54"/>
      <c r="JPV129" s="54"/>
      <c r="JPW129" s="54"/>
      <c r="JPX129" s="54"/>
      <c r="JPY129" s="54"/>
      <c r="JPZ129" s="54"/>
      <c r="JQA129" s="54"/>
      <c r="JQB129" s="54"/>
      <c r="JQC129" s="54"/>
      <c r="JQD129" s="54"/>
      <c r="JQE129" s="54"/>
      <c r="JQF129" s="54"/>
      <c r="JQG129" s="54"/>
      <c r="JQH129" s="54"/>
      <c r="JQI129" s="54"/>
      <c r="JQJ129" s="54"/>
      <c r="JQK129" s="54"/>
      <c r="JQL129" s="54"/>
      <c r="JQM129" s="54"/>
      <c r="JQN129" s="54"/>
      <c r="JQO129" s="54"/>
      <c r="JQP129" s="54"/>
      <c r="JQQ129" s="54"/>
      <c r="JQR129" s="54"/>
      <c r="JQS129" s="54"/>
      <c r="JQT129" s="54"/>
      <c r="JQU129" s="54"/>
      <c r="JQV129" s="54"/>
      <c r="JQW129" s="54"/>
      <c r="JQX129" s="54"/>
      <c r="JQY129" s="54"/>
      <c r="JQZ129" s="54"/>
      <c r="JRA129" s="54"/>
      <c r="JRB129" s="54"/>
      <c r="JRC129" s="54"/>
      <c r="JRD129" s="54"/>
      <c r="JRE129" s="54"/>
      <c r="JRF129" s="54"/>
      <c r="JRG129" s="54"/>
      <c r="JRH129" s="54"/>
      <c r="JRI129" s="54"/>
      <c r="JRJ129" s="54"/>
      <c r="JRK129" s="54"/>
      <c r="JRL129" s="54"/>
      <c r="JRM129" s="54"/>
      <c r="JRN129" s="54"/>
      <c r="JRO129" s="54"/>
      <c r="JRP129" s="54"/>
      <c r="JRQ129" s="54"/>
      <c r="JRR129" s="54"/>
      <c r="JRS129" s="54"/>
      <c r="JRT129" s="54"/>
      <c r="JRU129" s="54"/>
      <c r="JRV129" s="54"/>
      <c r="JRW129" s="54"/>
      <c r="JRX129" s="54"/>
      <c r="JRY129" s="54"/>
      <c r="JRZ129" s="54"/>
      <c r="JSA129" s="54"/>
      <c r="JSB129" s="54"/>
      <c r="JSC129" s="54"/>
      <c r="JSD129" s="54"/>
      <c r="JSE129" s="54"/>
      <c r="JSF129" s="54"/>
      <c r="JSG129" s="54"/>
      <c r="JSH129" s="54"/>
      <c r="JSI129" s="54"/>
      <c r="JSJ129" s="54"/>
      <c r="JSK129" s="54"/>
      <c r="JSL129" s="54"/>
      <c r="JSM129" s="54"/>
      <c r="JSN129" s="54"/>
      <c r="JSO129" s="54"/>
      <c r="JSP129" s="54"/>
      <c r="JSQ129" s="54"/>
      <c r="JSR129" s="54"/>
      <c r="JSS129" s="54"/>
      <c r="JST129" s="54"/>
      <c r="JSU129" s="54"/>
      <c r="JSV129" s="54"/>
      <c r="JSW129" s="54"/>
      <c r="JSX129" s="54"/>
      <c r="JSY129" s="54"/>
      <c r="JSZ129" s="54"/>
      <c r="JTA129" s="54"/>
      <c r="JTB129" s="54"/>
      <c r="JTC129" s="54"/>
      <c r="JTD129" s="54"/>
      <c r="JTE129" s="54"/>
      <c r="JTF129" s="54"/>
      <c r="JTG129" s="54"/>
      <c r="JTH129" s="54"/>
      <c r="JTI129" s="54"/>
      <c r="JTJ129" s="54"/>
      <c r="JTK129" s="54"/>
      <c r="JTL129" s="54"/>
      <c r="JTM129" s="54"/>
      <c r="JTN129" s="54"/>
      <c r="JTO129" s="54"/>
      <c r="JTP129" s="54"/>
      <c r="JTQ129" s="54"/>
      <c r="JTR129" s="54"/>
      <c r="JTS129" s="54"/>
      <c r="JTT129" s="54"/>
      <c r="JTU129" s="54"/>
      <c r="JTV129" s="54"/>
      <c r="JTW129" s="54"/>
      <c r="JTX129" s="54"/>
      <c r="JTY129" s="54"/>
      <c r="JTZ129" s="54"/>
      <c r="JUA129" s="54"/>
      <c r="JUB129" s="54"/>
      <c r="JUC129" s="54"/>
      <c r="JUD129" s="54"/>
      <c r="JUE129" s="54"/>
      <c r="JUF129" s="54"/>
      <c r="JUG129" s="54"/>
      <c r="JUH129" s="54"/>
      <c r="JUI129" s="54"/>
      <c r="JUJ129" s="54"/>
      <c r="JUK129" s="54"/>
      <c r="JUL129" s="54"/>
      <c r="JUM129" s="54"/>
      <c r="JUN129" s="54"/>
      <c r="JUO129" s="54"/>
      <c r="JUP129" s="54"/>
      <c r="JUQ129" s="54"/>
      <c r="JUR129" s="54"/>
      <c r="JUS129" s="54"/>
      <c r="JUT129" s="54"/>
      <c r="JUU129" s="54"/>
      <c r="JUV129" s="54"/>
      <c r="JUW129" s="54"/>
      <c r="JUX129" s="54"/>
      <c r="JUY129" s="54"/>
      <c r="JUZ129" s="54"/>
      <c r="JVA129" s="54"/>
      <c r="JVB129" s="54"/>
      <c r="JVC129" s="54"/>
      <c r="JVD129" s="54"/>
      <c r="JVE129" s="54"/>
      <c r="JVF129" s="54"/>
      <c r="JVG129" s="54"/>
      <c r="JVH129" s="54"/>
      <c r="JVI129" s="54"/>
      <c r="JVJ129" s="54"/>
      <c r="JVK129" s="54"/>
      <c r="JVL129" s="54"/>
      <c r="JVM129" s="54"/>
      <c r="JVN129" s="54"/>
      <c r="JVO129" s="54"/>
      <c r="JVP129" s="54"/>
      <c r="JVQ129" s="54"/>
      <c r="JVR129" s="54"/>
      <c r="JVS129" s="54"/>
      <c r="JVT129" s="54"/>
      <c r="JVU129" s="54"/>
      <c r="JVV129" s="54"/>
      <c r="JVW129" s="54"/>
      <c r="JVX129" s="54"/>
      <c r="JVY129" s="54"/>
      <c r="JVZ129" s="54"/>
      <c r="JWA129" s="54"/>
      <c r="JWB129" s="54"/>
      <c r="JWC129" s="54"/>
      <c r="JWD129" s="54"/>
      <c r="JWE129" s="54"/>
      <c r="JWF129" s="54"/>
      <c r="JWG129" s="54"/>
      <c r="JWH129" s="54"/>
      <c r="JWI129" s="54"/>
      <c r="JWJ129" s="54"/>
      <c r="JWK129" s="54"/>
      <c r="JWL129" s="54"/>
      <c r="JWM129" s="54"/>
      <c r="JWN129" s="54"/>
      <c r="JWO129" s="54"/>
      <c r="JWP129" s="54"/>
      <c r="JWQ129" s="54"/>
      <c r="JWR129" s="54"/>
      <c r="JWS129" s="54"/>
      <c r="JWT129" s="54"/>
      <c r="JWU129" s="54"/>
      <c r="JWV129" s="54"/>
      <c r="JWW129" s="54"/>
      <c r="JWX129" s="54"/>
      <c r="JWY129" s="54"/>
      <c r="JWZ129" s="54"/>
      <c r="JXA129" s="54"/>
      <c r="JXB129" s="54"/>
      <c r="JXC129" s="54"/>
      <c r="JXD129" s="54"/>
      <c r="JXE129" s="54"/>
      <c r="JXF129" s="54"/>
      <c r="JXG129" s="54"/>
      <c r="JXH129" s="54"/>
      <c r="JXI129" s="54"/>
      <c r="JXJ129" s="54"/>
      <c r="JXK129" s="54"/>
      <c r="JXL129" s="54"/>
      <c r="JXM129" s="54"/>
      <c r="JXN129" s="54"/>
      <c r="JXO129" s="54"/>
      <c r="JXP129" s="54"/>
      <c r="JXQ129" s="54"/>
      <c r="JXR129" s="54"/>
      <c r="JXS129" s="54"/>
      <c r="JXT129" s="54"/>
      <c r="JXU129" s="54"/>
      <c r="JXV129" s="54"/>
      <c r="JXW129" s="54"/>
      <c r="JXX129" s="54"/>
      <c r="JXY129" s="54"/>
      <c r="JXZ129" s="54"/>
      <c r="JYA129" s="54"/>
      <c r="JYB129" s="54"/>
      <c r="JYC129" s="54"/>
      <c r="JYD129" s="54"/>
      <c r="JYE129" s="54"/>
      <c r="JYF129" s="54"/>
      <c r="JYG129" s="54"/>
      <c r="JYH129" s="54"/>
      <c r="JYI129" s="54"/>
      <c r="JYJ129" s="54"/>
      <c r="JYK129" s="54"/>
      <c r="JYL129" s="54"/>
      <c r="JYM129" s="54"/>
      <c r="JYN129" s="54"/>
      <c r="JYO129" s="54"/>
      <c r="JYP129" s="54"/>
      <c r="JYQ129" s="54"/>
      <c r="JYR129" s="54"/>
      <c r="JYS129" s="54"/>
      <c r="JYT129" s="54"/>
      <c r="JYU129" s="54"/>
      <c r="JYV129" s="54"/>
      <c r="JYW129" s="54"/>
      <c r="JYX129" s="54"/>
      <c r="JYY129" s="54"/>
      <c r="JYZ129" s="54"/>
      <c r="JZA129" s="54"/>
      <c r="JZB129" s="54"/>
      <c r="JZC129" s="54"/>
      <c r="JZD129" s="54"/>
      <c r="JZE129" s="54"/>
      <c r="JZF129" s="54"/>
      <c r="JZG129" s="54"/>
      <c r="JZH129" s="54"/>
      <c r="JZI129" s="54"/>
      <c r="JZJ129" s="54"/>
      <c r="JZK129" s="54"/>
      <c r="JZL129" s="54"/>
      <c r="JZM129" s="54"/>
      <c r="JZN129" s="54"/>
      <c r="JZO129" s="54"/>
      <c r="JZP129" s="54"/>
      <c r="JZQ129" s="54"/>
      <c r="JZR129" s="54"/>
      <c r="JZS129" s="54"/>
      <c r="JZT129" s="54"/>
      <c r="JZU129" s="54"/>
      <c r="JZV129" s="54"/>
      <c r="JZW129" s="54"/>
      <c r="JZX129" s="54"/>
      <c r="JZY129" s="54"/>
      <c r="JZZ129" s="54"/>
      <c r="KAA129" s="54"/>
      <c r="KAB129" s="54"/>
      <c r="KAC129" s="54"/>
      <c r="KAD129" s="54"/>
      <c r="KAE129" s="54"/>
      <c r="KAF129" s="54"/>
      <c r="KAG129" s="54"/>
      <c r="KAH129" s="54"/>
      <c r="KAI129" s="54"/>
      <c r="KAJ129" s="54"/>
      <c r="KAK129" s="54"/>
      <c r="KAL129" s="54"/>
      <c r="KAM129" s="54"/>
      <c r="KAN129" s="54"/>
      <c r="KAO129" s="54"/>
      <c r="KAP129" s="54"/>
      <c r="KAQ129" s="54"/>
      <c r="KAR129" s="54"/>
      <c r="KAS129" s="54"/>
      <c r="KAT129" s="54"/>
      <c r="KAU129" s="54"/>
      <c r="KAV129" s="54"/>
      <c r="KAW129" s="54"/>
      <c r="KAX129" s="54"/>
      <c r="KAY129" s="54"/>
      <c r="KAZ129" s="54"/>
      <c r="KBA129" s="54"/>
      <c r="KBB129" s="54"/>
      <c r="KBC129" s="54"/>
      <c r="KBD129" s="54"/>
      <c r="KBE129" s="54"/>
      <c r="KBF129" s="54"/>
      <c r="KBG129" s="54"/>
      <c r="KBH129" s="54"/>
      <c r="KBI129" s="54"/>
      <c r="KBJ129" s="54"/>
      <c r="KBK129" s="54"/>
      <c r="KBL129" s="54"/>
      <c r="KBM129" s="54"/>
      <c r="KBN129" s="54"/>
      <c r="KBO129" s="54"/>
      <c r="KBP129" s="54"/>
      <c r="KBQ129" s="54"/>
      <c r="KBR129" s="54"/>
      <c r="KBS129" s="54"/>
      <c r="KBT129" s="54"/>
      <c r="KBU129" s="54"/>
      <c r="KBV129" s="54"/>
      <c r="KBW129" s="54"/>
      <c r="KBX129" s="54"/>
      <c r="KBY129" s="54"/>
      <c r="KBZ129" s="54"/>
      <c r="KCA129" s="54"/>
      <c r="KCB129" s="54"/>
      <c r="KCC129" s="54"/>
      <c r="KCD129" s="54"/>
      <c r="KCE129" s="54"/>
      <c r="KCF129" s="54"/>
      <c r="KCG129" s="54"/>
      <c r="KCH129" s="54"/>
      <c r="KCI129" s="54"/>
      <c r="KCJ129" s="54"/>
      <c r="KCK129" s="54"/>
      <c r="KCL129" s="54"/>
      <c r="KCM129" s="54"/>
      <c r="KCN129" s="54"/>
      <c r="KCO129" s="54"/>
      <c r="KCP129" s="54"/>
      <c r="KCQ129" s="54"/>
      <c r="KCR129" s="54"/>
      <c r="KCS129" s="54"/>
      <c r="KCT129" s="54"/>
      <c r="KCU129" s="54"/>
      <c r="KCV129" s="54"/>
      <c r="KCW129" s="54"/>
      <c r="KCX129" s="54"/>
      <c r="KCY129" s="54"/>
      <c r="KCZ129" s="54"/>
      <c r="KDA129" s="54"/>
      <c r="KDB129" s="54"/>
      <c r="KDC129" s="54"/>
      <c r="KDD129" s="54"/>
      <c r="KDE129" s="54"/>
      <c r="KDF129" s="54"/>
      <c r="KDG129" s="54"/>
      <c r="KDH129" s="54"/>
      <c r="KDI129" s="54"/>
      <c r="KDJ129" s="54"/>
      <c r="KDK129" s="54"/>
      <c r="KDL129" s="54"/>
      <c r="KDM129" s="54"/>
      <c r="KDN129" s="54"/>
      <c r="KDO129" s="54"/>
      <c r="KDP129" s="54"/>
      <c r="KDQ129" s="54"/>
      <c r="KDR129" s="54"/>
      <c r="KDS129" s="54"/>
      <c r="KDT129" s="54"/>
      <c r="KDU129" s="54"/>
      <c r="KDV129" s="54"/>
      <c r="KDW129" s="54"/>
      <c r="KDX129" s="54"/>
      <c r="KDY129" s="54"/>
      <c r="KDZ129" s="54"/>
      <c r="KEA129" s="54"/>
      <c r="KEB129" s="54"/>
      <c r="KEC129" s="54"/>
      <c r="KED129" s="54"/>
      <c r="KEE129" s="54"/>
      <c r="KEF129" s="54"/>
      <c r="KEG129" s="54"/>
      <c r="KEH129" s="54"/>
      <c r="KEI129" s="54"/>
      <c r="KEJ129" s="54"/>
      <c r="KEK129" s="54"/>
      <c r="KEL129" s="54"/>
      <c r="KEM129" s="54"/>
      <c r="KEN129" s="54"/>
      <c r="KEO129" s="54"/>
      <c r="KEP129" s="54"/>
      <c r="KEQ129" s="54"/>
      <c r="KER129" s="54"/>
      <c r="KES129" s="54"/>
      <c r="KET129" s="54"/>
      <c r="KEU129" s="54"/>
      <c r="KEV129" s="54"/>
      <c r="KEW129" s="54"/>
      <c r="KEX129" s="54"/>
      <c r="KEY129" s="54"/>
      <c r="KEZ129" s="54"/>
      <c r="KFA129" s="54"/>
      <c r="KFB129" s="54"/>
      <c r="KFC129" s="54"/>
      <c r="KFD129" s="54"/>
      <c r="KFE129" s="54"/>
      <c r="KFF129" s="54"/>
      <c r="KFG129" s="54"/>
      <c r="KFH129" s="54"/>
      <c r="KFI129" s="54"/>
      <c r="KFJ129" s="54"/>
      <c r="KFK129" s="54"/>
      <c r="KFL129" s="54"/>
      <c r="KFM129" s="54"/>
      <c r="KFN129" s="54"/>
      <c r="KFO129" s="54"/>
      <c r="KFP129" s="54"/>
      <c r="KFQ129" s="54"/>
      <c r="KFR129" s="54"/>
      <c r="KFS129" s="54"/>
      <c r="KFT129" s="54"/>
      <c r="KFU129" s="54"/>
      <c r="KFV129" s="54"/>
      <c r="KFW129" s="54"/>
      <c r="KFX129" s="54"/>
      <c r="KFY129" s="54"/>
      <c r="KFZ129" s="54"/>
      <c r="KGA129" s="54"/>
      <c r="KGB129" s="54"/>
      <c r="KGC129" s="54"/>
      <c r="KGD129" s="54"/>
      <c r="KGE129" s="54"/>
      <c r="KGF129" s="54"/>
      <c r="KGG129" s="54"/>
      <c r="KGH129" s="54"/>
      <c r="KGI129" s="54"/>
      <c r="KGJ129" s="54"/>
      <c r="KGK129" s="54"/>
      <c r="KGL129" s="54"/>
      <c r="KGM129" s="54"/>
      <c r="KGN129" s="54"/>
      <c r="KGO129" s="54"/>
      <c r="KGP129" s="54"/>
      <c r="KGQ129" s="54"/>
      <c r="KGR129" s="54"/>
      <c r="KGS129" s="54"/>
      <c r="KGT129" s="54"/>
      <c r="KGU129" s="54"/>
      <c r="KGV129" s="54"/>
      <c r="KGW129" s="54"/>
      <c r="KGX129" s="54"/>
      <c r="KGY129" s="54"/>
      <c r="KGZ129" s="54"/>
      <c r="KHA129" s="54"/>
      <c r="KHB129" s="54"/>
      <c r="KHC129" s="54"/>
      <c r="KHD129" s="54"/>
      <c r="KHE129" s="54"/>
      <c r="KHF129" s="54"/>
      <c r="KHG129" s="54"/>
      <c r="KHH129" s="54"/>
      <c r="KHI129" s="54"/>
      <c r="KHJ129" s="54"/>
      <c r="KHK129" s="54"/>
      <c r="KHL129" s="54"/>
      <c r="KHM129" s="54"/>
      <c r="KHN129" s="54"/>
      <c r="KHO129" s="54"/>
      <c r="KHP129" s="54"/>
      <c r="KHQ129" s="54"/>
      <c r="KHR129" s="54"/>
      <c r="KHS129" s="54"/>
      <c r="KHT129" s="54"/>
      <c r="KHU129" s="54"/>
      <c r="KHV129" s="54"/>
      <c r="KHW129" s="54"/>
      <c r="KHX129" s="54"/>
      <c r="KHY129" s="54"/>
      <c r="KHZ129" s="54"/>
      <c r="KIA129" s="54"/>
      <c r="KIB129" s="54"/>
      <c r="KIC129" s="54"/>
      <c r="KID129" s="54"/>
      <c r="KIE129" s="54"/>
      <c r="KIF129" s="54"/>
      <c r="KIG129" s="54"/>
      <c r="KIH129" s="54"/>
      <c r="KII129" s="54"/>
      <c r="KIJ129" s="54"/>
      <c r="KIK129" s="54"/>
      <c r="KIL129" s="54"/>
      <c r="KIM129" s="54"/>
      <c r="KIN129" s="54"/>
      <c r="KIO129" s="54"/>
      <c r="KIP129" s="54"/>
      <c r="KIQ129" s="54"/>
      <c r="KIR129" s="54"/>
      <c r="KIS129" s="54"/>
      <c r="KIT129" s="54"/>
      <c r="KIU129" s="54"/>
      <c r="KIV129" s="54"/>
      <c r="KIW129" s="54"/>
      <c r="KIX129" s="54"/>
      <c r="KIY129" s="54"/>
      <c r="KIZ129" s="54"/>
      <c r="KJA129" s="54"/>
      <c r="KJB129" s="54"/>
      <c r="KJC129" s="54"/>
      <c r="KJD129" s="54"/>
      <c r="KJE129" s="54"/>
      <c r="KJF129" s="54"/>
      <c r="KJG129" s="54"/>
      <c r="KJH129" s="54"/>
      <c r="KJI129" s="54"/>
      <c r="KJJ129" s="54"/>
      <c r="KJK129" s="54"/>
      <c r="KJL129" s="54"/>
      <c r="KJM129" s="54"/>
      <c r="KJN129" s="54"/>
      <c r="KJO129" s="54"/>
      <c r="KJP129" s="54"/>
      <c r="KJQ129" s="54"/>
      <c r="KJR129" s="54"/>
      <c r="KJS129" s="54"/>
      <c r="KJT129" s="54"/>
      <c r="KJU129" s="54"/>
      <c r="KJV129" s="54"/>
      <c r="KJW129" s="54"/>
      <c r="KJX129" s="54"/>
      <c r="KJY129" s="54"/>
      <c r="KJZ129" s="54"/>
      <c r="KKA129" s="54"/>
      <c r="KKB129" s="54"/>
      <c r="KKC129" s="54"/>
      <c r="KKD129" s="54"/>
      <c r="KKE129" s="54"/>
      <c r="KKF129" s="54"/>
      <c r="KKG129" s="54"/>
      <c r="KKH129" s="54"/>
      <c r="KKI129" s="54"/>
      <c r="KKJ129" s="54"/>
      <c r="KKK129" s="54"/>
      <c r="KKL129" s="54"/>
      <c r="KKM129" s="54"/>
      <c r="KKN129" s="54"/>
      <c r="KKO129" s="54"/>
      <c r="KKP129" s="54"/>
      <c r="KKQ129" s="54"/>
      <c r="KKR129" s="54"/>
      <c r="KKS129" s="54"/>
      <c r="KKT129" s="54"/>
      <c r="KKU129" s="54"/>
      <c r="KKV129" s="54"/>
      <c r="KKW129" s="54"/>
      <c r="KKX129" s="54"/>
      <c r="KKY129" s="54"/>
      <c r="KKZ129" s="54"/>
      <c r="KLA129" s="54"/>
      <c r="KLB129" s="54"/>
      <c r="KLC129" s="54"/>
      <c r="KLD129" s="54"/>
      <c r="KLE129" s="54"/>
      <c r="KLF129" s="54"/>
      <c r="KLG129" s="54"/>
      <c r="KLH129" s="54"/>
      <c r="KLI129" s="54"/>
      <c r="KLJ129" s="54"/>
      <c r="KLK129" s="54"/>
      <c r="KLL129" s="54"/>
      <c r="KLM129" s="54"/>
      <c r="KLN129" s="54"/>
      <c r="KLO129" s="54"/>
      <c r="KLP129" s="54"/>
      <c r="KLQ129" s="54"/>
      <c r="KLR129" s="54"/>
      <c r="KLS129" s="54"/>
      <c r="KLT129" s="54"/>
      <c r="KLU129" s="54"/>
      <c r="KLV129" s="54"/>
      <c r="KLW129" s="54"/>
      <c r="KLX129" s="54"/>
      <c r="KLY129" s="54"/>
      <c r="KLZ129" s="54"/>
      <c r="KMA129" s="54"/>
      <c r="KMB129" s="54"/>
      <c r="KMC129" s="54"/>
      <c r="KMD129" s="54"/>
      <c r="KME129" s="54"/>
      <c r="KMF129" s="54"/>
      <c r="KMG129" s="54"/>
      <c r="KMH129" s="54"/>
      <c r="KMI129" s="54"/>
      <c r="KMJ129" s="54"/>
      <c r="KMK129" s="54"/>
      <c r="KML129" s="54"/>
      <c r="KMM129" s="54"/>
      <c r="KMN129" s="54"/>
      <c r="KMO129" s="54"/>
      <c r="KMP129" s="54"/>
      <c r="KMQ129" s="54"/>
      <c r="KMR129" s="54"/>
      <c r="KMS129" s="54"/>
      <c r="KMT129" s="54"/>
      <c r="KMU129" s="54"/>
      <c r="KMV129" s="54"/>
      <c r="KMW129" s="54"/>
      <c r="KMX129" s="54"/>
      <c r="KMY129" s="54"/>
      <c r="KMZ129" s="54"/>
      <c r="KNA129" s="54"/>
      <c r="KNB129" s="54"/>
      <c r="KNC129" s="54"/>
      <c r="KND129" s="54"/>
      <c r="KNE129" s="54"/>
      <c r="KNF129" s="54"/>
      <c r="KNG129" s="54"/>
      <c r="KNH129" s="54"/>
      <c r="KNI129" s="54"/>
      <c r="KNJ129" s="54"/>
      <c r="KNK129" s="54"/>
      <c r="KNL129" s="54"/>
      <c r="KNM129" s="54"/>
      <c r="KNN129" s="54"/>
      <c r="KNO129" s="54"/>
      <c r="KNP129" s="54"/>
      <c r="KNQ129" s="54"/>
      <c r="KNR129" s="54"/>
      <c r="KNS129" s="54"/>
      <c r="KNT129" s="54"/>
      <c r="KNU129" s="54"/>
      <c r="KNV129" s="54"/>
      <c r="KNW129" s="54"/>
      <c r="KNX129" s="54"/>
      <c r="KNY129" s="54"/>
      <c r="KNZ129" s="54"/>
      <c r="KOA129" s="54"/>
      <c r="KOB129" s="54"/>
      <c r="KOC129" s="54"/>
      <c r="KOD129" s="54"/>
      <c r="KOE129" s="54"/>
      <c r="KOF129" s="54"/>
      <c r="KOG129" s="54"/>
      <c r="KOH129" s="54"/>
      <c r="KOI129" s="54"/>
      <c r="KOJ129" s="54"/>
      <c r="KOK129" s="54"/>
      <c r="KOL129" s="54"/>
      <c r="KOM129" s="54"/>
      <c r="KON129" s="54"/>
      <c r="KOO129" s="54"/>
      <c r="KOP129" s="54"/>
      <c r="KOQ129" s="54"/>
      <c r="KOR129" s="54"/>
      <c r="KOS129" s="54"/>
      <c r="KOT129" s="54"/>
      <c r="KOU129" s="54"/>
      <c r="KOV129" s="54"/>
      <c r="KOW129" s="54"/>
      <c r="KOX129" s="54"/>
      <c r="KOY129" s="54"/>
      <c r="KOZ129" s="54"/>
      <c r="KPA129" s="54"/>
      <c r="KPB129" s="54"/>
      <c r="KPC129" s="54"/>
      <c r="KPD129" s="54"/>
      <c r="KPE129" s="54"/>
      <c r="KPF129" s="54"/>
      <c r="KPG129" s="54"/>
      <c r="KPH129" s="54"/>
      <c r="KPI129" s="54"/>
      <c r="KPJ129" s="54"/>
      <c r="KPK129" s="54"/>
      <c r="KPL129" s="54"/>
      <c r="KPM129" s="54"/>
      <c r="KPN129" s="54"/>
      <c r="KPO129" s="54"/>
      <c r="KPP129" s="54"/>
      <c r="KPQ129" s="54"/>
      <c r="KPR129" s="54"/>
      <c r="KPS129" s="54"/>
      <c r="KPT129" s="54"/>
      <c r="KPU129" s="54"/>
      <c r="KPV129" s="54"/>
      <c r="KPW129" s="54"/>
      <c r="KPX129" s="54"/>
      <c r="KPY129" s="54"/>
      <c r="KPZ129" s="54"/>
      <c r="KQA129" s="54"/>
      <c r="KQB129" s="54"/>
      <c r="KQC129" s="54"/>
      <c r="KQD129" s="54"/>
      <c r="KQE129" s="54"/>
      <c r="KQF129" s="54"/>
      <c r="KQG129" s="54"/>
      <c r="KQH129" s="54"/>
      <c r="KQI129" s="54"/>
      <c r="KQJ129" s="54"/>
      <c r="KQK129" s="54"/>
      <c r="KQL129" s="54"/>
      <c r="KQM129" s="54"/>
      <c r="KQN129" s="54"/>
      <c r="KQO129" s="54"/>
      <c r="KQP129" s="54"/>
      <c r="KQQ129" s="54"/>
      <c r="KQR129" s="54"/>
      <c r="KQS129" s="54"/>
      <c r="KQT129" s="54"/>
      <c r="KQU129" s="54"/>
      <c r="KQV129" s="54"/>
      <c r="KQW129" s="54"/>
      <c r="KQX129" s="54"/>
      <c r="KQY129" s="54"/>
      <c r="KQZ129" s="54"/>
      <c r="KRA129" s="54"/>
      <c r="KRB129" s="54"/>
      <c r="KRC129" s="54"/>
      <c r="KRD129" s="54"/>
      <c r="KRE129" s="54"/>
      <c r="KRF129" s="54"/>
      <c r="KRG129" s="54"/>
      <c r="KRH129" s="54"/>
      <c r="KRI129" s="54"/>
      <c r="KRJ129" s="54"/>
      <c r="KRK129" s="54"/>
      <c r="KRL129" s="54"/>
      <c r="KRM129" s="54"/>
      <c r="KRN129" s="54"/>
      <c r="KRO129" s="54"/>
      <c r="KRP129" s="54"/>
      <c r="KRQ129" s="54"/>
      <c r="KRR129" s="54"/>
      <c r="KRS129" s="54"/>
      <c r="KRT129" s="54"/>
      <c r="KRU129" s="54"/>
      <c r="KRV129" s="54"/>
      <c r="KRW129" s="54"/>
      <c r="KRX129" s="54"/>
      <c r="KRY129" s="54"/>
      <c r="KRZ129" s="54"/>
      <c r="KSA129" s="54"/>
      <c r="KSB129" s="54"/>
      <c r="KSC129" s="54"/>
      <c r="KSD129" s="54"/>
      <c r="KSE129" s="54"/>
      <c r="KSF129" s="54"/>
      <c r="KSG129" s="54"/>
      <c r="KSH129" s="54"/>
      <c r="KSI129" s="54"/>
      <c r="KSJ129" s="54"/>
      <c r="KSK129" s="54"/>
      <c r="KSL129" s="54"/>
      <c r="KSM129" s="54"/>
      <c r="KSN129" s="54"/>
      <c r="KSO129" s="54"/>
      <c r="KSP129" s="54"/>
      <c r="KSQ129" s="54"/>
      <c r="KSR129" s="54"/>
      <c r="KSS129" s="54"/>
      <c r="KST129" s="54"/>
      <c r="KSU129" s="54"/>
      <c r="KSV129" s="54"/>
      <c r="KSW129" s="54"/>
      <c r="KSX129" s="54"/>
      <c r="KSY129" s="54"/>
      <c r="KSZ129" s="54"/>
      <c r="KTA129" s="54"/>
      <c r="KTB129" s="54"/>
      <c r="KTC129" s="54"/>
      <c r="KTD129" s="54"/>
      <c r="KTE129" s="54"/>
      <c r="KTF129" s="54"/>
      <c r="KTG129" s="54"/>
      <c r="KTH129" s="54"/>
      <c r="KTI129" s="54"/>
      <c r="KTJ129" s="54"/>
      <c r="KTK129" s="54"/>
      <c r="KTL129" s="54"/>
      <c r="KTM129" s="54"/>
      <c r="KTN129" s="54"/>
      <c r="KTO129" s="54"/>
      <c r="KTP129" s="54"/>
      <c r="KTQ129" s="54"/>
      <c r="KTR129" s="54"/>
      <c r="KTS129" s="54"/>
      <c r="KTT129" s="54"/>
      <c r="KTU129" s="54"/>
      <c r="KTV129" s="54"/>
      <c r="KTW129" s="54"/>
      <c r="KTX129" s="54"/>
      <c r="KTY129" s="54"/>
      <c r="KTZ129" s="54"/>
      <c r="KUA129" s="54"/>
      <c r="KUB129" s="54"/>
      <c r="KUC129" s="54"/>
      <c r="KUD129" s="54"/>
      <c r="KUE129" s="54"/>
      <c r="KUF129" s="54"/>
      <c r="KUG129" s="54"/>
      <c r="KUH129" s="54"/>
      <c r="KUI129" s="54"/>
      <c r="KUJ129" s="54"/>
      <c r="KUK129" s="54"/>
      <c r="KUL129" s="54"/>
      <c r="KUM129" s="54"/>
      <c r="KUN129" s="54"/>
      <c r="KUO129" s="54"/>
      <c r="KUP129" s="54"/>
      <c r="KUQ129" s="54"/>
      <c r="KUR129" s="54"/>
      <c r="KUS129" s="54"/>
      <c r="KUT129" s="54"/>
      <c r="KUU129" s="54"/>
      <c r="KUV129" s="54"/>
      <c r="KUW129" s="54"/>
      <c r="KUX129" s="54"/>
      <c r="KUY129" s="54"/>
      <c r="KUZ129" s="54"/>
      <c r="KVA129" s="54"/>
      <c r="KVB129" s="54"/>
      <c r="KVC129" s="54"/>
      <c r="KVD129" s="54"/>
      <c r="KVE129" s="54"/>
      <c r="KVF129" s="54"/>
      <c r="KVG129" s="54"/>
      <c r="KVH129" s="54"/>
      <c r="KVI129" s="54"/>
      <c r="KVJ129" s="54"/>
      <c r="KVK129" s="54"/>
      <c r="KVL129" s="54"/>
      <c r="KVM129" s="54"/>
      <c r="KVN129" s="54"/>
      <c r="KVO129" s="54"/>
      <c r="KVP129" s="54"/>
      <c r="KVQ129" s="54"/>
      <c r="KVR129" s="54"/>
      <c r="KVS129" s="54"/>
      <c r="KVT129" s="54"/>
      <c r="KVU129" s="54"/>
      <c r="KVV129" s="54"/>
      <c r="KVW129" s="54"/>
      <c r="KVX129" s="54"/>
      <c r="KVY129" s="54"/>
      <c r="KVZ129" s="54"/>
      <c r="KWA129" s="54"/>
      <c r="KWB129" s="54"/>
      <c r="KWC129" s="54"/>
      <c r="KWD129" s="54"/>
      <c r="KWE129" s="54"/>
      <c r="KWF129" s="54"/>
      <c r="KWG129" s="54"/>
      <c r="KWH129" s="54"/>
      <c r="KWI129" s="54"/>
      <c r="KWJ129" s="54"/>
      <c r="KWK129" s="54"/>
      <c r="KWL129" s="54"/>
      <c r="KWM129" s="54"/>
      <c r="KWN129" s="54"/>
      <c r="KWO129" s="54"/>
      <c r="KWP129" s="54"/>
      <c r="KWQ129" s="54"/>
      <c r="KWR129" s="54"/>
      <c r="KWS129" s="54"/>
      <c r="KWT129" s="54"/>
      <c r="KWU129" s="54"/>
      <c r="KWV129" s="54"/>
      <c r="KWW129" s="54"/>
      <c r="KWX129" s="54"/>
      <c r="KWY129" s="54"/>
      <c r="KWZ129" s="54"/>
      <c r="KXA129" s="54"/>
      <c r="KXB129" s="54"/>
      <c r="KXC129" s="54"/>
      <c r="KXD129" s="54"/>
      <c r="KXE129" s="54"/>
      <c r="KXF129" s="54"/>
      <c r="KXG129" s="54"/>
      <c r="KXH129" s="54"/>
      <c r="KXI129" s="54"/>
      <c r="KXJ129" s="54"/>
      <c r="KXK129" s="54"/>
      <c r="KXL129" s="54"/>
      <c r="KXM129" s="54"/>
      <c r="KXN129" s="54"/>
      <c r="KXO129" s="54"/>
      <c r="KXP129" s="54"/>
      <c r="KXQ129" s="54"/>
      <c r="KXR129" s="54"/>
      <c r="KXS129" s="54"/>
      <c r="KXT129" s="54"/>
      <c r="KXU129" s="54"/>
      <c r="KXV129" s="54"/>
      <c r="KXW129" s="54"/>
      <c r="KXX129" s="54"/>
      <c r="KXY129" s="54"/>
      <c r="KXZ129" s="54"/>
      <c r="KYA129" s="54"/>
      <c r="KYB129" s="54"/>
      <c r="KYC129" s="54"/>
      <c r="KYD129" s="54"/>
      <c r="KYE129" s="54"/>
      <c r="KYF129" s="54"/>
      <c r="KYG129" s="54"/>
      <c r="KYH129" s="54"/>
      <c r="KYI129" s="54"/>
      <c r="KYJ129" s="54"/>
      <c r="KYK129" s="54"/>
      <c r="KYL129" s="54"/>
      <c r="KYM129" s="54"/>
      <c r="KYN129" s="54"/>
      <c r="KYO129" s="54"/>
      <c r="KYP129" s="54"/>
      <c r="KYQ129" s="54"/>
      <c r="KYR129" s="54"/>
      <c r="KYS129" s="54"/>
      <c r="KYT129" s="54"/>
      <c r="KYU129" s="54"/>
      <c r="KYV129" s="54"/>
      <c r="KYW129" s="54"/>
      <c r="KYX129" s="54"/>
      <c r="KYY129" s="54"/>
      <c r="KYZ129" s="54"/>
      <c r="KZA129" s="54"/>
      <c r="KZB129" s="54"/>
      <c r="KZC129" s="54"/>
      <c r="KZD129" s="54"/>
      <c r="KZE129" s="54"/>
      <c r="KZF129" s="54"/>
      <c r="KZG129" s="54"/>
      <c r="KZH129" s="54"/>
      <c r="KZI129" s="54"/>
      <c r="KZJ129" s="54"/>
      <c r="KZK129" s="54"/>
      <c r="KZL129" s="54"/>
      <c r="KZM129" s="54"/>
      <c r="KZN129" s="54"/>
      <c r="KZO129" s="54"/>
      <c r="KZP129" s="54"/>
      <c r="KZQ129" s="54"/>
      <c r="KZR129" s="54"/>
      <c r="KZS129" s="54"/>
      <c r="KZT129" s="54"/>
      <c r="KZU129" s="54"/>
      <c r="KZV129" s="54"/>
      <c r="KZW129" s="54"/>
      <c r="KZX129" s="54"/>
      <c r="KZY129" s="54"/>
      <c r="KZZ129" s="54"/>
      <c r="LAA129" s="54"/>
      <c r="LAB129" s="54"/>
      <c r="LAC129" s="54"/>
      <c r="LAD129" s="54"/>
      <c r="LAE129" s="54"/>
      <c r="LAF129" s="54"/>
      <c r="LAG129" s="54"/>
      <c r="LAH129" s="54"/>
      <c r="LAI129" s="54"/>
      <c r="LAJ129" s="54"/>
      <c r="LAK129" s="54"/>
      <c r="LAL129" s="54"/>
      <c r="LAM129" s="54"/>
      <c r="LAN129" s="54"/>
      <c r="LAO129" s="54"/>
      <c r="LAP129" s="54"/>
      <c r="LAQ129" s="54"/>
      <c r="LAR129" s="54"/>
      <c r="LAS129" s="54"/>
      <c r="LAT129" s="54"/>
      <c r="LAU129" s="54"/>
      <c r="LAV129" s="54"/>
      <c r="LAW129" s="54"/>
      <c r="LAX129" s="54"/>
      <c r="LAY129" s="54"/>
      <c r="LAZ129" s="54"/>
      <c r="LBA129" s="54"/>
      <c r="LBB129" s="54"/>
      <c r="LBC129" s="54"/>
      <c r="LBD129" s="54"/>
      <c r="LBE129" s="54"/>
      <c r="LBF129" s="54"/>
      <c r="LBG129" s="54"/>
      <c r="LBH129" s="54"/>
      <c r="LBI129" s="54"/>
      <c r="LBJ129" s="54"/>
      <c r="LBK129" s="54"/>
      <c r="LBL129" s="54"/>
      <c r="LBM129" s="54"/>
      <c r="LBN129" s="54"/>
      <c r="LBO129" s="54"/>
      <c r="LBP129" s="54"/>
      <c r="LBQ129" s="54"/>
      <c r="LBR129" s="54"/>
      <c r="LBS129" s="54"/>
      <c r="LBT129" s="54"/>
      <c r="LBU129" s="54"/>
      <c r="LBV129" s="54"/>
      <c r="LBW129" s="54"/>
      <c r="LBX129" s="54"/>
      <c r="LBY129" s="54"/>
      <c r="LBZ129" s="54"/>
      <c r="LCA129" s="54"/>
      <c r="LCB129" s="54"/>
      <c r="LCC129" s="54"/>
      <c r="LCD129" s="54"/>
      <c r="LCE129" s="54"/>
      <c r="LCF129" s="54"/>
      <c r="LCG129" s="54"/>
      <c r="LCH129" s="54"/>
      <c r="LCI129" s="54"/>
      <c r="LCJ129" s="54"/>
      <c r="LCK129" s="54"/>
      <c r="LCL129" s="54"/>
      <c r="LCM129" s="54"/>
      <c r="LCN129" s="54"/>
      <c r="LCO129" s="54"/>
      <c r="LCP129" s="54"/>
      <c r="LCQ129" s="54"/>
      <c r="LCR129" s="54"/>
      <c r="LCS129" s="54"/>
      <c r="LCT129" s="54"/>
      <c r="LCU129" s="54"/>
      <c r="LCV129" s="54"/>
      <c r="LCW129" s="54"/>
      <c r="LCX129" s="54"/>
      <c r="LCY129" s="54"/>
      <c r="LCZ129" s="54"/>
      <c r="LDA129" s="54"/>
      <c r="LDB129" s="54"/>
      <c r="LDC129" s="54"/>
      <c r="LDD129" s="54"/>
      <c r="LDE129" s="54"/>
      <c r="LDF129" s="54"/>
      <c r="LDG129" s="54"/>
      <c r="LDH129" s="54"/>
      <c r="LDI129" s="54"/>
      <c r="LDJ129" s="54"/>
      <c r="LDK129" s="54"/>
      <c r="LDL129" s="54"/>
      <c r="LDM129" s="54"/>
      <c r="LDN129" s="54"/>
      <c r="LDO129" s="54"/>
      <c r="LDP129" s="54"/>
      <c r="LDQ129" s="54"/>
      <c r="LDR129" s="54"/>
      <c r="LDS129" s="54"/>
      <c r="LDT129" s="54"/>
      <c r="LDU129" s="54"/>
      <c r="LDV129" s="54"/>
      <c r="LDW129" s="54"/>
      <c r="LDX129" s="54"/>
      <c r="LDY129" s="54"/>
      <c r="LDZ129" s="54"/>
      <c r="LEA129" s="54"/>
      <c r="LEB129" s="54"/>
      <c r="LEC129" s="54"/>
      <c r="LED129" s="54"/>
      <c r="LEE129" s="54"/>
      <c r="LEF129" s="54"/>
      <c r="LEG129" s="54"/>
      <c r="LEH129" s="54"/>
      <c r="LEI129" s="54"/>
      <c r="LEJ129" s="54"/>
      <c r="LEK129" s="54"/>
      <c r="LEL129" s="54"/>
      <c r="LEM129" s="54"/>
      <c r="LEN129" s="54"/>
      <c r="LEO129" s="54"/>
      <c r="LEP129" s="54"/>
      <c r="LEQ129" s="54"/>
      <c r="LER129" s="54"/>
      <c r="LES129" s="54"/>
      <c r="LET129" s="54"/>
      <c r="LEU129" s="54"/>
      <c r="LEV129" s="54"/>
      <c r="LEW129" s="54"/>
      <c r="LEX129" s="54"/>
      <c r="LEY129" s="54"/>
      <c r="LEZ129" s="54"/>
      <c r="LFA129" s="54"/>
      <c r="LFB129" s="54"/>
      <c r="LFC129" s="54"/>
      <c r="LFD129" s="54"/>
      <c r="LFE129" s="54"/>
      <c r="LFF129" s="54"/>
      <c r="LFG129" s="54"/>
      <c r="LFH129" s="54"/>
      <c r="LFI129" s="54"/>
      <c r="LFJ129" s="54"/>
      <c r="LFK129" s="54"/>
      <c r="LFL129" s="54"/>
      <c r="LFM129" s="54"/>
      <c r="LFN129" s="54"/>
      <c r="LFO129" s="54"/>
      <c r="LFP129" s="54"/>
      <c r="LFQ129" s="54"/>
      <c r="LFR129" s="54"/>
      <c r="LFS129" s="54"/>
      <c r="LFT129" s="54"/>
      <c r="LFU129" s="54"/>
      <c r="LFV129" s="54"/>
      <c r="LFW129" s="54"/>
      <c r="LFX129" s="54"/>
      <c r="LFY129" s="54"/>
      <c r="LFZ129" s="54"/>
      <c r="LGA129" s="54"/>
      <c r="LGB129" s="54"/>
      <c r="LGC129" s="54"/>
      <c r="LGD129" s="54"/>
      <c r="LGE129" s="54"/>
      <c r="LGF129" s="54"/>
      <c r="LGG129" s="54"/>
      <c r="LGH129" s="54"/>
      <c r="LGI129" s="54"/>
      <c r="LGJ129" s="54"/>
      <c r="LGK129" s="54"/>
      <c r="LGL129" s="54"/>
      <c r="LGM129" s="54"/>
      <c r="LGN129" s="54"/>
      <c r="LGO129" s="54"/>
      <c r="LGP129" s="54"/>
      <c r="LGQ129" s="54"/>
      <c r="LGR129" s="54"/>
      <c r="LGS129" s="54"/>
      <c r="LGT129" s="54"/>
      <c r="LGU129" s="54"/>
      <c r="LGV129" s="54"/>
      <c r="LGW129" s="54"/>
      <c r="LGX129" s="54"/>
      <c r="LGY129" s="54"/>
      <c r="LGZ129" s="54"/>
      <c r="LHA129" s="54"/>
      <c r="LHB129" s="54"/>
      <c r="LHC129" s="54"/>
      <c r="LHD129" s="54"/>
      <c r="LHE129" s="54"/>
      <c r="LHF129" s="54"/>
      <c r="LHG129" s="54"/>
      <c r="LHH129" s="54"/>
      <c r="LHI129" s="54"/>
      <c r="LHJ129" s="54"/>
      <c r="LHK129" s="54"/>
      <c r="LHL129" s="54"/>
      <c r="LHM129" s="54"/>
      <c r="LHN129" s="54"/>
      <c r="LHO129" s="54"/>
      <c r="LHP129" s="54"/>
      <c r="LHQ129" s="54"/>
      <c r="LHR129" s="54"/>
      <c r="LHS129" s="54"/>
      <c r="LHT129" s="54"/>
      <c r="LHU129" s="54"/>
      <c r="LHV129" s="54"/>
      <c r="LHW129" s="54"/>
      <c r="LHX129" s="54"/>
      <c r="LHY129" s="54"/>
      <c r="LHZ129" s="54"/>
      <c r="LIA129" s="54"/>
      <c r="LIB129" s="54"/>
      <c r="LIC129" s="54"/>
      <c r="LID129" s="54"/>
      <c r="LIE129" s="54"/>
      <c r="LIF129" s="54"/>
      <c r="LIG129" s="54"/>
      <c r="LIH129" s="54"/>
      <c r="LII129" s="54"/>
      <c r="LIJ129" s="54"/>
      <c r="LIK129" s="54"/>
      <c r="LIL129" s="54"/>
      <c r="LIM129" s="54"/>
      <c r="LIN129" s="54"/>
      <c r="LIO129" s="54"/>
      <c r="LIP129" s="54"/>
      <c r="LIQ129" s="54"/>
      <c r="LIR129" s="54"/>
      <c r="LIS129" s="54"/>
      <c r="LIT129" s="54"/>
      <c r="LIU129" s="54"/>
      <c r="LIV129" s="54"/>
      <c r="LIW129" s="54"/>
      <c r="LIX129" s="54"/>
      <c r="LIY129" s="54"/>
      <c r="LIZ129" s="54"/>
      <c r="LJA129" s="54"/>
      <c r="LJB129" s="54"/>
      <c r="LJC129" s="54"/>
      <c r="LJD129" s="54"/>
      <c r="LJE129" s="54"/>
      <c r="LJF129" s="54"/>
      <c r="LJG129" s="54"/>
      <c r="LJH129" s="54"/>
      <c r="LJI129" s="54"/>
      <c r="LJJ129" s="54"/>
      <c r="LJK129" s="54"/>
      <c r="LJL129" s="54"/>
      <c r="LJM129" s="54"/>
      <c r="LJN129" s="54"/>
      <c r="LJO129" s="54"/>
      <c r="LJP129" s="54"/>
      <c r="LJQ129" s="54"/>
      <c r="LJR129" s="54"/>
      <c r="LJS129" s="54"/>
      <c r="LJT129" s="54"/>
      <c r="LJU129" s="54"/>
      <c r="LJV129" s="54"/>
      <c r="LJW129" s="54"/>
      <c r="LJX129" s="54"/>
      <c r="LJY129" s="54"/>
      <c r="LJZ129" s="54"/>
      <c r="LKA129" s="54"/>
      <c r="LKB129" s="54"/>
      <c r="LKC129" s="54"/>
      <c r="LKD129" s="54"/>
      <c r="LKE129" s="54"/>
      <c r="LKF129" s="54"/>
      <c r="LKG129" s="54"/>
      <c r="LKH129" s="54"/>
      <c r="LKI129" s="54"/>
      <c r="LKJ129" s="54"/>
      <c r="LKK129" s="54"/>
      <c r="LKL129" s="54"/>
      <c r="LKM129" s="54"/>
      <c r="LKN129" s="54"/>
      <c r="LKO129" s="54"/>
      <c r="LKP129" s="54"/>
      <c r="LKQ129" s="54"/>
      <c r="LKR129" s="54"/>
      <c r="LKS129" s="54"/>
      <c r="LKT129" s="54"/>
      <c r="LKU129" s="54"/>
      <c r="LKV129" s="54"/>
      <c r="LKW129" s="54"/>
      <c r="LKX129" s="54"/>
      <c r="LKY129" s="54"/>
      <c r="LKZ129" s="54"/>
      <c r="LLA129" s="54"/>
      <c r="LLB129" s="54"/>
      <c r="LLC129" s="54"/>
      <c r="LLD129" s="54"/>
      <c r="LLE129" s="54"/>
      <c r="LLF129" s="54"/>
      <c r="LLG129" s="54"/>
      <c r="LLH129" s="54"/>
      <c r="LLI129" s="54"/>
      <c r="LLJ129" s="54"/>
      <c r="LLK129" s="54"/>
      <c r="LLL129" s="54"/>
      <c r="LLM129" s="54"/>
      <c r="LLN129" s="54"/>
      <c r="LLO129" s="54"/>
      <c r="LLP129" s="54"/>
      <c r="LLQ129" s="54"/>
      <c r="LLR129" s="54"/>
      <c r="LLS129" s="54"/>
      <c r="LLT129" s="54"/>
      <c r="LLU129" s="54"/>
      <c r="LLV129" s="54"/>
      <c r="LLW129" s="54"/>
      <c r="LLX129" s="54"/>
      <c r="LLY129" s="54"/>
      <c r="LLZ129" s="54"/>
      <c r="LMA129" s="54"/>
      <c r="LMB129" s="54"/>
      <c r="LMC129" s="54"/>
      <c r="LMD129" s="54"/>
      <c r="LME129" s="54"/>
      <c r="LMF129" s="54"/>
      <c r="LMG129" s="54"/>
      <c r="LMH129" s="54"/>
      <c r="LMI129" s="54"/>
      <c r="LMJ129" s="54"/>
      <c r="LMK129" s="54"/>
      <c r="LML129" s="54"/>
      <c r="LMM129" s="54"/>
      <c r="LMN129" s="54"/>
      <c r="LMO129" s="54"/>
      <c r="LMP129" s="54"/>
      <c r="LMQ129" s="54"/>
      <c r="LMR129" s="54"/>
      <c r="LMS129" s="54"/>
      <c r="LMT129" s="54"/>
      <c r="LMU129" s="54"/>
      <c r="LMV129" s="54"/>
      <c r="LMW129" s="54"/>
      <c r="LMX129" s="54"/>
      <c r="LMY129" s="54"/>
      <c r="LMZ129" s="54"/>
      <c r="LNA129" s="54"/>
      <c r="LNB129" s="54"/>
      <c r="LNC129" s="54"/>
      <c r="LND129" s="54"/>
      <c r="LNE129" s="54"/>
      <c r="LNF129" s="54"/>
      <c r="LNG129" s="54"/>
      <c r="LNH129" s="54"/>
      <c r="LNI129" s="54"/>
      <c r="LNJ129" s="54"/>
      <c r="LNK129" s="54"/>
      <c r="LNL129" s="54"/>
      <c r="LNM129" s="54"/>
      <c r="LNN129" s="54"/>
      <c r="LNO129" s="54"/>
      <c r="LNP129" s="54"/>
      <c r="LNQ129" s="54"/>
      <c r="LNR129" s="54"/>
      <c r="LNS129" s="54"/>
      <c r="LNT129" s="54"/>
      <c r="LNU129" s="54"/>
      <c r="LNV129" s="54"/>
      <c r="LNW129" s="54"/>
      <c r="LNX129" s="54"/>
      <c r="LNY129" s="54"/>
      <c r="LNZ129" s="54"/>
      <c r="LOA129" s="54"/>
      <c r="LOB129" s="54"/>
      <c r="LOC129" s="54"/>
      <c r="LOD129" s="54"/>
      <c r="LOE129" s="54"/>
      <c r="LOF129" s="54"/>
      <c r="LOG129" s="54"/>
      <c r="LOH129" s="54"/>
      <c r="LOI129" s="54"/>
      <c r="LOJ129" s="54"/>
      <c r="LOK129" s="54"/>
      <c r="LOL129" s="54"/>
      <c r="LOM129" s="54"/>
      <c r="LON129" s="54"/>
      <c r="LOO129" s="54"/>
      <c r="LOP129" s="54"/>
      <c r="LOQ129" s="54"/>
      <c r="LOR129" s="54"/>
      <c r="LOS129" s="54"/>
      <c r="LOT129" s="54"/>
      <c r="LOU129" s="54"/>
      <c r="LOV129" s="54"/>
      <c r="LOW129" s="54"/>
      <c r="LOX129" s="54"/>
      <c r="LOY129" s="54"/>
      <c r="LOZ129" s="54"/>
      <c r="LPA129" s="54"/>
      <c r="LPB129" s="54"/>
      <c r="LPC129" s="54"/>
      <c r="LPD129" s="54"/>
      <c r="LPE129" s="54"/>
      <c r="LPF129" s="54"/>
      <c r="LPG129" s="54"/>
      <c r="LPH129" s="54"/>
      <c r="LPI129" s="54"/>
      <c r="LPJ129" s="54"/>
      <c r="LPK129" s="54"/>
      <c r="LPL129" s="54"/>
      <c r="LPM129" s="54"/>
      <c r="LPN129" s="54"/>
      <c r="LPO129" s="54"/>
      <c r="LPP129" s="54"/>
      <c r="LPQ129" s="54"/>
      <c r="LPR129" s="54"/>
      <c r="LPS129" s="54"/>
      <c r="LPT129" s="54"/>
      <c r="LPU129" s="54"/>
      <c r="LPV129" s="54"/>
      <c r="LPW129" s="54"/>
      <c r="LPX129" s="54"/>
      <c r="LPY129" s="54"/>
      <c r="LPZ129" s="54"/>
      <c r="LQA129" s="54"/>
      <c r="LQB129" s="54"/>
      <c r="LQC129" s="54"/>
      <c r="LQD129" s="54"/>
      <c r="LQE129" s="54"/>
      <c r="LQF129" s="54"/>
      <c r="LQG129" s="54"/>
      <c r="LQH129" s="54"/>
      <c r="LQI129" s="54"/>
      <c r="LQJ129" s="54"/>
      <c r="LQK129" s="54"/>
      <c r="LQL129" s="54"/>
      <c r="LQM129" s="54"/>
      <c r="LQN129" s="54"/>
      <c r="LQO129" s="54"/>
      <c r="LQP129" s="54"/>
      <c r="LQQ129" s="54"/>
      <c r="LQR129" s="54"/>
      <c r="LQS129" s="54"/>
      <c r="LQT129" s="54"/>
      <c r="LQU129" s="54"/>
      <c r="LQV129" s="54"/>
      <c r="LQW129" s="54"/>
      <c r="LQX129" s="54"/>
      <c r="LQY129" s="54"/>
      <c r="LQZ129" s="54"/>
      <c r="LRA129" s="54"/>
      <c r="LRB129" s="54"/>
      <c r="LRC129" s="54"/>
      <c r="LRD129" s="54"/>
      <c r="LRE129" s="54"/>
      <c r="LRF129" s="54"/>
      <c r="LRG129" s="54"/>
      <c r="LRH129" s="54"/>
      <c r="LRI129" s="54"/>
      <c r="LRJ129" s="54"/>
      <c r="LRK129" s="54"/>
      <c r="LRL129" s="54"/>
      <c r="LRM129" s="54"/>
      <c r="LRN129" s="54"/>
      <c r="LRO129" s="54"/>
      <c r="LRP129" s="54"/>
      <c r="LRQ129" s="54"/>
      <c r="LRR129" s="54"/>
      <c r="LRS129" s="54"/>
      <c r="LRT129" s="54"/>
      <c r="LRU129" s="54"/>
      <c r="LRV129" s="54"/>
      <c r="LRW129" s="54"/>
      <c r="LRX129" s="54"/>
      <c r="LRY129" s="54"/>
      <c r="LRZ129" s="54"/>
      <c r="LSA129" s="54"/>
      <c r="LSB129" s="54"/>
      <c r="LSC129" s="54"/>
      <c r="LSD129" s="54"/>
      <c r="LSE129" s="54"/>
      <c r="LSF129" s="54"/>
      <c r="LSG129" s="54"/>
      <c r="LSH129" s="54"/>
      <c r="LSI129" s="54"/>
      <c r="LSJ129" s="54"/>
      <c r="LSK129" s="54"/>
      <c r="LSL129" s="54"/>
      <c r="LSM129" s="54"/>
      <c r="LSN129" s="54"/>
      <c r="LSO129" s="54"/>
      <c r="LSP129" s="54"/>
      <c r="LSQ129" s="54"/>
      <c r="LSR129" s="54"/>
      <c r="LSS129" s="54"/>
      <c r="LST129" s="54"/>
      <c r="LSU129" s="54"/>
      <c r="LSV129" s="54"/>
      <c r="LSW129" s="54"/>
      <c r="LSX129" s="54"/>
      <c r="LSY129" s="54"/>
      <c r="LSZ129" s="54"/>
      <c r="LTA129" s="54"/>
      <c r="LTB129" s="54"/>
      <c r="LTC129" s="54"/>
      <c r="LTD129" s="54"/>
      <c r="LTE129" s="54"/>
      <c r="LTF129" s="54"/>
      <c r="LTG129" s="54"/>
      <c r="LTH129" s="54"/>
      <c r="LTI129" s="54"/>
      <c r="LTJ129" s="54"/>
      <c r="LTK129" s="54"/>
      <c r="LTL129" s="54"/>
      <c r="LTM129" s="54"/>
      <c r="LTN129" s="54"/>
      <c r="LTO129" s="54"/>
      <c r="LTP129" s="54"/>
      <c r="LTQ129" s="54"/>
      <c r="LTR129" s="54"/>
      <c r="LTS129" s="54"/>
      <c r="LTT129" s="54"/>
      <c r="LTU129" s="54"/>
      <c r="LTV129" s="54"/>
      <c r="LTW129" s="54"/>
      <c r="LTX129" s="54"/>
      <c r="LTY129" s="54"/>
      <c r="LTZ129" s="54"/>
      <c r="LUA129" s="54"/>
      <c r="LUB129" s="54"/>
      <c r="LUC129" s="54"/>
      <c r="LUD129" s="54"/>
      <c r="LUE129" s="54"/>
      <c r="LUF129" s="54"/>
      <c r="LUG129" s="54"/>
      <c r="LUH129" s="54"/>
      <c r="LUI129" s="54"/>
      <c r="LUJ129" s="54"/>
      <c r="LUK129" s="54"/>
      <c r="LUL129" s="54"/>
      <c r="LUM129" s="54"/>
      <c r="LUN129" s="54"/>
      <c r="LUO129" s="54"/>
      <c r="LUP129" s="54"/>
      <c r="LUQ129" s="54"/>
      <c r="LUR129" s="54"/>
      <c r="LUS129" s="54"/>
      <c r="LUT129" s="54"/>
      <c r="LUU129" s="54"/>
      <c r="LUV129" s="54"/>
      <c r="LUW129" s="54"/>
      <c r="LUX129" s="54"/>
      <c r="LUY129" s="54"/>
      <c r="LUZ129" s="54"/>
      <c r="LVA129" s="54"/>
      <c r="LVB129" s="54"/>
      <c r="LVC129" s="54"/>
      <c r="LVD129" s="54"/>
      <c r="LVE129" s="54"/>
      <c r="LVF129" s="54"/>
      <c r="LVG129" s="54"/>
      <c r="LVH129" s="54"/>
      <c r="LVI129" s="54"/>
      <c r="LVJ129" s="54"/>
      <c r="LVK129" s="54"/>
      <c r="LVL129" s="54"/>
      <c r="LVM129" s="54"/>
      <c r="LVN129" s="54"/>
      <c r="LVO129" s="54"/>
      <c r="LVP129" s="54"/>
      <c r="LVQ129" s="54"/>
      <c r="LVR129" s="54"/>
      <c r="LVS129" s="54"/>
      <c r="LVT129" s="54"/>
      <c r="LVU129" s="54"/>
      <c r="LVV129" s="54"/>
      <c r="LVW129" s="54"/>
      <c r="LVX129" s="54"/>
      <c r="LVY129" s="54"/>
      <c r="LVZ129" s="54"/>
      <c r="LWA129" s="54"/>
      <c r="LWB129" s="54"/>
      <c r="LWC129" s="54"/>
      <c r="LWD129" s="54"/>
      <c r="LWE129" s="54"/>
      <c r="LWF129" s="54"/>
      <c r="LWG129" s="54"/>
      <c r="LWH129" s="54"/>
      <c r="LWI129" s="54"/>
      <c r="LWJ129" s="54"/>
      <c r="LWK129" s="54"/>
      <c r="LWL129" s="54"/>
      <c r="LWM129" s="54"/>
      <c r="LWN129" s="54"/>
      <c r="LWO129" s="54"/>
      <c r="LWP129" s="54"/>
      <c r="LWQ129" s="54"/>
      <c r="LWR129" s="54"/>
      <c r="LWS129" s="54"/>
      <c r="LWT129" s="54"/>
      <c r="LWU129" s="54"/>
      <c r="LWV129" s="54"/>
      <c r="LWW129" s="54"/>
      <c r="LWX129" s="54"/>
      <c r="LWY129" s="54"/>
      <c r="LWZ129" s="54"/>
      <c r="LXA129" s="54"/>
      <c r="LXB129" s="54"/>
      <c r="LXC129" s="54"/>
      <c r="LXD129" s="54"/>
      <c r="LXE129" s="54"/>
      <c r="LXF129" s="54"/>
      <c r="LXG129" s="54"/>
      <c r="LXH129" s="54"/>
      <c r="LXI129" s="54"/>
      <c r="LXJ129" s="54"/>
      <c r="LXK129" s="54"/>
      <c r="LXL129" s="54"/>
      <c r="LXM129" s="54"/>
      <c r="LXN129" s="54"/>
      <c r="LXO129" s="54"/>
      <c r="LXP129" s="54"/>
      <c r="LXQ129" s="54"/>
      <c r="LXR129" s="54"/>
      <c r="LXS129" s="54"/>
      <c r="LXT129" s="54"/>
      <c r="LXU129" s="54"/>
      <c r="LXV129" s="54"/>
      <c r="LXW129" s="54"/>
      <c r="LXX129" s="54"/>
      <c r="LXY129" s="54"/>
      <c r="LXZ129" s="54"/>
      <c r="LYA129" s="54"/>
      <c r="LYB129" s="54"/>
      <c r="LYC129" s="54"/>
      <c r="LYD129" s="54"/>
      <c r="LYE129" s="54"/>
      <c r="LYF129" s="54"/>
      <c r="LYG129" s="54"/>
      <c r="LYH129" s="54"/>
      <c r="LYI129" s="54"/>
      <c r="LYJ129" s="54"/>
      <c r="LYK129" s="54"/>
      <c r="LYL129" s="54"/>
      <c r="LYM129" s="54"/>
      <c r="LYN129" s="54"/>
      <c r="LYO129" s="54"/>
      <c r="LYP129" s="54"/>
      <c r="LYQ129" s="54"/>
      <c r="LYR129" s="54"/>
      <c r="LYS129" s="54"/>
      <c r="LYT129" s="54"/>
      <c r="LYU129" s="54"/>
      <c r="LYV129" s="54"/>
      <c r="LYW129" s="54"/>
      <c r="LYX129" s="54"/>
      <c r="LYY129" s="54"/>
      <c r="LYZ129" s="54"/>
      <c r="LZA129" s="54"/>
      <c r="LZB129" s="54"/>
      <c r="LZC129" s="54"/>
      <c r="LZD129" s="54"/>
      <c r="LZE129" s="54"/>
      <c r="LZF129" s="54"/>
      <c r="LZG129" s="54"/>
      <c r="LZH129" s="54"/>
      <c r="LZI129" s="54"/>
      <c r="LZJ129" s="54"/>
      <c r="LZK129" s="54"/>
      <c r="LZL129" s="54"/>
      <c r="LZM129" s="54"/>
      <c r="LZN129" s="54"/>
      <c r="LZO129" s="54"/>
      <c r="LZP129" s="54"/>
      <c r="LZQ129" s="54"/>
      <c r="LZR129" s="54"/>
      <c r="LZS129" s="54"/>
      <c r="LZT129" s="54"/>
      <c r="LZU129" s="54"/>
      <c r="LZV129" s="54"/>
      <c r="LZW129" s="54"/>
      <c r="LZX129" s="54"/>
      <c r="LZY129" s="54"/>
      <c r="LZZ129" s="54"/>
      <c r="MAA129" s="54"/>
      <c r="MAB129" s="54"/>
      <c r="MAC129" s="54"/>
      <c r="MAD129" s="54"/>
      <c r="MAE129" s="54"/>
      <c r="MAF129" s="54"/>
      <c r="MAG129" s="54"/>
      <c r="MAH129" s="54"/>
      <c r="MAI129" s="54"/>
      <c r="MAJ129" s="54"/>
      <c r="MAK129" s="54"/>
      <c r="MAL129" s="54"/>
      <c r="MAM129" s="54"/>
      <c r="MAN129" s="54"/>
      <c r="MAO129" s="54"/>
      <c r="MAP129" s="54"/>
      <c r="MAQ129" s="54"/>
      <c r="MAR129" s="54"/>
      <c r="MAS129" s="54"/>
      <c r="MAT129" s="54"/>
      <c r="MAU129" s="54"/>
      <c r="MAV129" s="54"/>
      <c r="MAW129" s="54"/>
      <c r="MAX129" s="54"/>
      <c r="MAY129" s="54"/>
      <c r="MAZ129" s="54"/>
      <c r="MBA129" s="54"/>
      <c r="MBB129" s="54"/>
      <c r="MBC129" s="54"/>
      <c r="MBD129" s="54"/>
      <c r="MBE129" s="54"/>
      <c r="MBF129" s="54"/>
      <c r="MBG129" s="54"/>
      <c r="MBH129" s="54"/>
      <c r="MBI129" s="54"/>
      <c r="MBJ129" s="54"/>
      <c r="MBK129" s="54"/>
      <c r="MBL129" s="54"/>
      <c r="MBM129" s="54"/>
      <c r="MBN129" s="54"/>
      <c r="MBO129" s="54"/>
      <c r="MBP129" s="54"/>
      <c r="MBQ129" s="54"/>
      <c r="MBR129" s="54"/>
      <c r="MBS129" s="54"/>
      <c r="MBT129" s="54"/>
      <c r="MBU129" s="54"/>
      <c r="MBV129" s="54"/>
      <c r="MBW129" s="54"/>
      <c r="MBX129" s="54"/>
      <c r="MBY129" s="54"/>
      <c r="MBZ129" s="54"/>
      <c r="MCA129" s="54"/>
      <c r="MCB129" s="54"/>
      <c r="MCC129" s="54"/>
      <c r="MCD129" s="54"/>
      <c r="MCE129" s="54"/>
      <c r="MCF129" s="54"/>
      <c r="MCG129" s="54"/>
      <c r="MCH129" s="54"/>
      <c r="MCI129" s="54"/>
      <c r="MCJ129" s="54"/>
      <c r="MCK129" s="54"/>
      <c r="MCL129" s="54"/>
      <c r="MCM129" s="54"/>
      <c r="MCN129" s="54"/>
      <c r="MCO129" s="54"/>
      <c r="MCP129" s="54"/>
      <c r="MCQ129" s="54"/>
      <c r="MCR129" s="54"/>
      <c r="MCS129" s="54"/>
      <c r="MCT129" s="54"/>
      <c r="MCU129" s="54"/>
      <c r="MCV129" s="54"/>
      <c r="MCW129" s="54"/>
      <c r="MCX129" s="54"/>
      <c r="MCY129" s="54"/>
      <c r="MCZ129" s="54"/>
      <c r="MDA129" s="54"/>
      <c r="MDB129" s="54"/>
      <c r="MDC129" s="54"/>
      <c r="MDD129" s="54"/>
      <c r="MDE129" s="54"/>
      <c r="MDF129" s="54"/>
      <c r="MDG129" s="54"/>
      <c r="MDH129" s="54"/>
      <c r="MDI129" s="54"/>
      <c r="MDJ129" s="54"/>
      <c r="MDK129" s="54"/>
      <c r="MDL129" s="54"/>
      <c r="MDM129" s="54"/>
      <c r="MDN129" s="54"/>
      <c r="MDO129" s="54"/>
      <c r="MDP129" s="54"/>
      <c r="MDQ129" s="54"/>
      <c r="MDR129" s="54"/>
      <c r="MDS129" s="54"/>
      <c r="MDT129" s="54"/>
      <c r="MDU129" s="54"/>
      <c r="MDV129" s="54"/>
      <c r="MDW129" s="54"/>
      <c r="MDX129" s="54"/>
      <c r="MDY129" s="54"/>
      <c r="MDZ129" s="54"/>
      <c r="MEA129" s="54"/>
      <c r="MEB129" s="54"/>
      <c r="MEC129" s="54"/>
      <c r="MED129" s="54"/>
      <c r="MEE129" s="54"/>
      <c r="MEF129" s="54"/>
      <c r="MEG129" s="54"/>
      <c r="MEH129" s="54"/>
      <c r="MEI129" s="54"/>
      <c r="MEJ129" s="54"/>
      <c r="MEK129" s="54"/>
      <c r="MEL129" s="54"/>
      <c r="MEM129" s="54"/>
      <c r="MEN129" s="54"/>
      <c r="MEO129" s="54"/>
      <c r="MEP129" s="54"/>
      <c r="MEQ129" s="54"/>
      <c r="MER129" s="54"/>
      <c r="MES129" s="54"/>
      <c r="MET129" s="54"/>
      <c r="MEU129" s="54"/>
      <c r="MEV129" s="54"/>
      <c r="MEW129" s="54"/>
      <c r="MEX129" s="54"/>
      <c r="MEY129" s="54"/>
      <c r="MEZ129" s="54"/>
      <c r="MFA129" s="54"/>
      <c r="MFB129" s="54"/>
      <c r="MFC129" s="54"/>
      <c r="MFD129" s="54"/>
      <c r="MFE129" s="54"/>
      <c r="MFF129" s="54"/>
      <c r="MFG129" s="54"/>
      <c r="MFH129" s="54"/>
      <c r="MFI129" s="54"/>
      <c r="MFJ129" s="54"/>
      <c r="MFK129" s="54"/>
      <c r="MFL129" s="54"/>
      <c r="MFM129" s="54"/>
      <c r="MFN129" s="54"/>
      <c r="MFO129" s="54"/>
      <c r="MFP129" s="54"/>
      <c r="MFQ129" s="54"/>
      <c r="MFR129" s="54"/>
      <c r="MFS129" s="54"/>
      <c r="MFT129" s="54"/>
      <c r="MFU129" s="54"/>
      <c r="MFV129" s="54"/>
      <c r="MFW129" s="54"/>
      <c r="MFX129" s="54"/>
      <c r="MFY129" s="54"/>
      <c r="MFZ129" s="54"/>
      <c r="MGA129" s="54"/>
      <c r="MGB129" s="54"/>
      <c r="MGC129" s="54"/>
      <c r="MGD129" s="54"/>
      <c r="MGE129" s="54"/>
      <c r="MGF129" s="54"/>
      <c r="MGG129" s="54"/>
      <c r="MGH129" s="54"/>
      <c r="MGI129" s="54"/>
      <c r="MGJ129" s="54"/>
      <c r="MGK129" s="54"/>
      <c r="MGL129" s="54"/>
      <c r="MGM129" s="54"/>
      <c r="MGN129" s="54"/>
      <c r="MGO129" s="54"/>
      <c r="MGP129" s="54"/>
      <c r="MGQ129" s="54"/>
      <c r="MGR129" s="54"/>
      <c r="MGS129" s="54"/>
      <c r="MGT129" s="54"/>
      <c r="MGU129" s="54"/>
      <c r="MGV129" s="54"/>
      <c r="MGW129" s="54"/>
      <c r="MGX129" s="54"/>
      <c r="MGY129" s="54"/>
      <c r="MGZ129" s="54"/>
      <c r="MHA129" s="54"/>
      <c r="MHB129" s="54"/>
      <c r="MHC129" s="54"/>
      <c r="MHD129" s="54"/>
      <c r="MHE129" s="54"/>
      <c r="MHF129" s="54"/>
      <c r="MHG129" s="54"/>
      <c r="MHH129" s="54"/>
      <c r="MHI129" s="54"/>
      <c r="MHJ129" s="54"/>
      <c r="MHK129" s="54"/>
      <c r="MHL129" s="54"/>
      <c r="MHM129" s="54"/>
      <c r="MHN129" s="54"/>
      <c r="MHO129" s="54"/>
      <c r="MHP129" s="54"/>
      <c r="MHQ129" s="54"/>
      <c r="MHR129" s="54"/>
      <c r="MHS129" s="54"/>
      <c r="MHT129" s="54"/>
      <c r="MHU129" s="54"/>
      <c r="MHV129" s="54"/>
      <c r="MHW129" s="54"/>
      <c r="MHX129" s="54"/>
      <c r="MHY129" s="54"/>
      <c r="MHZ129" s="54"/>
      <c r="MIA129" s="54"/>
      <c r="MIB129" s="54"/>
      <c r="MIC129" s="54"/>
      <c r="MID129" s="54"/>
      <c r="MIE129" s="54"/>
      <c r="MIF129" s="54"/>
      <c r="MIG129" s="54"/>
      <c r="MIH129" s="54"/>
      <c r="MII129" s="54"/>
      <c r="MIJ129" s="54"/>
      <c r="MIK129" s="54"/>
      <c r="MIL129" s="54"/>
      <c r="MIM129" s="54"/>
      <c r="MIN129" s="54"/>
      <c r="MIO129" s="54"/>
      <c r="MIP129" s="54"/>
      <c r="MIQ129" s="54"/>
      <c r="MIR129" s="54"/>
      <c r="MIS129" s="54"/>
      <c r="MIT129" s="54"/>
      <c r="MIU129" s="54"/>
      <c r="MIV129" s="54"/>
      <c r="MIW129" s="54"/>
      <c r="MIX129" s="54"/>
      <c r="MIY129" s="54"/>
      <c r="MIZ129" s="54"/>
      <c r="MJA129" s="54"/>
      <c r="MJB129" s="54"/>
      <c r="MJC129" s="54"/>
      <c r="MJD129" s="54"/>
      <c r="MJE129" s="54"/>
      <c r="MJF129" s="54"/>
      <c r="MJG129" s="54"/>
      <c r="MJH129" s="54"/>
      <c r="MJI129" s="54"/>
      <c r="MJJ129" s="54"/>
      <c r="MJK129" s="54"/>
      <c r="MJL129" s="54"/>
      <c r="MJM129" s="54"/>
      <c r="MJN129" s="54"/>
      <c r="MJO129" s="54"/>
      <c r="MJP129" s="54"/>
      <c r="MJQ129" s="54"/>
      <c r="MJR129" s="54"/>
      <c r="MJS129" s="54"/>
      <c r="MJT129" s="54"/>
      <c r="MJU129" s="54"/>
      <c r="MJV129" s="54"/>
      <c r="MJW129" s="54"/>
      <c r="MJX129" s="54"/>
      <c r="MJY129" s="54"/>
      <c r="MJZ129" s="54"/>
      <c r="MKA129" s="54"/>
      <c r="MKB129" s="54"/>
      <c r="MKC129" s="54"/>
      <c r="MKD129" s="54"/>
      <c r="MKE129" s="54"/>
      <c r="MKF129" s="54"/>
      <c r="MKG129" s="54"/>
      <c r="MKH129" s="54"/>
      <c r="MKI129" s="54"/>
      <c r="MKJ129" s="54"/>
      <c r="MKK129" s="54"/>
      <c r="MKL129" s="54"/>
      <c r="MKM129" s="54"/>
      <c r="MKN129" s="54"/>
      <c r="MKO129" s="54"/>
      <c r="MKP129" s="54"/>
      <c r="MKQ129" s="54"/>
      <c r="MKR129" s="54"/>
      <c r="MKS129" s="54"/>
      <c r="MKT129" s="54"/>
      <c r="MKU129" s="54"/>
      <c r="MKV129" s="54"/>
      <c r="MKW129" s="54"/>
      <c r="MKX129" s="54"/>
      <c r="MKY129" s="54"/>
      <c r="MKZ129" s="54"/>
      <c r="MLA129" s="54"/>
      <c r="MLB129" s="54"/>
      <c r="MLC129" s="54"/>
      <c r="MLD129" s="54"/>
      <c r="MLE129" s="54"/>
      <c r="MLF129" s="54"/>
      <c r="MLG129" s="54"/>
      <c r="MLH129" s="54"/>
      <c r="MLI129" s="54"/>
      <c r="MLJ129" s="54"/>
      <c r="MLK129" s="54"/>
      <c r="MLL129" s="54"/>
      <c r="MLM129" s="54"/>
      <c r="MLN129" s="54"/>
      <c r="MLO129" s="54"/>
      <c r="MLP129" s="54"/>
      <c r="MLQ129" s="54"/>
      <c r="MLR129" s="54"/>
      <c r="MLS129" s="54"/>
      <c r="MLT129" s="54"/>
      <c r="MLU129" s="54"/>
      <c r="MLV129" s="54"/>
      <c r="MLW129" s="54"/>
      <c r="MLX129" s="54"/>
      <c r="MLY129" s="54"/>
      <c r="MLZ129" s="54"/>
      <c r="MMA129" s="54"/>
      <c r="MMB129" s="54"/>
      <c r="MMC129" s="54"/>
      <c r="MMD129" s="54"/>
      <c r="MME129" s="54"/>
      <c r="MMF129" s="54"/>
      <c r="MMG129" s="54"/>
      <c r="MMH129" s="54"/>
      <c r="MMI129" s="54"/>
      <c r="MMJ129" s="54"/>
      <c r="MMK129" s="54"/>
      <c r="MML129" s="54"/>
      <c r="MMM129" s="54"/>
      <c r="MMN129" s="54"/>
      <c r="MMO129" s="54"/>
      <c r="MMP129" s="54"/>
      <c r="MMQ129" s="54"/>
      <c r="MMR129" s="54"/>
      <c r="MMS129" s="54"/>
      <c r="MMT129" s="54"/>
      <c r="MMU129" s="54"/>
      <c r="MMV129" s="54"/>
      <c r="MMW129" s="54"/>
      <c r="MMX129" s="54"/>
      <c r="MMY129" s="54"/>
      <c r="MMZ129" s="54"/>
      <c r="MNA129" s="54"/>
      <c r="MNB129" s="54"/>
      <c r="MNC129" s="54"/>
      <c r="MND129" s="54"/>
      <c r="MNE129" s="54"/>
      <c r="MNF129" s="54"/>
      <c r="MNG129" s="54"/>
      <c r="MNH129" s="54"/>
      <c r="MNI129" s="54"/>
      <c r="MNJ129" s="54"/>
      <c r="MNK129" s="54"/>
      <c r="MNL129" s="54"/>
      <c r="MNM129" s="54"/>
      <c r="MNN129" s="54"/>
      <c r="MNO129" s="54"/>
      <c r="MNP129" s="54"/>
      <c r="MNQ129" s="54"/>
      <c r="MNR129" s="54"/>
      <c r="MNS129" s="54"/>
      <c r="MNT129" s="54"/>
      <c r="MNU129" s="54"/>
      <c r="MNV129" s="54"/>
      <c r="MNW129" s="54"/>
      <c r="MNX129" s="54"/>
      <c r="MNY129" s="54"/>
      <c r="MNZ129" s="54"/>
      <c r="MOA129" s="54"/>
      <c r="MOB129" s="54"/>
      <c r="MOC129" s="54"/>
      <c r="MOD129" s="54"/>
      <c r="MOE129" s="54"/>
      <c r="MOF129" s="54"/>
      <c r="MOG129" s="54"/>
      <c r="MOH129" s="54"/>
      <c r="MOI129" s="54"/>
      <c r="MOJ129" s="54"/>
      <c r="MOK129" s="54"/>
      <c r="MOL129" s="54"/>
      <c r="MOM129" s="54"/>
      <c r="MON129" s="54"/>
      <c r="MOO129" s="54"/>
      <c r="MOP129" s="54"/>
      <c r="MOQ129" s="54"/>
      <c r="MOR129" s="54"/>
      <c r="MOS129" s="54"/>
      <c r="MOT129" s="54"/>
      <c r="MOU129" s="54"/>
      <c r="MOV129" s="54"/>
      <c r="MOW129" s="54"/>
      <c r="MOX129" s="54"/>
      <c r="MOY129" s="54"/>
      <c r="MOZ129" s="54"/>
      <c r="MPA129" s="54"/>
      <c r="MPB129" s="54"/>
      <c r="MPC129" s="54"/>
      <c r="MPD129" s="54"/>
      <c r="MPE129" s="54"/>
      <c r="MPF129" s="54"/>
      <c r="MPG129" s="54"/>
      <c r="MPH129" s="54"/>
      <c r="MPI129" s="54"/>
      <c r="MPJ129" s="54"/>
      <c r="MPK129" s="54"/>
      <c r="MPL129" s="54"/>
      <c r="MPM129" s="54"/>
      <c r="MPN129" s="54"/>
      <c r="MPO129" s="54"/>
      <c r="MPP129" s="54"/>
      <c r="MPQ129" s="54"/>
      <c r="MPR129" s="54"/>
      <c r="MPS129" s="54"/>
      <c r="MPT129" s="54"/>
      <c r="MPU129" s="54"/>
      <c r="MPV129" s="54"/>
      <c r="MPW129" s="54"/>
      <c r="MPX129" s="54"/>
      <c r="MPY129" s="54"/>
      <c r="MPZ129" s="54"/>
      <c r="MQA129" s="54"/>
      <c r="MQB129" s="54"/>
      <c r="MQC129" s="54"/>
      <c r="MQD129" s="54"/>
      <c r="MQE129" s="54"/>
      <c r="MQF129" s="54"/>
      <c r="MQG129" s="54"/>
      <c r="MQH129" s="54"/>
      <c r="MQI129" s="54"/>
      <c r="MQJ129" s="54"/>
      <c r="MQK129" s="54"/>
      <c r="MQL129" s="54"/>
      <c r="MQM129" s="54"/>
      <c r="MQN129" s="54"/>
      <c r="MQO129" s="54"/>
      <c r="MQP129" s="54"/>
      <c r="MQQ129" s="54"/>
      <c r="MQR129" s="54"/>
      <c r="MQS129" s="54"/>
      <c r="MQT129" s="54"/>
      <c r="MQU129" s="54"/>
      <c r="MQV129" s="54"/>
      <c r="MQW129" s="54"/>
      <c r="MQX129" s="54"/>
      <c r="MQY129" s="54"/>
      <c r="MQZ129" s="54"/>
      <c r="MRA129" s="54"/>
      <c r="MRB129" s="54"/>
      <c r="MRC129" s="54"/>
      <c r="MRD129" s="54"/>
      <c r="MRE129" s="54"/>
      <c r="MRF129" s="54"/>
      <c r="MRG129" s="54"/>
      <c r="MRH129" s="54"/>
      <c r="MRI129" s="54"/>
      <c r="MRJ129" s="54"/>
      <c r="MRK129" s="54"/>
      <c r="MRL129" s="54"/>
      <c r="MRM129" s="54"/>
      <c r="MRN129" s="54"/>
      <c r="MRO129" s="54"/>
      <c r="MRP129" s="54"/>
      <c r="MRQ129" s="54"/>
      <c r="MRR129" s="54"/>
      <c r="MRS129" s="54"/>
      <c r="MRT129" s="54"/>
      <c r="MRU129" s="54"/>
      <c r="MRV129" s="54"/>
      <c r="MRW129" s="54"/>
      <c r="MRX129" s="54"/>
      <c r="MRY129" s="54"/>
      <c r="MRZ129" s="54"/>
      <c r="MSA129" s="54"/>
      <c r="MSB129" s="54"/>
      <c r="MSC129" s="54"/>
      <c r="MSD129" s="54"/>
      <c r="MSE129" s="54"/>
      <c r="MSF129" s="54"/>
      <c r="MSG129" s="54"/>
      <c r="MSH129" s="54"/>
      <c r="MSI129" s="54"/>
      <c r="MSJ129" s="54"/>
      <c r="MSK129" s="54"/>
      <c r="MSL129" s="54"/>
      <c r="MSM129" s="54"/>
      <c r="MSN129" s="54"/>
      <c r="MSO129" s="54"/>
      <c r="MSP129" s="54"/>
      <c r="MSQ129" s="54"/>
      <c r="MSR129" s="54"/>
      <c r="MSS129" s="54"/>
      <c r="MST129" s="54"/>
      <c r="MSU129" s="54"/>
      <c r="MSV129" s="54"/>
      <c r="MSW129" s="54"/>
      <c r="MSX129" s="54"/>
      <c r="MSY129" s="54"/>
      <c r="MSZ129" s="54"/>
      <c r="MTA129" s="54"/>
      <c r="MTB129" s="54"/>
      <c r="MTC129" s="54"/>
      <c r="MTD129" s="54"/>
      <c r="MTE129" s="54"/>
      <c r="MTF129" s="54"/>
      <c r="MTG129" s="54"/>
      <c r="MTH129" s="54"/>
      <c r="MTI129" s="54"/>
      <c r="MTJ129" s="54"/>
      <c r="MTK129" s="54"/>
      <c r="MTL129" s="54"/>
      <c r="MTM129" s="54"/>
      <c r="MTN129" s="54"/>
      <c r="MTO129" s="54"/>
      <c r="MTP129" s="54"/>
      <c r="MTQ129" s="54"/>
      <c r="MTR129" s="54"/>
      <c r="MTS129" s="54"/>
      <c r="MTT129" s="54"/>
      <c r="MTU129" s="54"/>
      <c r="MTV129" s="54"/>
      <c r="MTW129" s="54"/>
      <c r="MTX129" s="54"/>
      <c r="MTY129" s="54"/>
      <c r="MTZ129" s="54"/>
      <c r="MUA129" s="54"/>
      <c r="MUB129" s="54"/>
      <c r="MUC129" s="54"/>
      <c r="MUD129" s="54"/>
      <c r="MUE129" s="54"/>
      <c r="MUF129" s="54"/>
      <c r="MUG129" s="54"/>
      <c r="MUH129" s="54"/>
      <c r="MUI129" s="54"/>
      <c r="MUJ129" s="54"/>
      <c r="MUK129" s="54"/>
      <c r="MUL129" s="54"/>
      <c r="MUM129" s="54"/>
      <c r="MUN129" s="54"/>
      <c r="MUO129" s="54"/>
      <c r="MUP129" s="54"/>
      <c r="MUQ129" s="54"/>
      <c r="MUR129" s="54"/>
      <c r="MUS129" s="54"/>
      <c r="MUT129" s="54"/>
      <c r="MUU129" s="54"/>
      <c r="MUV129" s="54"/>
      <c r="MUW129" s="54"/>
      <c r="MUX129" s="54"/>
      <c r="MUY129" s="54"/>
      <c r="MUZ129" s="54"/>
      <c r="MVA129" s="54"/>
      <c r="MVB129" s="54"/>
      <c r="MVC129" s="54"/>
      <c r="MVD129" s="54"/>
      <c r="MVE129" s="54"/>
      <c r="MVF129" s="54"/>
      <c r="MVG129" s="54"/>
      <c r="MVH129" s="54"/>
      <c r="MVI129" s="54"/>
      <c r="MVJ129" s="54"/>
      <c r="MVK129" s="54"/>
      <c r="MVL129" s="54"/>
      <c r="MVM129" s="54"/>
      <c r="MVN129" s="54"/>
      <c r="MVO129" s="54"/>
      <c r="MVP129" s="54"/>
      <c r="MVQ129" s="54"/>
      <c r="MVR129" s="54"/>
      <c r="MVS129" s="54"/>
      <c r="MVT129" s="54"/>
      <c r="MVU129" s="54"/>
      <c r="MVV129" s="54"/>
      <c r="MVW129" s="54"/>
      <c r="MVX129" s="54"/>
      <c r="MVY129" s="54"/>
      <c r="MVZ129" s="54"/>
      <c r="MWA129" s="54"/>
      <c r="MWB129" s="54"/>
      <c r="MWC129" s="54"/>
      <c r="MWD129" s="54"/>
      <c r="MWE129" s="54"/>
      <c r="MWF129" s="54"/>
      <c r="MWG129" s="54"/>
      <c r="MWH129" s="54"/>
      <c r="MWI129" s="54"/>
      <c r="MWJ129" s="54"/>
      <c r="MWK129" s="54"/>
      <c r="MWL129" s="54"/>
      <c r="MWM129" s="54"/>
      <c r="MWN129" s="54"/>
      <c r="MWO129" s="54"/>
      <c r="MWP129" s="54"/>
      <c r="MWQ129" s="54"/>
      <c r="MWR129" s="54"/>
      <c r="MWS129" s="54"/>
      <c r="MWT129" s="54"/>
      <c r="MWU129" s="54"/>
      <c r="MWV129" s="54"/>
      <c r="MWW129" s="54"/>
      <c r="MWX129" s="54"/>
      <c r="MWY129" s="54"/>
      <c r="MWZ129" s="54"/>
      <c r="MXA129" s="54"/>
      <c r="MXB129" s="54"/>
      <c r="MXC129" s="54"/>
      <c r="MXD129" s="54"/>
      <c r="MXE129" s="54"/>
      <c r="MXF129" s="54"/>
      <c r="MXG129" s="54"/>
      <c r="MXH129" s="54"/>
      <c r="MXI129" s="54"/>
      <c r="MXJ129" s="54"/>
      <c r="MXK129" s="54"/>
      <c r="MXL129" s="54"/>
      <c r="MXM129" s="54"/>
      <c r="MXN129" s="54"/>
      <c r="MXO129" s="54"/>
      <c r="MXP129" s="54"/>
      <c r="MXQ129" s="54"/>
      <c r="MXR129" s="54"/>
      <c r="MXS129" s="54"/>
      <c r="MXT129" s="54"/>
      <c r="MXU129" s="54"/>
      <c r="MXV129" s="54"/>
      <c r="MXW129" s="54"/>
      <c r="MXX129" s="54"/>
      <c r="MXY129" s="54"/>
      <c r="MXZ129" s="54"/>
      <c r="MYA129" s="54"/>
      <c r="MYB129" s="54"/>
      <c r="MYC129" s="54"/>
      <c r="MYD129" s="54"/>
      <c r="MYE129" s="54"/>
      <c r="MYF129" s="54"/>
      <c r="MYG129" s="54"/>
      <c r="MYH129" s="54"/>
      <c r="MYI129" s="54"/>
      <c r="MYJ129" s="54"/>
      <c r="MYK129" s="54"/>
      <c r="MYL129" s="54"/>
      <c r="MYM129" s="54"/>
      <c r="MYN129" s="54"/>
      <c r="MYO129" s="54"/>
      <c r="MYP129" s="54"/>
      <c r="MYQ129" s="54"/>
      <c r="MYR129" s="54"/>
      <c r="MYS129" s="54"/>
      <c r="MYT129" s="54"/>
      <c r="MYU129" s="54"/>
      <c r="MYV129" s="54"/>
      <c r="MYW129" s="54"/>
      <c r="MYX129" s="54"/>
      <c r="MYY129" s="54"/>
      <c r="MYZ129" s="54"/>
      <c r="MZA129" s="54"/>
      <c r="MZB129" s="54"/>
      <c r="MZC129" s="54"/>
      <c r="MZD129" s="54"/>
      <c r="MZE129" s="54"/>
      <c r="MZF129" s="54"/>
      <c r="MZG129" s="54"/>
      <c r="MZH129" s="54"/>
      <c r="MZI129" s="54"/>
      <c r="MZJ129" s="54"/>
      <c r="MZK129" s="54"/>
      <c r="MZL129" s="54"/>
      <c r="MZM129" s="54"/>
      <c r="MZN129" s="54"/>
      <c r="MZO129" s="54"/>
      <c r="MZP129" s="54"/>
      <c r="MZQ129" s="54"/>
      <c r="MZR129" s="54"/>
      <c r="MZS129" s="54"/>
      <c r="MZT129" s="54"/>
      <c r="MZU129" s="54"/>
      <c r="MZV129" s="54"/>
      <c r="MZW129" s="54"/>
      <c r="MZX129" s="54"/>
      <c r="MZY129" s="54"/>
      <c r="MZZ129" s="54"/>
      <c r="NAA129" s="54"/>
      <c r="NAB129" s="54"/>
      <c r="NAC129" s="54"/>
      <c r="NAD129" s="54"/>
      <c r="NAE129" s="54"/>
      <c r="NAF129" s="54"/>
      <c r="NAG129" s="54"/>
      <c r="NAH129" s="54"/>
      <c r="NAI129" s="54"/>
      <c r="NAJ129" s="54"/>
      <c r="NAK129" s="54"/>
      <c r="NAL129" s="54"/>
      <c r="NAM129" s="54"/>
      <c r="NAN129" s="54"/>
      <c r="NAO129" s="54"/>
      <c r="NAP129" s="54"/>
      <c r="NAQ129" s="54"/>
      <c r="NAR129" s="54"/>
      <c r="NAS129" s="54"/>
      <c r="NAT129" s="54"/>
      <c r="NAU129" s="54"/>
      <c r="NAV129" s="54"/>
      <c r="NAW129" s="54"/>
      <c r="NAX129" s="54"/>
      <c r="NAY129" s="54"/>
      <c r="NAZ129" s="54"/>
      <c r="NBA129" s="54"/>
      <c r="NBB129" s="54"/>
      <c r="NBC129" s="54"/>
      <c r="NBD129" s="54"/>
      <c r="NBE129" s="54"/>
      <c r="NBF129" s="54"/>
      <c r="NBG129" s="54"/>
      <c r="NBH129" s="54"/>
      <c r="NBI129" s="54"/>
      <c r="NBJ129" s="54"/>
      <c r="NBK129" s="54"/>
      <c r="NBL129" s="54"/>
      <c r="NBM129" s="54"/>
      <c r="NBN129" s="54"/>
      <c r="NBO129" s="54"/>
      <c r="NBP129" s="54"/>
      <c r="NBQ129" s="54"/>
      <c r="NBR129" s="54"/>
      <c r="NBS129" s="54"/>
      <c r="NBT129" s="54"/>
      <c r="NBU129" s="54"/>
      <c r="NBV129" s="54"/>
      <c r="NBW129" s="54"/>
      <c r="NBX129" s="54"/>
      <c r="NBY129" s="54"/>
      <c r="NBZ129" s="54"/>
      <c r="NCA129" s="54"/>
      <c r="NCB129" s="54"/>
      <c r="NCC129" s="54"/>
      <c r="NCD129" s="54"/>
      <c r="NCE129" s="54"/>
      <c r="NCF129" s="54"/>
      <c r="NCG129" s="54"/>
      <c r="NCH129" s="54"/>
      <c r="NCI129" s="54"/>
      <c r="NCJ129" s="54"/>
      <c r="NCK129" s="54"/>
      <c r="NCL129" s="54"/>
      <c r="NCM129" s="54"/>
      <c r="NCN129" s="54"/>
      <c r="NCO129" s="54"/>
      <c r="NCP129" s="54"/>
      <c r="NCQ129" s="54"/>
      <c r="NCR129" s="54"/>
      <c r="NCS129" s="54"/>
      <c r="NCT129" s="54"/>
      <c r="NCU129" s="54"/>
      <c r="NCV129" s="54"/>
      <c r="NCW129" s="54"/>
      <c r="NCX129" s="54"/>
      <c r="NCY129" s="54"/>
      <c r="NCZ129" s="54"/>
      <c r="NDA129" s="54"/>
      <c r="NDB129" s="54"/>
      <c r="NDC129" s="54"/>
      <c r="NDD129" s="54"/>
      <c r="NDE129" s="54"/>
      <c r="NDF129" s="54"/>
      <c r="NDG129" s="54"/>
      <c r="NDH129" s="54"/>
      <c r="NDI129" s="54"/>
      <c r="NDJ129" s="54"/>
      <c r="NDK129" s="54"/>
      <c r="NDL129" s="54"/>
      <c r="NDM129" s="54"/>
      <c r="NDN129" s="54"/>
      <c r="NDO129" s="54"/>
      <c r="NDP129" s="54"/>
      <c r="NDQ129" s="54"/>
      <c r="NDR129" s="54"/>
      <c r="NDS129" s="54"/>
      <c r="NDT129" s="54"/>
      <c r="NDU129" s="54"/>
      <c r="NDV129" s="54"/>
      <c r="NDW129" s="54"/>
      <c r="NDX129" s="54"/>
      <c r="NDY129" s="54"/>
      <c r="NDZ129" s="54"/>
      <c r="NEA129" s="54"/>
      <c r="NEB129" s="54"/>
      <c r="NEC129" s="54"/>
      <c r="NED129" s="54"/>
      <c r="NEE129" s="54"/>
      <c r="NEF129" s="54"/>
      <c r="NEG129" s="54"/>
      <c r="NEH129" s="54"/>
      <c r="NEI129" s="54"/>
      <c r="NEJ129" s="54"/>
      <c r="NEK129" s="54"/>
      <c r="NEL129" s="54"/>
      <c r="NEM129" s="54"/>
      <c r="NEN129" s="54"/>
      <c r="NEO129" s="54"/>
      <c r="NEP129" s="54"/>
      <c r="NEQ129" s="54"/>
      <c r="NER129" s="54"/>
      <c r="NES129" s="54"/>
      <c r="NET129" s="54"/>
      <c r="NEU129" s="54"/>
      <c r="NEV129" s="54"/>
      <c r="NEW129" s="54"/>
      <c r="NEX129" s="54"/>
      <c r="NEY129" s="54"/>
      <c r="NEZ129" s="54"/>
      <c r="NFA129" s="54"/>
      <c r="NFB129" s="54"/>
      <c r="NFC129" s="54"/>
      <c r="NFD129" s="54"/>
      <c r="NFE129" s="54"/>
      <c r="NFF129" s="54"/>
      <c r="NFG129" s="54"/>
      <c r="NFH129" s="54"/>
      <c r="NFI129" s="54"/>
      <c r="NFJ129" s="54"/>
      <c r="NFK129" s="54"/>
      <c r="NFL129" s="54"/>
      <c r="NFM129" s="54"/>
      <c r="NFN129" s="54"/>
      <c r="NFO129" s="54"/>
      <c r="NFP129" s="54"/>
      <c r="NFQ129" s="54"/>
      <c r="NFR129" s="54"/>
      <c r="NFS129" s="54"/>
      <c r="NFT129" s="54"/>
      <c r="NFU129" s="54"/>
      <c r="NFV129" s="54"/>
      <c r="NFW129" s="54"/>
      <c r="NFX129" s="54"/>
      <c r="NFY129" s="54"/>
      <c r="NFZ129" s="54"/>
      <c r="NGA129" s="54"/>
      <c r="NGB129" s="54"/>
      <c r="NGC129" s="54"/>
      <c r="NGD129" s="54"/>
      <c r="NGE129" s="54"/>
      <c r="NGF129" s="54"/>
      <c r="NGG129" s="54"/>
      <c r="NGH129" s="54"/>
      <c r="NGI129" s="54"/>
      <c r="NGJ129" s="54"/>
      <c r="NGK129" s="54"/>
      <c r="NGL129" s="54"/>
      <c r="NGM129" s="54"/>
      <c r="NGN129" s="54"/>
      <c r="NGO129" s="54"/>
      <c r="NGP129" s="54"/>
      <c r="NGQ129" s="54"/>
      <c r="NGR129" s="54"/>
      <c r="NGS129" s="54"/>
      <c r="NGT129" s="54"/>
      <c r="NGU129" s="54"/>
      <c r="NGV129" s="54"/>
      <c r="NGW129" s="54"/>
      <c r="NGX129" s="54"/>
      <c r="NGY129" s="54"/>
      <c r="NGZ129" s="54"/>
      <c r="NHA129" s="54"/>
      <c r="NHB129" s="54"/>
      <c r="NHC129" s="54"/>
      <c r="NHD129" s="54"/>
      <c r="NHE129" s="54"/>
      <c r="NHF129" s="54"/>
      <c r="NHG129" s="54"/>
      <c r="NHH129" s="54"/>
      <c r="NHI129" s="54"/>
      <c r="NHJ129" s="54"/>
      <c r="NHK129" s="54"/>
      <c r="NHL129" s="54"/>
      <c r="NHM129" s="54"/>
      <c r="NHN129" s="54"/>
      <c r="NHO129" s="54"/>
      <c r="NHP129" s="54"/>
      <c r="NHQ129" s="54"/>
      <c r="NHR129" s="54"/>
      <c r="NHS129" s="54"/>
      <c r="NHT129" s="54"/>
      <c r="NHU129" s="54"/>
      <c r="NHV129" s="54"/>
      <c r="NHW129" s="54"/>
      <c r="NHX129" s="54"/>
      <c r="NHY129" s="54"/>
      <c r="NHZ129" s="54"/>
      <c r="NIA129" s="54"/>
      <c r="NIB129" s="54"/>
      <c r="NIC129" s="54"/>
      <c r="NID129" s="54"/>
      <c r="NIE129" s="54"/>
      <c r="NIF129" s="54"/>
      <c r="NIG129" s="54"/>
      <c r="NIH129" s="54"/>
      <c r="NII129" s="54"/>
      <c r="NIJ129" s="54"/>
      <c r="NIK129" s="54"/>
      <c r="NIL129" s="54"/>
      <c r="NIM129" s="54"/>
      <c r="NIN129" s="54"/>
      <c r="NIO129" s="54"/>
      <c r="NIP129" s="54"/>
      <c r="NIQ129" s="54"/>
      <c r="NIR129" s="54"/>
      <c r="NIS129" s="54"/>
      <c r="NIT129" s="54"/>
      <c r="NIU129" s="54"/>
      <c r="NIV129" s="54"/>
      <c r="NIW129" s="54"/>
      <c r="NIX129" s="54"/>
      <c r="NIY129" s="54"/>
      <c r="NIZ129" s="54"/>
      <c r="NJA129" s="54"/>
      <c r="NJB129" s="54"/>
      <c r="NJC129" s="54"/>
      <c r="NJD129" s="54"/>
      <c r="NJE129" s="54"/>
      <c r="NJF129" s="54"/>
      <c r="NJG129" s="54"/>
      <c r="NJH129" s="54"/>
      <c r="NJI129" s="54"/>
      <c r="NJJ129" s="54"/>
      <c r="NJK129" s="54"/>
      <c r="NJL129" s="54"/>
      <c r="NJM129" s="54"/>
      <c r="NJN129" s="54"/>
      <c r="NJO129" s="54"/>
      <c r="NJP129" s="54"/>
      <c r="NJQ129" s="54"/>
      <c r="NJR129" s="54"/>
      <c r="NJS129" s="54"/>
      <c r="NJT129" s="54"/>
      <c r="NJU129" s="54"/>
      <c r="NJV129" s="54"/>
      <c r="NJW129" s="54"/>
      <c r="NJX129" s="54"/>
      <c r="NJY129" s="54"/>
      <c r="NJZ129" s="54"/>
      <c r="NKA129" s="54"/>
      <c r="NKB129" s="54"/>
      <c r="NKC129" s="54"/>
      <c r="NKD129" s="54"/>
      <c r="NKE129" s="54"/>
      <c r="NKF129" s="54"/>
      <c r="NKG129" s="54"/>
      <c r="NKH129" s="54"/>
      <c r="NKI129" s="54"/>
      <c r="NKJ129" s="54"/>
      <c r="NKK129" s="54"/>
      <c r="NKL129" s="54"/>
      <c r="NKM129" s="54"/>
      <c r="NKN129" s="54"/>
      <c r="NKO129" s="54"/>
      <c r="NKP129" s="54"/>
      <c r="NKQ129" s="54"/>
      <c r="NKR129" s="54"/>
      <c r="NKS129" s="54"/>
      <c r="NKT129" s="54"/>
      <c r="NKU129" s="54"/>
      <c r="NKV129" s="54"/>
      <c r="NKW129" s="54"/>
      <c r="NKX129" s="54"/>
      <c r="NKY129" s="54"/>
      <c r="NKZ129" s="54"/>
      <c r="NLA129" s="54"/>
      <c r="NLB129" s="54"/>
      <c r="NLC129" s="54"/>
      <c r="NLD129" s="54"/>
      <c r="NLE129" s="54"/>
      <c r="NLF129" s="54"/>
      <c r="NLG129" s="54"/>
      <c r="NLH129" s="54"/>
      <c r="NLI129" s="54"/>
      <c r="NLJ129" s="54"/>
      <c r="NLK129" s="54"/>
      <c r="NLL129" s="54"/>
      <c r="NLM129" s="54"/>
      <c r="NLN129" s="54"/>
      <c r="NLO129" s="54"/>
      <c r="NLP129" s="54"/>
      <c r="NLQ129" s="54"/>
      <c r="NLR129" s="54"/>
      <c r="NLS129" s="54"/>
      <c r="NLT129" s="54"/>
      <c r="NLU129" s="54"/>
      <c r="NLV129" s="54"/>
      <c r="NLW129" s="54"/>
      <c r="NLX129" s="54"/>
      <c r="NLY129" s="54"/>
      <c r="NLZ129" s="54"/>
      <c r="NMA129" s="54"/>
      <c r="NMB129" s="54"/>
      <c r="NMC129" s="54"/>
      <c r="NMD129" s="54"/>
      <c r="NME129" s="54"/>
      <c r="NMF129" s="54"/>
      <c r="NMG129" s="54"/>
      <c r="NMH129" s="54"/>
      <c r="NMI129" s="54"/>
      <c r="NMJ129" s="54"/>
      <c r="NMK129" s="54"/>
      <c r="NML129" s="54"/>
      <c r="NMM129" s="54"/>
      <c r="NMN129" s="54"/>
      <c r="NMO129" s="54"/>
      <c r="NMP129" s="54"/>
      <c r="NMQ129" s="54"/>
      <c r="NMR129" s="54"/>
      <c r="NMS129" s="54"/>
      <c r="NMT129" s="54"/>
      <c r="NMU129" s="54"/>
      <c r="NMV129" s="54"/>
      <c r="NMW129" s="54"/>
      <c r="NMX129" s="54"/>
      <c r="NMY129" s="54"/>
      <c r="NMZ129" s="54"/>
      <c r="NNA129" s="54"/>
      <c r="NNB129" s="54"/>
      <c r="NNC129" s="54"/>
      <c r="NND129" s="54"/>
      <c r="NNE129" s="54"/>
      <c r="NNF129" s="54"/>
      <c r="NNG129" s="54"/>
      <c r="NNH129" s="54"/>
      <c r="NNI129" s="54"/>
      <c r="NNJ129" s="54"/>
      <c r="NNK129" s="54"/>
      <c r="NNL129" s="54"/>
      <c r="NNM129" s="54"/>
      <c r="NNN129" s="54"/>
      <c r="NNO129" s="54"/>
      <c r="NNP129" s="54"/>
      <c r="NNQ129" s="54"/>
      <c r="NNR129" s="54"/>
      <c r="NNS129" s="54"/>
      <c r="NNT129" s="54"/>
      <c r="NNU129" s="54"/>
      <c r="NNV129" s="54"/>
      <c r="NNW129" s="54"/>
      <c r="NNX129" s="54"/>
      <c r="NNY129" s="54"/>
      <c r="NNZ129" s="54"/>
      <c r="NOA129" s="54"/>
      <c r="NOB129" s="54"/>
      <c r="NOC129" s="54"/>
      <c r="NOD129" s="54"/>
      <c r="NOE129" s="54"/>
      <c r="NOF129" s="54"/>
      <c r="NOG129" s="54"/>
      <c r="NOH129" s="54"/>
      <c r="NOI129" s="54"/>
      <c r="NOJ129" s="54"/>
      <c r="NOK129" s="54"/>
      <c r="NOL129" s="54"/>
      <c r="NOM129" s="54"/>
      <c r="NON129" s="54"/>
      <c r="NOO129" s="54"/>
      <c r="NOP129" s="54"/>
      <c r="NOQ129" s="54"/>
      <c r="NOR129" s="54"/>
      <c r="NOS129" s="54"/>
      <c r="NOT129" s="54"/>
      <c r="NOU129" s="54"/>
      <c r="NOV129" s="54"/>
      <c r="NOW129" s="54"/>
      <c r="NOX129" s="54"/>
      <c r="NOY129" s="54"/>
      <c r="NOZ129" s="54"/>
      <c r="NPA129" s="54"/>
      <c r="NPB129" s="54"/>
      <c r="NPC129" s="54"/>
      <c r="NPD129" s="54"/>
      <c r="NPE129" s="54"/>
      <c r="NPF129" s="54"/>
      <c r="NPG129" s="54"/>
      <c r="NPH129" s="54"/>
      <c r="NPI129" s="54"/>
      <c r="NPJ129" s="54"/>
      <c r="NPK129" s="54"/>
      <c r="NPL129" s="54"/>
      <c r="NPM129" s="54"/>
      <c r="NPN129" s="54"/>
      <c r="NPO129" s="54"/>
      <c r="NPP129" s="54"/>
      <c r="NPQ129" s="54"/>
      <c r="NPR129" s="54"/>
      <c r="NPS129" s="54"/>
      <c r="NPT129" s="54"/>
      <c r="NPU129" s="54"/>
      <c r="NPV129" s="54"/>
      <c r="NPW129" s="54"/>
      <c r="NPX129" s="54"/>
      <c r="NPY129" s="54"/>
      <c r="NPZ129" s="54"/>
      <c r="NQA129" s="54"/>
      <c r="NQB129" s="54"/>
      <c r="NQC129" s="54"/>
      <c r="NQD129" s="54"/>
      <c r="NQE129" s="54"/>
      <c r="NQF129" s="54"/>
      <c r="NQG129" s="54"/>
      <c r="NQH129" s="54"/>
      <c r="NQI129" s="54"/>
      <c r="NQJ129" s="54"/>
      <c r="NQK129" s="54"/>
      <c r="NQL129" s="54"/>
      <c r="NQM129" s="54"/>
      <c r="NQN129" s="54"/>
      <c r="NQO129" s="54"/>
      <c r="NQP129" s="54"/>
      <c r="NQQ129" s="54"/>
      <c r="NQR129" s="54"/>
      <c r="NQS129" s="54"/>
      <c r="NQT129" s="54"/>
      <c r="NQU129" s="54"/>
      <c r="NQV129" s="54"/>
      <c r="NQW129" s="54"/>
      <c r="NQX129" s="54"/>
      <c r="NQY129" s="54"/>
      <c r="NQZ129" s="54"/>
      <c r="NRA129" s="54"/>
      <c r="NRB129" s="54"/>
      <c r="NRC129" s="54"/>
      <c r="NRD129" s="54"/>
      <c r="NRE129" s="54"/>
      <c r="NRF129" s="54"/>
      <c r="NRG129" s="54"/>
      <c r="NRH129" s="54"/>
      <c r="NRI129" s="54"/>
      <c r="NRJ129" s="54"/>
      <c r="NRK129" s="54"/>
      <c r="NRL129" s="54"/>
      <c r="NRM129" s="54"/>
      <c r="NRN129" s="54"/>
      <c r="NRO129" s="54"/>
      <c r="NRP129" s="54"/>
      <c r="NRQ129" s="54"/>
      <c r="NRR129" s="54"/>
      <c r="NRS129" s="54"/>
      <c r="NRT129" s="54"/>
      <c r="NRU129" s="54"/>
      <c r="NRV129" s="54"/>
      <c r="NRW129" s="54"/>
      <c r="NRX129" s="54"/>
      <c r="NRY129" s="54"/>
      <c r="NRZ129" s="54"/>
      <c r="NSA129" s="54"/>
      <c r="NSB129" s="54"/>
      <c r="NSC129" s="54"/>
      <c r="NSD129" s="54"/>
      <c r="NSE129" s="54"/>
      <c r="NSF129" s="54"/>
      <c r="NSG129" s="54"/>
      <c r="NSH129" s="54"/>
      <c r="NSI129" s="54"/>
      <c r="NSJ129" s="54"/>
      <c r="NSK129" s="54"/>
      <c r="NSL129" s="54"/>
      <c r="NSM129" s="54"/>
      <c r="NSN129" s="54"/>
      <c r="NSO129" s="54"/>
      <c r="NSP129" s="54"/>
      <c r="NSQ129" s="54"/>
      <c r="NSR129" s="54"/>
      <c r="NSS129" s="54"/>
      <c r="NST129" s="54"/>
      <c r="NSU129" s="54"/>
      <c r="NSV129" s="54"/>
      <c r="NSW129" s="54"/>
      <c r="NSX129" s="54"/>
      <c r="NSY129" s="54"/>
      <c r="NSZ129" s="54"/>
      <c r="NTA129" s="54"/>
      <c r="NTB129" s="54"/>
      <c r="NTC129" s="54"/>
      <c r="NTD129" s="54"/>
      <c r="NTE129" s="54"/>
      <c r="NTF129" s="54"/>
      <c r="NTG129" s="54"/>
      <c r="NTH129" s="54"/>
      <c r="NTI129" s="54"/>
      <c r="NTJ129" s="54"/>
      <c r="NTK129" s="54"/>
      <c r="NTL129" s="54"/>
      <c r="NTM129" s="54"/>
      <c r="NTN129" s="54"/>
      <c r="NTO129" s="54"/>
      <c r="NTP129" s="54"/>
      <c r="NTQ129" s="54"/>
      <c r="NTR129" s="54"/>
      <c r="NTS129" s="54"/>
      <c r="NTT129" s="54"/>
      <c r="NTU129" s="54"/>
      <c r="NTV129" s="54"/>
      <c r="NTW129" s="54"/>
      <c r="NTX129" s="54"/>
      <c r="NTY129" s="54"/>
      <c r="NTZ129" s="54"/>
      <c r="NUA129" s="54"/>
      <c r="NUB129" s="54"/>
      <c r="NUC129" s="54"/>
      <c r="NUD129" s="54"/>
      <c r="NUE129" s="54"/>
      <c r="NUF129" s="54"/>
      <c r="NUG129" s="54"/>
      <c r="NUH129" s="54"/>
      <c r="NUI129" s="54"/>
      <c r="NUJ129" s="54"/>
      <c r="NUK129" s="54"/>
      <c r="NUL129" s="54"/>
      <c r="NUM129" s="54"/>
      <c r="NUN129" s="54"/>
      <c r="NUO129" s="54"/>
      <c r="NUP129" s="54"/>
      <c r="NUQ129" s="54"/>
      <c r="NUR129" s="54"/>
      <c r="NUS129" s="54"/>
      <c r="NUT129" s="54"/>
      <c r="NUU129" s="54"/>
      <c r="NUV129" s="54"/>
      <c r="NUW129" s="54"/>
      <c r="NUX129" s="54"/>
      <c r="NUY129" s="54"/>
      <c r="NUZ129" s="54"/>
      <c r="NVA129" s="54"/>
      <c r="NVB129" s="54"/>
      <c r="NVC129" s="54"/>
      <c r="NVD129" s="54"/>
      <c r="NVE129" s="54"/>
      <c r="NVF129" s="54"/>
      <c r="NVG129" s="54"/>
      <c r="NVH129" s="54"/>
      <c r="NVI129" s="54"/>
      <c r="NVJ129" s="54"/>
      <c r="NVK129" s="54"/>
      <c r="NVL129" s="54"/>
      <c r="NVM129" s="54"/>
      <c r="NVN129" s="54"/>
      <c r="NVO129" s="54"/>
      <c r="NVP129" s="54"/>
      <c r="NVQ129" s="54"/>
      <c r="NVR129" s="54"/>
      <c r="NVS129" s="54"/>
      <c r="NVT129" s="54"/>
      <c r="NVU129" s="54"/>
      <c r="NVV129" s="54"/>
      <c r="NVW129" s="54"/>
      <c r="NVX129" s="54"/>
      <c r="NVY129" s="54"/>
      <c r="NVZ129" s="54"/>
      <c r="NWA129" s="54"/>
      <c r="NWB129" s="54"/>
      <c r="NWC129" s="54"/>
      <c r="NWD129" s="54"/>
      <c r="NWE129" s="54"/>
      <c r="NWF129" s="54"/>
      <c r="NWG129" s="54"/>
      <c r="NWH129" s="54"/>
      <c r="NWI129" s="54"/>
      <c r="NWJ129" s="54"/>
      <c r="NWK129" s="54"/>
      <c r="NWL129" s="54"/>
      <c r="NWM129" s="54"/>
      <c r="NWN129" s="54"/>
      <c r="NWO129" s="54"/>
      <c r="NWP129" s="54"/>
      <c r="NWQ129" s="54"/>
      <c r="NWR129" s="54"/>
      <c r="NWS129" s="54"/>
      <c r="NWT129" s="54"/>
      <c r="NWU129" s="54"/>
      <c r="NWV129" s="54"/>
      <c r="NWW129" s="54"/>
      <c r="NWX129" s="54"/>
      <c r="NWY129" s="54"/>
      <c r="NWZ129" s="54"/>
      <c r="NXA129" s="54"/>
      <c r="NXB129" s="54"/>
      <c r="NXC129" s="54"/>
      <c r="NXD129" s="54"/>
      <c r="NXE129" s="54"/>
      <c r="NXF129" s="54"/>
      <c r="NXG129" s="54"/>
      <c r="NXH129" s="54"/>
      <c r="NXI129" s="54"/>
      <c r="NXJ129" s="54"/>
      <c r="NXK129" s="54"/>
      <c r="NXL129" s="54"/>
      <c r="NXM129" s="54"/>
      <c r="NXN129" s="54"/>
      <c r="NXO129" s="54"/>
      <c r="NXP129" s="54"/>
      <c r="NXQ129" s="54"/>
      <c r="NXR129" s="54"/>
      <c r="NXS129" s="54"/>
      <c r="NXT129" s="54"/>
      <c r="NXU129" s="54"/>
      <c r="NXV129" s="54"/>
      <c r="NXW129" s="54"/>
      <c r="NXX129" s="54"/>
      <c r="NXY129" s="54"/>
      <c r="NXZ129" s="54"/>
      <c r="NYA129" s="54"/>
      <c r="NYB129" s="54"/>
      <c r="NYC129" s="54"/>
      <c r="NYD129" s="54"/>
      <c r="NYE129" s="54"/>
      <c r="NYF129" s="54"/>
      <c r="NYG129" s="54"/>
      <c r="NYH129" s="54"/>
      <c r="NYI129" s="54"/>
      <c r="NYJ129" s="54"/>
      <c r="NYK129" s="54"/>
      <c r="NYL129" s="54"/>
      <c r="NYM129" s="54"/>
      <c r="NYN129" s="54"/>
      <c r="NYO129" s="54"/>
      <c r="NYP129" s="54"/>
      <c r="NYQ129" s="54"/>
      <c r="NYR129" s="54"/>
      <c r="NYS129" s="54"/>
      <c r="NYT129" s="54"/>
      <c r="NYU129" s="54"/>
      <c r="NYV129" s="54"/>
      <c r="NYW129" s="54"/>
      <c r="NYX129" s="54"/>
      <c r="NYY129" s="54"/>
      <c r="NYZ129" s="54"/>
      <c r="NZA129" s="54"/>
      <c r="NZB129" s="54"/>
      <c r="NZC129" s="54"/>
      <c r="NZD129" s="54"/>
      <c r="NZE129" s="54"/>
      <c r="NZF129" s="54"/>
      <c r="NZG129" s="54"/>
      <c r="NZH129" s="54"/>
      <c r="NZI129" s="54"/>
      <c r="NZJ129" s="54"/>
      <c r="NZK129" s="54"/>
      <c r="NZL129" s="54"/>
      <c r="NZM129" s="54"/>
      <c r="NZN129" s="54"/>
      <c r="NZO129" s="54"/>
      <c r="NZP129" s="54"/>
      <c r="NZQ129" s="54"/>
      <c r="NZR129" s="54"/>
      <c r="NZS129" s="54"/>
      <c r="NZT129" s="54"/>
      <c r="NZU129" s="54"/>
      <c r="NZV129" s="54"/>
      <c r="NZW129" s="54"/>
      <c r="NZX129" s="54"/>
      <c r="NZY129" s="54"/>
      <c r="NZZ129" s="54"/>
      <c r="OAA129" s="54"/>
      <c r="OAB129" s="54"/>
      <c r="OAC129" s="54"/>
      <c r="OAD129" s="54"/>
      <c r="OAE129" s="54"/>
      <c r="OAF129" s="54"/>
      <c r="OAG129" s="54"/>
      <c r="OAH129" s="54"/>
      <c r="OAI129" s="54"/>
      <c r="OAJ129" s="54"/>
      <c r="OAK129" s="54"/>
      <c r="OAL129" s="54"/>
      <c r="OAM129" s="54"/>
      <c r="OAN129" s="54"/>
      <c r="OAO129" s="54"/>
      <c r="OAP129" s="54"/>
      <c r="OAQ129" s="54"/>
      <c r="OAR129" s="54"/>
      <c r="OAS129" s="54"/>
      <c r="OAT129" s="54"/>
      <c r="OAU129" s="54"/>
      <c r="OAV129" s="54"/>
      <c r="OAW129" s="54"/>
      <c r="OAX129" s="54"/>
      <c r="OAY129" s="54"/>
      <c r="OAZ129" s="54"/>
      <c r="OBA129" s="54"/>
      <c r="OBB129" s="54"/>
      <c r="OBC129" s="54"/>
      <c r="OBD129" s="54"/>
      <c r="OBE129" s="54"/>
      <c r="OBF129" s="54"/>
      <c r="OBG129" s="54"/>
      <c r="OBH129" s="54"/>
      <c r="OBI129" s="54"/>
      <c r="OBJ129" s="54"/>
      <c r="OBK129" s="54"/>
      <c r="OBL129" s="54"/>
      <c r="OBM129" s="54"/>
      <c r="OBN129" s="54"/>
      <c r="OBO129" s="54"/>
      <c r="OBP129" s="54"/>
      <c r="OBQ129" s="54"/>
      <c r="OBR129" s="54"/>
      <c r="OBS129" s="54"/>
      <c r="OBT129" s="54"/>
      <c r="OBU129" s="54"/>
      <c r="OBV129" s="54"/>
      <c r="OBW129" s="54"/>
      <c r="OBX129" s="54"/>
      <c r="OBY129" s="54"/>
      <c r="OBZ129" s="54"/>
      <c r="OCA129" s="54"/>
      <c r="OCB129" s="54"/>
      <c r="OCC129" s="54"/>
      <c r="OCD129" s="54"/>
      <c r="OCE129" s="54"/>
      <c r="OCF129" s="54"/>
      <c r="OCG129" s="54"/>
      <c r="OCH129" s="54"/>
      <c r="OCI129" s="54"/>
      <c r="OCJ129" s="54"/>
      <c r="OCK129" s="54"/>
      <c r="OCL129" s="54"/>
      <c r="OCM129" s="54"/>
      <c r="OCN129" s="54"/>
      <c r="OCO129" s="54"/>
      <c r="OCP129" s="54"/>
      <c r="OCQ129" s="54"/>
      <c r="OCR129" s="54"/>
      <c r="OCS129" s="54"/>
      <c r="OCT129" s="54"/>
      <c r="OCU129" s="54"/>
      <c r="OCV129" s="54"/>
      <c r="OCW129" s="54"/>
      <c r="OCX129" s="54"/>
      <c r="OCY129" s="54"/>
      <c r="OCZ129" s="54"/>
      <c r="ODA129" s="54"/>
      <c r="ODB129" s="54"/>
      <c r="ODC129" s="54"/>
      <c r="ODD129" s="54"/>
      <c r="ODE129" s="54"/>
      <c r="ODF129" s="54"/>
      <c r="ODG129" s="54"/>
      <c r="ODH129" s="54"/>
      <c r="ODI129" s="54"/>
      <c r="ODJ129" s="54"/>
      <c r="ODK129" s="54"/>
      <c r="ODL129" s="54"/>
      <c r="ODM129" s="54"/>
      <c r="ODN129" s="54"/>
      <c r="ODO129" s="54"/>
      <c r="ODP129" s="54"/>
      <c r="ODQ129" s="54"/>
      <c r="ODR129" s="54"/>
      <c r="ODS129" s="54"/>
      <c r="ODT129" s="54"/>
      <c r="ODU129" s="54"/>
      <c r="ODV129" s="54"/>
      <c r="ODW129" s="54"/>
      <c r="ODX129" s="54"/>
      <c r="ODY129" s="54"/>
      <c r="ODZ129" s="54"/>
      <c r="OEA129" s="54"/>
      <c r="OEB129" s="54"/>
      <c r="OEC129" s="54"/>
      <c r="OED129" s="54"/>
      <c r="OEE129" s="54"/>
      <c r="OEF129" s="54"/>
      <c r="OEG129" s="54"/>
      <c r="OEH129" s="54"/>
      <c r="OEI129" s="54"/>
      <c r="OEJ129" s="54"/>
      <c r="OEK129" s="54"/>
      <c r="OEL129" s="54"/>
      <c r="OEM129" s="54"/>
      <c r="OEN129" s="54"/>
      <c r="OEO129" s="54"/>
      <c r="OEP129" s="54"/>
      <c r="OEQ129" s="54"/>
      <c r="OER129" s="54"/>
      <c r="OES129" s="54"/>
      <c r="OET129" s="54"/>
      <c r="OEU129" s="54"/>
      <c r="OEV129" s="54"/>
      <c r="OEW129" s="54"/>
      <c r="OEX129" s="54"/>
      <c r="OEY129" s="54"/>
      <c r="OEZ129" s="54"/>
      <c r="OFA129" s="54"/>
      <c r="OFB129" s="54"/>
      <c r="OFC129" s="54"/>
      <c r="OFD129" s="54"/>
      <c r="OFE129" s="54"/>
      <c r="OFF129" s="54"/>
      <c r="OFG129" s="54"/>
      <c r="OFH129" s="54"/>
      <c r="OFI129" s="54"/>
      <c r="OFJ129" s="54"/>
      <c r="OFK129" s="54"/>
      <c r="OFL129" s="54"/>
      <c r="OFM129" s="54"/>
      <c r="OFN129" s="54"/>
      <c r="OFO129" s="54"/>
      <c r="OFP129" s="54"/>
      <c r="OFQ129" s="54"/>
      <c r="OFR129" s="54"/>
      <c r="OFS129" s="54"/>
      <c r="OFT129" s="54"/>
      <c r="OFU129" s="54"/>
      <c r="OFV129" s="54"/>
      <c r="OFW129" s="54"/>
      <c r="OFX129" s="54"/>
      <c r="OFY129" s="54"/>
      <c r="OFZ129" s="54"/>
      <c r="OGA129" s="54"/>
      <c r="OGB129" s="54"/>
      <c r="OGC129" s="54"/>
      <c r="OGD129" s="54"/>
      <c r="OGE129" s="54"/>
      <c r="OGF129" s="54"/>
      <c r="OGG129" s="54"/>
      <c r="OGH129" s="54"/>
      <c r="OGI129" s="54"/>
      <c r="OGJ129" s="54"/>
      <c r="OGK129" s="54"/>
      <c r="OGL129" s="54"/>
      <c r="OGM129" s="54"/>
      <c r="OGN129" s="54"/>
      <c r="OGO129" s="54"/>
      <c r="OGP129" s="54"/>
      <c r="OGQ129" s="54"/>
      <c r="OGR129" s="54"/>
      <c r="OGS129" s="54"/>
      <c r="OGT129" s="54"/>
      <c r="OGU129" s="54"/>
      <c r="OGV129" s="54"/>
      <c r="OGW129" s="54"/>
      <c r="OGX129" s="54"/>
      <c r="OGY129" s="54"/>
      <c r="OGZ129" s="54"/>
      <c r="OHA129" s="54"/>
      <c r="OHB129" s="54"/>
      <c r="OHC129" s="54"/>
      <c r="OHD129" s="54"/>
      <c r="OHE129" s="54"/>
      <c r="OHF129" s="54"/>
      <c r="OHG129" s="54"/>
      <c r="OHH129" s="54"/>
      <c r="OHI129" s="54"/>
      <c r="OHJ129" s="54"/>
      <c r="OHK129" s="54"/>
      <c r="OHL129" s="54"/>
      <c r="OHM129" s="54"/>
      <c r="OHN129" s="54"/>
      <c r="OHO129" s="54"/>
      <c r="OHP129" s="54"/>
      <c r="OHQ129" s="54"/>
      <c r="OHR129" s="54"/>
      <c r="OHS129" s="54"/>
      <c r="OHT129" s="54"/>
      <c r="OHU129" s="54"/>
      <c r="OHV129" s="54"/>
      <c r="OHW129" s="54"/>
      <c r="OHX129" s="54"/>
      <c r="OHY129" s="54"/>
      <c r="OHZ129" s="54"/>
      <c r="OIA129" s="54"/>
      <c r="OIB129" s="54"/>
      <c r="OIC129" s="54"/>
      <c r="OID129" s="54"/>
      <c r="OIE129" s="54"/>
      <c r="OIF129" s="54"/>
      <c r="OIG129" s="54"/>
      <c r="OIH129" s="54"/>
      <c r="OII129" s="54"/>
      <c r="OIJ129" s="54"/>
      <c r="OIK129" s="54"/>
      <c r="OIL129" s="54"/>
      <c r="OIM129" s="54"/>
      <c r="OIN129" s="54"/>
      <c r="OIO129" s="54"/>
      <c r="OIP129" s="54"/>
      <c r="OIQ129" s="54"/>
      <c r="OIR129" s="54"/>
      <c r="OIS129" s="54"/>
      <c r="OIT129" s="54"/>
      <c r="OIU129" s="54"/>
      <c r="OIV129" s="54"/>
      <c r="OIW129" s="54"/>
      <c r="OIX129" s="54"/>
      <c r="OIY129" s="54"/>
      <c r="OIZ129" s="54"/>
      <c r="OJA129" s="54"/>
      <c r="OJB129" s="54"/>
      <c r="OJC129" s="54"/>
      <c r="OJD129" s="54"/>
      <c r="OJE129" s="54"/>
      <c r="OJF129" s="54"/>
      <c r="OJG129" s="54"/>
      <c r="OJH129" s="54"/>
      <c r="OJI129" s="54"/>
      <c r="OJJ129" s="54"/>
      <c r="OJK129" s="54"/>
      <c r="OJL129" s="54"/>
      <c r="OJM129" s="54"/>
      <c r="OJN129" s="54"/>
      <c r="OJO129" s="54"/>
      <c r="OJP129" s="54"/>
      <c r="OJQ129" s="54"/>
      <c r="OJR129" s="54"/>
      <c r="OJS129" s="54"/>
      <c r="OJT129" s="54"/>
      <c r="OJU129" s="54"/>
      <c r="OJV129" s="54"/>
      <c r="OJW129" s="54"/>
      <c r="OJX129" s="54"/>
      <c r="OJY129" s="54"/>
      <c r="OJZ129" s="54"/>
      <c r="OKA129" s="54"/>
      <c r="OKB129" s="54"/>
      <c r="OKC129" s="54"/>
      <c r="OKD129" s="54"/>
      <c r="OKE129" s="54"/>
      <c r="OKF129" s="54"/>
      <c r="OKG129" s="54"/>
      <c r="OKH129" s="54"/>
      <c r="OKI129" s="54"/>
      <c r="OKJ129" s="54"/>
      <c r="OKK129" s="54"/>
      <c r="OKL129" s="54"/>
      <c r="OKM129" s="54"/>
      <c r="OKN129" s="54"/>
      <c r="OKO129" s="54"/>
      <c r="OKP129" s="54"/>
      <c r="OKQ129" s="54"/>
      <c r="OKR129" s="54"/>
      <c r="OKS129" s="54"/>
      <c r="OKT129" s="54"/>
      <c r="OKU129" s="54"/>
      <c r="OKV129" s="54"/>
      <c r="OKW129" s="54"/>
      <c r="OKX129" s="54"/>
      <c r="OKY129" s="54"/>
      <c r="OKZ129" s="54"/>
      <c r="OLA129" s="54"/>
      <c r="OLB129" s="54"/>
      <c r="OLC129" s="54"/>
      <c r="OLD129" s="54"/>
      <c r="OLE129" s="54"/>
      <c r="OLF129" s="54"/>
      <c r="OLG129" s="54"/>
      <c r="OLH129" s="54"/>
      <c r="OLI129" s="54"/>
      <c r="OLJ129" s="54"/>
      <c r="OLK129" s="54"/>
      <c r="OLL129" s="54"/>
      <c r="OLM129" s="54"/>
      <c r="OLN129" s="54"/>
      <c r="OLO129" s="54"/>
      <c r="OLP129" s="54"/>
      <c r="OLQ129" s="54"/>
      <c r="OLR129" s="54"/>
      <c r="OLS129" s="54"/>
      <c r="OLT129" s="54"/>
      <c r="OLU129" s="54"/>
      <c r="OLV129" s="54"/>
      <c r="OLW129" s="54"/>
      <c r="OLX129" s="54"/>
      <c r="OLY129" s="54"/>
      <c r="OLZ129" s="54"/>
      <c r="OMA129" s="54"/>
      <c r="OMB129" s="54"/>
      <c r="OMC129" s="54"/>
      <c r="OMD129" s="54"/>
      <c r="OME129" s="54"/>
      <c r="OMF129" s="54"/>
      <c r="OMG129" s="54"/>
      <c r="OMH129" s="54"/>
      <c r="OMI129" s="54"/>
      <c r="OMJ129" s="54"/>
      <c r="OMK129" s="54"/>
      <c r="OML129" s="54"/>
      <c r="OMM129" s="54"/>
      <c r="OMN129" s="54"/>
      <c r="OMO129" s="54"/>
      <c r="OMP129" s="54"/>
      <c r="OMQ129" s="54"/>
      <c r="OMR129" s="54"/>
      <c r="OMS129" s="54"/>
      <c r="OMT129" s="54"/>
      <c r="OMU129" s="54"/>
      <c r="OMV129" s="54"/>
      <c r="OMW129" s="54"/>
      <c r="OMX129" s="54"/>
      <c r="OMY129" s="54"/>
      <c r="OMZ129" s="54"/>
      <c r="ONA129" s="54"/>
      <c r="ONB129" s="54"/>
      <c r="ONC129" s="54"/>
      <c r="OND129" s="54"/>
      <c r="ONE129" s="54"/>
      <c r="ONF129" s="54"/>
      <c r="ONG129" s="54"/>
      <c r="ONH129" s="54"/>
      <c r="ONI129" s="54"/>
      <c r="ONJ129" s="54"/>
      <c r="ONK129" s="54"/>
      <c r="ONL129" s="54"/>
      <c r="ONM129" s="54"/>
      <c r="ONN129" s="54"/>
      <c r="ONO129" s="54"/>
      <c r="ONP129" s="54"/>
      <c r="ONQ129" s="54"/>
      <c r="ONR129" s="54"/>
      <c r="ONS129" s="54"/>
      <c r="ONT129" s="54"/>
      <c r="ONU129" s="54"/>
      <c r="ONV129" s="54"/>
      <c r="ONW129" s="54"/>
      <c r="ONX129" s="54"/>
      <c r="ONY129" s="54"/>
      <c r="ONZ129" s="54"/>
      <c r="OOA129" s="54"/>
      <c r="OOB129" s="54"/>
      <c r="OOC129" s="54"/>
      <c r="OOD129" s="54"/>
      <c r="OOE129" s="54"/>
      <c r="OOF129" s="54"/>
      <c r="OOG129" s="54"/>
      <c r="OOH129" s="54"/>
      <c r="OOI129" s="54"/>
      <c r="OOJ129" s="54"/>
      <c r="OOK129" s="54"/>
      <c r="OOL129" s="54"/>
      <c r="OOM129" s="54"/>
      <c r="OON129" s="54"/>
      <c r="OOO129" s="54"/>
      <c r="OOP129" s="54"/>
      <c r="OOQ129" s="54"/>
      <c r="OOR129" s="54"/>
      <c r="OOS129" s="54"/>
      <c r="OOT129" s="54"/>
      <c r="OOU129" s="54"/>
      <c r="OOV129" s="54"/>
      <c r="OOW129" s="54"/>
      <c r="OOX129" s="54"/>
      <c r="OOY129" s="54"/>
      <c r="OOZ129" s="54"/>
      <c r="OPA129" s="54"/>
      <c r="OPB129" s="54"/>
      <c r="OPC129" s="54"/>
      <c r="OPD129" s="54"/>
      <c r="OPE129" s="54"/>
      <c r="OPF129" s="54"/>
      <c r="OPG129" s="54"/>
      <c r="OPH129" s="54"/>
      <c r="OPI129" s="54"/>
      <c r="OPJ129" s="54"/>
      <c r="OPK129" s="54"/>
      <c r="OPL129" s="54"/>
      <c r="OPM129" s="54"/>
      <c r="OPN129" s="54"/>
      <c r="OPO129" s="54"/>
      <c r="OPP129" s="54"/>
      <c r="OPQ129" s="54"/>
      <c r="OPR129" s="54"/>
      <c r="OPS129" s="54"/>
      <c r="OPT129" s="54"/>
      <c r="OPU129" s="54"/>
      <c r="OPV129" s="54"/>
      <c r="OPW129" s="54"/>
      <c r="OPX129" s="54"/>
      <c r="OPY129" s="54"/>
      <c r="OPZ129" s="54"/>
      <c r="OQA129" s="54"/>
      <c r="OQB129" s="54"/>
      <c r="OQC129" s="54"/>
      <c r="OQD129" s="54"/>
      <c r="OQE129" s="54"/>
      <c r="OQF129" s="54"/>
      <c r="OQG129" s="54"/>
      <c r="OQH129" s="54"/>
      <c r="OQI129" s="54"/>
      <c r="OQJ129" s="54"/>
      <c r="OQK129" s="54"/>
      <c r="OQL129" s="54"/>
      <c r="OQM129" s="54"/>
      <c r="OQN129" s="54"/>
      <c r="OQO129" s="54"/>
      <c r="OQP129" s="54"/>
      <c r="OQQ129" s="54"/>
      <c r="OQR129" s="54"/>
      <c r="OQS129" s="54"/>
      <c r="OQT129" s="54"/>
      <c r="OQU129" s="54"/>
      <c r="OQV129" s="54"/>
      <c r="OQW129" s="54"/>
      <c r="OQX129" s="54"/>
      <c r="OQY129" s="54"/>
      <c r="OQZ129" s="54"/>
      <c r="ORA129" s="54"/>
      <c r="ORB129" s="54"/>
      <c r="ORC129" s="54"/>
      <c r="ORD129" s="54"/>
      <c r="ORE129" s="54"/>
      <c r="ORF129" s="54"/>
      <c r="ORG129" s="54"/>
      <c r="ORH129" s="54"/>
      <c r="ORI129" s="54"/>
      <c r="ORJ129" s="54"/>
      <c r="ORK129" s="54"/>
      <c r="ORL129" s="54"/>
      <c r="ORM129" s="54"/>
      <c r="ORN129" s="54"/>
      <c r="ORO129" s="54"/>
      <c r="ORP129" s="54"/>
      <c r="ORQ129" s="54"/>
      <c r="ORR129" s="54"/>
      <c r="ORS129" s="54"/>
      <c r="ORT129" s="54"/>
      <c r="ORU129" s="54"/>
      <c r="ORV129" s="54"/>
      <c r="ORW129" s="54"/>
      <c r="ORX129" s="54"/>
      <c r="ORY129" s="54"/>
      <c r="ORZ129" s="54"/>
      <c r="OSA129" s="54"/>
      <c r="OSB129" s="54"/>
      <c r="OSC129" s="54"/>
      <c r="OSD129" s="54"/>
      <c r="OSE129" s="54"/>
      <c r="OSF129" s="54"/>
      <c r="OSG129" s="54"/>
      <c r="OSH129" s="54"/>
      <c r="OSI129" s="54"/>
      <c r="OSJ129" s="54"/>
      <c r="OSK129" s="54"/>
      <c r="OSL129" s="54"/>
      <c r="OSM129" s="54"/>
      <c r="OSN129" s="54"/>
      <c r="OSO129" s="54"/>
      <c r="OSP129" s="54"/>
      <c r="OSQ129" s="54"/>
      <c r="OSR129" s="54"/>
      <c r="OSS129" s="54"/>
      <c r="OST129" s="54"/>
      <c r="OSU129" s="54"/>
      <c r="OSV129" s="54"/>
      <c r="OSW129" s="54"/>
      <c r="OSX129" s="54"/>
      <c r="OSY129" s="54"/>
      <c r="OSZ129" s="54"/>
      <c r="OTA129" s="54"/>
      <c r="OTB129" s="54"/>
      <c r="OTC129" s="54"/>
      <c r="OTD129" s="54"/>
      <c r="OTE129" s="54"/>
      <c r="OTF129" s="54"/>
      <c r="OTG129" s="54"/>
      <c r="OTH129" s="54"/>
      <c r="OTI129" s="54"/>
      <c r="OTJ129" s="54"/>
      <c r="OTK129" s="54"/>
      <c r="OTL129" s="54"/>
      <c r="OTM129" s="54"/>
      <c r="OTN129" s="54"/>
      <c r="OTO129" s="54"/>
      <c r="OTP129" s="54"/>
      <c r="OTQ129" s="54"/>
      <c r="OTR129" s="54"/>
      <c r="OTS129" s="54"/>
      <c r="OTT129" s="54"/>
      <c r="OTU129" s="54"/>
      <c r="OTV129" s="54"/>
      <c r="OTW129" s="54"/>
      <c r="OTX129" s="54"/>
      <c r="OTY129" s="54"/>
      <c r="OTZ129" s="54"/>
      <c r="OUA129" s="54"/>
      <c r="OUB129" s="54"/>
      <c r="OUC129" s="54"/>
      <c r="OUD129" s="54"/>
      <c r="OUE129" s="54"/>
      <c r="OUF129" s="54"/>
      <c r="OUG129" s="54"/>
      <c r="OUH129" s="54"/>
      <c r="OUI129" s="54"/>
      <c r="OUJ129" s="54"/>
      <c r="OUK129" s="54"/>
      <c r="OUL129" s="54"/>
      <c r="OUM129" s="54"/>
      <c r="OUN129" s="54"/>
      <c r="OUO129" s="54"/>
      <c r="OUP129" s="54"/>
      <c r="OUQ129" s="54"/>
      <c r="OUR129" s="54"/>
      <c r="OUS129" s="54"/>
      <c r="OUT129" s="54"/>
      <c r="OUU129" s="54"/>
      <c r="OUV129" s="54"/>
      <c r="OUW129" s="54"/>
      <c r="OUX129" s="54"/>
      <c r="OUY129" s="54"/>
      <c r="OUZ129" s="54"/>
      <c r="OVA129" s="54"/>
      <c r="OVB129" s="54"/>
      <c r="OVC129" s="54"/>
      <c r="OVD129" s="54"/>
      <c r="OVE129" s="54"/>
      <c r="OVF129" s="54"/>
      <c r="OVG129" s="54"/>
      <c r="OVH129" s="54"/>
      <c r="OVI129" s="54"/>
      <c r="OVJ129" s="54"/>
      <c r="OVK129" s="54"/>
      <c r="OVL129" s="54"/>
      <c r="OVM129" s="54"/>
      <c r="OVN129" s="54"/>
      <c r="OVO129" s="54"/>
      <c r="OVP129" s="54"/>
      <c r="OVQ129" s="54"/>
      <c r="OVR129" s="54"/>
      <c r="OVS129" s="54"/>
      <c r="OVT129" s="54"/>
      <c r="OVU129" s="54"/>
      <c r="OVV129" s="54"/>
      <c r="OVW129" s="54"/>
      <c r="OVX129" s="54"/>
      <c r="OVY129" s="54"/>
      <c r="OVZ129" s="54"/>
      <c r="OWA129" s="54"/>
      <c r="OWB129" s="54"/>
      <c r="OWC129" s="54"/>
      <c r="OWD129" s="54"/>
      <c r="OWE129" s="54"/>
      <c r="OWF129" s="54"/>
      <c r="OWG129" s="54"/>
      <c r="OWH129" s="54"/>
      <c r="OWI129" s="54"/>
      <c r="OWJ129" s="54"/>
      <c r="OWK129" s="54"/>
      <c r="OWL129" s="54"/>
      <c r="OWM129" s="54"/>
      <c r="OWN129" s="54"/>
      <c r="OWO129" s="54"/>
      <c r="OWP129" s="54"/>
      <c r="OWQ129" s="54"/>
      <c r="OWR129" s="54"/>
      <c r="OWS129" s="54"/>
      <c r="OWT129" s="54"/>
      <c r="OWU129" s="54"/>
      <c r="OWV129" s="54"/>
      <c r="OWW129" s="54"/>
      <c r="OWX129" s="54"/>
      <c r="OWY129" s="54"/>
      <c r="OWZ129" s="54"/>
      <c r="OXA129" s="54"/>
      <c r="OXB129" s="54"/>
      <c r="OXC129" s="54"/>
      <c r="OXD129" s="54"/>
      <c r="OXE129" s="54"/>
      <c r="OXF129" s="54"/>
      <c r="OXG129" s="54"/>
      <c r="OXH129" s="54"/>
      <c r="OXI129" s="54"/>
      <c r="OXJ129" s="54"/>
      <c r="OXK129" s="54"/>
      <c r="OXL129" s="54"/>
      <c r="OXM129" s="54"/>
      <c r="OXN129" s="54"/>
      <c r="OXO129" s="54"/>
      <c r="OXP129" s="54"/>
      <c r="OXQ129" s="54"/>
      <c r="OXR129" s="54"/>
      <c r="OXS129" s="54"/>
      <c r="OXT129" s="54"/>
      <c r="OXU129" s="54"/>
      <c r="OXV129" s="54"/>
      <c r="OXW129" s="54"/>
      <c r="OXX129" s="54"/>
      <c r="OXY129" s="54"/>
      <c r="OXZ129" s="54"/>
      <c r="OYA129" s="54"/>
      <c r="OYB129" s="54"/>
      <c r="OYC129" s="54"/>
      <c r="OYD129" s="54"/>
      <c r="OYE129" s="54"/>
      <c r="OYF129" s="54"/>
      <c r="OYG129" s="54"/>
      <c r="OYH129" s="54"/>
      <c r="OYI129" s="54"/>
      <c r="OYJ129" s="54"/>
      <c r="OYK129" s="54"/>
      <c r="OYL129" s="54"/>
      <c r="OYM129" s="54"/>
      <c r="OYN129" s="54"/>
      <c r="OYO129" s="54"/>
      <c r="OYP129" s="54"/>
      <c r="OYQ129" s="54"/>
      <c r="OYR129" s="54"/>
      <c r="OYS129" s="54"/>
      <c r="OYT129" s="54"/>
      <c r="OYU129" s="54"/>
      <c r="OYV129" s="54"/>
      <c r="OYW129" s="54"/>
      <c r="OYX129" s="54"/>
      <c r="OYY129" s="54"/>
      <c r="OYZ129" s="54"/>
      <c r="OZA129" s="54"/>
      <c r="OZB129" s="54"/>
      <c r="OZC129" s="54"/>
      <c r="OZD129" s="54"/>
      <c r="OZE129" s="54"/>
      <c r="OZF129" s="54"/>
      <c r="OZG129" s="54"/>
      <c r="OZH129" s="54"/>
      <c r="OZI129" s="54"/>
      <c r="OZJ129" s="54"/>
      <c r="OZK129" s="54"/>
      <c r="OZL129" s="54"/>
      <c r="OZM129" s="54"/>
      <c r="OZN129" s="54"/>
      <c r="OZO129" s="54"/>
      <c r="OZP129" s="54"/>
      <c r="OZQ129" s="54"/>
      <c r="OZR129" s="54"/>
      <c r="OZS129" s="54"/>
      <c r="OZT129" s="54"/>
      <c r="OZU129" s="54"/>
      <c r="OZV129" s="54"/>
      <c r="OZW129" s="54"/>
      <c r="OZX129" s="54"/>
      <c r="OZY129" s="54"/>
      <c r="OZZ129" s="54"/>
      <c r="PAA129" s="54"/>
      <c r="PAB129" s="54"/>
      <c r="PAC129" s="54"/>
      <c r="PAD129" s="54"/>
      <c r="PAE129" s="54"/>
      <c r="PAF129" s="54"/>
      <c r="PAG129" s="54"/>
      <c r="PAH129" s="54"/>
      <c r="PAI129" s="54"/>
      <c r="PAJ129" s="54"/>
      <c r="PAK129" s="54"/>
      <c r="PAL129" s="54"/>
      <c r="PAM129" s="54"/>
      <c r="PAN129" s="54"/>
      <c r="PAO129" s="54"/>
      <c r="PAP129" s="54"/>
      <c r="PAQ129" s="54"/>
      <c r="PAR129" s="54"/>
      <c r="PAS129" s="54"/>
      <c r="PAT129" s="54"/>
      <c r="PAU129" s="54"/>
      <c r="PAV129" s="54"/>
      <c r="PAW129" s="54"/>
      <c r="PAX129" s="54"/>
      <c r="PAY129" s="54"/>
      <c r="PAZ129" s="54"/>
      <c r="PBA129" s="54"/>
      <c r="PBB129" s="54"/>
      <c r="PBC129" s="54"/>
      <c r="PBD129" s="54"/>
      <c r="PBE129" s="54"/>
      <c r="PBF129" s="54"/>
      <c r="PBG129" s="54"/>
      <c r="PBH129" s="54"/>
      <c r="PBI129" s="54"/>
      <c r="PBJ129" s="54"/>
      <c r="PBK129" s="54"/>
      <c r="PBL129" s="54"/>
      <c r="PBM129" s="54"/>
      <c r="PBN129" s="54"/>
      <c r="PBO129" s="54"/>
      <c r="PBP129" s="54"/>
      <c r="PBQ129" s="54"/>
      <c r="PBR129" s="54"/>
      <c r="PBS129" s="54"/>
      <c r="PBT129" s="54"/>
      <c r="PBU129" s="54"/>
      <c r="PBV129" s="54"/>
      <c r="PBW129" s="54"/>
      <c r="PBX129" s="54"/>
      <c r="PBY129" s="54"/>
      <c r="PBZ129" s="54"/>
      <c r="PCA129" s="54"/>
      <c r="PCB129" s="54"/>
      <c r="PCC129" s="54"/>
      <c r="PCD129" s="54"/>
      <c r="PCE129" s="54"/>
      <c r="PCF129" s="54"/>
      <c r="PCG129" s="54"/>
      <c r="PCH129" s="54"/>
      <c r="PCI129" s="54"/>
      <c r="PCJ129" s="54"/>
      <c r="PCK129" s="54"/>
      <c r="PCL129" s="54"/>
      <c r="PCM129" s="54"/>
      <c r="PCN129" s="54"/>
      <c r="PCO129" s="54"/>
      <c r="PCP129" s="54"/>
      <c r="PCQ129" s="54"/>
      <c r="PCR129" s="54"/>
      <c r="PCS129" s="54"/>
      <c r="PCT129" s="54"/>
      <c r="PCU129" s="54"/>
      <c r="PCV129" s="54"/>
      <c r="PCW129" s="54"/>
      <c r="PCX129" s="54"/>
      <c r="PCY129" s="54"/>
      <c r="PCZ129" s="54"/>
      <c r="PDA129" s="54"/>
      <c r="PDB129" s="54"/>
      <c r="PDC129" s="54"/>
      <c r="PDD129" s="54"/>
      <c r="PDE129" s="54"/>
      <c r="PDF129" s="54"/>
      <c r="PDG129" s="54"/>
      <c r="PDH129" s="54"/>
      <c r="PDI129" s="54"/>
      <c r="PDJ129" s="54"/>
      <c r="PDK129" s="54"/>
      <c r="PDL129" s="54"/>
      <c r="PDM129" s="54"/>
      <c r="PDN129" s="54"/>
      <c r="PDO129" s="54"/>
      <c r="PDP129" s="54"/>
      <c r="PDQ129" s="54"/>
      <c r="PDR129" s="54"/>
      <c r="PDS129" s="54"/>
      <c r="PDT129" s="54"/>
      <c r="PDU129" s="54"/>
      <c r="PDV129" s="54"/>
      <c r="PDW129" s="54"/>
      <c r="PDX129" s="54"/>
      <c r="PDY129" s="54"/>
      <c r="PDZ129" s="54"/>
      <c r="PEA129" s="54"/>
      <c r="PEB129" s="54"/>
      <c r="PEC129" s="54"/>
      <c r="PED129" s="54"/>
      <c r="PEE129" s="54"/>
      <c r="PEF129" s="54"/>
      <c r="PEG129" s="54"/>
      <c r="PEH129" s="54"/>
      <c r="PEI129" s="54"/>
      <c r="PEJ129" s="54"/>
      <c r="PEK129" s="54"/>
      <c r="PEL129" s="54"/>
      <c r="PEM129" s="54"/>
      <c r="PEN129" s="54"/>
      <c r="PEO129" s="54"/>
      <c r="PEP129" s="54"/>
      <c r="PEQ129" s="54"/>
      <c r="PER129" s="54"/>
      <c r="PES129" s="54"/>
      <c r="PET129" s="54"/>
      <c r="PEU129" s="54"/>
      <c r="PEV129" s="54"/>
      <c r="PEW129" s="54"/>
      <c r="PEX129" s="54"/>
      <c r="PEY129" s="54"/>
      <c r="PEZ129" s="54"/>
      <c r="PFA129" s="54"/>
      <c r="PFB129" s="54"/>
      <c r="PFC129" s="54"/>
      <c r="PFD129" s="54"/>
      <c r="PFE129" s="54"/>
      <c r="PFF129" s="54"/>
      <c r="PFG129" s="54"/>
      <c r="PFH129" s="54"/>
      <c r="PFI129" s="54"/>
      <c r="PFJ129" s="54"/>
      <c r="PFK129" s="54"/>
      <c r="PFL129" s="54"/>
      <c r="PFM129" s="54"/>
      <c r="PFN129" s="54"/>
      <c r="PFO129" s="54"/>
      <c r="PFP129" s="54"/>
      <c r="PFQ129" s="54"/>
      <c r="PFR129" s="54"/>
      <c r="PFS129" s="54"/>
      <c r="PFT129" s="54"/>
      <c r="PFU129" s="54"/>
      <c r="PFV129" s="54"/>
      <c r="PFW129" s="54"/>
      <c r="PFX129" s="54"/>
      <c r="PFY129" s="54"/>
      <c r="PFZ129" s="54"/>
      <c r="PGA129" s="54"/>
      <c r="PGB129" s="54"/>
      <c r="PGC129" s="54"/>
      <c r="PGD129" s="54"/>
      <c r="PGE129" s="54"/>
      <c r="PGF129" s="54"/>
      <c r="PGG129" s="54"/>
      <c r="PGH129" s="54"/>
      <c r="PGI129" s="54"/>
      <c r="PGJ129" s="54"/>
      <c r="PGK129" s="54"/>
      <c r="PGL129" s="54"/>
      <c r="PGM129" s="54"/>
      <c r="PGN129" s="54"/>
      <c r="PGO129" s="54"/>
      <c r="PGP129" s="54"/>
      <c r="PGQ129" s="54"/>
      <c r="PGR129" s="54"/>
      <c r="PGS129" s="54"/>
      <c r="PGT129" s="54"/>
      <c r="PGU129" s="54"/>
      <c r="PGV129" s="54"/>
      <c r="PGW129" s="54"/>
      <c r="PGX129" s="54"/>
      <c r="PGY129" s="54"/>
      <c r="PGZ129" s="54"/>
      <c r="PHA129" s="54"/>
      <c r="PHB129" s="54"/>
      <c r="PHC129" s="54"/>
      <c r="PHD129" s="54"/>
      <c r="PHE129" s="54"/>
      <c r="PHF129" s="54"/>
      <c r="PHG129" s="54"/>
      <c r="PHH129" s="54"/>
      <c r="PHI129" s="54"/>
      <c r="PHJ129" s="54"/>
      <c r="PHK129" s="54"/>
      <c r="PHL129" s="54"/>
      <c r="PHM129" s="54"/>
      <c r="PHN129" s="54"/>
      <c r="PHO129" s="54"/>
      <c r="PHP129" s="54"/>
      <c r="PHQ129" s="54"/>
      <c r="PHR129" s="54"/>
      <c r="PHS129" s="54"/>
      <c r="PHT129" s="54"/>
      <c r="PHU129" s="54"/>
      <c r="PHV129" s="54"/>
      <c r="PHW129" s="54"/>
      <c r="PHX129" s="54"/>
      <c r="PHY129" s="54"/>
      <c r="PHZ129" s="54"/>
      <c r="PIA129" s="54"/>
      <c r="PIB129" s="54"/>
      <c r="PIC129" s="54"/>
      <c r="PID129" s="54"/>
      <c r="PIE129" s="54"/>
      <c r="PIF129" s="54"/>
      <c r="PIG129" s="54"/>
      <c r="PIH129" s="54"/>
      <c r="PII129" s="54"/>
      <c r="PIJ129" s="54"/>
      <c r="PIK129" s="54"/>
      <c r="PIL129" s="54"/>
      <c r="PIM129" s="54"/>
      <c r="PIN129" s="54"/>
      <c r="PIO129" s="54"/>
      <c r="PIP129" s="54"/>
      <c r="PIQ129" s="54"/>
      <c r="PIR129" s="54"/>
      <c r="PIS129" s="54"/>
      <c r="PIT129" s="54"/>
      <c r="PIU129" s="54"/>
      <c r="PIV129" s="54"/>
      <c r="PIW129" s="54"/>
      <c r="PIX129" s="54"/>
      <c r="PIY129" s="54"/>
      <c r="PIZ129" s="54"/>
      <c r="PJA129" s="54"/>
      <c r="PJB129" s="54"/>
      <c r="PJC129" s="54"/>
      <c r="PJD129" s="54"/>
      <c r="PJE129" s="54"/>
      <c r="PJF129" s="54"/>
      <c r="PJG129" s="54"/>
      <c r="PJH129" s="54"/>
      <c r="PJI129" s="54"/>
      <c r="PJJ129" s="54"/>
      <c r="PJK129" s="54"/>
      <c r="PJL129" s="54"/>
      <c r="PJM129" s="54"/>
      <c r="PJN129" s="54"/>
      <c r="PJO129" s="54"/>
      <c r="PJP129" s="54"/>
      <c r="PJQ129" s="54"/>
      <c r="PJR129" s="54"/>
      <c r="PJS129" s="54"/>
      <c r="PJT129" s="54"/>
      <c r="PJU129" s="54"/>
      <c r="PJV129" s="54"/>
      <c r="PJW129" s="54"/>
      <c r="PJX129" s="54"/>
      <c r="PJY129" s="54"/>
      <c r="PJZ129" s="54"/>
      <c r="PKA129" s="54"/>
      <c r="PKB129" s="54"/>
      <c r="PKC129" s="54"/>
      <c r="PKD129" s="54"/>
      <c r="PKE129" s="54"/>
      <c r="PKF129" s="54"/>
      <c r="PKG129" s="54"/>
      <c r="PKH129" s="54"/>
      <c r="PKI129" s="54"/>
      <c r="PKJ129" s="54"/>
      <c r="PKK129" s="54"/>
      <c r="PKL129" s="54"/>
      <c r="PKM129" s="54"/>
      <c r="PKN129" s="54"/>
      <c r="PKO129" s="54"/>
      <c r="PKP129" s="54"/>
      <c r="PKQ129" s="54"/>
      <c r="PKR129" s="54"/>
      <c r="PKS129" s="54"/>
      <c r="PKT129" s="54"/>
      <c r="PKU129" s="54"/>
      <c r="PKV129" s="54"/>
      <c r="PKW129" s="54"/>
      <c r="PKX129" s="54"/>
      <c r="PKY129" s="54"/>
      <c r="PKZ129" s="54"/>
      <c r="PLA129" s="54"/>
      <c r="PLB129" s="54"/>
      <c r="PLC129" s="54"/>
      <c r="PLD129" s="54"/>
      <c r="PLE129" s="54"/>
      <c r="PLF129" s="54"/>
      <c r="PLG129" s="54"/>
      <c r="PLH129" s="54"/>
      <c r="PLI129" s="54"/>
      <c r="PLJ129" s="54"/>
      <c r="PLK129" s="54"/>
      <c r="PLL129" s="54"/>
      <c r="PLM129" s="54"/>
      <c r="PLN129" s="54"/>
      <c r="PLO129" s="54"/>
      <c r="PLP129" s="54"/>
      <c r="PLQ129" s="54"/>
      <c r="PLR129" s="54"/>
      <c r="PLS129" s="54"/>
      <c r="PLT129" s="54"/>
      <c r="PLU129" s="54"/>
      <c r="PLV129" s="54"/>
      <c r="PLW129" s="54"/>
      <c r="PLX129" s="54"/>
      <c r="PLY129" s="54"/>
      <c r="PLZ129" s="54"/>
      <c r="PMA129" s="54"/>
      <c r="PMB129" s="54"/>
      <c r="PMC129" s="54"/>
      <c r="PMD129" s="54"/>
      <c r="PME129" s="54"/>
      <c r="PMF129" s="54"/>
      <c r="PMG129" s="54"/>
      <c r="PMH129" s="54"/>
      <c r="PMI129" s="54"/>
      <c r="PMJ129" s="54"/>
      <c r="PMK129" s="54"/>
      <c r="PML129" s="54"/>
      <c r="PMM129" s="54"/>
      <c r="PMN129" s="54"/>
      <c r="PMO129" s="54"/>
      <c r="PMP129" s="54"/>
      <c r="PMQ129" s="54"/>
      <c r="PMR129" s="54"/>
      <c r="PMS129" s="54"/>
      <c r="PMT129" s="54"/>
      <c r="PMU129" s="54"/>
      <c r="PMV129" s="54"/>
      <c r="PMW129" s="54"/>
      <c r="PMX129" s="54"/>
      <c r="PMY129" s="54"/>
      <c r="PMZ129" s="54"/>
      <c r="PNA129" s="54"/>
      <c r="PNB129" s="54"/>
      <c r="PNC129" s="54"/>
      <c r="PND129" s="54"/>
      <c r="PNE129" s="54"/>
      <c r="PNF129" s="54"/>
      <c r="PNG129" s="54"/>
      <c r="PNH129" s="54"/>
      <c r="PNI129" s="54"/>
      <c r="PNJ129" s="54"/>
      <c r="PNK129" s="54"/>
      <c r="PNL129" s="54"/>
      <c r="PNM129" s="54"/>
      <c r="PNN129" s="54"/>
      <c r="PNO129" s="54"/>
      <c r="PNP129" s="54"/>
      <c r="PNQ129" s="54"/>
      <c r="PNR129" s="54"/>
      <c r="PNS129" s="54"/>
      <c r="PNT129" s="54"/>
      <c r="PNU129" s="54"/>
      <c r="PNV129" s="54"/>
      <c r="PNW129" s="54"/>
      <c r="PNX129" s="54"/>
      <c r="PNY129" s="54"/>
      <c r="PNZ129" s="54"/>
      <c r="POA129" s="54"/>
      <c r="POB129" s="54"/>
      <c r="POC129" s="54"/>
      <c r="POD129" s="54"/>
      <c r="POE129" s="54"/>
      <c r="POF129" s="54"/>
      <c r="POG129" s="54"/>
      <c r="POH129" s="54"/>
      <c r="POI129" s="54"/>
      <c r="POJ129" s="54"/>
      <c r="POK129" s="54"/>
      <c r="POL129" s="54"/>
      <c r="POM129" s="54"/>
      <c r="PON129" s="54"/>
      <c r="POO129" s="54"/>
      <c r="POP129" s="54"/>
      <c r="POQ129" s="54"/>
      <c r="POR129" s="54"/>
      <c r="POS129" s="54"/>
      <c r="POT129" s="54"/>
      <c r="POU129" s="54"/>
      <c r="POV129" s="54"/>
      <c r="POW129" s="54"/>
      <c r="POX129" s="54"/>
      <c r="POY129" s="54"/>
      <c r="POZ129" s="54"/>
      <c r="PPA129" s="54"/>
      <c r="PPB129" s="54"/>
      <c r="PPC129" s="54"/>
      <c r="PPD129" s="54"/>
      <c r="PPE129" s="54"/>
      <c r="PPF129" s="54"/>
      <c r="PPG129" s="54"/>
      <c r="PPH129" s="54"/>
      <c r="PPI129" s="54"/>
      <c r="PPJ129" s="54"/>
      <c r="PPK129" s="54"/>
      <c r="PPL129" s="54"/>
      <c r="PPM129" s="54"/>
      <c r="PPN129" s="54"/>
      <c r="PPO129" s="54"/>
      <c r="PPP129" s="54"/>
      <c r="PPQ129" s="54"/>
      <c r="PPR129" s="54"/>
      <c r="PPS129" s="54"/>
      <c r="PPT129" s="54"/>
      <c r="PPU129" s="54"/>
      <c r="PPV129" s="54"/>
      <c r="PPW129" s="54"/>
      <c r="PPX129" s="54"/>
      <c r="PPY129" s="54"/>
      <c r="PPZ129" s="54"/>
      <c r="PQA129" s="54"/>
      <c r="PQB129" s="54"/>
      <c r="PQC129" s="54"/>
      <c r="PQD129" s="54"/>
      <c r="PQE129" s="54"/>
      <c r="PQF129" s="54"/>
      <c r="PQG129" s="54"/>
      <c r="PQH129" s="54"/>
      <c r="PQI129" s="54"/>
      <c r="PQJ129" s="54"/>
      <c r="PQK129" s="54"/>
      <c r="PQL129" s="54"/>
      <c r="PQM129" s="54"/>
      <c r="PQN129" s="54"/>
      <c r="PQO129" s="54"/>
      <c r="PQP129" s="54"/>
      <c r="PQQ129" s="54"/>
      <c r="PQR129" s="54"/>
      <c r="PQS129" s="54"/>
      <c r="PQT129" s="54"/>
      <c r="PQU129" s="54"/>
      <c r="PQV129" s="54"/>
      <c r="PQW129" s="54"/>
      <c r="PQX129" s="54"/>
      <c r="PQY129" s="54"/>
      <c r="PQZ129" s="54"/>
      <c r="PRA129" s="54"/>
      <c r="PRB129" s="54"/>
      <c r="PRC129" s="54"/>
      <c r="PRD129" s="54"/>
      <c r="PRE129" s="54"/>
      <c r="PRF129" s="54"/>
      <c r="PRG129" s="54"/>
      <c r="PRH129" s="54"/>
      <c r="PRI129" s="54"/>
      <c r="PRJ129" s="54"/>
      <c r="PRK129" s="54"/>
      <c r="PRL129" s="54"/>
      <c r="PRM129" s="54"/>
      <c r="PRN129" s="54"/>
      <c r="PRO129" s="54"/>
      <c r="PRP129" s="54"/>
      <c r="PRQ129" s="54"/>
      <c r="PRR129" s="54"/>
      <c r="PRS129" s="54"/>
      <c r="PRT129" s="54"/>
      <c r="PRU129" s="54"/>
      <c r="PRV129" s="54"/>
      <c r="PRW129" s="54"/>
      <c r="PRX129" s="54"/>
      <c r="PRY129" s="54"/>
      <c r="PRZ129" s="54"/>
      <c r="PSA129" s="54"/>
      <c r="PSB129" s="54"/>
      <c r="PSC129" s="54"/>
      <c r="PSD129" s="54"/>
      <c r="PSE129" s="54"/>
      <c r="PSF129" s="54"/>
      <c r="PSG129" s="54"/>
      <c r="PSH129" s="54"/>
      <c r="PSI129" s="54"/>
      <c r="PSJ129" s="54"/>
      <c r="PSK129" s="54"/>
      <c r="PSL129" s="54"/>
      <c r="PSM129" s="54"/>
      <c r="PSN129" s="54"/>
      <c r="PSO129" s="54"/>
      <c r="PSP129" s="54"/>
      <c r="PSQ129" s="54"/>
      <c r="PSR129" s="54"/>
      <c r="PSS129" s="54"/>
      <c r="PST129" s="54"/>
      <c r="PSU129" s="54"/>
      <c r="PSV129" s="54"/>
      <c r="PSW129" s="54"/>
      <c r="PSX129" s="54"/>
      <c r="PSY129" s="54"/>
      <c r="PSZ129" s="54"/>
      <c r="PTA129" s="54"/>
      <c r="PTB129" s="54"/>
      <c r="PTC129" s="54"/>
      <c r="PTD129" s="54"/>
      <c r="PTE129" s="54"/>
      <c r="PTF129" s="54"/>
      <c r="PTG129" s="54"/>
      <c r="PTH129" s="54"/>
      <c r="PTI129" s="54"/>
      <c r="PTJ129" s="54"/>
      <c r="PTK129" s="54"/>
      <c r="PTL129" s="54"/>
      <c r="PTM129" s="54"/>
      <c r="PTN129" s="54"/>
      <c r="PTO129" s="54"/>
      <c r="PTP129" s="54"/>
      <c r="PTQ129" s="54"/>
      <c r="PTR129" s="54"/>
      <c r="PTS129" s="54"/>
      <c r="PTT129" s="54"/>
      <c r="PTU129" s="54"/>
      <c r="PTV129" s="54"/>
      <c r="PTW129" s="54"/>
      <c r="PTX129" s="54"/>
      <c r="PTY129" s="54"/>
      <c r="PTZ129" s="54"/>
      <c r="PUA129" s="54"/>
      <c r="PUB129" s="54"/>
      <c r="PUC129" s="54"/>
      <c r="PUD129" s="54"/>
      <c r="PUE129" s="54"/>
      <c r="PUF129" s="54"/>
      <c r="PUG129" s="54"/>
      <c r="PUH129" s="54"/>
      <c r="PUI129" s="54"/>
      <c r="PUJ129" s="54"/>
      <c r="PUK129" s="54"/>
      <c r="PUL129" s="54"/>
      <c r="PUM129" s="54"/>
      <c r="PUN129" s="54"/>
      <c r="PUO129" s="54"/>
      <c r="PUP129" s="54"/>
      <c r="PUQ129" s="54"/>
      <c r="PUR129" s="54"/>
      <c r="PUS129" s="54"/>
      <c r="PUT129" s="54"/>
      <c r="PUU129" s="54"/>
      <c r="PUV129" s="54"/>
      <c r="PUW129" s="54"/>
      <c r="PUX129" s="54"/>
      <c r="PUY129" s="54"/>
      <c r="PUZ129" s="54"/>
      <c r="PVA129" s="54"/>
      <c r="PVB129" s="54"/>
      <c r="PVC129" s="54"/>
      <c r="PVD129" s="54"/>
      <c r="PVE129" s="54"/>
      <c r="PVF129" s="54"/>
      <c r="PVG129" s="54"/>
      <c r="PVH129" s="54"/>
      <c r="PVI129" s="54"/>
      <c r="PVJ129" s="54"/>
      <c r="PVK129" s="54"/>
      <c r="PVL129" s="54"/>
      <c r="PVM129" s="54"/>
      <c r="PVN129" s="54"/>
      <c r="PVO129" s="54"/>
      <c r="PVP129" s="54"/>
      <c r="PVQ129" s="54"/>
      <c r="PVR129" s="54"/>
      <c r="PVS129" s="54"/>
      <c r="PVT129" s="54"/>
      <c r="PVU129" s="54"/>
      <c r="PVV129" s="54"/>
      <c r="PVW129" s="54"/>
      <c r="PVX129" s="54"/>
      <c r="PVY129" s="54"/>
      <c r="PVZ129" s="54"/>
      <c r="PWA129" s="54"/>
      <c r="PWB129" s="54"/>
      <c r="PWC129" s="54"/>
      <c r="PWD129" s="54"/>
      <c r="PWE129" s="54"/>
      <c r="PWF129" s="54"/>
      <c r="PWG129" s="54"/>
      <c r="PWH129" s="54"/>
      <c r="PWI129" s="54"/>
      <c r="PWJ129" s="54"/>
      <c r="PWK129" s="54"/>
      <c r="PWL129" s="54"/>
      <c r="PWM129" s="54"/>
      <c r="PWN129" s="54"/>
      <c r="PWO129" s="54"/>
      <c r="PWP129" s="54"/>
      <c r="PWQ129" s="54"/>
      <c r="PWR129" s="54"/>
      <c r="PWS129" s="54"/>
      <c r="PWT129" s="54"/>
      <c r="PWU129" s="54"/>
      <c r="PWV129" s="54"/>
      <c r="PWW129" s="54"/>
      <c r="PWX129" s="54"/>
      <c r="PWY129" s="54"/>
      <c r="PWZ129" s="54"/>
      <c r="PXA129" s="54"/>
      <c r="PXB129" s="54"/>
      <c r="PXC129" s="54"/>
      <c r="PXD129" s="54"/>
      <c r="PXE129" s="54"/>
      <c r="PXF129" s="54"/>
      <c r="PXG129" s="54"/>
      <c r="PXH129" s="54"/>
      <c r="PXI129" s="54"/>
      <c r="PXJ129" s="54"/>
      <c r="PXK129" s="54"/>
      <c r="PXL129" s="54"/>
      <c r="PXM129" s="54"/>
      <c r="PXN129" s="54"/>
      <c r="PXO129" s="54"/>
      <c r="PXP129" s="54"/>
      <c r="PXQ129" s="54"/>
      <c r="PXR129" s="54"/>
      <c r="PXS129" s="54"/>
      <c r="PXT129" s="54"/>
      <c r="PXU129" s="54"/>
      <c r="PXV129" s="54"/>
      <c r="PXW129" s="54"/>
      <c r="PXX129" s="54"/>
      <c r="PXY129" s="54"/>
      <c r="PXZ129" s="54"/>
      <c r="PYA129" s="54"/>
      <c r="PYB129" s="54"/>
      <c r="PYC129" s="54"/>
      <c r="PYD129" s="54"/>
      <c r="PYE129" s="54"/>
      <c r="PYF129" s="54"/>
      <c r="PYG129" s="54"/>
      <c r="PYH129" s="54"/>
      <c r="PYI129" s="54"/>
      <c r="PYJ129" s="54"/>
      <c r="PYK129" s="54"/>
      <c r="PYL129" s="54"/>
      <c r="PYM129" s="54"/>
      <c r="PYN129" s="54"/>
      <c r="PYO129" s="54"/>
      <c r="PYP129" s="54"/>
      <c r="PYQ129" s="54"/>
      <c r="PYR129" s="54"/>
      <c r="PYS129" s="54"/>
      <c r="PYT129" s="54"/>
      <c r="PYU129" s="54"/>
      <c r="PYV129" s="54"/>
      <c r="PYW129" s="54"/>
      <c r="PYX129" s="54"/>
      <c r="PYY129" s="54"/>
      <c r="PYZ129" s="54"/>
      <c r="PZA129" s="54"/>
      <c r="PZB129" s="54"/>
      <c r="PZC129" s="54"/>
      <c r="PZD129" s="54"/>
      <c r="PZE129" s="54"/>
      <c r="PZF129" s="54"/>
      <c r="PZG129" s="54"/>
      <c r="PZH129" s="54"/>
      <c r="PZI129" s="54"/>
      <c r="PZJ129" s="54"/>
      <c r="PZK129" s="54"/>
      <c r="PZL129" s="54"/>
      <c r="PZM129" s="54"/>
      <c r="PZN129" s="54"/>
      <c r="PZO129" s="54"/>
      <c r="PZP129" s="54"/>
      <c r="PZQ129" s="54"/>
      <c r="PZR129" s="54"/>
      <c r="PZS129" s="54"/>
      <c r="PZT129" s="54"/>
      <c r="PZU129" s="54"/>
      <c r="PZV129" s="54"/>
      <c r="PZW129" s="54"/>
      <c r="PZX129" s="54"/>
      <c r="PZY129" s="54"/>
      <c r="PZZ129" s="54"/>
      <c r="QAA129" s="54"/>
      <c r="QAB129" s="54"/>
      <c r="QAC129" s="54"/>
      <c r="QAD129" s="54"/>
      <c r="QAE129" s="54"/>
      <c r="QAF129" s="54"/>
      <c r="QAG129" s="54"/>
      <c r="QAH129" s="54"/>
      <c r="QAI129" s="54"/>
      <c r="QAJ129" s="54"/>
      <c r="QAK129" s="54"/>
      <c r="QAL129" s="54"/>
      <c r="QAM129" s="54"/>
      <c r="QAN129" s="54"/>
      <c r="QAO129" s="54"/>
      <c r="QAP129" s="54"/>
      <c r="QAQ129" s="54"/>
      <c r="QAR129" s="54"/>
      <c r="QAS129" s="54"/>
      <c r="QAT129" s="54"/>
      <c r="QAU129" s="54"/>
      <c r="QAV129" s="54"/>
      <c r="QAW129" s="54"/>
      <c r="QAX129" s="54"/>
      <c r="QAY129" s="54"/>
      <c r="QAZ129" s="54"/>
      <c r="QBA129" s="54"/>
      <c r="QBB129" s="54"/>
      <c r="QBC129" s="54"/>
      <c r="QBD129" s="54"/>
      <c r="QBE129" s="54"/>
      <c r="QBF129" s="54"/>
      <c r="QBG129" s="54"/>
      <c r="QBH129" s="54"/>
      <c r="QBI129" s="54"/>
      <c r="QBJ129" s="54"/>
      <c r="QBK129" s="54"/>
      <c r="QBL129" s="54"/>
      <c r="QBM129" s="54"/>
      <c r="QBN129" s="54"/>
      <c r="QBO129" s="54"/>
      <c r="QBP129" s="54"/>
      <c r="QBQ129" s="54"/>
      <c r="QBR129" s="54"/>
      <c r="QBS129" s="54"/>
      <c r="QBT129" s="54"/>
      <c r="QBU129" s="54"/>
      <c r="QBV129" s="54"/>
      <c r="QBW129" s="54"/>
      <c r="QBX129" s="54"/>
      <c r="QBY129" s="54"/>
      <c r="QBZ129" s="54"/>
      <c r="QCA129" s="54"/>
      <c r="QCB129" s="54"/>
      <c r="QCC129" s="54"/>
      <c r="QCD129" s="54"/>
      <c r="QCE129" s="54"/>
      <c r="QCF129" s="54"/>
      <c r="QCG129" s="54"/>
      <c r="QCH129" s="54"/>
      <c r="QCI129" s="54"/>
      <c r="QCJ129" s="54"/>
      <c r="QCK129" s="54"/>
      <c r="QCL129" s="54"/>
      <c r="QCM129" s="54"/>
      <c r="QCN129" s="54"/>
      <c r="QCO129" s="54"/>
      <c r="QCP129" s="54"/>
      <c r="QCQ129" s="54"/>
      <c r="QCR129" s="54"/>
      <c r="QCS129" s="54"/>
      <c r="QCT129" s="54"/>
      <c r="QCU129" s="54"/>
      <c r="QCV129" s="54"/>
      <c r="QCW129" s="54"/>
      <c r="QCX129" s="54"/>
      <c r="QCY129" s="54"/>
      <c r="QCZ129" s="54"/>
      <c r="QDA129" s="54"/>
      <c r="QDB129" s="54"/>
      <c r="QDC129" s="54"/>
      <c r="QDD129" s="54"/>
      <c r="QDE129" s="54"/>
      <c r="QDF129" s="54"/>
      <c r="QDG129" s="54"/>
      <c r="QDH129" s="54"/>
      <c r="QDI129" s="54"/>
      <c r="QDJ129" s="54"/>
      <c r="QDK129" s="54"/>
      <c r="QDL129" s="54"/>
      <c r="QDM129" s="54"/>
      <c r="QDN129" s="54"/>
      <c r="QDO129" s="54"/>
      <c r="QDP129" s="54"/>
      <c r="QDQ129" s="54"/>
      <c r="QDR129" s="54"/>
      <c r="QDS129" s="54"/>
      <c r="QDT129" s="54"/>
      <c r="QDU129" s="54"/>
      <c r="QDV129" s="54"/>
      <c r="QDW129" s="54"/>
      <c r="QDX129" s="54"/>
      <c r="QDY129" s="54"/>
      <c r="QDZ129" s="54"/>
      <c r="QEA129" s="54"/>
      <c r="QEB129" s="54"/>
      <c r="QEC129" s="54"/>
      <c r="QED129" s="54"/>
      <c r="QEE129" s="54"/>
      <c r="QEF129" s="54"/>
      <c r="QEG129" s="54"/>
      <c r="QEH129" s="54"/>
      <c r="QEI129" s="54"/>
      <c r="QEJ129" s="54"/>
      <c r="QEK129" s="54"/>
      <c r="QEL129" s="54"/>
      <c r="QEM129" s="54"/>
      <c r="QEN129" s="54"/>
      <c r="QEO129" s="54"/>
      <c r="QEP129" s="54"/>
      <c r="QEQ129" s="54"/>
      <c r="QER129" s="54"/>
      <c r="QES129" s="54"/>
      <c r="QET129" s="54"/>
      <c r="QEU129" s="54"/>
      <c r="QEV129" s="54"/>
      <c r="QEW129" s="54"/>
      <c r="QEX129" s="54"/>
      <c r="QEY129" s="54"/>
      <c r="QEZ129" s="54"/>
      <c r="QFA129" s="54"/>
      <c r="QFB129" s="54"/>
      <c r="QFC129" s="54"/>
      <c r="QFD129" s="54"/>
      <c r="QFE129" s="54"/>
      <c r="QFF129" s="54"/>
      <c r="QFG129" s="54"/>
      <c r="QFH129" s="54"/>
      <c r="QFI129" s="54"/>
      <c r="QFJ129" s="54"/>
      <c r="QFK129" s="54"/>
      <c r="QFL129" s="54"/>
      <c r="QFM129" s="54"/>
      <c r="QFN129" s="54"/>
      <c r="QFO129" s="54"/>
      <c r="QFP129" s="54"/>
      <c r="QFQ129" s="54"/>
      <c r="QFR129" s="54"/>
      <c r="QFS129" s="54"/>
      <c r="QFT129" s="54"/>
      <c r="QFU129" s="54"/>
      <c r="QFV129" s="54"/>
      <c r="QFW129" s="54"/>
      <c r="QFX129" s="54"/>
      <c r="QFY129" s="54"/>
      <c r="QFZ129" s="54"/>
      <c r="QGA129" s="54"/>
      <c r="QGB129" s="54"/>
      <c r="QGC129" s="54"/>
      <c r="QGD129" s="54"/>
      <c r="QGE129" s="54"/>
      <c r="QGF129" s="54"/>
      <c r="QGG129" s="54"/>
      <c r="QGH129" s="54"/>
      <c r="QGI129" s="54"/>
      <c r="QGJ129" s="54"/>
      <c r="QGK129" s="54"/>
      <c r="QGL129" s="54"/>
      <c r="QGM129" s="54"/>
      <c r="QGN129" s="54"/>
      <c r="QGO129" s="54"/>
      <c r="QGP129" s="54"/>
      <c r="QGQ129" s="54"/>
      <c r="QGR129" s="54"/>
      <c r="QGS129" s="54"/>
      <c r="QGT129" s="54"/>
      <c r="QGU129" s="54"/>
      <c r="QGV129" s="54"/>
      <c r="QGW129" s="54"/>
      <c r="QGX129" s="54"/>
      <c r="QGY129" s="54"/>
      <c r="QGZ129" s="54"/>
      <c r="QHA129" s="54"/>
      <c r="QHB129" s="54"/>
      <c r="QHC129" s="54"/>
      <c r="QHD129" s="54"/>
      <c r="QHE129" s="54"/>
      <c r="QHF129" s="54"/>
      <c r="QHG129" s="54"/>
      <c r="QHH129" s="54"/>
      <c r="QHI129" s="54"/>
      <c r="QHJ129" s="54"/>
      <c r="QHK129" s="54"/>
      <c r="QHL129" s="54"/>
      <c r="QHM129" s="54"/>
      <c r="QHN129" s="54"/>
      <c r="QHO129" s="54"/>
      <c r="QHP129" s="54"/>
      <c r="QHQ129" s="54"/>
      <c r="QHR129" s="54"/>
      <c r="QHS129" s="54"/>
      <c r="QHT129" s="54"/>
      <c r="QHU129" s="54"/>
      <c r="QHV129" s="54"/>
      <c r="QHW129" s="54"/>
      <c r="QHX129" s="54"/>
      <c r="QHY129" s="54"/>
      <c r="QHZ129" s="54"/>
      <c r="QIA129" s="54"/>
      <c r="QIB129" s="54"/>
      <c r="QIC129" s="54"/>
      <c r="QID129" s="54"/>
      <c r="QIE129" s="54"/>
      <c r="QIF129" s="54"/>
      <c r="QIG129" s="54"/>
      <c r="QIH129" s="54"/>
      <c r="QII129" s="54"/>
      <c r="QIJ129" s="54"/>
      <c r="QIK129" s="54"/>
      <c r="QIL129" s="54"/>
      <c r="QIM129" s="54"/>
      <c r="QIN129" s="54"/>
      <c r="QIO129" s="54"/>
      <c r="QIP129" s="54"/>
      <c r="QIQ129" s="54"/>
      <c r="QIR129" s="54"/>
      <c r="QIS129" s="54"/>
      <c r="QIT129" s="54"/>
      <c r="QIU129" s="54"/>
      <c r="QIV129" s="54"/>
      <c r="QIW129" s="54"/>
      <c r="QIX129" s="54"/>
      <c r="QIY129" s="54"/>
      <c r="QIZ129" s="54"/>
      <c r="QJA129" s="54"/>
      <c r="QJB129" s="54"/>
      <c r="QJC129" s="54"/>
      <c r="QJD129" s="54"/>
      <c r="QJE129" s="54"/>
      <c r="QJF129" s="54"/>
      <c r="QJG129" s="54"/>
      <c r="QJH129" s="54"/>
      <c r="QJI129" s="54"/>
      <c r="QJJ129" s="54"/>
      <c r="QJK129" s="54"/>
      <c r="QJL129" s="54"/>
      <c r="QJM129" s="54"/>
      <c r="QJN129" s="54"/>
      <c r="QJO129" s="54"/>
      <c r="QJP129" s="54"/>
      <c r="QJQ129" s="54"/>
      <c r="QJR129" s="54"/>
      <c r="QJS129" s="54"/>
      <c r="QJT129" s="54"/>
      <c r="QJU129" s="54"/>
      <c r="QJV129" s="54"/>
      <c r="QJW129" s="54"/>
      <c r="QJX129" s="54"/>
      <c r="QJY129" s="54"/>
      <c r="QJZ129" s="54"/>
      <c r="QKA129" s="54"/>
      <c r="QKB129" s="54"/>
      <c r="QKC129" s="54"/>
      <c r="QKD129" s="54"/>
      <c r="QKE129" s="54"/>
      <c r="QKF129" s="54"/>
      <c r="QKG129" s="54"/>
      <c r="QKH129" s="54"/>
      <c r="QKI129" s="54"/>
      <c r="QKJ129" s="54"/>
      <c r="QKK129" s="54"/>
      <c r="QKL129" s="54"/>
      <c r="QKM129" s="54"/>
      <c r="QKN129" s="54"/>
      <c r="QKO129" s="54"/>
      <c r="QKP129" s="54"/>
      <c r="QKQ129" s="54"/>
      <c r="QKR129" s="54"/>
      <c r="QKS129" s="54"/>
      <c r="QKT129" s="54"/>
      <c r="QKU129" s="54"/>
      <c r="QKV129" s="54"/>
      <c r="QKW129" s="54"/>
      <c r="QKX129" s="54"/>
      <c r="QKY129" s="54"/>
      <c r="QKZ129" s="54"/>
      <c r="QLA129" s="54"/>
      <c r="QLB129" s="54"/>
      <c r="QLC129" s="54"/>
      <c r="QLD129" s="54"/>
      <c r="QLE129" s="54"/>
      <c r="QLF129" s="54"/>
      <c r="QLG129" s="54"/>
      <c r="QLH129" s="54"/>
      <c r="QLI129" s="54"/>
      <c r="QLJ129" s="54"/>
      <c r="QLK129" s="54"/>
      <c r="QLL129" s="54"/>
      <c r="QLM129" s="54"/>
      <c r="QLN129" s="54"/>
      <c r="QLO129" s="54"/>
      <c r="QLP129" s="54"/>
      <c r="QLQ129" s="54"/>
      <c r="QLR129" s="54"/>
      <c r="QLS129" s="54"/>
      <c r="QLT129" s="54"/>
      <c r="QLU129" s="54"/>
      <c r="QLV129" s="54"/>
      <c r="QLW129" s="54"/>
      <c r="QLX129" s="54"/>
      <c r="QLY129" s="54"/>
      <c r="QLZ129" s="54"/>
      <c r="QMA129" s="54"/>
      <c r="QMB129" s="54"/>
      <c r="QMC129" s="54"/>
      <c r="QMD129" s="54"/>
      <c r="QME129" s="54"/>
      <c r="QMF129" s="54"/>
      <c r="QMG129" s="54"/>
      <c r="QMH129" s="54"/>
      <c r="QMI129" s="54"/>
      <c r="QMJ129" s="54"/>
      <c r="QMK129" s="54"/>
      <c r="QML129" s="54"/>
      <c r="QMM129" s="54"/>
      <c r="QMN129" s="54"/>
      <c r="QMO129" s="54"/>
      <c r="QMP129" s="54"/>
      <c r="QMQ129" s="54"/>
      <c r="QMR129" s="54"/>
      <c r="QMS129" s="54"/>
      <c r="QMT129" s="54"/>
      <c r="QMU129" s="54"/>
      <c r="QMV129" s="54"/>
      <c r="QMW129" s="54"/>
      <c r="QMX129" s="54"/>
      <c r="QMY129" s="54"/>
      <c r="QMZ129" s="54"/>
      <c r="QNA129" s="54"/>
      <c r="QNB129" s="54"/>
      <c r="QNC129" s="54"/>
      <c r="QND129" s="54"/>
      <c r="QNE129" s="54"/>
      <c r="QNF129" s="54"/>
      <c r="QNG129" s="54"/>
      <c r="QNH129" s="54"/>
      <c r="QNI129" s="54"/>
      <c r="QNJ129" s="54"/>
      <c r="QNK129" s="54"/>
      <c r="QNL129" s="54"/>
      <c r="QNM129" s="54"/>
      <c r="QNN129" s="54"/>
      <c r="QNO129" s="54"/>
      <c r="QNP129" s="54"/>
      <c r="QNQ129" s="54"/>
      <c r="QNR129" s="54"/>
      <c r="QNS129" s="54"/>
      <c r="QNT129" s="54"/>
      <c r="QNU129" s="54"/>
      <c r="QNV129" s="54"/>
      <c r="QNW129" s="54"/>
      <c r="QNX129" s="54"/>
      <c r="QNY129" s="54"/>
      <c r="QNZ129" s="54"/>
      <c r="QOA129" s="54"/>
      <c r="QOB129" s="54"/>
      <c r="QOC129" s="54"/>
      <c r="QOD129" s="54"/>
      <c r="QOE129" s="54"/>
      <c r="QOF129" s="54"/>
      <c r="QOG129" s="54"/>
      <c r="QOH129" s="54"/>
      <c r="QOI129" s="54"/>
      <c r="QOJ129" s="54"/>
      <c r="QOK129" s="54"/>
      <c r="QOL129" s="54"/>
      <c r="QOM129" s="54"/>
      <c r="QON129" s="54"/>
      <c r="QOO129" s="54"/>
      <c r="QOP129" s="54"/>
      <c r="QOQ129" s="54"/>
      <c r="QOR129" s="54"/>
      <c r="QOS129" s="54"/>
      <c r="QOT129" s="54"/>
      <c r="QOU129" s="54"/>
      <c r="QOV129" s="54"/>
      <c r="QOW129" s="54"/>
      <c r="QOX129" s="54"/>
      <c r="QOY129" s="54"/>
      <c r="QOZ129" s="54"/>
      <c r="QPA129" s="54"/>
      <c r="QPB129" s="54"/>
      <c r="QPC129" s="54"/>
      <c r="QPD129" s="54"/>
      <c r="QPE129" s="54"/>
      <c r="QPF129" s="54"/>
      <c r="QPG129" s="54"/>
      <c r="QPH129" s="54"/>
      <c r="QPI129" s="54"/>
      <c r="QPJ129" s="54"/>
      <c r="QPK129" s="54"/>
      <c r="QPL129" s="54"/>
      <c r="QPM129" s="54"/>
      <c r="QPN129" s="54"/>
      <c r="QPO129" s="54"/>
      <c r="QPP129" s="54"/>
      <c r="QPQ129" s="54"/>
      <c r="QPR129" s="54"/>
      <c r="QPS129" s="54"/>
      <c r="QPT129" s="54"/>
      <c r="QPU129" s="54"/>
      <c r="QPV129" s="54"/>
      <c r="QPW129" s="54"/>
      <c r="QPX129" s="54"/>
      <c r="QPY129" s="54"/>
      <c r="QPZ129" s="54"/>
      <c r="QQA129" s="54"/>
      <c r="QQB129" s="54"/>
      <c r="QQC129" s="54"/>
      <c r="QQD129" s="54"/>
      <c r="QQE129" s="54"/>
      <c r="QQF129" s="54"/>
      <c r="QQG129" s="54"/>
      <c r="QQH129" s="54"/>
      <c r="QQI129" s="54"/>
      <c r="QQJ129" s="54"/>
      <c r="QQK129" s="54"/>
      <c r="QQL129" s="54"/>
      <c r="QQM129" s="54"/>
      <c r="QQN129" s="54"/>
      <c r="QQO129" s="54"/>
      <c r="QQP129" s="54"/>
      <c r="QQQ129" s="54"/>
      <c r="QQR129" s="54"/>
      <c r="QQS129" s="54"/>
      <c r="QQT129" s="54"/>
      <c r="QQU129" s="54"/>
      <c r="QQV129" s="54"/>
      <c r="QQW129" s="54"/>
      <c r="QQX129" s="54"/>
      <c r="QQY129" s="54"/>
      <c r="QQZ129" s="54"/>
      <c r="QRA129" s="54"/>
      <c r="QRB129" s="54"/>
      <c r="QRC129" s="54"/>
      <c r="QRD129" s="54"/>
      <c r="QRE129" s="54"/>
      <c r="QRF129" s="54"/>
      <c r="QRG129" s="54"/>
      <c r="QRH129" s="54"/>
      <c r="QRI129" s="54"/>
      <c r="QRJ129" s="54"/>
      <c r="QRK129" s="54"/>
      <c r="QRL129" s="54"/>
      <c r="QRM129" s="54"/>
      <c r="QRN129" s="54"/>
      <c r="QRO129" s="54"/>
      <c r="QRP129" s="54"/>
      <c r="QRQ129" s="54"/>
      <c r="QRR129" s="54"/>
      <c r="QRS129" s="54"/>
      <c r="QRT129" s="54"/>
      <c r="QRU129" s="54"/>
      <c r="QRV129" s="54"/>
      <c r="QRW129" s="54"/>
      <c r="QRX129" s="54"/>
      <c r="QRY129" s="54"/>
      <c r="QRZ129" s="54"/>
      <c r="QSA129" s="54"/>
      <c r="QSB129" s="54"/>
      <c r="QSC129" s="54"/>
      <c r="QSD129" s="54"/>
      <c r="QSE129" s="54"/>
      <c r="QSF129" s="54"/>
      <c r="QSG129" s="54"/>
      <c r="QSH129" s="54"/>
      <c r="QSI129" s="54"/>
      <c r="QSJ129" s="54"/>
      <c r="QSK129" s="54"/>
      <c r="QSL129" s="54"/>
      <c r="QSM129" s="54"/>
      <c r="QSN129" s="54"/>
      <c r="QSO129" s="54"/>
      <c r="QSP129" s="54"/>
      <c r="QSQ129" s="54"/>
      <c r="QSR129" s="54"/>
      <c r="QSS129" s="54"/>
      <c r="QST129" s="54"/>
      <c r="QSU129" s="54"/>
      <c r="QSV129" s="54"/>
      <c r="QSW129" s="54"/>
      <c r="QSX129" s="54"/>
      <c r="QSY129" s="54"/>
      <c r="QSZ129" s="54"/>
      <c r="QTA129" s="54"/>
      <c r="QTB129" s="54"/>
      <c r="QTC129" s="54"/>
      <c r="QTD129" s="54"/>
      <c r="QTE129" s="54"/>
      <c r="QTF129" s="54"/>
      <c r="QTG129" s="54"/>
      <c r="QTH129" s="54"/>
      <c r="QTI129" s="54"/>
      <c r="QTJ129" s="54"/>
      <c r="QTK129" s="54"/>
      <c r="QTL129" s="54"/>
      <c r="QTM129" s="54"/>
      <c r="QTN129" s="54"/>
      <c r="QTO129" s="54"/>
      <c r="QTP129" s="54"/>
      <c r="QTQ129" s="54"/>
      <c r="QTR129" s="54"/>
      <c r="QTS129" s="54"/>
      <c r="QTT129" s="54"/>
      <c r="QTU129" s="54"/>
      <c r="QTV129" s="54"/>
      <c r="QTW129" s="54"/>
      <c r="QTX129" s="54"/>
      <c r="QTY129" s="54"/>
      <c r="QTZ129" s="54"/>
      <c r="QUA129" s="54"/>
      <c r="QUB129" s="54"/>
      <c r="QUC129" s="54"/>
      <c r="QUD129" s="54"/>
      <c r="QUE129" s="54"/>
      <c r="QUF129" s="54"/>
      <c r="QUG129" s="54"/>
      <c r="QUH129" s="54"/>
      <c r="QUI129" s="54"/>
      <c r="QUJ129" s="54"/>
      <c r="QUK129" s="54"/>
      <c r="QUL129" s="54"/>
      <c r="QUM129" s="54"/>
      <c r="QUN129" s="54"/>
      <c r="QUO129" s="54"/>
      <c r="QUP129" s="54"/>
      <c r="QUQ129" s="54"/>
      <c r="QUR129" s="54"/>
      <c r="QUS129" s="54"/>
      <c r="QUT129" s="54"/>
      <c r="QUU129" s="54"/>
      <c r="QUV129" s="54"/>
      <c r="QUW129" s="54"/>
      <c r="QUX129" s="54"/>
      <c r="QUY129" s="54"/>
      <c r="QUZ129" s="54"/>
      <c r="QVA129" s="54"/>
      <c r="QVB129" s="54"/>
      <c r="QVC129" s="54"/>
      <c r="QVD129" s="54"/>
      <c r="QVE129" s="54"/>
      <c r="QVF129" s="54"/>
      <c r="QVG129" s="54"/>
      <c r="QVH129" s="54"/>
      <c r="QVI129" s="54"/>
      <c r="QVJ129" s="54"/>
      <c r="QVK129" s="54"/>
      <c r="QVL129" s="54"/>
      <c r="QVM129" s="54"/>
      <c r="QVN129" s="54"/>
      <c r="QVO129" s="54"/>
      <c r="QVP129" s="54"/>
      <c r="QVQ129" s="54"/>
      <c r="QVR129" s="54"/>
      <c r="QVS129" s="54"/>
      <c r="QVT129" s="54"/>
      <c r="QVU129" s="54"/>
      <c r="QVV129" s="54"/>
      <c r="QVW129" s="54"/>
      <c r="QVX129" s="54"/>
      <c r="QVY129" s="54"/>
      <c r="QVZ129" s="54"/>
      <c r="QWA129" s="54"/>
      <c r="QWB129" s="54"/>
      <c r="QWC129" s="54"/>
      <c r="QWD129" s="54"/>
      <c r="QWE129" s="54"/>
      <c r="QWF129" s="54"/>
      <c r="QWG129" s="54"/>
      <c r="QWH129" s="54"/>
      <c r="QWI129" s="54"/>
      <c r="QWJ129" s="54"/>
      <c r="QWK129" s="54"/>
      <c r="QWL129" s="54"/>
      <c r="QWM129" s="54"/>
      <c r="QWN129" s="54"/>
      <c r="QWO129" s="54"/>
      <c r="QWP129" s="54"/>
      <c r="QWQ129" s="54"/>
      <c r="QWR129" s="54"/>
      <c r="QWS129" s="54"/>
      <c r="QWT129" s="54"/>
      <c r="QWU129" s="54"/>
      <c r="QWV129" s="54"/>
      <c r="QWW129" s="54"/>
      <c r="QWX129" s="54"/>
      <c r="QWY129" s="54"/>
      <c r="QWZ129" s="54"/>
      <c r="QXA129" s="54"/>
      <c r="QXB129" s="54"/>
      <c r="QXC129" s="54"/>
      <c r="QXD129" s="54"/>
      <c r="QXE129" s="54"/>
      <c r="QXF129" s="54"/>
      <c r="QXG129" s="54"/>
      <c r="QXH129" s="54"/>
      <c r="QXI129" s="54"/>
      <c r="QXJ129" s="54"/>
      <c r="QXK129" s="54"/>
      <c r="QXL129" s="54"/>
      <c r="QXM129" s="54"/>
      <c r="QXN129" s="54"/>
      <c r="QXO129" s="54"/>
      <c r="QXP129" s="54"/>
      <c r="QXQ129" s="54"/>
      <c r="QXR129" s="54"/>
      <c r="QXS129" s="54"/>
      <c r="QXT129" s="54"/>
      <c r="QXU129" s="54"/>
      <c r="QXV129" s="54"/>
      <c r="QXW129" s="54"/>
      <c r="QXX129" s="54"/>
      <c r="QXY129" s="54"/>
      <c r="QXZ129" s="54"/>
      <c r="QYA129" s="54"/>
      <c r="QYB129" s="54"/>
      <c r="QYC129" s="54"/>
      <c r="QYD129" s="54"/>
      <c r="QYE129" s="54"/>
      <c r="QYF129" s="54"/>
      <c r="QYG129" s="54"/>
      <c r="QYH129" s="54"/>
      <c r="QYI129" s="54"/>
      <c r="QYJ129" s="54"/>
      <c r="QYK129" s="54"/>
      <c r="QYL129" s="54"/>
      <c r="QYM129" s="54"/>
      <c r="QYN129" s="54"/>
      <c r="QYO129" s="54"/>
      <c r="QYP129" s="54"/>
      <c r="QYQ129" s="54"/>
      <c r="QYR129" s="54"/>
      <c r="QYS129" s="54"/>
      <c r="QYT129" s="54"/>
      <c r="QYU129" s="54"/>
      <c r="QYV129" s="54"/>
      <c r="QYW129" s="54"/>
      <c r="QYX129" s="54"/>
      <c r="QYY129" s="54"/>
      <c r="QYZ129" s="54"/>
      <c r="QZA129" s="54"/>
      <c r="QZB129" s="54"/>
      <c r="QZC129" s="54"/>
      <c r="QZD129" s="54"/>
      <c r="QZE129" s="54"/>
      <c r="QZF129" s="54"/>
      <c r="QZG129" s="54"/>
      <c r="QZH129" s="54"/>
      <c r="QZI129" s="54"/>
      <c r="QZJ129" s="54"/>
      <c r="QZK129" s="54"/>
      <c r="QZL129" s="54"/>
      <c r="QZM129" s="54"/>
      <c r="QZN129" s="54"/>
      <c r="QZO129" s="54"/>
      <c r="QZP129" s="54"/>
      <c r="QZQ129" s="54"/>
      <c r="QZR129" s="54"/>
      <c r="QZS129" s="54"/>
      <c r="QZT129" s="54"/>
      <c r="QZU129" s="54"/>
      <c r="QZV129" s="54"/>
      <c r="QZW129" s="54"/>
      <c r="QZX129" s="54"/>
      <c r="QZY129" s="54"/>
      <c r="QZZ129" s="54"/>
      <c r="RAA129" s="54"/>
      <c r="RAB129" s="54"/>
      <c r="RAC129" s="54"/>
      <c r="RAD129" s="54"/>
      <c r="RAE129" s="54"/>
      <c r="RAF129" s="54"/>
      <c r="RAG129" s="54"/>
      <c r="RAH129" s="54"/>
      <c r="RAI129" s="54"/>
      <c r="RAJ129" s="54"/>
      <c r="RAK129" s="54"/>
      <c r="RAL129" s="54"/>
      <c r="RAM129" s="54"/>
      <c r="RAN129" s="54"/>
      <c r="RAO129" s="54"/>
      <c r="RAP129" s="54"/>
      <c r="RAQ129" s="54"/>
      <c r="RAR129" s="54"/>
      <c r="RAS129" s="54"/>
      <c r="RAT129" s="54"/>
      <c r="RAU129" s="54"/>
      <c r="RAV129" s="54"/>
      <c r="RAW129" s="54"/>
      <c r="RAX129" s="54"/>
      <c r="RAY129" s="54"/>
      <c r="RAZ129" s="54"/>
      <c r="RBA129" s="54"/>
      <c r="RBB129" s="54"/>
      <c r="RBC129" s="54"/>
      <c r="RBD129" s="54"/>
      <c r="RBE129" s="54"/>
      <c r="RBF129" s="54"/>
      <c r="RBG129" s="54"/>
      <c r="RBH129" s="54"/>
      <c r="RBI129" s="54"/>
      <c r="RBJ129" s="54"/>
      <c r="RBK129" s="54"/>
      <c r="RBL129" s="54"/>
      <c r="RBM129" s="54"/>
      <c r="RBN129" s="54"/>
      <c r="RBO129" s="54"/>
      <c r="RBP129" s="54"/>
      <c r="RBQ129" s="54"/>
      <c r="RBR129" s="54"/>
      <c r="RBS129" s="54"/>
      <c r="RBT129" s="54"/>
      <c r="RBU129" s="54"/>
      <c r="RBV129" s="54"/>
      <c r="RBW129" s="54"/>
      <c r="RBX129" s="54"/>
      <c r="RBY129" s="54"/>
      <c r="RBZ129" s="54"/>
      <c r="RCA129" s="54"/>
      <c r="RCB129" s="54"/>
      <c r="RCC129" s="54"/>
      <c r="RCD129" s="54"/>
      <c r="RCE129" s="54"/>
      <c r="RCF129" s="54"/>
      <c r="RCG129" s="54"/>
      <c r="RCH129" s="54"/>
      <c r="RCI129" s="54"/>
      <c r="RCJ129" s="54"/>
      <c r="RCK129" s="54"/>
      <c r="RCL129" s="54"/>
      <c r="RCM129" s="54"/>
      <c r="RCN129" s="54"/>
      <c r="RCO129" s="54"/>
      <c r="RCP129" s="54"/>
      <c r="RCQ129" s="54"/>
      <c r="RCR129" s="54"/>
      <c r="RCS129" s="54"/>
      <c r="RCT129" s="54"/>
      <c r="RCU129" s="54"/>
      <c r="RCV129" s="54"/>
      <c r="RCW129" s="54"/>
      <c r="RCX129" s="54"/>
      <c r="RCY129" s="54"/>
      <c r="RCZ129" s="54"/>
      <c r="RDA129" s="54"/>
      <c r="RDB129" s="54"/>
      <c r="RDC129" s="54"/>
      <c r="RDD129" s="54"/>
      <c r="RDE129" s="54"/>
      <c r="RDF129" s="54"/>
      <c r="RDG129" s="54"/>
      <c r="RDH129" s="54"/>
      <c r="RDI129" s="54"/>
      <c r="RDJ129" s="54"/>
      <c r="RDK129" s="54"/>
      <c r="RDL129" s="54"/>
      <c r="RDM129" s="54"/>
      <c r="RDN129" s="54"/>
      <c r="RDO129" s="54"/>
      <c r="RDP129" s="54"/>
      <c r="RDQ129" s="54"/>
      <c r="RDR129" s="54"/>
      <c r="RDS129" s="54"/>
      <c r="RDT129" s="54"/>
      <c r="RDU129" s="54"/>
      <c r="RDV129" s="54"/>
      <c r="RDW129" s="54"/>
      <c r="RDX129" s="54"/>
      <c r="RDY129" s="54"/>
      <c r="RDZ129" s="54"/>
      <c r="REA129" s="54"/>
      <c r="REB129" s="54"/>
      <c r="REC129" s="54"/>
      <c r="RED129" s="54"/>
      <c r="REE129" s="54"/>
      <c r="REF129" s="54"/>
      <c r="REG129" s="54"/>
      <c r="REH129" s="54"/>
      <c r="REI129" s="54"/>
      <c r="REJ129" s="54"/>
      <c r="REK129" s="54"/>
      <c r="REL129" s="54"/>
      <c r="REM129" s="54"/>
      <c r="REN129" s="54"/>
      <c r="REO129" s="54"/>
      <c r="REP129" s="54"/>
      <c r="REQ129" s="54"/>
      <c r="RER129" s="54"/>
      <c r="RES129" s="54"/>
      <c r="RET129" s="54"/>
      <c r="REU129" s="54"/>
      <c r="REV129" s="54"/>
      <c r="REW129" s="54"/>
      <c r="REX129" s="54"/>
      <c r="REY129" s="54"/>
      <c r="REZ129" s="54"/>
      <c r="RFA129" s="54"/>
      <c r="RFB129" s="54"/>
      <c r="RFC129" s="54"/>
      <c r="RFD129" s="54"/>
      <c r="RFE129" s="54"/>
      <c r="RFF129" s="54"/>
      <c r="RFG129" s="54"/>
      <c r="RFH129" s="54"/>
      <c r="RFI129" s="54"/>
      <c r="RFJ129" s="54"/>
      <c r="RFK129" s="54"/>
      <c r="RFL129" s="54"/>
      <c r="RFM129" s="54"/>
      <c r="RFN129" s="54"/>
      <c r="RFO129" s="54"/>
      <c r="RFP129" s="54"/>
      <c r="RFQ129" s="54"/>
      <c r="RFR129" s="54"/>
      <c r="RFS129" s="54"/>
      <c r="RFT129" s="54"/>
      <c r="RFU129" s="54"/>
      <c r="RFV129" s="54"/>
      <c r="RFW129" s="54"/>
      <c r="RFX129" s="54"/>
      <c r="RFY129" s="54"/>
      <c r="RFZ129" s="54"/>
      <c r="RGA129" s="54"/>
      <c r="RGB129" s="54"/>
      <c r="RGC129" s="54"/>
      <c r="RGD129" s="54"/>
      <c r="RGE129" s="54"/>
      <c r="RGF129" s="54"/>
      <c r="RGG129" s="54"/>
      <c r="RGH129" s="54"/>
      <c r="RGI129" s="54"/>
      <c r="RGJ129" s="54"/>
      <c r="RGK129" s="54"/>
      <c r="RGL129" s="54"/>
      <c r="RGM129" s="54"/>
      <c r="RGN129" s="54"/>
      <c r="RGO129" s="54"/>
      <c r="RGP129" s="54"/>
      <c r="RGQ129" s="54"/>
      <c r="RGR129" s="54"/>
      <c r="RGS129" s="54"/>
      <c r="RGT129" s="54"/>
      <c r="RGU129" s="54"/>
      <c r="RGV129" s="54"/>
      <c r="RGW129" s="54"/>
      <c r="RGX129" s="54"/>
      <c r="RGY129" s="54"/>
      <c r="RGZ129" s="54"/>
      <c r="RHA129" s="54"/>
      <c r="RHB129" s="54"/>
      <c r="RHC129" s="54"/>
      <c r="RHD129" s="54"/>
      <c r="RHE129" s="54"/>
      <c r="RHF129" s="54"/>
      <c r="RHG129" s="54"/>
      <c r="RHH129" s="54"/>
      <c r="RHI129" s="54"/>
      <c r="RHJ129" s="54"/>
      <c r="RHK129" s="54"/>
      <c r="RHL129" s="54"/>
      <c r="RHM129" s="54"/>
      <c r="RHN129" s="54"/>
      <c r="RHO129" s="54"/>
      <c r="RHP129" s="54"/>
      <c r="RHQ129" s="54"/>
      <c r="RHR129" s="54"/>
      <c r="RHS129" s="54"/>
      <c r="RHT129" s="54"/>
      <c r="RHU129" s="54"/>
      <c r="RHV129" s="54"/>
      <c r="RHW129" s="54"/>
      <c r="RHX129" s="54"/>
      <c r="RHY129" s="54"/>
      <c r="RHZ129" s="54"/>
      <c r="RIA129" s="54"/>
      <c r="RIB129" s="54"/>
      <c r="RIC129" s="54"/>
      <c r="RID129" s="54"/>
      <c r="RIE129" s="54"/>
      <c r="RIF129" s="54"/>
      <c r="RIG129" s="54"/>
      <c r="RIH129" s="54"/>
      <c r="RII129" s="54"/>
      <c r="RIJ129" s="54"/>
      <c r="RIK129" s="54"/>
      <c r="RIL129" s="54"/>
      <c r="RIM129" s="54"/>
      <c r="RIN129" s="54"/>
      <c r="RIO129" s="54"/>
      <c r="RIP129" s="54"/>
      <c r="RIQ129" s="54"/>
      <c r="RIR129" s="54"/>
      <c r="RIS129" s="54"/>
      <c r="RIT129" s="54"/>
      <c r="RIU129" s="54"/>
      <c r="RIV129" s="54"/>
      <c r="RIW129" s="54"/>
      <c r="RIX129" s="54"/>
      <c r="RIY129" s="54"/>
      <c r="RIZ129" s="54"/>
      <c r="RJA129" s="54"/>
      <c r="RJB129" s="54"/>
      <c r="RJC129" s="54"/>
      <c r="RJD129" s="54"/>
      <c r="RJE129" s="54"/>
      <c r="RJF129" s="54"/>
      <c r="RJG129" s="54"/>
      <c r="RJH129" s="54"/>
      <c r="RJI129" s="54"/>
      <c r="RJJ129" s="54"/>
      <c r="RJK129" s="54"/>
      <c r="RJL129" s="54"/>
      <c r="RJM129" s="54"/>
      <c r="RJN129" s="54"/>
      <c r="RJO129" s="54"/>
      <c r="RJP129" s="54"/>
      <c r="RJQ129" s="54"/>
      <c r="RJR129" s="54"/>
      <c r="RJS129" s="54"/>
      <c r="RJT129" s="54"/>
      <c r="RJU129" s="54"/>
      <c r="RJV129" s="54"/>
      <c r="RJW129" s="54"/>
      <c r="RJX129" s="54"/>
      <c r="RJY129" s="54"/>
      <c r="RJZ129" s="54"/>
      <c r="RKA129" s="54"/>
      <c r="RKB129" s="54"/>
      <c r="RKC129" s="54"/>
      <c r="RKD129" s="54"/>
      <c r="RKE129" s="54"/>
      <c r="RKF129" s="54"/>
      <c r="RKG129" s="54"/>
      <c r="RKH129" s="54"/>
      <c r="RKI129" s="54"/>
      <c r="RKJ129" s="54"/>
      <c r="RKK129" s="54"/>
      <c r="RKL129" s="54"/>
      <c r="RKM129" s="54"/>
      <c r="RKN129" s="54"/>
      <c r="RKO129" s="54"/>
      <c r="RKP129" s="54"/>
      <c r="RKQ129" s="54"/>
      <c r="RKR129" s="54"/>
      <c r="RKS129" s="54"/>
      <c r="RKT129" s="54"/>
      <c r="RKU129" s="54"/>
      <c r="RKV129" s="54"/>
      <c r="RKW129" s="54"/>
      <c r="RKX129" s="54"/>
      <c r="RKY129" s="54"/>
      <c r="RKZ129" s="54"/>
      <c r="RLA129" s="54"/>
      <c r="RLB129" s="54"/>
      <c r="RLC129" s="54"/>
      <c r="RLD129" s="54"/>
      <c r="RLE129" s="54"/>
      <c r="RLF129" s="54"/>
      <c r="RLG129" s="54"/>
      <c r="RLH129" s="54"/>
      <c r="RLI129" s="54"/>
      <c r="RLJ129" s="54"/>
      <c r="RLK129" s="54"/>
      <c r="RLL129" s="54"/>
      <c r="RLM129" s="54"/>
      <c r="RLN129" s="54"/>
      <c r="RLO129" s="54"/>
      <c r="RLP129" s="54"/>
      <c r="RLQ129" s="54"/>
      <c r="RLR129" s="54"/>
      <c r="RLS129" s="54"/>
      <c r="RLT129" s="54"/>
      <c r="RLU129" s="54"/>
      <c r="RLV129" s="54"/>
      <c r="RLW129" s="54"/>
      <c r="RLX129" s="54"/>
      <c r="RLY129" s="54"/>
      <c r="RLZ129" s="54"/>
      <c r="RMA129" s="54"/>
      <c r="RMB129" s="54"/>
      <c r="RMC129" s="54"/>
      <c r="RMD129" s="54"/>
      <c r="RME129" s="54"/>
      <c r="RMF129" s="54"/>
      <c r="RMG129" s="54"/>
      <c r="RMH129" s="54"/>
      <c r="RMI129" s="54"/>
      <c r="RMJ129" s="54"/>
      <c r="RMK129" s="54"/>
      <c r="RML129" s="54"/>
      <c r="RMM129" s="54"/>
      <c r="RMN129" s="54"/>
      <c r="RMO129" s="54"/>
      <c r="RMP129" s="54"/>
      <c r="RMQ129" s="54"/>
      <c r="RMR129" s="54"/>
      <c r="RMS129" s="54"/>
      <c r="RMT129" s="54"/>
      <c r="RMU129" s="54"/>
      <c r="RMV129" s="54"/>
      <c r="RMW129" s="54"/>
      <c r="RMX129" s="54"/>
      <c r="RMY129" s="54"/>
      <c r="RMZ129" s="54"/>
      <c r="RNA129" s="54"/>
      <c r="RNB129" s="54"/>
      <c r="RNC129" s="54"/>
      <c r="RND129" s="54"/>
      <c r="RNE129" s="54"/>
      <c r="RNF129" s="54"/>
      <c r="RNG129" s="54"/>
      <c r="RNH129" s="54"/>
      <c r="RNI129" s="54"/>
      <c r="RNJ129" s="54"/>
      <c r="RNK129" s="54"/>
      <c r="RNL129" s="54"/>
      <c r="RNM129" s="54"/>
      <c r="RNN129" s="54"/>
      <c r="RNO129" s="54"/>
      <c r="RNP129" s="54"/>
      <c r="RNQ129" s="54"/>
      <c r="RNR129" s="54"/>
      <c r="RNS129" s="54"/>
      <c r="RNT129" s="54"/>
      <c r="RNU129" s="54"/>
      <c r="RNV129" s="54"/>
      <c r="RNW129" s="54"/>
      <c r="RNX129" s="54"/>
      <c r="RNY129" s="54"/>
      <c r="RNZ129" s="54"/>
      <c r="ROA129" s="54"/>
      <c r="ROB129" s="54"/>
      <c r="ROC129" s="54"/>
      <c r="ROD129" s="54"/>
      <c r="ROE129" s="54"/>
      <c r="ROF129" s="54"/>
      <c r="ROG129" s="54"/>
      <c r="ROH129" s="54"/>
      <c r="ROI129" s="54"/>
      <c r="ROJ129" s="54"/>
      <c r="ROK129" s="54"/>
      <c r="ROL129" s="54"/>
      <c r="ROM129" s="54"/>
      <c r="RON129" s="54"/>
      <c r="ROO129" s="54"/>
      <c r="ROP129" s="54"/>
      <c r="ROQ129" s="54"/>
      <c r="ROR129" s="54"/>
      <c r="ROS129" s="54"/>
      <c r="ROT129" s="54"/>
      <c r="ROU129" s="54"/>
      <c r="ROV129" s="54"/>
      <c r="ROW129" s="54"/>
      <c r="ROX129" s="54"/>
      <c r="ROY129" s="54"/>
      <c r="ROZ129" s="54"/>
      <c r="RPA129" s="54"/>
      <c r="RPB129" s="54"/>
      <c r="RPC129" s="54"/>
      <c r="RPD129" s="54"/>
      <c r="RPE129" s="54"/>
      <c r="RPF129" s="54"/>
      <c r="RPG129" s="54"/>
      <c r="RPH129" s="54"/>
      <c r="RPI129" s="54"/>
      <c r="RPJ129" s="54"/>
      <c r="RPK129" s="54"/>
      <c r="RPL129" s="54"/>
      <c r="RPM129" s="54"/>
      <c r="RPN129" s="54"/>
      <c r="RPO129" s="54"/>
      <c r="RPP129" s="54"/>
      <c r="RPQ129" s="54"/>
      <c r="RPR129" s="54"/>
      <c r="RPS129" s="54"/>
      <c r="RPT129" s="54"/>
      <c r="RPU129" s="54"/>
      <c r="RPV129" s="54"/>
      <c r="RPW129" s="54"/>
      <c r="RPX129" s="54"/>
      <c r="RPY129" s="54"/>
      <c r="RPZ129" s="54"/>
      <c r="RQA129" s="54"/>
      <c r="RQB129" s="54"/>
      <c r="RQC129" s="54"/>
      <c r="RQD129" s="54"/>
      <c r="RQE129" s="54"/>
      <c r="RQF129" s="54"/>
      <c r="RQG129" s="54"/>
      <c r="RQH129" s="54"/>
      <c r="RQI129" s="54"/>
      <c r="RQJ129" s="54"/>
      <c r="RQK129" s="54"/>
      <c r="RQL129" s="54"/>
      <c r="RQM129" s="54"/>
      <c r="RQN129" s="54"/>
      <c r="RQO129" s="54"/>
      <c r="RQP129" s="54"/>
      <c r="RQQ129" s="54"/>
      <c r="RQR129" s="54"/>
      <c r="RQS129" s="54"/>
      <c r="RQT129" s="54"/>
      <c r="RQU129" s="54"/>
      <c r="RQV129" s="54"/>
      <c r="RQW129" s="54"/>
      <c r="RQX129" s="54"/>
      <c r="RQY129" s="54"/>
      <c r="RQZ129" s="54"/>
      <c r="RRA129" s="54"/>
      <c r="RRB129" s="54"/>
      <c r="RRC129" s="54"/>
      <c r="RRD129" s="54"/>
      <c r="RRE129" s="54"/>
      <c r="RRF129" s="54"/>
      <c r="RRG129" s="54"/>
      <c r="RRH129" s="54"/>
      <c r="RRI129" s="54"/>
      <c r="RRJ129" s="54"/>
      <c r="RRK129" s="54"/>
      <c r="RRL129" s="54"/>
      <c r="RRM129" s="54"/>
      <c r="RRN129" s="54"/>
      <c r="RRO129" s="54"/>
      <c r="RRP129" s="54"/>
      <c r="RRQ129" s="54"/>
      <c r="RRR129" s="54"/>
      <c r="RRS129" s="54"/>
      <c r="RRT129" s="54"/>
      <c r="RRU129" s="54"/>
      <c r="RRV129" s="54"/>
      <c r="RRW129" s="54"/>
      <c r="RRX129" s="54"/>
      <c r="RRY129" s="54"/>
      <c r="RRZ129" s="54"/>
      <c r="RSA129" s="54"/>
      <c r="RSB129" s="54"/>
      <c r="RSC129" s="54"/>
      <c r="RSD129" s="54"/>
      <c r="RSE129" s="54"/>
      <c r="RSF129" s="54"/>
      <c r="RSG129" s="54"/>
      <c r="RSH129" s="54"/>
      <c r="RSI129" s="54"/>
      <c r="RSJ129" s="54"/>
      <c r="RSK129" s="54"/>
      <c r="RSL129" s="54"/>
      <c r="RSM129" s="54"/>
      <c r="RSN129" s="54"/>
      <c r="RSO129" s="54"/>
      <c r="RSP129" s="54"/>
      <c r="RSQ129" s="54"/>
      <c r="RSR129" s="54"/>
      <c r="RSS129" s="54"/>
      <c r="RST129" s="54"/>
      <c r="RSU129" s="54"/>
      <c r="RSV129" s="54"/>
      <c r="RSW129" s="54"/>
      <c r="RSX129" s="54"/>
      <c r="RSY129" s="54"/>
      <c r="RSZ129" s="54"/>
      <c r="RTA129" s="54"/>
      <c r="RTB129" s="54"/>
      <c r="RTC129" s="54"/>
      <c r="RTD129" s="54"/>
      <c r="RTE129" s="54"/>
      <c r="RTF129" s="54"/>
      <c r="RTG129" s="54"/>
      <c r="RTH129" s="54"/>
      <c r="RTI129" s="54"/>
      <c r="RTJ129" s="54"/>
      <c r="RTK129" s="54"/>
      <c r="RTL129" s="54"/>
      <c r="RTM129" s="54"/>
      <c r="RTN129" s="54"/>
      <c r="RTO129" s="54"/>
      <c r="RTP129" s="54"/>
      <c r="RTQ129" s="54"/>
      <c r="RTR129" s="54"/>
      <c r="RTS129" s="54"/>
      <c r="RTT129" s="54"/>
      <c r="RTU129" s="54"/>
      <c r="RTV129" s="54"/>
      <c r="RTW129" s="54"/>
      <c r="RTX129" s="54"/>
      <c r="RTY129" s="54"/>
      <c r="RTZ129" s="54"/>
      <c r="RUA129" s="54"/>
      <c r="RUB129" s="54"/>
      <c r="RUC129" s="54"/>
      <c r="RUD129" s="54"/>
      <c r="RUE129" s="54"/>
      <c r="RUF129" s="54"/>
      <c r="RUG129" s="54"/>
      <c r="RUH129" s="54"/>
      <c r="RUI129" s="54"/>
      <c r="RUJ129" s="54"/>
      <c r="RUK129" s="54"/>
      <c r="RUL129" s="54"/>
      <c r="RUM129" s="54"/>
      <c r="RUN129" s="54"/>
      <c r="RUO129" s="54"/>
      <c r="RUP129" s="54"/>
      <c r="RUQ129" s="54"/>
      <c r="RUR129" s="54"/>
      <c r="RUS129" s="54"/>
      <c r="RUT129" s="54"/>
      <c r="RUU129" s="54"/>
      <c r="RUV129" s="54"/>
      <c r="RUW129" s="54"/>
      <c r="RUX129" s="54"/>
      <c r="RUY129" s="54"/>
      <c r="RUZ129" s="54"/>
      <c r="RVA129" s="54"/>
      <c r="RVB129" s="54"/>
      <c r="RVC129" s="54"/>
      <c r="RVD129" s="54"/>
      <c r="RVE129" s="54"/>
      <c r="RVF129" s="54"/>
      <c r="RVG129" s="54"/>
      <c r="RVH129" s="54"/>
      <c r="RVI129" s="54"/>
      <c r="RVJ129" s="54"/>
      <c r="RVK129" s="54"/>
      <c r="RVL129" s="54"/>
      <c r="RVM129" s="54"/>
      <c r="RVN129" s="54"/>
      <c r="RVO129" s="54"/>
      <c r="RVP129" s="54"/>
      <c r="RVQ129" s="54"/>
      <c r="RVR129" s="54"/>
      <c r="RVS129" s="54"/>
      <c r="RVT129" s="54"/>
      <c r="RVU129" s="54"/>
      <c r="RVV129" s="54"/>
      <c r="RVW129" s="54"/>
      <c r="RVX129" s="54"/>
      <c r="RVY129" s="54"/>
      <c r="RVZ129" s="54"/>
      <c r="RWA129" s="54"/>
      <c r="RWB129" s="54"/>
      <c r="RWC129" s="54"/>
      <c r="RWD129" s="54"/>
      <c r="RWE129" s="54"/>
      <c r="RWF129" s="54"/>
      <c r="RWG129" s="54"/>
      <c r="RWH129" s="54"/>
      <c r="RWI129" s="54"/>
      <c r="RWJ129" s="54"/>
      <c r="RWK129" s="54"/>
      <c r="RWL129" s="54"/>
      <c r="RWM129" s="54"/>
      <c r="RWN129" s="54"/>
      <c r="RWO129" s="54"/>
      <c r="RWP129" s="54"/>
      <c r="RWQ129" s="54"/>
      <c r="RWR129" s="54"/>
      <c r="RWS129" s="54"/>
      <c r="RWT129" s="54"/>
      <c r="RWU129" s="54"/>
      <c r="RWV129" s="54"/>
      <c r="RWW129" s="54"/>
      <c r="RWX129" s="54"/>
      <c r="RWY129" s="54"/>
      <c r="RWZ129" s="54"/>
      <c r="RXA129" s="54"/>
      <c r="RXB129" s="54"/>
      <c r="RXC129" s="54"/>
      <c r="RXD129" s="54"/>
      <c r="RXE129" s="54"/>
      <c r="RXF129" s="54"/>
      <c r="RXG129" s="54"/>
      <c r="RXH129" s="54"/>
      <c r="RXI129" s="54"/>
      <c r="RXJ129" s="54"/>
      <c r="RXK129" s="54"/>
      <c r="RXL129" s="54"/>
      <c r="RXM129" s="54"/>
      <c r="RXN129" s="54"/>
      <c r="RXO129" s="54"/>
      <c r="RXP129" s="54"/>
      <c r="RXQ129" s="54"/>
      <c r="RXR129" s="54"/>
      <c r="RXS129" s="54"/>
      <c r="RXT129" s="54"/>
      <c r="RXU129" s="54"/>
      <c r="RXV129" s="54"/>
      <c r="RXW129" s="54"/>
      <c r="RXX129" s="54"/>
      <c r="RXY129" s="54"/>
      <c r="RXZ129" s="54"/>
      <c r="RYA129" s="54"/>
      <c r="RYB129" s="54"/>
      <c r="RYC129" s="54"/>
      <c r="RYD129" s="54"/>
      <c r="RYE129" s="54"/>
      <c r="RYF129" s="54"/>
      <c r="RYG129" s="54"/>
      <c r="RYH129" s="54"/>
      <c r="RYI129" s="54"/>
      <c r="RYJ129" s="54"/>
      <c r="RYK129" s="54"/>
      <c r="RYL129" s="54"/>
      <c r="RYM129" s="54"/>
      <c r="RYN129" s="54"/>
      <c r="RYO129" s="54"/>
      <c r="RYP129" s="54"/>
      <c r="RYQ129" s="54"/>
      <c r="RYR129" s="54"/>
      <c r="RYS129" s="54"/>
      <c r="RYT129" s="54"/>
      <c r="RYU129" s="54"/>
      <c r="RYV129" s="54"/>
      <c r="RYW129" s="54"/>
      <c r="RYX129" s="54"/>
      <c r="RYY129" s="54"/>
      <c r="RYZ129" s="54"/>
      <c r="RZA129" s="54"/>
      <c r="RZB129" s="54"/>
      <c r="RZC129" s="54"/>
      <c r="RZD129" s="54"/>
      <c r="RZE129" s="54"/>
      <c r="RZF129" s="54"/>
      <c r="RZG129" s="54"/>
      <c r="RZH129" s="54"/>
      <c r="RZI129" s="54"/>
      <c r="RZJ129" s="54"/>
      <c r="RZK129" s="54"/>
      <c r="RZL129" s="54"/>
      <c r="RZM129" s="54"/>
      <c r="RZN129" s="54"/>
      <c r="RZO129" s="54"/>
      <c r="RZP129" s="54"/>
      <c r="RZQ129" s="54"/>
      <c r="RZR129" s="54"/>
      <c r="RZS129" s="54"/>
      <c r="RZT129" s="54"/>
      <c r="RZU129" s="54"/>
      <c r="RZV129" s="54"/>
      <c r="RZW129" s="54"/>
      <c r="RZX129" s="54"/>
      <c r="RZY129" s="54"/>
      <c r="RZZ129" s="54"/>
      <c r="SAA129" s="54"/>
      <c r="SAB129" s="54"/>
      <c r="SAC129" s="54"/>
      <c r="SAD129" s="54"/>
      <c r="SAE129" s="54"/>
      <c r="SAF129" s="54"/>
      <c r="SAG129" s="54"/>
      <c r="SAH129" s="54"/>
      <c r="SAI129" s="54"/>
      <c r="SAJ129" s="54"/>
      <c r="SAK129" s="54"/>
      <c r="SAL129" s="54"/>
      <c r="SAM129" s="54"/>
      <c r="SAN129" s="54"/>
      <c r="SAO129" s="54"/>
      <c r="SAP129" s="54"/>
      <c r="SAQ129" s="54"/>
      <c r="SAR129" s="54"/>
      <c r="SAS129" s="54"/>
      <c r="SAT129" s="54"/>
      <c r="SAU129" s="54"/>
      <c r="SAV129" s="54"/>
      <c r="SAW129" s="54"/>
      <c r="SAX129" s="54"/>
      <c r="SAY129" s="54"/>
      <c r="SAZ129" s="54"/>
      <c r="SBA129" s="54"/>
      <c r="SBB129" s="54"/>
      <c r="SBC129" s="54"/>
      <c r="SBD129" s="54"/>
      <c r="SBE129" s="54"/>
      <c r="SBF129" s="54"/>
      <c r="SBG129" s="54"/>
      <c r="SBH129" s="54"/>
      <c r="SBI129" s="54"/>
      <c r="SBJ129" s="54"/>
      <c r="SBK129" s="54"/>
      <c r="SBL129" s="54"/>
      <c r="SBM129" s="54"/>
      <c r="SBN129" s="54"/>
      <c r="SBO129" s="54"/>
      <c r="SBP129" s="54"/>
      <c r="SBQ129" s="54"/>
      <c r="SBR129" s="54"/>
      <c r="SBS129" s="54"/>
      <c r="SBT129" s="54"/>
      <c r="SBU129" s="54"/>
      <c r="SBV129" s="54"/>
      <c r="SBW129" s="54"/>
      <c r="SBX129" s="54"/>
      <c r="SBY129" s="54"/>
      <c r="SBZ129" s="54"/>
      <c r="SCA129" s="54"/>
      <c r="SCB129" s="54"/>
      <c r="SCC129" s="54"/>
      <c r="SCD129" s="54"/>
      <c r="SCE129" s="54"/>
      <c r="SCF129" s="54"/>
      <c r="SCG129" s="54"/>
      <c r="SCH129" s="54"/>
      <c r="SCI129" s="54"/>
      <c r="SCJ129" s="54"/>
      <c r="SCK129" s="54"/>
      <c r="SCL129" s="54"/>
      <c r="SCM129" s="54"/>
      <c r="SCN129" s="54"/>
      <c r="SCO129" s="54"/>
      <c r="SCP129" s="54"/>
      <c r="SCQ129" s="54"/>
      <c r="SCR129" s="54"/>
      <c r="SCS129" s="54"/>
      <c r="SCT129" s="54"/>
      <c r="SCU129" s="54"/>
      <c r="SCV129" s="54"/>
      <c r="SCW129" s="54"/>
      <c r="SCX129" s="54"/>
      <c r="SCY129" s="54"/>
      <c r="SCZ129" s="54"/>
      <c r="SDA129" s="54"/>
      <c r="SDB129" s="54"/>
      <c r="SDC129" s="54"/>
      <c r="SDD129" s="54"/>
      <c r="SDE129" s="54"/>
      <c r="SDF129" s="54"/>
      <c r="SDG129" s="54"/>
      <c r="SDH129" s="54"/>
      <c r="SDI129" s="54"/>
      <c r="SDJ129" s="54"/>
      <c r="SDK129" s="54"/>
      <c r="SDL129" s="54"/>
      <c r="SDM129" s="54"/>
      <c r="SDN129" s="54"/>
      <c r="SDO129" s="54"/>
      <c r="SDP129" s="54"/>
      <c r="SDQ129" s="54"/>
      <c r="SDR129" s="54"/>
      <c r="SDS129" s="54"/>
      <c r="SDT129" s="54"/>
      <c r="SDU129" s="54"/>
      <c r="SDV129" s="54"/>
      <c r="SDW129" s="54"/>
      <c r="SDX129" s="54"/>
      <c r="SDY129" s="54"/>
      <c r="SDZ129" s="54"/>
      <c r="SEA129" s="54"/>
      <c r="SEB129" s="54"/>
      <c r="SEC129" s="54"/>
      <c r="SED129" s="54"/>
      <c r="SEE129" s="54"/>
      <c r="SEF129" s="54"/>
      <c r="SEG129" s="54"/>
      <c r="SEH129" s="54"/>
      <c r="SEI129" s="54"/>
      <c r="SEJ129" s="54"/>
      <c r="SEK129" s="54"/>
      <c r="SEL129" s="54"/>
      <c r="SEM129" s="54"/>
      <c r="SEN129" s="54"/>
      <c r="SEO129" s="54"/>
      <c r="SEP129" s="54"/>
      <c r="SEQ129" s="54"/>
      <c r="SER129" s="54"/>
      <c r="SES129" s="54"/>
      <c r="SET129" s="54"/>
      <c r="SEU129" s="54"/>
      <c r="SEV129" s="54"/>
      <c r="SEW129" s="54"/>
      <c r="SEX129" s="54"/>
      <c r="SEY129" s="54"/>
      <c r="SEZ129" s="54"/>
      <c r="SFA129" s="54"/>
      <c r="SFB129" s="54"/>
      <c r="SFC129" s="54"/>
      <c r="SFD129" s="54"/>
      <c r="SFE129" s="54"/>
      <c r="SFF129" s="54"/>
      <c r="SFG129" s="54"/>
      <c r="SFH129" s="54"/>
      <c r="SFI129" s="54"/>
      <c r="SFJ129" s="54"/>
      <c r="SFK129" s="54"/>
      <c r="SFL129" s="54"/>
      <c r="SFM129" s="54"/>
      <c r="SFN129" s="54"/>
      <c r="SFO129" s="54"/>
      <c r="SFP129" s="54"/>
      <c r="SFQ129" s="54"/>
      <c r="SFR129" s="54"/>
      <c r="SFS129" s="54"/>
      <c r="SFT129" s="54"/>
      <c r="SFU129" s="54"/>
      <c r="SFV129" s="54"/>
      <c r="SFW129" s="54"/>
      <c r="SFX129" s="54"/>
      <c r="SFY129" s="54"/>
      <c r="SFZ129" s="54"/>
      <c r="SGA129" s="54"/>
      <c r="SGB129" s="54"/>
      <c r="SGC129" s="54"/>
      <c r="SGD129" s="54"/>
      <c r="SGE129" s="54"/>
      <c r="SGF129" s="54"/>
      <c r="SGG129" s="54"/>
      <c r="SGH129" s="54"/>
      <c r="SGI129" s="54"/>
      <c r="SGJ129" s="54"/>
      <c r="SGK129" s="54"/>
      <c r="SGL129" s="54"/>
      <c r="SGM129" s="54"/>
      <c r="SGN129" s="54"/>
      <c r="SGO129" s="54"/>
      <c r="SGP129" s="54"/>
      <c r="SGQ129" s="54"/>
      <c r="SGR129" s="54"/>
      <c r="SGS129" s="54"/>
      <c r="SGT129" s="54"/>
      <c r="SGU129" s="54"/>
      <c r="SGV129" s="54"/>
      <c r="SGW129" s="54"/>
      <c r="SGX129" s="54"/>
      <c r="SGY129" s="54"/>
      <c r="SGZ129" s="54"/>
      <c r="SHA129" s="54"/>
      <c r="SHB129" s="54"/>
      <c r="SHC129" s="54"/>
      <c r="SHD129" s="54"/>
      <c r="SHE129" s="54"/>
      <c r="SHF129" s="54"/>
      <c r="SHG129" s="54"/>
      <c r="SHH129" s="54"/>
      <c r="SHI129" s="54"/>
      <c r="SHJ129" s="54"/>
      <c r="SHK129" s="54"/>
      <c r="SHL129" s="54"/>
      <c r="SHM129" s="54"/>
      <c r="SHN129" s="54"/>
      <c r="SHO129" s="54"/>
      <c r="SHP129" s="54"/>
      <c r="SHQ129" s="54"/>
      <c r="SHR129" s="54"/>
      <c r="SHS129" s="54"/>
      <c r="SHT129" s="54"/>
      <c r="SHU129" s="54"/>
      <c r="SHV129" s="54"/>
      <c r="SHW129" s="54"/>
      <c r="SHX129" s="54"/>
      <c r="SHY129" s="54"/>
      <c r="SHZ129" s="54"/>
      <c r="SIA129" s="54"/>
      <c r="SIB129" s="54"/>
      <c r="SIC129" s="54"/>
      <c r="SID129" s="54"/>
      <c r="SIE129" s="54"/>
      <c r="SIF129" s="54"/>
      <c r="SIG129" s="54"/>
      <c r="SIH129" s="54"/>
      <c r="SII129" s="54"/>
      <c r="SIJ129" s="54"/>
      <c r="SIK129" s="54"/>
      <c r="SIL129" s="54"/>
      <c r="SIM129" s="54"/>
      <c r="SIN129" s="54"/>
      <c r="SIO129" s="54"/>
      <c r="SIP129" s="54"/>
      <c r="SIQ129" s="54"/>
      <c r="SIR129" s="54"/>
      <c r="SIS129" s="54"/>
      <c r="SIT129" s="54"/>
      <c r="SIU129" s="54"/>
      <c r="SIV129" s="54"/>
      <c r="SIW129" s="54"/>
      <c r="SIX129" s="54"/>
      <c r="SIY129" s="54"/>
      <c r="SIZ129" s="54"/>
      <c r="SJA129" s="54"/>
      <c r="SJB129" s="54"/>
      <c r="SJC129" s="54"/>
      <c r="SJD129" s="54"/>
      <c r="SJE129" s="54"/>
      <c r="SJF129" s="54"/>
      <c r="SJG129" s="54"/>
      <c r="SJH129" s="54"/>
      <c r="SJI129" s="54"/>
      <c r="SJJ129" s="54"/>
      <c r="SJK129" s="54"/>
      <c r="SJL129" s="54"/>
      <c r="SJM129" s="54"/>
      <c r="SJN129" s="54"/>
      <c r="SJO129" s="54"/>
      <c r="SJP129" s="54"/>
      <c r="SJQ129" s="54"/>
      <c r="SJR129" s="54"/>
      <c r="SJS129" s="54"/>
      <c r="SJT129" s="54"/>
      <c r="SJU129" s="54"/>
      <c r="SJV129" s="54"/>
      <c r="SJW129" s="54"/>
      <c r="SJX129" s="54"/>
      <c r="SJY129" s="54"/>
      <c r="SJZ129" s="54"/>
      <c r="SKA129" s="54"/>
      <c r="SKB129" s="54"/>
      <c r="SKC129" s="54"/>
      <c r="SKD129" s="54"/>
      <c r="SKE129" s="54"/>
      <c r="SKF129" s="54"/>
      <c r="SKG129" s="54"/>
      <c r="SKH129" s="54"/>
      <c r="SKI129" s="54"/>
      <c r="SKJ129" s="54"/>
      <c r="SKK129" s="54"/>
      <c r="SKL129" s="54"/>
      <c r="SKM129" s="54"/>
      <c r="SKN129" s="54"/>
      <c r="SKO129" s="54"/>
      <c r="SKP129" s="54"/>
      <c r="SKQ129" s="54"/>
      <c r="SKR129" s="54"/>
      <c r="SKS129" s="54"/>
      <c r="SKT129" s="54"/>
      <c r="SKU129" s="54"/>
      <c r="SKV129" s="54"/>
      <c r="SKW129" s="54"/>
      <c r="SKX129" s="54"/>
      <c r="SKY129" s="54"/>
      <c r="SKZ129" s="54"/>
      <c r="SLA129" s="54"/>
      <c r="SLB129" s="54"/>
      <c r="SLC129" s="54"/>
      <c r="SLD129" s="54"/>
      <c r="SLE129" s="54"/>
      <c r="SLF129" s="54"/>
      <c r="SLG129" s="54"/>
      <c r="SLH129" s="54"/>
      <c r="SLI129" s="54"/>
      <c r="SLJ129" s="54"/>
      <c r="SLK129" s="54"/>
      <c r="SLL129" s="54"/>
      <c r="SLM129" s="54"/>
      <c r="SLN129" s="54"/>
      <c r="SLO129" s="54"/>
      <c r="SLP129" s="54"/>
      <c r="SLQ129" s="54"/>
      <c r="SLR129" s="54"/>
      <c r="SLS129" s="54"/>
      <c r="SLT129" s="54"/>
      <c r="SLU129" s="54"/>
      <c r="SLV129" s="54"/>
      <c r="SLW129" s="54"/>
      <c r="SLX129" s="54"/>
      <c r="SLY129" s="54"/>
      <c r="SLZ129" s="54"/>
      <c r="SMA129" s="54"/>
      <c r="SMB129" s="54"/>
      <c r="SMC129" s="54"/>
      <c r="SMD129" s="54"/>
      <c r="SME129" s="54"/>
      <c r="SMF129" s="54"/>
      <c r="SMG129" s="54"/>
      <c r="SMH129" s="54"/>
      <c r="SMI129" s="54"/>
      <c r="SMJ129" s="54"/>
      <c r="SMK129" s="54"/>
      <c r="SML129" s="54"/>
      <c r="SMM129" s="54"/>
      <c r="SMN129" s="54"/>
      <c r="SMO129" s="54"/>
      <c r="SMP129" s="54"/>
      <c r="SMQ129" s="54"/>
      <c r="SMR129" s="54"/>
      <c r="SMS129" s="54"/>
      <c r="SMT129" s="54"/>
      <c r="SMU129" s="54"/>
      <c r="SMV129" s="54"/>
      <c r="SMW129" s="54"/>
      <c r="SMX129" s="54"/>
      <c r="SMY129" s="54"/>
      <c r="SMZ129" s="54"/>
      <c r="SNA129" s="54"/>
      <c r="SNB129" s="54"/>
      <c r="SNC129" s="54"/>
      <c r="SND129" s="54"/>
      <c r="SNE129" s="54"/>
      <c r="SNF129" s="54"/>
      <c r="SNG129" s="54"/>
      <c r="SNH129" s="54"/>
      <c r="SNI129" s="54"/>
      <c r="SNJ129" s="54"/>
      <c r="SNK129" s="54"/>
      <c r="SNL129" s="54"/>
      <c r="SNM129" s="54"/>
      <c r="SNN129" s="54"/>
      <c r="SNO129" s="54"/>
      <c r="SNP129" s="54"/>
      <c r="SNQ129" s="54"/>
      <c r="SNR129" s="54"/>
      <c r="SNS129" s="54"/>
      <c r="SNT129" s="54"/>
      <c r="SNU129" s="54"/>
      <c r="SNV129" s="54"/>
      <c r="SNW129" s="54"/>
      <c r="SNX129" s="54"/>
      <c r="SNY129" s="54"/>
      <c r="SNZ129" s="54"/>
      <c r="SOA129" s="54"/>
      <c r="SOB129" s="54"/>
      <c r="SOC129" s="54"/>
      <c r="SOD129" s="54"/>
      <c r="SOE129" s="54"/>
      <c r="SOF129" s="54"/>
      <c r="SOG129" s="54"/>
      <c r="SOH129" s="54"/>
      <c r="SOI129" s="54"/>
      <c r="SOJ129" s="54"/>
      <c r="SOK129" s="54"/>
      <c r="SOL129" s="54"/>
      <c r="SOM129" s="54"/>
      <c r="SON129" s="54"/>
      <c r="SOO129" s="54"/>
      <c r="SOP129" s="54"/>
      <c r="SOQ129" s="54"/>
      <c r="SOR129" s="54"/>
      <c r="SOS129" s="54"/>
      <c r="SOT129" s="54"/>
      <c r="SOU129" s="54"/>
      <c r="SOV129" s="54"/>
      <c r="SOW129" s="54"/>
      <c r="SOX129" s="54"/>
      <c r="SOY129" s="54"/>
      <c r="SOZ129" s="54"/>
      <c r="SPA129" s="54"/>
      <c r="SPB129" s="54"/>
      <c r="SPC129" s="54"/>
      <c r="SPD129" s="54"/>
      <c r="SPE129" s="54"/>
      <c r="SPF129" s="54"/>
      <c r="SPG129" s="54"/>
      <c r="SPH129" s="54"/>
      <c r="SPI129" s="54"/>
      <c r="SPJ129" s="54"/>
      <c r="SPK129" s="54"/>
      <c r="SPL129" s="54"/>
      <c r="SPM129" s="54"/>
      <c r="SPN129" s="54"/>
      <c r="SPO129" s="54"/>
      <c r="SPP129" s="54"/>
      <c r="SPQ129" s="54"/>
      <c r="SPR129" s="54"/>
      <c r="SPS129" s="54"/>
      <c r="SPT129" s="54"/>
      <c r="SPU129" s="54"/>
      <c r="SPV129" s="54"/>
      <c r="SPW129" s="54"/>
      <c r="SPX129" s="54"/>
      <c r="SPY129" s="54"/>
      <c r="SPZ129" s="54"/>
      <c r="SQA129" s="54"/>
      <c r="SQB129" s="54"/>
      <c r="SQC129" s="54"/>
      <c r="SQD129" s="54"/>
      <c r="SQE129" s="54"/>
      <c r="SQF129" s="54"/>
      <c r="SQG129" s="54"/>
      <c r="SQH129" s="54"/>
      <c r="SQI129" s="54"/>
      <c r="SQJ129" s="54"/>
      <c r="SQK129" s="54"/>
      <c r="SQL129" s="54"/>
      <c r="SQM129" s="54"/>
      <c r="SQN129" s="54"/>
      <c r="SQO129" s="54"/>
      <c r="SQP129" s="54"/>
      <c r="SQQ129" s="54"/>
      <c r="SQR129" s="54"/>
      <c r="SQS129" s="54"/>
      <c r="SQT129" s="54"/>
      <c r="SQU129" s="54"/>
      <c r="SQV129" s="54"/>
      <c r="SQW129" s="54"/>
      <c r="SQX129" s="54"/>
      <c r="SQY129" s="54"/>
      <c r="SQZ129" s="54"/>
      <c r="SRA129" s="54"/>
      <c r="SRB129" s="54"/>
      <c r="SRC129" s="54"/>
      <c r="SRD129" s="54"/>
      <c r="SRE129" s="54"/>
      <c r="SRF129" s="54"/>
      <c r="SRG129" s="54"/>
      <c r="SRH129" s="54"/>
      <c r="SRI129" s="54"/>
      <c r="SRJ129" s="54"/>
      <c r="SRK129" s="54"/>
      <c r="SRL129" s="54"/>
      <c r="SRM129" s="54"/>
      <c r="SRN129" s="54"/>
      <c r="SRO129" s="54"/>
      <c r="SRP129" s="54"/>
      <c r="SRQ129" s="54"/>
      <c r="SRR129" s="54"/>
      <c r="SRS129" s="54"/>
      <c r="SRT129" s="54"/>
      <c r="SRU129" s="54"/>
      <c r="SRV129" s="54"/>
      <c r="SRW129" s="54"/>
      <c r="SRX129" s="54"/>
      <c r="SRY129" s="54"/>
      <c r="SRZ129" s="54"/>
      <c r="SSA129" s="54"/>
      <c r="SSB129" s="54"/>
      <c r="SSC129" s="54"/>
      <c r="SSD129" s="54"/>
      <c r="SSE129" s="54"/>
      <c r="SSF129" s="54"/>
      <c r="SSG129" s="54"/>
      <c r="SSH129" s="54"/>
      <c r="SSI129" s="54"/>
      <c r="SSJ129" s="54"/>
      <c r="SSK129" s="54"/>
      <c r="SSL129" s="54"/>
      <c r="SSM129" s="54"/>
      <c r="SSN129" s="54"/>
      <c r="SSO129" s="54"/>
      <c r="SSP129" s="54"/>
      <c r="SSQ129" s="54"/>
      <c r="SSR129" s="54"/>
      <c r="SSS129" s="54"/>
      <c r="SST129" s="54"/>
      <c r="SSU129" s="54"/>
      <c r="SSV129" s="54"/>
      <c r="SSW129" s="54"/>
      <c r="SSX129" s="54"/>
      <c r="SSY129" s="54"/>
      <c r="SSZ129" s="54"/>
      <c r="STA129" s="54"/>
      <c r="STB129" s="54"/>
      <c r="STC129" s="54"/>
      <c r="STD129" s="54"/>
      <c r="STE129" s="54"/>
      <c r="STF129" s="54"/>
      <c r="STG129" s="54"/>
      <c r="STH129" s="54"/>
      <c r="STI129" s="54"/>
      <c r="STJ129" s="54"/>
      <c r="STK129" s="54"/>
      <c r="STL129" s="54"/>
      <c r="STM129" s="54"/>
      <c r="STN129" s="54"/>
      <c r="STO129" s="54"/>
      <c r="STP129" s="54"/>
      <c r="STQ129" s="54"/>
      <c r="STR129" s="54"/>
      <c r="STS129" s="54"/>
      <c r="STT129" s="54"/>
      <c r="STU129" s="54"/>
      <c r="STV129" s="54"/>
      <c r="STW129" s="54"/>
      <c r="STX129" s="54"/>
      <c r="STY129" s="54"/>
      <c r="STZ129" s="54"/>
      <c r="SUA129" s="54"/>
      <c r="SUB129" s="54"/>
      <c r="SUC129" s="54"/>
      <c r="SUD129" s="54"/>
      <c r="SUE129" s="54"/>
      <c r="SUF129" s="54"/>
      <c r="SUG129" s="54"/>
      <c r="SUH129" s="54"/>
      <c r="SUI129" s="54"/>
      <c r="SUJ129" s="54"/>
      <c r="SUK129" s="54"/>
      <c r="SUL129" s="54"/>
      <c r="SUM129" s="54"/>
      <c r="SUN129" s="54"/>
      <c r="SUO129" s="54"/>
      <c r="SUP129" s="54"/>
      <c r="SUQ129" s="54"/>
      <c r="SUR129" s="54"/>
      <c r="SUS129" s="54"/>
      <c r="SUT129" s="54"/>
      <c r="SUU129" s="54"/>
      <c r="SUV129" s="54"/>
      <c r="SUW129" s="54"/>
      <c r="SUX129" s="54"/>
      <c r="SUY129" s="54"/>
      <c r="SUZ129" s="54"/>
      <c r="SVA129" s="54"/>
      <c r="SVB129" s="54"/>
      <c r="SVC129" s="54"/>
      <c r="SVD129" s="54"/>
      <c r="SVE129" s="54"/>
      <c r="SVF129" s="54"/>
      <c r="SVG129" s="54"/>
      <c r="SVH129" s="54"/>
      <c r="SVI129" s="54"/>
      <c r="SVJ129" s="54"/>
      <c r="SVK129" s="54"/>
      <c r="SVL129" s="54"/>
      <c r="SVM129" s="54"/>
      <c r="SVN129" s="54"/>
      <c r="SVO129" s="54"/>
      <c r="SVP129" s="54"/>
      <c r="SVQ129" s="54"/>
      <c r="SVR129" s="54"/>
      <c r="SVS129" s="54"/>
      <c r="SVT129" s="54"/>
      <c r="SVU129" s="54"/>
      <c r="SVV129" s="54"/>
      <c r="SVW129" s="54"/>
      <c r="SVX129" s="54"/>
      <c r="SVY129" s="54"/>
      <c r="SVZ129" s="54"/>
      <c r="SWA129" s="54"/>
      <c r="SWB129" s="54"/>
      <c r="SWC129" s="54"/>
      <c r="SWD129" s="54"/>
      <c r="SWE129" s="54"/>
      <c r="SWF129" s="54"/>
      <c r="SWG129" s="54"/>
      <c r="SWH129" s="54"/>
      <c r="SWI129" s="54"/>
      <c r="SWJ129" s="54"/>
      <c r="SWK129" s="54"/>
      <c r="SWL129" s="54"/>
      <c r="SWM129" s="54"/>
      <c r="SWN129" s="54"/>
      <c r="SWO129" s="54"/>
      <c r="SWP129" s="54"/>
      <c r="SWQ129" s="54"/>
      <c r="SWR129" s="54"/>
      <c r="SWS129" s="54"/>
      <c r="SWT129" s="54"/>
      <c r="SWU129" s="54"/>
      <c r="SWV129" s="54"/>
      <c r="SWW129" s="54"/>
      <c r="SWX129" s="54"/>
      <c r="SWY129" s="54"/>
      <c r="SWZ129" s="54"/>
      <c r="SXA129" s="54"/>
      <c r="SXB129" s="54"/>
      <c r="SXC129" s="54"/>
      <c r="SXD129" s="54"/>
      <c r="SXE129" s="54"/>
      <c r="SXF129" s="54"/>
      <c r="SXG129" s="54"/>
      <c r="SXH129" s="54"/>
      <c r="SXI129" s="54"/>
      <c r="SXJ129" s="54"/>
      <c r="SXK129" s="54"/>
      <c r="SXL129" s="54"/>
      <c r="SXM129" s="54"/>
      <c r="SXN129" s="54"/>
      <c r="SXO129" s="54"/>
      <c r="SXP129" s="54"/>
      <c r="SXQ129" s="54"/>
      <c r="SXR129" s="54"/>
      <c r="SXS129" s="54"/>
      <c r="SXT129" s="54"/>
      <c r="SXU129" s="54"/>
      <c r="SXV129" s="54"/>
      <c r="SXW129" s="54"/>
      <c r="SXX129" s="54"/>
      <c r="SXY129" s="54"/>
      <c r="SXZ129" s="54"/>
      <c r="SYA129" s="54"/>
      <c r="SYB129" s="54"/>
      <c r="SYC129" s="54"/>
      <c r="SYD129" s="54"/>
      <c r="SYE129" s="54"/>
      <c r="SYF129" s="54"/>
      <c r="SYG129" s="54"/>
      <c r="SYH129" s="54"/>
      <c r="SYI129" s="54"/>
      <c r="SYJ129" s="54"/>
      <c r="SYK129" s="54"/>
      <c r="SYL129" s="54"/>
      <c r="SYM129" s="54"/>
      <c r="SYN129" s="54"/>
      <c r="SYO129" s="54"/>
      <c r="SYP129" s="54"/>
      <c r="SYQ129" s="54"/>
      <c r="SYR129" s="54"/>
      <c r="SYS129" s="54"/>
      <c r="SYT129" s="54"/>
      <c r="SYU129" s="54"/>
      <c r="SYV129" s="54"/>
      <c r="SYW129" s="54"/>
      <c r="SYX129" s="54"/>
      <c r="SYY129" s="54"/>
      <c r="SYZ129" s="54"/>
      <c r="SZA129" s="54"/>
      <c r="SZB129" s="54"/>
      <c r="SZC129" s="54"/>
      <c r="SZD129" s="54"/>
      <c r="SZE129" s="54"/>
      <c r="SZF129" s="54"/>
      <c r="SZG129" s="54"/>
      <c r="SZH129" s="54"/>
      <c r="SZI129" s="54"/>
      <c r="SZJ129" s="54"/>
      <c r="SZK129" s="54"/>
      <c r="SZL129" s="54"/>
      <c r="SZM129" s="54"/>
      <c r="SZN129" s="54"/>
      <c r="SZO129" s="54"/>
      <c r="SZP129" s="54"/>
      <c r="SZQ129" s="54"/>
      <c r="SZR129" s="54"/>
      <c r="SZS129" s="54"/>
      <c r="SZT129" s="54"/>
      <c r="SZU129" s="54"/>
      <c r="SZV129" s="54"/>
      <c r="SZW129" s="54"/>
      <c r="SZX129" s="54"/>
      <c r="SZY129" s="54"/>
      <c r="SZZ129" s="54"/>
      <c r="TAA129" s="54"/>
      <c r="TAB129" s="54"/>
      <c r="TAC129" s="54"/>
      <c r="TAD129" s="54"/>
      <c r="TAE129" s="54"/>
      <c r="TAF129" s="54"/>
      <c r="TAG129" s="54"/>
      <c r="TAH129" s="54"/>
      <c r="TAI129" s="54"/>
      <c r="TAJ129" s="54"/>
      <c r="TAK129" s="54"/>
      <c r="TAL129" s="54"/>
      <c r="TAM129" s="54"/>
      <c r="TAN129" s="54"/>
      <c r="TAO129" s="54"/>
      <c r="TAP129" s="54"/>
      <c r="TAQ129" s="54"/>
      <c r="TAR129" s="54"/>
      <c r="TAS129" s="54"/>
      <c r="TAT129" s="54"/>
      <c r="TAU129" s="54"/>
      <c r="TAV129" s="54"/>
      <c r="TAW129" s="54"/>
      <c r="TAX129" s="54"/>
      <c r="TAY129" s="54"/>
      <c r="TAZ129" s="54"/>
      <c r="TBA129" s="54"/>
      <c r="TBB129" s="54"/>
      <c r="TBC129" s="54"/>
      <c r="TBD129" s="54"/>
      <c r="TBE129" s="54"/>
      <c r="TBF129" s="54"/>
      <c r="TBG129" s="54"/>
      <c r="TBH129" s="54"/>
      <c r="TBI129" s="54"/>
      <c r="TBJ129" s="54"/>
      <c r="TBK129" s="54"/>
      <c r="TBL129" s="54"/>
      <c r="TBM129" s="54"/>
      <c r="TBN129" s="54"/>
      <c r="TBO129" s="54"/>
      <c r="TBP129" s="54"/>
      <c r="TBQ129" s="54"/>
      <c r="TBR129" s="54"/>
      <c r="TBS129" s="54"/>
      <c r="TBT129" s="54"/>
      <c r="TBU129" s="54"/>
      <c r="TBV129" s="54"/>
      <c r="TBW129" s="54"/>
      <c r="TBX129" s="54"/>
      <c r="TBY129" s="54"/>
      <c r="TBZ129" s="54"/>
      <c r="TCA129" s="54"/>
      <c r="TCB129" s="54"/>
      <c r="TCC129" s="54"/>
      <c r="TCD129" s="54"/>
      <c r="TCE129" s="54"/>
      <c r="TCF129" s="54"/>
      <c r="TCG129" s="54"/>
      <c r="TCH129" s="54"/>
      <c r="TCI129" s="54"/>
      <c r="TCJ129" s="54"/>
      <c r="TCK129" s="54"/>
      <c r="TCL129" s="54"/>
      <c r="TCM129" s="54"/>
      <c r="TCN129" s="54"/>
      <c r="TCO129" s="54"/>
      <c r="TCP129" s="54"/>
      <c r="TCQ129" s="54"/>
      <c r="TCR129" s="54"/>
      <c r="TCS129" s="54"/>
      <c r="TCT129" s="54"/>
      <c r="TCU129" s="54"/>
      <c r="TCV129" s="54"/>
      <c r="TCW129" s="54"/>
      <c r="TCX129" s="54"/>
      <c r="TCY129" s="54"/>
      <c r="TCZ129" s="54"/>
      <c r="TDA129" s="54"/>
      <c r="TDB129" s="54"/>
      <c r="TDC129" s="54"/>
      <c r="TDD129" s="54"/>
      <c r="TDE129" s="54"/>
      <c r="TDF129" s="54"/>
      <c r="TDG129" s="54"/>
      <c r="TDH129" s="54"/>
      <c r="TDI129" s="54"/>
      <c r="TDJ129" s="54"/>
      <c r="TDK129" s="54"/>
      <c r="TDL129" s="54"/>
      <c r="TDM129" s="54"/>
      <c r="TDN129" s="54"/>
      <c r="TDO129" s="54"/>
      <c r="TDP129" s="54"/>
      <c r="TDQ129" s="54"/>
      <c r="TDR129" s="54"/>
      <c r="TDS129" s="54"/>
      <c r="TDT129" s="54"/>
      <c r="TDU129" s="54"/>
      <c r="TDV129" s="54"/>
      <c r="TDW129" s="54"/>
      <c r="TDX129" s="54"/>
      <c r="TDY129" s="54"/>
      <c r="TDZ129" s="54"/>
      <c r="TEA129" s="54"/>
      <c r="TEB129" s="54"/>
      <c r="TEC129" s="54"/>
      <c r="TED129" s="54"/>
      <c r="TEE129" s="54"/>
      <c r="TEF129" s="54"/>
      <c r="TEG129" s="54"/>
      <c r="TEH129" s="54"/>
      <c r="TEI129" s="54"/>
      <c r="TEJ129" s="54"/>
      <c r="TEK129" s="54"/>
      <c r="TEL129" s="54"/>
      <c r="TEM129" s="54"/>
      <c r="TEN129" s="54"/>
      <c r="TEO129" s="54"/>
      <c r="TEP129" s="54"/>
      <c r="TEQ129" s="54"/>
      <c r="TER129" s="54"/>
      <c r="TES129" s="54"/>
      <c r="TET129" s="54"/>
      <c r="TEU129" s="54"/>
      <c r="TEV129" s="54"/>
      <c r="TEW129" s="54"/>
      <c r="TEX129" s="54"/>
      <c r="TEY129" s="54"/>
      <c r="TEZ129" s="54"/>
      <c r="TFA129" s="54"/>
      <c r="TFB129" s="54"/>
      <c r="TFC129" s="54"/>
      <c r="TFD129" s="54"/>
      <c r="TFE129" s="54"/>
      <c r="TFF129" s="54"/>
      <c r="TFG129" s="54"/>
      <c r="TFH129" s="54"/>
      <c r="TFI129" s="54"/>
      <c r="TFJ129" s="54"/>
      <c r="TFK129" s="54"/>
      <c r="TFL129" s="54"/>
      <c r="TFM129" s="54"/>
      <c r="TFN129" s="54"/>
      <c r="TFO129" s="54"/>
      <c r="TFP129" s="54"/>
      <c r="TFQ129" s="54"/>
      <c r="TFR129" s="54"/>
      <c r="TFS129" s="54"/>
      <c r="TFT129" s="54"/>
      <c r="TFU129" s="54"/>
      <c r="TFV129" s="54"/>
      <c r="TFW129" s="54"/>
      <c r="TFX129" s="54"/>
      <c r="TFY129" s="54"/>
      <c r="TFZ129" s="54"/>
      <c r="TGA129" s="54"/>
      <c r="TGB129" s="54"/>
      <c r="TGC129" s="54"/>
      <c r="TGD129" s="54"/>
      <c r="TGE129" s="54"/>
      <c r="TGF129" s="54"/>
      <c r="TGG129" s="54"/>
      <c r="TGH129" s="54"/>
      <c r="TGI129" s="54"/>
      <c r="TGJ129" s="54"/>
      <c r="TGK129" s="54"/>
      <c r="TGL129" s="54"/>
      <c r="TGM129" s="54"/>
      <c r="TGN129" s="54"/>
      <c r="TGO129" s="54"/>
      <c r="TGP129" s="54"/>
      <c r="TGQ129" s="54"/>
      <c r="TGR129" s="54"/>
      <c r="TGS129" s="54"/>
      <c r="TGT129" s="54"/>
      <c r="TGU129" s="54"/>
      <c r="TGV129" s="54"/>
      <c r="TGW129" s="54"/>
      <c r="TGX129" s="54"/>
      <c r="TGY129" s="54"/>
      <c r="TGZ129" s="54"/>
      <c r="THA129" s="54"/>
      <c r="THB129" s="54"/>
      <c r="THC129" s="54"/>
      <c r="THD129" s="54"/>
      <c r="THE129" s="54"/>
      <c r="THF129" s="54"/>
      <c r="THG129" s="54"/>
      <c r="THH129" s="54"/>
      <c r="THI129" s="54"/>
      <c r="THJ129" s="54"/>
      <c r="THK129" s="54"/>
      <c r="THL129" s="54"/>
      <c r="THM129" s="54"/>
      <c r="THN129" s="54"/>
      <c r="THO129" s="54"/>
      <c r="THP129" s="54"/>
      <c r="THQ129" s="54"/>
      <c r="THR129" s="54"/>
      <c r="THS129" s="54"/>
      <c r="THT129" s="54"/>
      <c r="THU129" s="54"/>
      <c r="THV129" s="54"/>
      <c r="THW129" s="54"/>
      <c r="THX129" s="54"/>
      <c r="THY129" s="54"/>
      <c r="THZ129" s="54"/>
      <c r="TIA129" s="54"/>
      <c r="TIB129" s="54"/>
      <c r="TIC129" s="54"/>
      <c r="TID129" s="54"/>
      <c r="TIE129" s="54"/>
      <c r="TIF129" s="54"/>
      <c r="TIG129" s="54"/>
      <c r="TIH129" s="54"/>
      <c r="TII129" s="54"/>
      <c r="TIJ129" s="54"/>
      <c r="TIK129" s="54"/>
      <c r="TIL129" s="54"/>
      <c r="TIM129" s="54"/>
      <c r="TIN129" s="54"/>
      <c r="TIO129" s="54"/>
      <c r="TIP129" s="54"/>
      <c r="TIQ129" s="54"/>
      <c r="TIR129" s="54"/>
      <c r="TIS129" s="54"/>
      <c r="TIT129" s="54"/>
      <c r="TIU129" s="54"/>
      <c r="TIV129" s="54"/>
      <c r="TIW129" s="54"/>
      <c r="TIX129" s="54"/>
      <c r="TIY129" s="54"/>
      <c r="TIZ129" s="54"/>
      <c r="TJA129" s="54"/>
      <c r="TJB129" s="54"/>
      <c r="TJC129" s="54"/>
      <c r="TJD129" s="54"/>
      <c r="TJE129" s="54"/>
      <c r="TJF129" s="54"/>
      <c r="TJG129" s="54"/>
      <c r="TJH129" s="54"/>
      <c r="TJI129" s="54"/>
      <c r="TJJ129" s="54"/>
      <c r="TJK129" s="54"/>
      <c r="TJL129" s="54"/>
      <c r="TJM129" s="54"/>
      <c r="TJN129" s="54"/>
      <c r="TJO129" s="54"/>
      <c r="TJP129" s="54"/>
      <c r="TJQ129" s="54"/>
      <c r="TJR129" s="54"/>
      <c r="TJS129" s="54"/>
      <c r="TJT129" s="54"/>
      <c r="TJU129" s="54"/>
      <c r="TJV129" s="54"/>
      <c r="TJW129" s="54"/>
      <c r="TJX129" s="54"/>
      <c r="TJY129" s="54"/>
      <c r="TJZ129" s="54"/>
      <c r="TKA129" s="54"/>
      <c r="TKB129" s="54"/>
      <c r="TKC129" s="54"/>
      <c r="TKD129" s="54"/>
      <c r="TKE129" s="54"/>
      <c r="TKF129" s="54"/>
      <c r="TKG129" s="54"/>
      <c r="TKH129" s="54"/>
      <c r="TKI129" s="54"/>
      <c r="TKJ129" s="54"/>
      <c r="TKK129" s="54"/>
      <c r="TKL129" s="54"/>
      <c r="TKM129" s="54"/>
      <c r="TKN129" s="54"/>
      <c r="TKO129" s="54"/>
      <c r="TKP129" s="54"/>
      <c r="TKQ129" s="54"/>
      <c r="TKR129" s="54"/>
      <c r="TKS129" s="54"/>
      <c r="TKT129" s="54"/>
      <c r="TKU129" s="54"/>
      <c r="TKV129" s="54"/>
      <c r="TKW129" s="54"/>
      <c r="TKX129" s="54"/>
      <c r="TKY129" s="54"/>
      <c r="TKZ129" s="54"/>
      <c r="TLA129" s="54"/>
      <c r="TLB129" s="54"/>
      <c r="TLC129" s="54"/>
      <c r="TLD129" s="54"/>
      <c r="TLE129" s="54"/>
      <c r="TLF129" s="54"/>
      <c r="TLG129" s="54"/>
      <c r="TLH129" s="54"/>
      <c r="TLI129" s="54"/>
      <c r="TLJ129" s="54"/>
      <c r="TLK129" s="54"/>
      <c r="TLL129" s="54"/>
      <c r="TLM129" s="54"/>
      <c r="TLN129" s="54"/>
      <c r="TLO129" s="54"/>
      <c r="TLP129" s="54"/>
      <c r="TLQ129" s="54"/>
      <c r="TLR129" s="54"/>
      <c r="TLS129" s="54"/>
      <c r="TLT129" s="54"/>
      <c r="TLU129" s="54"/>
      <c r="TLV129" s="54"/>
      <c r="TLW129" s="54"/>
      <c r="TLX129" s="54"/>
      <c r="TLY129" s="54"/>
      <c r="TLZ129" s="54"/>
      <c r="TMA129" s="54"/>
      <c r="TMB129" s="54"/>
      <c r="TMC129" s="54"/>
      <c r="TMD129" s="54"/>
      <c r="TME129" s="54"/>
      <c r="TMF129" s="54"/>
      <c r="TMG129" s="54"/>
      <c r="TMH129" s="54"/>
      <c r="TMI129" s="54"/>
      <c r="TMJ129" s="54"/>
      <c r="TMK129" s="54"/>
      <c r="TML129" s="54"/>
      <c r="TMM129" s="54"/>
      <c r="TMN129" s="54"/>
      <c r="TMO129" s="54"/>
      <c r="TMP129" s="54"/>
      <c r="TMQ129" s="54"/>
      <c r="TMR129" s="54"/>
      <c r="TMS129" s="54"/>
      <c r="TMT129" s="54"/>
      <c r="TMU129" s="54"/>
      <c r="TMV129" s="54"/>
      <c r="TMW129" s="54"/>
      <c r="TMX129" s="54"/>
      <c r="TMY129" s="54"/>
      <c r="TMZ129" s="54"/>
      <c r="TNA129" s="54"/>
      <c r="TNB129" s="54"/>
      <c r="TNC129" s="54"/>
      <c r="TND129" s="54"/>
      <c r="TNE129" s="54"/>
      <c r="TNF129" s="54"/>
      <c r="TNG129" s="54"/>
      <c r="TNH129" s="54"/>
      <c r="TNI129" s="54"/>
      <c r="TNJ129" s="54"/>
      <c r="TNK129" s="54"/>
      <c r="TNL129" s="54"/>
      <c r="TNM129" s="54"/>
      <c r="TNN129" s="54"/>
      <c r="TNO129" s="54"/>
      <c r="TNP129" s="54"/>
      <c r="TNQ129" s="54"/>
      <c r="TNR129" s="54"/>
      <c r="TNS129" s="54"/>
      <c r="TNT129" s="54"/>
      <c r="TNU129" s="54"/>
      <c r="TNV129" s="54"/>
      <c r="TNW129" s="54"/>
      <c r="TNX129" s="54"/>
      <c r="TNY129" s="54"/>
      <c r="TNZ129" s="54"/>
      <c r="TOA129" s="54"/>
      <c r="TOB129" s="54"/>
      <c r="TOC129" s="54"/>
      <c r="TOD129" s="54"/>
      <c r="TOE129" s="54"/>
      <c r="TOF129" s="54"/>
      <c r="TOG129" s="54"/>
      <c r="TOH129" s="54"/>
      <c r="TOI129" s="54"/>
      <c r="TOJ129" s="54"/>
      <c r="TOK129" s="54"/>
      <c r="TOL129" s="54"/>
      <c r="TOM129" s="54"/>
      <c r="TON129" s="54"/>
      <c r="TOO129" s="54"/>
      <c r="TOP129" s="54"/>
      <c r="TOQ129" s="54"/>
      <c r="TOR129" s="54"/>
      <c r="TOS129" s="54"/>
      <c r="TOT129" s="54"/>
      <c r="TOU129" s="54"/>
      <c r="TOV129" s="54"/>
      <c r="TOW129" s="54"/>
      <c r="TOX129" s="54"/>
      <c r="TOY129" s="54"/>
      <c r="TOZ129" s="54"/>
      <c r="TPA129" s="54"/>
      <c r="TPB129" s="54"/>
      <c r="TPC129" s="54"/>
      <c r="TPD129" s="54"/>
      <c r="TPE129" s="54"/>
      <c r="TPF129" s="54"/>
      <c r="TPG129" s="54"/>
      <c r="TPH129" s="54"/>
      <c r="TPI129" s="54"/>
      <c r="TPJ129" s="54"/>
      <c r="TPK129" s="54"/>
      <c r="TPL129" s="54"/>
      <c r="TPM129" s="54"/>
      <c r="TPN129" s="54"/>
      <c r="TPO129" s="54"/>
      <c r="TPP129" s="54"/>
      <c r="TPQ129" s="54"/>
      <c r="TPR129" s="54"/>
      <c r="TPS129" s="54"/>
      <c r="TPT129" s="54"/>
      <c r="TPU129" s="54"/>
      <c r="TPV129" s="54"/>
      <c r="TPW129" s="54"/>
      <c r="TPX129" s="54"/>
      <c r="TPY129" s="54"/>
      <c r="TPZ129" s="54"/>
      <c r="TQA129" s="54"/>
      <c r="TQB129" s="54"/>
      <c r="TQC129" s="54"/>
      <c r="TQD129" s="54"/>
      <c r="TQE129" s="54"/>
      <c r="TQF129" s="54"/>
      <c r="TQG129" s="54"/>
      <c r="TQH129" s="54"/>
      <c r="TQI129" s="54"/>
      <c r="TQJ129" s="54"/>
      <c r="TQK129" s="54"/>
      <c r="TQL129" s="54"/>
      <c r="TQM129" s="54"/>
      <c r="TQN129" s="54"/>
      <c r="TQO129" s="54"/>
      <c r="TQP129" s="54"/>
      <c r="TQQ129" s="54"/>
      <c r="TQR129" s="54"/>
      <c r="TQS129" s="54"/>
      <c r="TQT129" s="54"/>
      <c r="TQU129" s="54"/>
      <c r="TQV129" s="54"/>
      <c r="TQW129" s="54"/>
      <c r="TQX129" s="54"/>
      <c r="TQY129" s="54"/>
      <c r="TQZ129" s="54"/>
      <c r="TRA129" s="54"/>
      <c r="TRB129" s="54"/>
      <c r="TRC129" s="54"/>
      <c r="TRD129" s="54"/>
      <c r="TRE129" s="54"/>
      <c r="TRF129" s="54"/>
      <c r="TRG129" s="54"/>
      <c r="TRH129" s="54"/>
      <c r="TRI129" s="54"/>
      <c r="TRJ129" s="54"/>
      <c r="TRK129" s="54"/>
      <c r="TRL129" s="54"/>
      <c r="TRM129" s="54"/>
      <c r="TRN129" s="54"/>
      <c r="TRO129" s="54"/>
      <c r="TRP129" s="54"/>
      <c r="TRQ129" s="54"/>
      <c r="TRR129" s="54"/>
      <c r="TRS129" s="54"/>
      <c r="TRT129" s="54"/>
      <c r="TRU129" s="54"/>
      <c r="TRV129" s="54"/>
      <c r="TRW129" s="54"/>
      <c r="TRX129" s="54"/>
      <c r="TRY129" s="54"/>
      <c r="TRZ129" s="54"/>
      <c r="TSA129" s="54"/>
      <c r="TSB129" s="54"/>
      <c r="TSC129" s="54"/>
      <c r="TSD129" s="54"/>
      <c r="TSE129" s="54"/>
      <c r="TSF129" s="54"/>
      <c r="TSG129" s="54"/>
      <c r="TSH129" s="54"/>
      <c r="TSI129" s="54"/>
      <c r="TSJ129" s="54"/>
      <c r="TSK129" s="54"/>
      <c r="TSL129" s="54"/>
      <c r="TSM129" s="54"/>
      <c r="TSN129" s="54"/>
      <c r="TSO129" s="54"/>
      <c r="TSP129" s="54"/>
      <c r="TSQ129" s="54"/>
      <c r="TSR129" s="54"/>
      <c r="TSS129" s="54"/>
      <c r="TST129" s="54"/>
      <c r="TSU129" s="54"/>
      <c r="TSV129" s="54"/>
      <c r="TSW129" s="54"/>
      <c r="TSX129" s="54"/>
      <c r="TSY129" s="54"/>
      <c r="TSZ129" s="54"/>
      <c r="TTA129" s="54"/>
      <c r="TTB129" s="54"/>
      <c r="TTC129" s="54"/>
      <c r="TTD129" s="54"/>
      <c r="TTE129" s="54"/>
      <c r="TTF129" s="54"/>
      <c r="TTG129" s="54"/>
      <c r="TTH129" s="54"/>
      <c r="TTI129" s="54"/>
      <c r="TTJ129" s="54"/>
      <c r="TTK129" s="54"/>
      <c r="TTL129" s="54"/>
      <c r="TTM129" s="54"/>
      <c r="TTN129" s="54"/>
      <c r="TTO129" s="54"/>
      <c r="TTP129" s="54"/>
      <c r="TTQ129" s="54"/>
      <c r="TTR129" s="54"/>
      <c r="TTS129" s="54"/>
      <c r="TTT129" s="54"/>
      <c r="TTU129" s="54"/>
      <c r="TTV129" s="54"/>
      <c r="TTW129" s="54"/>
      <c r="TTX129" s="54"/>
      <c r="TTY129" s="54"/>
      <c r="TTZ129" s="54"/>
      <c r="TUA129" s="54"/>
      <c r="TUB129" s="54"/>
      <c r="TUC129" s="54"/>
      <c r="TUD129" s="54"/>
      <c r="TUE129" s="54"/>
      <c r="TUF129" s="54"/>
      <c r="TUG129" s="54"/>
      <c r="TUH129" s="54"/>
      <c r="TUI129" s="54"/>
      <c r="TUJ129" s="54"/>
      <c r="TUK129" s="54"/>
      <c r="TUL129" s="54"/>
      <c r="TUM129" s="54"/>
      <c r="TUN129" s="54"/>
      <c r="TUO129" s="54"/>
      <c r="TUP129" s="54"/>
      <c r="TUQ129" s="54"/>
      <c r="TUR129" s="54"/>
      <c r="TUS129" s="54"/>
      <c r="TUT129" s="54"/>
      <c r="TUU129" s="54"/>
      <c r="TUV129" s="54"/>
      <c r="TUW129" s="54"/>
      <c r="TUX129" s="54"/>
      <c r="TUY129" s="54"/>
      <c r="TUZ129" s="54"/>
      <c r="TVA129" s="54"/>
      <c r="TVB129" s="54"/>
      <c r="TVC129" s="54"/>
      <c r="TVD129" s="54"/>
      <c r="TVE129" s="54"/>
      <c r="TVF129" s="54"/>
      <c r="TVG129" s="54"/>
      <c r="TVH129" s="54"/>
      <c r="TVI129" s="54"/>
      <c r="TVJ129" s="54"/>
      <c r="TVK129" s="54"/>
      <c r="TVL129" s="54"/>
      <c r="TVM129" s="54"/>
      <c r="TVN129" s="54"/>
      <c r="TVO129" s="54"/>
      <c r="TVP129" s="54"/>
      <c r="TVQ129" s="54"/>
      <c r="TVR129" s="54"/>
      <c r="TVS129" s="54"/>
      <c r="TVT129" s="54"/>
      <c r="TVU129" s="54"/>
      <c r="TVV129" s="54"/>
      <c r="TVW129" s="54"/>
      <c r="TVX129" s="54"/>
      <c r="TVY129" s="54"/>
      <c r="TVZ129" s="54"/>
      <c r="TWA129" s="54"/>
      <c r="TWB129" s="54"/>
      <c r="TWC129" s="54"/>
      <c r="TWD129" s="54"/>
      <c r="TWE129" s="54"/>
      <c r="TWF129" s="54"/>
      <c r="TWG129" s="54"/>
      <c r="TWH129" s="54"/>
      <c r="TWI129" s="54"/>
      <c r="TWJ129" s="54"/>
      <c r="TWK129" s="54"/>
      <c r="TWL129" s="54"/>
      <c r="TWM129" s="54"/>
      <c r="TWN129" s="54"/>
      <c r="TWO129" s="54"/>
      <c r="TWP129" s="54"/>
      <c r="TWQ129" s="54"/>
      <c r="TWR129" s="54"/>
      <c r="TWS129" s="54"/>
      <c r="TWT129" s="54"/>
      <c r="TWU129" s="54"/>
      <c r="TWV129" s="54"/>
      <c r="TWW129" s="54"/>
      <c r="TWX129" s="54"/>
      <c r="TWY129" s="54"/>
      <c r="TWZ129" s="54"/>
      <c r="TXA129" s="54"/>
      <c r="TXB129" s="54"/>
      <c r="TXC129" s="54"/>
      <c r="TXD129" s="54"/>
      <c r="TXE129" s="54"/>
      <c r="TXF129" s="54"/>
      <c r="TXG129" s="54"/>
      <c r="TXH129" s="54"/>
      <c r="TXI129" s="54"/>
      <c r="TXJ129" s="54"/>
      <c r="TXK129" s="54"/>
      <c r="TXL129" s="54"/>
      <c r="TXM129" s="54"/>
      <c r="TXN129" s="54"/>
      <c r="TXO129" s="54"/>
      <c r="TXP129" s="54"/>
      <c r="TXQ129" s="54"/>
      <c r="TXR129" s="54"/>
      <c r="TXS129" s="54"/>
      <c r="TXT129" s="54"/>
      <c r="TXU129" s="54"/>
      <c r="TXV129" s="54"/>
      <c r="TXW129" s="54"/>
      <c r="TXX129" s="54"/>
      <c r="TXY129" s="54"/>
      <c r="TXZ129" s="54"/>
      <c r="TYA129" s="54"/>
      <c r="TYB129" s="54"/>
      <c r="TYC129" s="54"/>
      <c r="TYD129" s="54"/>
      <c r="TYE129" s="54"/>
      <c r="TYF129" s="54"/>
      <c r="TYG129" s="54"/>
      <c r="TYH129" s="54"/>
      <c r="TYI129" s="54"/>
      <c r="TYJ129" s="54"/>
      <c r="TYK129" s="54"/>
      <c r="TYL129" s="54"/>
      <c r="TYM129" s="54"/>
      <c r="TYN129" s="54"/>
      <c r="TYO129" s="54"/>
      <c r="TYP129" s="54"/>
      <c r="TYQ129" s="54"/>
      <c r="TYR129" s="54"/>
      <c r="TYS129" s="54"/>
      <c r="TYT129" s="54"/>
      <c r="TYU129" s="54"/>
      <c r="TYV129" s="54"/>
      <c r="TYW129" s="54"/>
      <c r="TYX129" s="54"/>
      <c r="TYY129" s="54"/>
      <c r="TYZ129" s="54"/>
      <c r="TZA129" s="54"/>
      <c r="TZB129" s="54"/>
      <c r="TZC129" s="54"/>
      <c r="TZD129" s="54"/>
      <c r="TZE129" s="54"/>
      <c r="TZF129" s="54"/>
      <c r="TZG129" s="54"/>
      <c r="TZH129" s="54"/>
      <c r="TZI129" s="54"/>
      <c r="TZJ129" s="54"/>
      <c r="TZK129" s="54"/>
      <c r="TZL129" s="54"/>
      <c r="TZM129" s="54"/>
      <c r="TZN129" s="54"/>
      <c r="TZO129" s="54"/>
      <c r="TZP129" s="54"/>
      <c r="TZQ129" s="54"/>
      <c r="TZR129" s="54"/>
      <c r="TZS129" s="54"/>
      <c r="TZT129" s="54"/>
      <c r="TZU129" s="54"/>
      <c r="TZV129" s="54"/>
      <c r="TZW129" s="54"/>
      <c r="TZX129" s="54"/>
      <c r="TZY129" s="54"/>
      <c r="TZZ129" s="54"/>
      <c r="UAA129" s="54"/>
      <c r="UAB129" s="54"/>
      <c r="UAC129" s="54"/>
      <c r="UAD129" s="54"/>
      <c r="UAE129" s="54"/>
      <c r="UAF129" s="54"/>
      <c r="UAG129" s="54"/>
      <c r="UAH129" s="54"/>
      <c r="UAI129" s="54"/>
      <c r="UAJ129" s="54"/>
      <c r="UAK129" s="54"/>
      <c r="UAL129" s="54"/>
      <c r="UAM129" s="54"/>
      <c r="UAN129" s="54"/>
      <c r="UAO129" s="54"/>
      <c r="UAP129" s="54"/>
      <c r="UAQ129" s="54"/>
      <c r="UAR129" s="54"/>
      <c r="UAS129" s="54"/>
      <c r="UAT129" s="54"/>
      <c r="UAU129" s="54"/>
      <c r="UAV129" s="54"/>
      <c r="UAW129" s="54"/>
      <c r="UAX129" s="54"/>
      <c r="UAY129" s="54"/>
      <c r="UAZ129" s="54"/>
      <c r="UBA129" s="54"/>
      <c r="UBB129" s="54"/>
      <c r="UBC129" s="54"/>
      <c r="UBD129" s="54"/>
      <c r="UBE129" s="54"/>
      <c r="UBF129" s="54"/>
      <c r="UBG129" s="54"/>
      <c r="UBH129" s="54"/>
      <c r="UBI129" s="54"/>
      <c r="UBJ129" s="54"/>
      <c r="UBK129" s="54"/>
      <c r="UBL129" s="54"/>
      <c r="UBM129" s="54"/>
      <c r="UBN129" s="54"/>
      <c r="UBO129" s="54"/>
      <c r="UBP129" s="54"/>
      <c r="UBQ129" s="54"/>
      <c r="UBR129" s="54"/>
      <c r="UBS129" s="54"/>
      <c r="UBT129" s="54"/>
      <c r="UBU129" s="54"/>
      <c r="UBV129" s="54"/>
      <c r="UBW129" s="54"/>
      <c r="UBX129" s="54"/>
      <c r="UBY129" s="54"/>
      <c r="UBZ129" s="54"/>
      <c r="UCA129" s="54"/>
      <c r="UCB129" s="54"/>
      <c r="UCC129" s="54"/>
      <c r="UCD129" s="54"/>
      <c r="UCE129" s="54"/>
      <c r="UCF129" s="54"/>
      <c r="UCG129" s="54"/>
      <c r="UCH129" s="54"/>
      <c r="UCI129" s="54"/>
      <c r="UCJ129" s="54"/>
      <c r="UCK129" s="54"/>
      <c r="UCL129" s="54"/>
      <c r="UCM129" s="54"/>
      <c r="UCN129" s="54"/>
      <c r="UCO129" s="54"/>
      <c r="UCP129" s="54"/>
      <c r="UCQ129" s="54"/>
      <c r="UCR129" s="54"/>
      <c r="UCS129" s="54"/>
      <c r="UCT129" s="54"/>
      <c r="UCU129" s="54"/>
      <c r="UCV129" s="54"/>
      <c r="UCW129" s="54"/>
      <c r="UCX129" s="54"/>
      <c r="UCY129" s="54"/>
      <c r="UCZ129" s="54"/>
      <c r="UDA129" s="54"/>
      <c r="UDB129" s="54"/>
      <c r="UDC129" s="54"/>
      <c r="UDD129" s="54"/>
      <c r="UDE129" s="54"/>
      <c r="UDF129" s="54"/>
      <c r="UDG129" s="54"/>
      <c r="UDH129" s="54"/>
      <c r="UDI129" s="54"/>
      <c r="UDJ129" s="54"/>
      <c r="UDK129" s="54"/>
      <c r="UDL129" s="54"/>
      <c r="UDM129" s="54"/>
      <c r="UDN129" s="54"/>
      <c r="UDO129" s="54"/>
      <c r="UDP129" s="54"/>
      <c r="UDQ129" s="54"/>
      <c r="UDR129" s="54"/>
      <c r="UDS129" s="54"/>
      <c r="UDT129" s="54"/>
      <c r="UDU129" s="54"/>
      <c r="UDV129" s="54"/>
      <c r="UDW129" s="54"/>
      <c r="UDX129" s="54"/>
      <c r="UDY129" s="54"/>
      <c r="UDZ129" s="54"/>
      <c r="UEA129" s="54"/>
      <c r="UEB129" s="54"/>
      <c r="UEC129" s="54"/>
      <c r="UED129" s="54"/>
      <c r="UEE129" s="54"/>
      <c r="UEF129" s="54"/>
      <c r="UEG129" s="54"/>
      <c r="UEH129" s="54"/>
      <c r="UEI129" s="54"/>
      <c r="UEJ129" s="54"/>
      <c r="UEK129" s="54"/>
      <c r="UEL129" s="54"/>
      <c r="UEM129" s="54"/>
      <c r="UEN129" s="54"/>
      <c r="UEO129" s="54"/>
      <c r="UEP129" s="54"/>
      <c r="UEQ129" s="54"/>
      <c r="UER129" s="54"/>
      <c r="UES129" s="54"/>
      <c r="UET129" s="54"/>
      <c r="UEU129" s="54"/>
      <c r="UEV129" s="54"/>
      <c r="UEW129" s="54"/>
      <c r="UEX129" s="54"/>
      <c r="UEY129" s="54"/>
      <c r="UEZ129" s="54"/>
      <c r="UFA129" s="54"/>
      <c r="UFB129" s="54"/>
      <c r="UFC129" s="54"/>
      <c r="UFD129" s="54"/>
      <c r="UFE129" s="54"/>
      <c r="UFF129" s="54"/>
      <c r="UFG129" s="54"/>
      <c r="UFH129" s="54"/>
      <c r="UFI129" s="54"/>
      <c r="UFJ129" s="54"/>
      <c r="UFK129" s="54"/>
      <c r="UFL129" s="54"/>
      <c r="UFM129" s="54"/>
      <c r="UFN129" s="54"/>
      <c r="UFO129" s="54"/>
      <c r="UFP129" s="54"/>
      <c r="UFQ129" s="54"/>
      <c r="UFR129" s="54"/>
      <c r="UFS129" s="54"/>
      <c r="UFT129" s="54"/>
      <c r="UFU129" s="54"/>
      <c r="UFV129" s="54"/>
      <c r="UFW129" s="54"/>
      <c r="UFX129" s="54"/>
      <c r="UFY129" s="54"/>
      <c r="UFZ129" s="54"/>
      <c r="UGA129" s="54"/>
      <c r="UGB129" s="54"/>
      <c r="UGC129" s="54"/>
      <c r="UGD129" s="54"/>
      <c r="UGE129" s="54"/>
      <c r="UGF129" s="54"/>
      <c r="UGG129" s="54"/>
      <c r="UGH129" s="54"/>
      <c r="UGI129" s="54"/>
      <c r="UGJ129" s="54"/>
      <c r="UGK129" s="54"/>
      <c r="UGL129" s="54"/>
      <c r="UGM129" s="54"/>
      <c r="UGN129" s="54"/>
      <c r="UGO129" s="54"/>
      <c r="UGP129" s="54"/>
      <c r="UGQ129" s="54"/>
      <c r="UGR129" s="54"/>
      <c r="UGS129" s="54"/>
      <c r="UGT129" s="54"/>
      <c r="UGU129" s="54"/>
      <c r="UGV129" s="54"/>
      <c r="UGW129" s="54"/>
      <c r="UGX129" s="54"/>
      <c r="UGY129" s="54"/>
      <c r="UGZ129" s="54"/>
      <c r="UHA129" s="54"/>
      <c r="UHB129" s="54"/>
      <c r="UHC129" s="54"/>
      <c r="UHD129" s="54"/>
      <c r="UHE129" s="54"/>
      <c r="UHF129" s="54"/>
      <c r="UHG129" s="54"/>
      <c r="UHH129" s="54"/>
      <c r="UHI129" s="54"/>
      <c r="UHJ129" s="54"/>
      <c r="UHK129" s="54"/>
      <c r="UHL129" s="54"/>
      <c r="UHM129" s="54"/>
      <c r="UHN129" s="54"/>
      <c r="UHO129" s="54"/>
      <c r="UHP129" s="54"/>
      <c r="UHQ129" s="54"/>
      <c r="UHR129" s="54"/>
      <c r="UHS129" s="54"/>
      <c r="UHT129" s="54"/>
      <c r="UHU129" s="54"/>
      <c r="UHV129" s="54"/>
      <c r="UHW129" s="54"/>
      <c r="UHX129" s="54"/>
      <c r="UHY129" s="54"/>
      <c r="UHZ129" s="54"/>
      <c r="UIA129" s="54"/>
      <c r="UIB129" s="54"/>
      <c r="UIC129" s="54"/>
      <c r="UID129" s="54"/>
      <c r="UIE129" s="54"/>
      <c r="UIF129" s="54"/>
      <c r="UIG129" s="54"/>
      <c r="UIH129" s="54"/>
      <c r="UII129" s="54"/>
      <c r="UIJ129" s="54"/>
      <c r="UIK129" s="54"/>
      <c r="UIL129" s="54"/>
      <c r="UIM129" s="54"/>
      <c r="UIN129" s="54"/>
      <c r="UIO129" s="54"/>
      <c r="UIP129" s="54"/>
      <c r="UIQ129" s="54"/>
      <c r="UIR129" s="54"/>
      <c r="UIS129" s="54"/>
      <c r="UIT129" s="54"/>
      <c r="UIU129" s="54"/>
      <c r="UIV129" s="54"/>
      <c r="UIW129" s="54"/>
      <c r="UIX129" s="54"/>
      <c r="UIY129" s="54"/>
      <c r="UIZ129" s="54"/>
      <c r="UJA129" s="54"/>
      <c r="UJB129" s="54"/>
      <c r="UJC129" s="54"/>
      <c r="UJD129" s="54"/>
      <c r="UJE129" s="54"/>
      <c r="UJF129" s="54"/>
      <c r="UJG129" s="54"/>
      <c r="UJH129" s="54"/>
      <c r="UJI129" s="54"/>
      <c r="UJJ129" s="54"/>
      <c r="UJK129" s="54"/>
      <c r="UJL129" s="54"/>
      <c r="UJM129" s="54"/>
      <c r="UJN129" s="54"/>
      <c r="UJO129" s="54"/>
      <c r="UJP129" s="54"/>
      <c r="UJQ129" s="54"/>
      <c r="UJR129" s="54"/>
      <c r="UJS129" s="54"/>
      <c r="UJT129" s="54"/>
      <c r="UJU129" s="54"/>
      <c r="UJV129" s="54"/>
      <c r="UJW129" s="54"/>
      <c r="UJX129" s="54"/>
      <c r="UJY129" s="54"/>
      <c r="UJZ129" s="54"/>
      <c r="UKA129" s="54"/>
      <c r="UKB129" s="54"/>
      <c r="UKC129" s="54"/>
      <c r="UKD129" s="54"/>
      <c r="UKE129" s="54"/>
      <c r="UKF129" s="54"/>
      <c r="UKG129" s="54"/>
      <c r="UKH129" s="54"/>
      <c r="UKI129" s="54"/>
      <c r="UKJ129" s="54"/>
      <c r="UKK129" s="54"/>
      <c r="UKL129" s="54"/>
      <c r="UKM129" s="54"/>
      <c r="UKN129" s="54"/>
      <c r="UKO129" s="54"/>
      <c r="UKP129" s="54"/>
      <c r="UKQ129" s="54"/>
      <c r="UKR129" s="54"/>
      <c r="UKS129" s="54"/>
      <c r="UKT129" s="54"/>
      <c r="UKU129" s="54"/>
      <c r="UKV129" s="54"/>
      <c r="UKW129" s="54"/>
      <c r="UKX129" s="54"/>
      <c r="UKY129" s="54"/>
      <c r="UKZ129" s="54"/>
      <c r="ULA129" s="54"/>
      <c r="ULB129" s="54"/>
      <c r="ULC129" s="54"/>
      <c r="ULD129" s="54"/>
      <c r="ULE129" s="54"/>
      <c r="ULF129" s="54"/>
      <c r="ULG129" s="54"/>
      <c r="ULH129" s="54"/>
      <c r="ULI129" s="54"/>
      <c r="ULJ129" s="54"/>
      <c r="ULK129" s="54"/>
      <c r="ULL129" s="54"/>
      <c r="ULM129" s="54"/>
      <c r="ULN129" s="54"/>
      <c r="ULO129" s="54"/>
      <c r="ULP129" s="54"/>
      <c r="ULQ129" s="54"/>
      <c r="ULR129" s="54"/>
      <c r="ULS129" s="54"/>
      <c r="ULT129" s="54"/>
      <c r="ULU129" s="54"/>
      <c r="ULV129" s="54"/>
      <c r="ULW129" s="54"/>
      <c r="ULX129" s="54"/>
      <c r="ULY129" s="54"/>
      <c r="ULZ129" s="54"/>
      <c r="UMA129" s="54"/>
      <c r="UMB129" s="54"/>
      <c r="UMC129" s="54"/>
      <c r="UMD129" s="54"/>
      <c r="UME129" s="54"/>
      <c r="UMF129" s="54"/>
      <c r="UMG129" s="54"/>
      <c r="UMH129" s="54"/>
      <c r="UMI129" s="54"/>
      <c r="UMJ129" s="54"/>
      <c r="UMK129" s="54"/>
      <c r="UML129" s="54"/>
      <c r="UMM129" s="54"/>
      <c r="UMN129" s="54"/>
      <c r="UMO129" s="54"/>
      <c r="UMP129" s="54"/>
      <c r="UMQ129" s="54"/>
      <c r="UMR129" s="54"/>
      <c r="UMS129" s="54"/>
      <c r="UMT129" s="54"/>
      <c r="UMU129" s="54"/>
      <c r="UMV129" s="54"/>
      <c r="UMW129" s="54"/>
      <c r="UMX129" s="54"/>
      <c r="UMY129" s="54"/>
      <c r="UMZ129" s="54"/>
      <c r="UNA129" s="54"/>
      <c r="UNB129" s="54"/>
      <c r="UNC129" s="54"/>
      <c r="UND129" s="54"/>
      <c r="UNE129" s="54"/>
      <c r="UNF129" s="54"/>
      <c r="UNG129" s="54"/>
      <c r="UNH129" s="54"/>
      <c r="UNI129" s="54"/>
      <c r="UNJ129" s="54"/>
      <c r="UNK129" s="54"/>
      <c r="UNL129" s="54"/>
      <c r="UNM129" s="54"/>
      <c r="UNN129" s="54"/>
      <c r="UNO129" s="54"/>
      <c r="UNP129" s="54"/>
      <c r="UNQ129" s="54"/>
      <c r="UNR129" s="54"/>
      <c r="UNS129" s="54"/>
      <c r="UNT129" s="54"/>
      <c r="UNU129" s="54"/>
      <c r="UNV129" s="54"/>
      <c r="UNW129" s="54"/>
      <c r="UNX129" s="54"/>
      <c r="UNY129" s="54"/>
      <c r="UNZ129" s="54"/>
      <c r="UOA129" s="54"/>
      <c r="UOB129" s="54"/>
      <c r="UOC129" s="54"/>
      <c r="UOD129" s="54"/>
      <c r="UOE129" s="54"/>
      <c r="UOF129" s="54"/>
      <c r="UOG129" s="54"/>
      <c r="UOH129" s="54"/>
      <c r="UOI129" s="54"/>
      <c r="UOJ129" s="54"/>
      <c r="UOK129" s="54"/>
      <c r="UOL129" s="54"/>
      <c r="UOM129" s="54"/>
      <c r="UON129" s="54"/>
      <c r="UOO129" s="54"/>
      <c r="UOP129" s="54"/>
      <c r="UOQ129" s="54"/>
      <c r="UOR129" s="54"/>
      <c r="UOS129" s="54"/>
      <c r="UOT129" s="54"/>
      <c r="UOU129" s="54"/>
      <c r="UOV129" s="54"/>
      <c r="UOW129" s="54"/>
      <c r="UOX129" s="54"/>
      <c r="UOY129" s="54"/>
      <c r="UOZ129" s="54"/>
      <c r="UPA129" s="54"/>
      <c r="UPB129" s="54"/>
      <c r="UPC129" s="54"/>
      <c r="UPD129" s="54"/>
      <c r="UPE129" s="54"/>
      <c r="UPF129" s="54"/>
      <c r="UPG129" s="54"/>
      <c r="UPH129" s="54"/>
      <c r="UPI129" s="54"/>
      <c r="UPJ129" s="54"/>
      <c r="UPK129" s="54"/>
      <c r="UPL129" s="54"/>
      <c r="UPM129" s="54"/>
      <c r="UPN129" s="54"/>
      <c r="UPO129" s="54"/>
      <c r="UPP129" s="54"/>
      <c r="UPQ129" s="54"/>
      <c r="UPR129" s="54"/>
      <c r="UPS129" s="54"/>
      <c r="UPT129" s="54"/>
      <c r="UPU129" s="54"/>
      <c r="UPV129" s="54"/>
      <c r="UPW129" s="54"/>
      <c r="UPX129" s="54"/>
      <c r="UPY129" s="54"/>
      <c r="UPZ129" s="54"/>
      <c r="UQA129" s="54"/>
      <c r="UQB129" s="54"/>
      <c r="UQC129" s="54"/>
      <c r="UQD129" s="54"/>
      <c r="UQE129" s="54"/>
      <c r="UQF129" s="54"/>
      <c r="UQG129" s="54"/>
      <c r="UQH129" s="54"/>
      <c r="UQI129" s="54"/>
      <c r="UQJ129" s="54"/>
      <c r="UQK129" s="54"/>
      <c r="UQL129" s="54"/>
      <c r="UQM129" s="54"/>
      <c r="UQN129" s="54"/>
      <c r="UQO129" s="54"/>
      <c r="UQP129" s="54"/>
      <c r="UQQ129" s="54"/>
      <c r="UQR129" s="54"/>
      <c r="UQS129" s="54"/>
      <c r="UQT129" s="54"/>
      <c r="UQU129" s="54"/>
      <c r="UQV129" s="54"/>
      <c r="UQW129" s="54"/>
      <c r="UQX129" s="54"/>
      <c r="UQY129" s="54"/>
      <c r="UQZ129" s="54"/>
      <c r="URA129" s="54"/>
      <c r="URB129" s="54"/>
      <c r="URC129" s="54"/>
      <c r="URD129" s="54"/>
      <c r="URE129" s="54"/>
      <c r="URF129" s="54"/>
      <c r="URG129" s="54"/>
      <c r="URH129" s="54"/>
      <c r="URI129" s="54"/>
      <c r="URJ129" s="54"/>
      <c r="URK129" s="54"/>
      <c r="URL129" s="54"/>
      <c r="URM129" s="54"/>
      <c r="URN129" s="54"/>
      <c r="URO129" s="54"/>
      <c r="URP129" s="54"/>
      <c r="URQ129" s="54"/>
      <c r="URR129" s="54"/>
      <c r="URS129" s="54"/>
      <c r="URT129" s="54"/>
      <c r="URU129" s="54"/>
      <c r="URV129" s="54"/>
      <c r="URW129" s="54"/>
      <c r="URX129" s="54"/>
      <c r="URY129" s="54"/>
      <c r="URZ129" s="54"/>
      <c r="USA129" s="54"/>
      <c r="USB129" s="54"/>
      <c r="USC129" s="54"/>
      <c r="USD129" s="54"/>
      <c r="USE129" s="54"/>
      <c r="USF129" s="54"/>
      <c r="USG129" s="54"/>
      <c r="USH129" s="54"/>
      <c r="USI129" s="54"/>
      <c r="USJ129" s="54"/>
      <c r="USK129" s="54"/>
      <c r="USL129" s="54"/>
      <c r="USM129" s="54"/>
      <c r="USN129" s="54"/>
      <c r="USO129" s="54"/>
      <c r="USP129" s="54"/>
      <c r="USQ129" s="54"/>
      <c r="USR129" s="54"/>
      <c r="USS129" s="54"/>
      <c r="UST129" s="54"/>
      <c r="USU129" s="54"/>
      <c r="USV129" s="54"/>
      <c r="USW129" s="54"/>
      <c r="USX129" s="54"/>
      <c r="USY129" s="54"/>
      <c r="USZ129" s="54"/>
      <c r="UTA129" s="54"/>
      <c r="UTB129" s="54"/>
      <c r="UTC129" s="54"/>
      <c r="UTD129" s="54"/>
      <c r="UTE129" s="54"/>
      <c r="UTF129" s="54"/>
      <c r="UTG129" s="54"/>
      <c r="UTH129" s="54"/>
      <c r="UTI129" s="54"/>
      <c r="UTJ129" s="54"/>
      <c r="UTK129" s="54"/>
      <c r="UTL129" s="54"/>
      <c r="UTM129" s="54"/>
      <c r="UTN129" s="54"/>
      <c r="UTO129" s="54"/>
      <c r="UTP129" s="54"/>
      <c r="UTQ129" s="54"/>
      <c r="UTR129" s="54"/>
      <c r="UTS129" s="54"/>
      <c r="UTT129" s="54"/>
      <c r="UTU129" s="54"/>
      <c r="UTV129" s="54"/>
      <c r="UTW129" s="54"/>
      <c r="UTX129" s="54"/>
      <c r="UTY129" s="54"/>
      <c r="UTZ129" s="54"/>
      <c r="UUA129" s="54"/>
      <c r="UUB129" s="54"/>
      <c r="UUC129" s="54"/>
      <c r="UUD129" s="54"/>
      <c r="UUE129" s="54"/>
      <c r="UUF129" s="54"/>
      <c r="UUG129" s="54"/>
      <c r="UUH129" s="54"/>
      <c r="UUI129" s="54"/>
      <c r="UUJ129" s="54"/>
      <c r="UUK129" s="54"/>
      <c r="UUL129" s="54"/>
      <c r="UUM129" s="54"/>
      <c r="UUN129" s="54"/>
      <c r="UUO129" s="54"/>
      <c r="UUP129" s="54"/>
      <c r="UUQ129" s="54"/>
      <c r="UUR129" s="54"/>
      <c r="UUS129" s="54"/>
      <c r="UUT129" s="54"/>
      <c r="UUU129" s="54"/>
      <c r="UUV129" s="54"/>
      <c r="UUW129" s="54"/>
      <c r="UUX129" s="54"/>
      <c r="UUY129" s="54"/>
      <c r="UUZ129" s="54"/>
      <c r="UVA129" s="54"/>
      <c r="UVB129" s="54"/>
      <c r="UVC129" s="54"/>
      <c r="UVD129" s="54"/>
      <c r="UVE129" s="54"/>
      <c r="UVF129" s="54"/>
      <c r="UVG129" s="54"/>
      <c r="UVH129" s="54"/>
      <c r="UVI129" s="54"/>
      <c r="UVJ129" s="54"/>
      <c r="UVK129" s="54"/>
      <c r="UVL129" s="54"/>
      <c r="UVM129" s="54"/>
      <c r="UVN129" s="54"/>
      <c r="UVO129" s="54"/>
      <c r="UVP129" s="54"/>
      <c r="UVQ129" s="54"/>
      <c r="UVR129" s="54"/>
      <c r="UVS129" s="54"/>
      <c r="UVT129" s="54"/>
      <c r="UVU129" s="54"/>
      <c r="UVV129" s="54"/>
      <c r="UVW129" s="54"/>
      <c r="UVX129" s="54"/>
      <c r="UVY129" s="54"/>
      <c r="UVZ129" s="54"/>
      <c r="UWA129" s="54"/>
      <c r="UWB129" s="54"/>
      <c r="UWC129" s="54"/>
      <c r="UWD129" s="54"/>
      <c r="UWE129" s="54"/>
      <c r="UWF129" s="54"/>
      <c r="UWG129" s="54"/>
      <c r="UWH129" s="54"/>
      <c r="UWI129" s="54"/>
      <c r="UWJ129" s="54"/>
      <c r="UWK129" s="54"/>
      <c r="UWL129" s="54"/>
      <c r="UWM129" s="54"/>
      <c r="UWN129" s="54"/>
      <c r="UWO129" s="54"/>
      <c r="UWP129" s="54"/>
      <c r="UWQ129" s="54"/>
      <c r="UWR129" s="54"/>
      <c r="UWS129" s="54"/>
      <c r="UWT129" s="54"/>
      <c r="UWU129" s="54"/>
      <c r="UWV129" s="54"/>
      <c r="UWW129" s="54"/>
      <c r="UWX129" s="54"/>
      <c r="UWY129" s="54"/>
      <c r="UWZ129" s="54"/>
      <c r="UXA129" s="54"/>
      <c r="UXB129" s="54"/>
      <c r="UXC129" s="54"/>
      <c r="UXD129" s="54"/>
      <c r="UXE129" s="54"/>
      <c r="UXF129" s="54"/>
      <c r="UXG129" s="54"/>
      <c r="UXH129" s="54"/>
      <c r="UXI129" s="54"/>
      <c r="UXJ129" s="54"/>
      <c r="UXK129" s="54"/>
      <c r="UXL129" s="54"/>
      <c r="UXM129" s="54"/>
      <c r="UXN129" s="54"/>
      <c r="UXO129" s="54"/>
      <c r="UXP129" s="54"/>
      <c r="UXQ129" s="54"/>
      <c r="UXR129" s="54"/>
      <c r="UXS129" s="54"/>
      <c r="UXT129" s="54"/>
      <c r="UXU129" s="54"/>
      <c r="UXV129" s="54"/>
      <c r="UXW129" s="54"/>
      <c r="UXX129" s="54"/>
      <c r="UXY129" s="54"/>
      <c r="UXZ129" s="54"/>
      <c r="UYA129" s="54"/>
      <c r="UYB129" s="54"/>
      <c r="UYC129" s="54"/>
      <c r="UYD129" s="54"/>
      <c r="UYE129" s="54"/>
      <c r="UYF129" s="54"/>
      <c r="UYG129" s="54"/>
      <c r="UYH129" s="54"/>
      <c r="UYI129" s="54"/>
      <c r="UYJ129" s="54"/>
      <c r="UYK129" s="54"/>
      <c r="UYL129" s="54"/>
      <c r="UYM129" s="54"/>
      <c r="UYN129" s="54"/>
      <c r="UYO129" s="54"/>
      <c r="UYP129" s="54"/>
      <c r="UYQ129" s="54"/>
      <c r="UYR129" s="54"/>
      <c r="UYS129" s="54"/>
      <c r="UYT129" s="54"/>
      <c r="UYU129" s="54"/>
      <c r="UYV129" s="54"/>
      <c r="UYW129" s="54"/>
      <c r="UYX129" s="54"/>
      <c r="UYY129" s="54"/>
      <c r="UYZ129" s="54"/>
      <c r="UZA129" s="54"/>
      <c r="UZB129" s="54"/>
      <c r="UZC129" s="54"/>
      <c r="UZD129" s="54"/>
      <c r="UZE129" s="54"/>
      <c r="UZF129" s="54"/>
      <c r="UZG129" s="54"/>
      <c r="UZH129" s="54"/>
      <c r="UZI129" s="54"/>
      <c r="UZJ129" s="54"/>
      <c r="UZK129" s="54"/>
      <c r="UZL129" s="54"/>
      <c r="UZM129" s="54"/>
      <c r="UZN129" s="54"/>
      <c r="UZO129" s="54"/>
      <c r="UZP129" s="54"/>
      <c r="UZQ129" s="54"/>
      <c r="UZR129" s="54"/>
      <c r="UZS129" s="54"/>
      <c r="UZT129" s="54"/>
      <c r="UZU129" s="54"/>
      <c r="UZV129" s="54"/>
      <c r="UZW129" s="54"/>
      <c r="UZX129" s="54"/>
      <c r="UZY129" s="54"/>
      <c r="UZZ129" s="54"/>
      <c r="VAA129" s="54"/>
      <c r="VAB129" s="54"/>
      <c r="VAC129" s="54"/>
      <c r="VAD129" s="54"/>
      <c r="VAE129" s="54"/>
      <c r="VAF129" s="54"/>
      <c r="VAG129" s="54"/>
      <c r="VAH129" s="54"/>
      <c r="VAI129" s="54"/>
      <c r="VAJ129" s="54"/>
      <c r="VAK129" s="54"/>
      <c r="VAL129" s="54"/>
      <c r="VAM129" s="54"/>
      <c r="VAN129" s="54"/>
      <c r="VAO129" s="54"/>
      <c r="VAP129" s="54"/>
      <c r="VAQ129" s="54"/>
      <c r="VAR129" s="54"/>
      <c r="VAS129" s="54"/>
      <c r="VAT129" s="54"/>
      <c r="VAU129" s="54"/>
      <c r="VAV129" s="54"/>
      <c r="VAW129" s="54"/>
      <c r="VAX129" s="54"/>
      <c r="VAY129" s="54"/>
      <c r="VAZ129" s="54"/>
      <c r="VBA129" s="54"/>
      <c r="VBB129" s="54"/>
      <c r="VBC129" s="54"/>
      <c r="VBD129" s="54"/>
      <c r="VBE129" s="54"/>
      <c r="VBF129" s="54"/>
      <c r="VBG129" s="54"/>
      <c r="VBH129" s="54"/>
      <c r="VBI129" s="54"/>
      <c r="VBJ129" s="54"/>
      <c r="VBK129" s="54"/>
      <c r="VBL129" s="54"/>
      <c r="VBM129" s="54"/>
      <c r="VBN129" s="54"/>
      <c r="VBO129" s="54"/>
      <c r="VBP129" s="54"/>
      <c r="VBQ129" s="54"/>
      <c r="VBR129" s="54"/>
      <c r="VBS129" s="54"/>
      <c r="VBT129" s="54"/>
      <c r="VBU129" s="54"/>
      <c r="VBV129" s="54"/>
      <c r="VBW129" s="54"/>
      <c r="VBX129" s="54"/>
      <c r="VBY129" s="54"/>
      <c r="VBZ129" s="54"/>
      <c r="VCA129" s="54"/>
      <c r="VCB129" s="54"/>
      <c r="VCC129" s="54"/>
      <c r="VCD129" s="54"/>
      <c r="VCE129" s="54"/>
      <c r="VCF129" s="54"/>
      <c r="VCG129" s="54"/>
      <c r="VCH129" s="54"/>
      <c r="VCI129" s="54"/>
      <c r="VCJ129" s="54"/>
      <c r="VCK129" s="54"/>
      <c r="VCL129" s="54"/>
      <c r="VCM129" s="54"/>
      <c r="VCN129" s="54"/>
      <c r="VCO129" s="54"/>
      <c r="VCP129" s="54"/>
      <c r="VCQ129" s="54"/>
      <c r="VCR129" s="54"/>
      <c r="VCS129" s="54"/>
      <c r="VCT129" s="54"/>
      <c r="VCU129" s="54"/>
      <c r="VCV129" s="54"/>
      <c r="VCW129" s="54"/>
      <c r="VCX129" s="54"/>
      <c r="VCY129" s="54"/>
      <c r="VCZ129" s="54"/>
      <c r="VDA129" s="54"/>
      <c r="VDB129" s="54"/>
      <c r="VDC129" s="54"/>
      <c r="VDD129" s="54"/>
      <c r="VDE129" s="54"/>
      <c r="VDF129" s="54"/>
      <c r="VDG129" s="54"/>
      <c r="VDH129" s="54"/>
      <c r="VDI129" s="54"/>
      <c r="VDJ129" s="54"/>
      <c r="VDK129" s="54"/>
      <c r="VDL129" s="54"/>
      <c r="VDM129" s="54"/>
      <c r="VDN129" s="54"/>
      <c r="VDO129" s="54"/>
      <c r="VDP129" s="54"/>
      <c r="VDQ129" s="54"/>
      <c r="VDR129" s="54"/>
      <c r="VDS129" s="54"/>
      <c r="VDT129" s="54"/>
      <c r="VDU129" s="54"/>
      <c r="VDV129" s="54"/>
      <c r="VDW129" s="54"/>
      <c r="VDX129" s="54"/>
      <c r="VDY129" s="54"/>
      <c r="VDZ129" s="54"/>
      <c r="VEA129" s="54"/>
      <c r="VEB129" s="54"/>
      <c r="VEC129" s="54"/>
      <c r="VED129" s="54"/>
      <c r="VEE129" s="54"/>
      <c r="VEF129" s="54"/>
      <c r="VEG129" s="54"/>
      <c r="VEH129" s="54"/>
      <c r="VEI129" s="54"/>
      <c r="VEJ129" s="54"/>
      <c r="VEK129" s="54"/>
      <c r="VEL129" s="54"/>
      <c r="VEM129" s="54"/>
      <c r="VEN129" s="54"/>
      <c r="VEO129" s="54"/>
      <c r="VEP129" s="54"/>
      <c r="VEQ129" s="54"/>
      <c r="VER129" s="54"/>
      <c r="VES129" s="54"/>
      <c r="VET129" s="54"/>
      <c r="VEU129" s="54"/>
      <c r="VEV129" s="54"/>
      <c r="VEW129" s="54"/>
      <c r="VEX129" s="54"/>
      <c r="VEY129" s="54"/>
      <c r="VEZ129" s="54"/>
      <c r="VFA129" s="54"/>
      <c r="VFB129" s="54"/>
      <c r="VFC129" s="54"/>
      <c r="VFD129" s="54"/>
      <c r="VFE129" s="54"/>
      <c r="VFF129" s="54"/>
      <c r="VFG129" s="54"/>
      <c r="VFH129" s="54"/>
      <c r="VFI129" s="54"/>
      <c r="VFJ129" s="54"/>
      <c r="VFK129" s="54"/>
      <c r="VFL129" s="54"/>
      <c r="VFM129" s="54"/>
      <c r="VFN129" s="54"/>
      <c r="VFO129" s="54"/>
      <c r="VFP129" s="54"/>
      <c r="VFQ129" s="54"/>
      <c r="VFR129" s="54"/>
      <c r="VFS129" s="54"/>
      <c r="VFT129" s="54"/>
      <c r="VFU129" s="54"/>
      <c r="VFV129" s="54"/>
      <c r="VFW129" s="54"/>
      <c r="VFX129" s="54"/>
      <c r="VFY129" s="54"/>
      <c r="VFZ129" s="54"/>
      <c r="VGA129" s="54"/>
      <c r="VGB129" s="54"/>
      <c r="VGC129" s="54"/>
      <c r="VGD129" s="54"/>
      <c r="VGE129" s="54"/>
      <c r="VGF129" s="54"/>
      <c r="VGG129" s="54"/>
      <c r="VGH129" s="54"/>
      <c r="VGI129" s="54"/>
      <c r="VGJ129" s="54"/>
      <c r="VGK129" s="54"/>
      <c r="VGL129" s="54"/>
      <c r="VGM129" s="54"/>
      <c r="VGN129" s="54"/>
      <c r="VGO129" s="54"/>
      <c r="VGP129" s="54"/>
      <c r="VGQ129" s="54"/>
      <c r="VGR129" s="54"/>
      <c r="VGS129" s="54"/>
      <c r="VGT129" s="54"/>
      <c r="VGU129" s="54"/>
      <c r="VGV129" s="54"/>
      <c r="VGW129" s="54"/>
      <c r="VGX129" s="54"/>
      <c r="VGY129" s="54"/>
      <c r="VGZ129" s="54"/>
      <c r="VHA129" s="54"/>
      <c r="VHB129" s="54"/>
      <c r="VHC129" s="54"/>
      <c r="VHD129" s="54"/>
      <c r="VHE129" s="54"/>
      <c r="VHF129" s="54"/>
      <c r="VHG129" s="54"/>
      <c r="VHH129" s="54"/>
      <c r="VHI129" s="54"/>
      <c r="VHJ129" s="54"/>
      <c r="VHK129" s="54"/>
      <c r="VHL129" s="54"/>
      <c r="VHM129" s="54"/>
      <c r="VHN129" s="54"/>
      <c r="VHO129" s="54"/>
      <c r="VHP129" s="54"/>
      <c r="VHQ129" s="54"/>
      <c r="VHR129" s="54"/>
      <c r="VHS129" s="54"/>
      <c r="VHT129" s="54"/>
      <c r="VHU129" s="54"/>
      <c r="VHV129" s="54"/>
      <c r="VHW129" s="54"/>
      <c r="VHX129" s="54"/>
      <c r="VHY129" s="54"/>
      <c r="VHZ129" s="54"/>
      <c r="VIA129" s="54"/>
      <c r="VIB129" s="54"/>
      <c r="VIC129" s="54"/>
      <c r="VID129" s="54"/>
      <c r="VIE129" s="54"/>
      <c r="VIF129" s="54"/>
      <c r="VIG129" s="54"/>
      <c r="VIH129" s="54"/>
      <c r="VII129" s="54"/>
      <c r="VIJ129" s="54"/>
      <c r="VIK129" s="54"/>
      <c r="VIL129" s="54"/>
      <c r="VIM129" s="54"/>
      <c r="VIN129" s="54"/>
      <c r="VIO129" s="54"/>
      <c r="VIP129" s="54"/>
      <c r="VIQ129" s="54"/>
      <c r="VIR129" s="54"/>
      <c r="VIS129" s="54"/>
      <c r="VIT129" s="54"/>
      <c r="VIU129" s="54"/>
      <c r="VIV129" s="54"/>
      <c r="VIW129" s="54"/>
      <c r="VIX129" s="54"/>
      <c r="VIY129" s="54"/>
      <c r="VIZ129" s="54"/>
      <c r="VJA129" s="54"/>
      <c r="VJB129" s="54"/>
      <c r="VJC129" s="54"/>
      <c r="VJD129" s="54"/>
      <c r="VJE129" s="54"/>
      <c r="VJF129" s="54"/>
      <c r="VJG129" s="54"/>
      <c r="VJH129" s="54"/>
      <c r="VJI129" s="54"/>
      <c r="VJJ129" s="54"/>
      <c r="VJK129" s="54"/>
      <c r="VJL129" s="54"/>
      <c r="VJM129" s="54"/>
      <c r="VJN129" s="54"/>
      <c r="VJO129" s="54"/>
      <c r="VJP129" s="54"/>
      <c r="VJQ129" s="54"/>
      <c r="VJR129" s="54"/>
      <c r="VJS129" s="54"/>
      <c r="VJT129" s="54"/>
      <c r="VJU129" s="54"/>
      <c r="VJV129" s="54"/>
      <c r="VJW129" s="54"/>
      <c r="VJX129" s="54"/>
      <c r="VJY129" s="54"/>
      <c r="VJZ129" s="54"/>
      <c r="VKA129" s="54"/>
      <c r="VKB129" s="54"/>
      <c r="VKC129" s="54"/>
      <c r="VKD129" s="54"/>
      <c r="VKE129" s="54"/>
      <c r="VKF129" s="54"/>
      <c r="VKG129" s="54"/>
      <c r="VKH129" s="54"/>
      <c r="VKI129" s="54"/>
      <c r="VKJ129" s="54"/>
      <c r="VKK129" s="54"/>
      <c r="VKL129" s="54"/>
      <c r="VKM129" s="54"/>
      <c r="VKN129" s="54"/>
      <c r="VKO129" s="54"/>
      <c r="VKP129" s="54"/>
      <c r="VKQ129" s="54"/>
      <c r="VKR129" s="54"/>
      <c r="VKS129" s="54"/>
      <c r="VKT129" s="54"/>
      <c r="VKU129" s="54"/>
      <c r="VKV129" s="54"/>
      <c r="VKW129" s="54"/>
      <c r="VKX129" s="54"/>
      <c r="VKY129" s="54"/>
      <c r="VKZ129" s="54"/>
      <c r="VLA129" s="54"/>
      <c r="VLB129" s="54"/>
      <c r="VLC129" s="54"/>
      <c r="VLD129" s="54"/>
      <c r="VLE129" s="54"/>
      <c r="VLF129" s="54"/>
      <c r="VLG129" s="54"/>
      <c r="VLH129" s="54"/>
      <c r="VLI129" s="54"/>
      <c r="VLJ129" s="54"/>
      <c r="VLK129" s="54"/>
      <c r="VLL129" s="54"/>
      <c r="VLM129" s="54"/>
      <c r="VLN129" s="54"/>
      <c r="VLO129" s="54"/>
      <c r="VLP129" s="54"/>
      <c r="VLQ129" s="54"/>
      <c r="VLR129" s="54"/>
      <c r="VLS129" s="54"/>
      <c r="VLT129" s="54"/>
      <c r="VLU129" s="54"/>
      <c r="VLV129" s="54"/>
      <c r="VLW129" s="54"/>
      <c r="VLX129" s="54"/>
      <c r="VLY129" s="54"/>
      <c r="VLZ129" s="54"/>
      <c r="VMA129" s="54"/>
      <c r="VMB129" s="54"/>
      <c r="VMC129" s="54"/>
      <c r="VMD129" s="54"/>
      <c r="VME129" s="54"/>
      <c r="VMF129" s="54"/>
      <c r="VMG129" s="54"/>
      <c r="VMH129" s="54"/>
      <c r="VMI129" s="54"/>
      <c r="VMJ129" s="54"/>
      <c r="VMK129" s="54"/>
      <c r="VML129" s="54"/>
      <c r="VMM129" s="54"/>
      <c r="VMN129" s="54"/>
      <c r="VMO129" s="54"/>
      <c r="VMP129" s="54"/>
      <c r="VMQ129" s="54"/>
      <c r="VMR129" s="54"/>
      <c r="VMS129" s="54"/>
      <c r="VMT129" s="54"/>
      <c r="VMU129" s="54"/>
      <c r="VMV129" s="54"/>
      <c r="VMW129" s="54"/>
      <c r="VMX129" s="54"/>
      <c r="VMY129" s="54"/>
      <c r="VMZ129" s="54"/>
      <c r="VNA129" s="54"/>
      <c r="VNB129" s="54"/>
      <c r="VNC129" s="54"/>
      <c r="VND129" s="54"/>
      <c r="VNE129" s="54"/>
      <c r="VNF129" s="54"/>
      <c r="VNG129" s="54"/>
      <c r="VNH129" s="54"/>
      <c r="VNI129" s="54"/>
      <c r="VNJ129" s="54"/>
      <c r="VNK129" s="54"/>
      <c r="VNL129" s="54"/>
      <c r="VNM129" s="54"/>
      <c r="VNN129" s="54"/>
      <c r="VNO129" s="54"/>
      <c r="VNP129" s="54"/>
      <c r="VNQ129" s="54"/>
      <c r="VNR129" s="54"/>
      <c r="VNS129" s="54"/>
      <c r="VNT129" s="54"/>
      <c r="VNU129" s="54"/>
      <c r="VNV129" s="54"/>
      <c r="VNW129" s="54"/>
      <c r="VNX129" s="54"/>
      <c r="VNY129" s="54"/>
      <c r="VNZ129" s="54"/>
      <c r="VOA129" s="54"/>
      <c r="VOB129" s="54"/>
      <c r="VOC129" s="54"/>
      <c r="VOD129" s="54"/>
      <c r="VOE129" s="54"/>
      <c r="VOF129" s="54"/>
      <c r="VOG129" s="54"/>
      <c r="VOH129" s="54"/>
      <c r="VOI129" s="54"/>
      <c r="VOJ129" s="54"/>
      <c r="VOK129" s="54"/>
      <c r="VOL129" s="54"/>
      <c r="VOM129" s="54"/>
      <c r="VON129" s="54"/>
      <c r="VOO129" s="54"/>
      <c r="VOP129" s="54"/>
      <c r="VOQ129" s="54"/>
      <c r="VOR129" s="54"/>
      <c r="VOS129" s="54"/>
      <c r="VOT129" s="54"/>
      <c r="VOU129" s="54"/>
      <c r="VOV129" s="54"/>
      <c r="VOW129" s="54"/>
      <c r="VOX129" s="54"/>
      <c r="VOY129" s="54"/>
      <c r="VOZ129" s="54"/>
      <c r="VPA129" s="54"/>
      <c r="VPB129" s="54"/>
      <c r="VPC129" s="54"/>
      <c r="VPD129" s="54"/>
      <c r="VPE129" s="54"/>
      <c r="VPF129" s="54"/>
      <c r="VPG129" s="54"/>
      <c r="VPH129" s="54"/>
      <c r="VPI129" s="54"/>
      <c r="VPJ129" s="54"/>
      <c r="VPK129" s="54"/>
      <c r="VPL129" s="54"/>
      <c r="VPM129" s="54"/>
      <c r="VPN129" s="54"/>
      <c r="VPO129" s="54"/>
      <c r="VPP129" s="54"/>
      <c r="VPQ129" s="54"/>
      <c r="VPR129" s="54"/>
      <c r="VPS129" s="54"/>
      <c r="VPT129" s="54"/>
      <c r="VPU129" s="54"/>
      <c r="VPV129" s="54"/>
      <c r="VPW129" s="54"/>
      <c r="VPX129" s="54"/>
      <c r="VPY129" s="54"/>
      <c r="VPZ129" s="54"/>
      <c r="VQA129" s="54"/>
      <c r="VQB129" s="54"/>
      <c r="VQC129" s="54"/>
      <c r="VQD129" s="54"/>
      <c r="VQE129" s="54"/>
      <c r="VQF129" s="54"/>
      <c r="VQG129" s="54"/>
      <c r="VQH129" s="54"/>
      <c r="VQI129" s="54"/>
      <c r="VQJ129" s="54"/>
      <c r="VQK129" s="54"/>
      <c r="VQL129" s="54"/>
      <c r="VQM129" s="54"/>
      <c r="VQN129" s="54"/>
      <c r="VQO129" s="54"/>
      <c r="VQP129" s="54"/>
      <c r="VQQ129" s="54"/>
      <c r="VQR129" s="54"/>
      <c r="VQS129" s="54"/>
      <c r="VQT129" s="54"/>
      <c r="VQU129" s="54"/>
      <c r="VQV129" s="54"/>
      <c r="VQW129" s="54"/>
      <c r="VQX129" s="54"/>
      <c r="VQY129" s="54"/>
      <c r="VQZ129" s="54"/>
      <c r="VRA129" s="54"/>
      <c r="VRB129" s="54"/>
      <c r="VRC129" s="54"/>
      <c r="VRD129" s="54"/>
      <c r="VRE129" s="54"/>
      <c r="VRF129" s="54"/>
      <c r="VRG129" s="54"/>
      <c r="VRH129" s="54"/>
      <c r="VRI129" s="54"/>
      <c r="VRJ129" s="54"/>
      <c r="VRK129" s="54"/>
      <c r="VRL129" s="54"/>
      <c r="VRM129" s="54"/>
      <c r="VRN129" s="54"/>
      <c r="VRO129" s="54"/>
      <c r="VRP129" s="54"/>
      <c r="VRQ129" s="54"/>
      <c r="VRR129" s="54"/>
      <c r="VRS129" s="54"/>
      <c r="VRT129" s="54"/>
      <c r="VRU129" s="54"/>
      <c r="VRV129" s="54"/>
      <c r="VRW129" s="54"/>
      <c r="VRX129" s="54"/>
      <c r="VRY129" s="54"/>
      <c r="VRZ129" s="54"/>
      <c r="VSA129" s="54"/>
      <c r="VSB129" s="54"/>
      <c r="VSC129" s="54"/>
      <c r="VSD129" s="54"/>
      <c r="VSE129" s="54"/>
      <c r="VSF129" s="54"/>
      <c r="VSG129" s="54"/>
      <c r="VSH129" s="54"/>
      <c r="VSI129" s="54"/>
      <c r="VSJ129" s="54"/>
      <c r="VSK129" s="54"/>
      <c r="VSL129" s="54"/>
      <c r="VSM129" s="54"/>
      <c r="VSN129" s="54"/>
      <c r="VSO129" s="54"/>
      <c r="VSP129" s="54"/>
      <c r="VSQ129" s="54"/>
      <c r="VSR129" s="54"/>
      <c r="VSS129" s="54"/>
      <c r="VST129" s="54"/>
      <c r="VSU129" s="54"/>
      <c r="VSV129" s="54"/>
      <c r="VSW129" s="54"/>
      <c r="VSX129" s="54"/>
      <c r="VSY129" s="54"/>
      <c r="VSZ129" s="54"/>
      <c r="VTA129" s="54"/>
      <c r="VTB129" s="54"/>
      <c r="VTC129" s="54"/>
      <c r="VTD129" s="54"/>
      <c r="VTE129" s="54"/>
      <c r="VTF129" s="54"/>
      <c r="VTG129" s="54"/>
      <c r="VTH129" s="54"/>
      <c r="VTI129" s="54"/>
      <c r="VTJ129" s="54"/>
      <c r="VTK129" s="54"/>
      <c r="VTL129" s="54"/>
      <c r="VTM129" s="54"/>
      <c r="VTN129" s="54"/>
      <c r="VTO129" s="54"/>
      <c r="VTP129" s="54"/>
      <c r="VTQ129" s="54"/>
      <c r="VTR129" s="54"/>
      <c r="VTS129" s="54"/>
      <c r="VTT129" s="54"/>
      <c r="VTU129" s="54"/>
      <c r="VTV129" s="54"/>
      <c r="VTW129" s="54"/>
      <c r="VTX129" s="54"/>
      <c r="VTY129" s="54"/>
      <c r="VTZ129" s="54"/>
      <c r="VUA129" s="54"/>
      <c r="VUB129" s="54"/>
      <c r="VUC129" s="54"/>
      <c r="VUD129" s="54"/>
      <c r="VUE129" s="54"/>
      <c r="VUF129" s="54"/>
      <c r="VUG129" s="54"/>
      <c r="VUH129" s="54"/>
      <c r="VUI129" s="54"/>
      <c r="VUJ129" s="54"/>
      <c r="VUK129" s="54"/>
      <c r="VUL129" s="54"/>
      <c r="VUM129" s="54"/>
      <c r="VUN129" s="54"/>
      <c r="VUO129" s="54"/>
      <c r="VUP129" s="54"/>
      <c r="VUQ129" s="54"/>
      <c r="VUR129" s="54"/>
      <c r="VUS129" s="54"/>
      <c r="VUT129" s="54"/>
      <c r="VUU129" s="54"/>
      <c r="VUV129" s="54"/>
      <c r="VUW129" s="54"/>
      <c r="VUX129" s="54"/>
      <c r="VUY129" s="54"/>
      <c r="VUZ129" s="54"/>
      <c r="VVA129" s="54"/>
      <c r="VVB129" s="54"/>
      <c r="VVC129" s="54"/>
      <c r="VVD129" s="54"/>
      <c r="VVE129" s="54"/>
      <c r="VVF129" s="54"/>
      <c r="VVG129" s="54"/>
      <c r="VVH129" s="54"/>
      <c r="VVI129" s="54"/>
      <c r="VVJ129" s="54"/>
      <c r="VVK129" s="54"/>
      <c r="VVL129" s="54"/>
      <c r="VVM129" s="54"/>
      <c r="VVN129" s="54"/>
      <c r="VVO129" s="54"/>
      <c r="VVP129" s="54"/>
      <c r="VVQ129" s="54"/>
      <c r="VVR129" s="54"/>
      <c r="VVS129" s="54"/>
      <c r="VVT129" s="54"/>
      <c r="VVU129" s="54"/>
      <c r="VVV129" s="54"/>
      <c r="VVW129" s="54"/>
      <c r="VVX129" s="54"/>
      <c r="VVY129" s="54"/>
      <c r="VVZ129" s="54"/>
      <c r="VWA129" s="54"/>
      <c r="VWB129" s="54"/>
      <c r="VWC129" s="54"/>
      <c r="VWD129" s="54"/>
      <c r="VWE129" s="54"/>
      <c r="VWF129" s="54"/>
      <c r="VWG129" s="54"/>
      <c r="VWH129" s="54"/>
      <c r="VWI129" s="54"/>
      <c r="VWJ129" s="54"/>
      <c r="VWK129" s="54"/>
      <c r="VWL129" s="54"/>
      <c r="VWM129" s="54"/>
      <c r="VWN129" s="54"/>
      <c r="VWO129" s="54"/>
      <c r="VWP129" s="54"/>
      <c r="VWQ129" s="54"/>
      <c r="VWR129" s="54"/>
      <c r="VWS129" s="54"/>
      <c r="VWT129" s="54"/>
      <c r="VWU129" s="54"/>
      <c r="VWV129" s="54"/>
      <c r="VWW129" s="54"/>
      <c r="VWX129" s="54"/>
      <c r="VWY129" s="54"/>
      <c r="VWZ129" s="54"/>
      <c r="VXA129" s="54"/>
      <c r="VXB129" s="54"/>
      <c r="VXC129" s="54"/>
      <c r="VXD129" s="54"/>
      <c r="VXE129" s="54"/>
      <c r="VXF129" s="54"/>
      <c r="VXG129" s="54"/>
      <c r="VXH129" s="54"/>
      <c r="VXI129" s="54"/>
      <c r="VXJ129" s="54"/>
      <c r="VXK129" s="54"/>
      <c r="VXL129" s="54"/>
      <c r="VXM129" s="54"/>
      <c r="VXN129" s="54"/>
      <c r="VXO129" s="54"/>
      <c r="VXP129" s="54"/>
      <c r="VXQ129" s="54"/>
      <c r="VXR129" s="54"/>
      <c r="VXS129" s="54"/>
      <c r="VXT129" s="54"/>
      <c r="VXU129" s="54"/>
      <c r="VXV129" s="54"/>
      <c r="VXW129" s="54"/>
      <c r="VXX129" s="54"/>
      <c r="VXY129" s="54"/>
      <c r="VXZ129" s="54"/>
      <c r="VYA129" s="54"/>
      <c r="VYB129" s="54"/>
      <c r="VYC129" s="54"/>
      <c r="VYD129" s="54"/>
      <c r="VYE129" s="54"/>
      <c r="VYF129" s="54"/>
      <c r="VYG129" s="54"/>
      <c r="VYH129" s="54"/>
      <c r="VYI129" s="54"/>
      <c r="VYJ129" s="54"/>
      <c r="VYK129" s="54"/>
      <c r="VYL129" s="54"/>
      <c r="VYM129" s="54"/>
      <c r="VYN129" s="54"/>
      <c r="VYO129" s="54"/>
      <c r="VYP129" s="54"/>
      <c r="VYQ129" s="54"/>
      <c r="VYR129" s="54"/>
      <c r="VYS129" s="54"/>
      <c r="VYT129" s="54"/>
      <c r="VYU129" s="54"/>
      <c r="VYV129" s="54"/>
      <c r="VYW129" s="54"/>
      <c r="VYX129" s="54"/>
      <c r="VYY129" s="54"/>
      <c r="VYZ129" s="54"/>
      <c r="VZA129" s="54"/>
      <c r="VZB129" s="54"/>
      <c r="VZC129" s="54"/>
      <c r="VZD129" s="54"/>
      <c r="VZE129" s="54"/>
      <c r="VZF129" s="54"/>
      <c r="VZG129" s="54"/>
      <c r="VZH129" s="54"/>
      <c r="VZI129" s="54"/>
      <c r="VZJ129" s="54"/>
      <c r="VZK129" s="54"/>
      <c r="VZL129" s="54"/>
      <c r="VZM129" s="54"/>
      <c r="VZN129" s="54"/>
      <c r="VZO129" s="54"/>
      <c r="VZP129" s="54"/>
      <c r="VZQ129" s="54"/>
      <c r="VZR129" s="54"/>
      <c r="VZS129" s="54"/>
      <c r="VZT129" s="54"/>
      <c r="VZU129" s="54"/>
      <c r="VZV129" s="54"/>
      <c r="VZW129" s="54"/>
      <c r="VZX129" s="54"/>
      <c r="VZY129" s="54"/>
      <c r="VZZ129" s="54"/>
      <c r="WAA129" s="54"/>
      <c r="WAB129" s="54"/>
      <c r="WAC129" s="54"/>
      <c r="WAD129" s="54"/>
      <c r="WAE129" s="54"/>
      <c r="WAF129" s="54"/>
      <c r="WAG129" s="54"/>
      <c r="WAH129" s="54"/>
      <c r="WAI129" s="54"/>
      <c r="WAJ129" s="54"/>
      <c r="WAK129" s="54"/>
      <c r="WAL129" s="54"/>
      <c r="WAM129" s="54"/>
      <c r="WAN129" s="54"/>
      <c r="WAO129" s="54"/>
      <c r="WAP129" s="54"/>
      <c r="WAQ129" s="54"/>
      <c r="WAR129" s="54"/>
      <c r="WAS129" s="54"/>
      <c r="WAT129" s="54"/>
      <c r="WAU129" s="54"/>
      <c r="WAV129" s="54"/>
      <c r="WAW129" s="54"/>
      <c r="WAX129" s="54"/>
      <c r="WAY129" s="54"/>
      <c r="WAZ129" s="54"/>
      <c r="WBA129" s="54"/>
      <c r="WBB129" s="54"/>
      <c r="WBC129" s="54"/>
      <c r="WBD129" s="54"/>
      <c r="WBE129" s="54"/>
      <c r="WBF129" s="54"/>
      <c r="WBG129" s="54"/>
      <c r="WBH129" s="54"/>
      <c r="WBI129" s="54"/>
      <c r="WBJ129" s="54"/>
      <c r="WBK129" s="54"/>
      <c r="WBL129" s="54"/>
      <c r="WBM129" s="54"/>
      <c r="WBN129" s="54"/>
      <c r="WBO129" s="54"/>
      <c r="WBP129" s="54"/>
      <c r="WBQ129" s="54"/>
      <c r="WBR129" s="54"/>
      <c r="WBS129" s="54"/>
      <c r="WBT129" s="54"/>
      <c r="WBU129" s="54"/>
      <c r="WBV129" s="54"/>
      <c r="WBW129" s="54"/>
      <c r="WBX129" s="54"/>
      <c r="WBY129" s="54"/>
      <c r="WBZ129" s="54"/>
      <c r="WCA129" s="54"/>
      <c r="WCB129" s="54"/>
      <c r="WCC129" s="54"/>
      <c r="WCD129" s="54"/>
      <c r="WCE129" s="54"/>
      <c r="WCF129" s="54"/>
      <c r="WCG129" s="54"/>
      <c r="WCH129" s="54"/>
      <c r="WCI129" s="54"/>
      <c r="WCJ129" s="54"/>
      <c r="WCK129" s="54"/>
      <c r="WCL129" s="54"/>
      <c r="WCM129" s="54"/>
      <c r="WCN129" s="54"/>
      <c r="WCO129" s="54"/>
      <c r="WCP129" s="54"/>
      <c r="WCQ129" s="54"/>
      <c r="WCR129" s="54"/>
      <c r="WCS129" s="54"/>
      <c r="WCT129" s="54"/>
      <c r="WCU129" s="54"/>
      <c r="WCV129" s="54"/>
      <c r="WCW129" s="54"/>
      <c r="WCX129" s="54"/>
      <c r="WCY129" s="54"/>
      <c r="WCZ129" s="54"/>
      <c r="WDA129" s="54"/>
      <c r="WDB129" s="54"/>
      <c r="WDC129" s="54"/>
      <c r="WDD129" s="54"/>
      <c r="WDE129" s="54"/>
      <c r="WDF129" s="54"/>
      <c r="WDG129" s="54"/>
      <c r="WDH129" s="54"/>
      <c r="WDI129" s="54"/>
      <c r="WDJ129" s="54"/>
      <c r="WDK129" s="54"/>
      <c r="WDL129" s="54"/>
      <c r="WDM129" s="54"/>
      <c r="WDN129" s="54"/>
      <c r="WDO129" s="54"/>
      <c r="WDP129" s="54"/>
      <c r="WDQ129" s="54"/>
      <c r="WDR129" s="54"/>
      <c r="WDS129" s="54"/>
      <c r="WDT129" s="54"/>
      <c r="WDU129" s="54"/>
      <c r="WDV129" s="54"/>
      <c r="WDW129" s="54"/>
      <c r="WDX129" s="54"/>
      <c r="WDY129" s="54"/>
      <c r="WDZ129" s="54"/>
      <c r="WEA129" s="54"/>
      <c r="WEB129" s="54"/>
      <c r="WEC129" s="54"/>
      <c r="WED129" s="54"/>
      <c r="WEE129" s="54"/>
      <c r="WEF129" s="54"/>
      <c r="WEG129" s="54"/>
      <c r="WEH129" s="54"/>
      <c r="WEI129" s="54"/>
      <c r="WEJ129" s="54"/>
      <c r="WEK129" s="54"/>
      <c r="WEL129" s="54"/>
      <c r="WEM129" s="54"/>
      <c r="WEN129" s="54"/>
      <c r="WEO129" s="54"/>
      <c r="WEP129" s="54"/>
      <c r="WEQ129" s="54"/>
      <c r="WER129" s="54"/>
      <c r="WES129" s="54"/>
      <c r="WET129" s="54"/>
      <c r="WEU129" s="54"/>
      <c r="WEV129" s="54"/>
      <c r="WEW129" s="54"/>
      <c r="WEX129" s="54"/>
      <c r="WEY129" s="54"/>
      <c r="WEZ129" s="54"/>
      <c r="WFA129" s="54"/>
      <c r="WFB129" s="54"/>
      <c r="WFC129" s="54"/>
      <c r="WFD129" s="54"/>
      <c r="WFE129" s="54"/>
      <c r="WFF129" s="54"/>
      <c r="WFG129" s="54"/>
      <c r="WFH129" s="54"/>
      <c r="WFI129" s="54"/>
      <c r="WFJ129" s="54"/>
      <c r="WFK129" s="54"/>
      <c r="WFL129" s="54"/>
      <c r="WFM129" s="54"/>
      <c r="WFN129" s="54"/>
      <c r="WFO129" s="54"/>
      <c r="WFP129" s="54"/>
      <c r="WFQ129" s="54"/>
      <c r="WFR129" s="54"/>
      <c r="WFS129" s="54"/>
      <c r="WFT129" s="54"/>
      <c r="WFU129" s="54"/>
      <c r="WFV129" s="54"/>
      <c r="WFW129" s="54"/>
      <c r="WFX129" s="54"/>
      <c r="WFY129" s="54"/>
      <c r="WFZ129" s="54"/>
      <c r="WGA129" s="54"/>
      <c r="WGB129" s="54"/>
      <c r="WGC129" s="54"/>
      <c r="WGD129" s="54"/>
      <c r="WGE129" s="54"/>
      <c r="WGF129" s="54"/>
      <c r="WGG129" s="54"/>
      <c r="WGH129" s="54"/>
      <c r="WGI129" s="54"/>
      <c r="WGJ129" s="54"/>
      <c r="WGK129" s="54"/>
      <c r="WGL129" s="54"/>
      <c r="WGM129" s="54"/>
      <c r="WGN129" s="54"/>
      <c r="WGO129" s="54"/>
      <c r="WGP129" s="54"/>
      <c r="WGQ129" s="54"/>
      <c r="WGR129" s="54"/>
      <c r="WGS129" s="54"/>
      <c r="WGT129" s="54"/>
      <c r="WGU129" s="54"/>
      <c r="WGV129" s="54"/>
      <c r="WGW129" s="54"/>
      <c r="WGX129" s="54"/>
      <c r="WGY129" s="54"/>
      <c r="WGZ129" s="54"/>
      <c r="WHA129" s="54"/>
      <c r="WHB129" s="54"/>
      <c r="WHC129" s="54"/>
      <c r="WHD129" s="54"/>
      <c r="WHE129" s="54"/>
      <c r="WHF129" s="54"/>
      <c r="WHG129" s="54"/>
      <c r="WHH129" s="54"/>
      <c r="WHI129" s="54"/>
      <c r="WHJ129" s="54"/>
      <c r="WHK129" s="54"/>
      <c r="WHL129" s="54"/>
      <c r="WHM129" s="54"/>
      <c r="WHN129" s="54"/>
      <c r="WHO129" s="54"/>
      <c r="WHP129" s="54"/>
      <c r="WHQ129" s="54"/>
      <c r="WHR129" s="54"/>
      <c r="WHS129" s="54"/>
      <c r="WHT129" s="54"/>
      <c r="WHU129" s="54"/>
      <c r="WHV129" s="54"/>
      <c r="WHW129" s="54"/>
      <c r="WHX129" s="54"/>
      <c r="WHY129" s="54"/>
      <c r="WHZ129" s="54"/>
      <c r="WIA129" s="54"/>
      <c r="WIB129" s="54"/>
      <c r="WIC129" s="54"/>
      <c r="WID129" s="54"/>
      <c r="WIE129" s="54"/>
      <c r="WIF129" s="54"/>
      <c r="WIG129" s="54"/>
      <c r="WIH129" s="54"/>
      <c r="WII129" s="54"/>
      <c r="WIJ129" s="54"/>
      <c r="WIK129" s="54"/>
      <c r="WIL129" s="54"/>
      <c r="WIM129" s="54"/>
      <c r="WIN129" s="54"/>
      <c r="WIO129" s="54"/>
      <c r="WIP129" s="54"/>
      <c r="WIQ129" s="54"/>
      <c r="WIR129" s="54"/>
      <c r="WIS129" s="54"/>
      <c r="WIT129" s="54"/>
      <c r="WIU129" s="54"/>
      <c r="WIV129" s="54"/>
      <c r="WIW129" s="54"/>
      <c r="WIX129" s="54"/>
      <c r="WIY129" s="54"/>
      <c r="WIZ129" s="54"/>
      <c r="WJA129" s="54"/>
      <c r="WJB129" s="54"/>
      <c r="WJC129" s="54"/>
      <c r="WJD129" s="54"/>
      <c r="WJE129" s="54"/>
      <c r="WJF129" s="54"/>
      <c r="WJG129" s="54"/>
      <c r="WJH129" s="54"/>
      <c r="WJI129" s="54"/>
      <c r="WJJ129" s="54"/>
      <c r="WJK129" s="54"/>
      <c r="WJL129" s="54"/>
      <c r="WJM129" s="54"/>
      <c r="WJN129" s="54"/>
      <c r="WJO129" s="54"/>
      <c r="WJP129" s="54"/>
      <c r="WJQ129" s="54"/>
      <c r="WJR129" s="54"/>
      <c r="WJS129" s="54"/>
      <c r="WJT129" s="54"/>
      <c r="WJU129" s="54"/>
      <c r="WJV129" s="54"/>
      <c r="WJW129" s="54"/>
      <c r="WJX129" s="54"/>
      <c r="WJY129" s="54"/>
      <c r="WJZ129" s="54"/>
      <c r="WKA129" s="54"/>
      <c r="WKB129" s="54"/>
      <c r="WKC129" s="54"/>
      <c r="WKD129" s="54"/>
      <c r="WKE129" s="54"/>
      <c r="WKF129" s="54"/>
      <c r="WKG129" s="54"/>
      <c r="WKH129" s="54"/>
      <c r="WKI129" s="54"/>
      <c r="WKJ129" s="54"/>
      <c r="WKK129" s="54"/>
      <c r="WKL129" s="54"/>
      <c r="WKM129" s="54"/>
      <c r="WKN129" s="54"/>
      <c r="WKO129" s="54"/>
      <c r="WKP129" s="54"/>
      <c r="WKQ129" s="54"/>
      <c r="WKR129" s="54"/>
      <c r="WKS129" s="54"/>
      <c r="WKT129" s="54"/>
      <c r="WKU129" s="54"/>
      <c r="WKV129" s="54"/>
      <c r="WKW129" s="54"/>
      <c r="WKX129" s="54"/>
      <c r="WKY129" s="54"/>
      <c r="WKZ129" s="54"/>
      <c r="WLA129" s="54"/>
      <c r="WLB129" s="54"/>
      <c r="WLC129" s="54"/>
      <c r="WLD129" s="54"/>
      <c r="WLE129" s="54"/>
      <c r="WLF129" s="54"/>
      <c r="WLG129" s="54"/>
      <c r="WLH129" s="54"/>
      <c r="WLI129" s="54"/>
      <c r="WLJ129" s="54"/>
      <c r="WLK129" s="54"/>
      <c r="WLL129" s="54"/>
      <c r="WLM129" s="54"/>
      <c r="WLN129" s="54"/>
      <c r="WLO129" s="54"/>
      <c r="WLP129" s="54"/>
      <c r="WLQ129" s="54"/>
      <c r="WLR129" s="54"/>
      <c r="WLS129" s="54"/>
      <c r="WLT129" s="54"/>
      <c r="WLU129" s="54"/>
      <c r="WLV129" s="54"/>
      <c r="WLW129" s="54"/>
      <c r="WLX129" s="54"/>
      <c r="WLY129" s="54"/>
      <c r="WLZ129" s="54"/>
      <c r="WMA129" s="54"/>
      <c r="WMB129" s="54"/>
      <c r="WMC129" s="54"/>
      <c r="WMD129" s="54"/>
      <c r="WME129" s="54"/>
      <c r="WMF129" s="54"/>
      <c r="WMG129" s="54"/>
      <c r="WMH129" s="54"/>
      <c r="WMI129" s="54"/>
      <c r="WMJ129" s="54"/>
      <c r="WMK129" s="54"/>
      <c r="WML129" s="54"/>
      <c r="WMM129" s="54"/>
      <c r="WMN129" s="54"/>
      <c r="WMO129" s="54"/>
      <c r="WMP129" s="54"/>
      <c r="WMQ129" s="54"/>
      <c r="WMR129" s="54"/>
      <c r="WMS129" s="54"/>
      <c r="WMT129" s="54"/>
      <c r="WMU129" s="54"/>
      <c r="WMV129" s="54"/>
      <c r="WMW129" s="54"/>
      <c r="WMX129" s="54"/>
      <c r="WMY129" s="54"/>
      <c r="WMZ129" s="54"/>
      <c r="WNA129" s="54"/>
      <c r="WNB129" s="54"/>
      <c r="WNC129" s="54"/>
      <c r="WND129" s="54"/>
      <c r="WNE129" s="54"/>
      <c r="WNF129" s="54"/>
      <c r="WNG129" s="54"/>
      <c r="WNH129" s="54"/>
      <c r="WNI129" s="54"/>
      <c r="WNJ129" s="54"/>
      <c r="WNK129" s="54"/>
      <c r="WNL129" s="54"/>
      <c r="WNM129" s="54"/>
      <c r="WNN129" s="54"/>
      <c r="WNO129" s="54"/>
      <c r="WNP129" s="54"/>
      <c r="WNQ129" s="54"/>
      <c r="WNR129" s="54"/>
      <c r="WNS129" s="54"/>
      <c r="WNT129" s="54"/>
      <c r="WNU129" s="54"/>
      <c r="WNV129" s="54"/>
      <c r="WNW129" s="54"/>
      <c r="WNX129" s="54"/>
      <c r="WNY129" s="54"/>
      <c r="WNZ129" s="54"/>
      <c r="WOA129" s="54"/>
      <c r="WOB129" s="54"/>
      <c r="WOC129" s="54"/>
      <c r="WOD129" s="54"/>
      <c r="WOE129" s="54"/>
      <c r="WOF129" s="54"/>
      <c r="WOG129" s="54"/>
      <c r="WOH129" s="54"/>
      <c r="WOI129" s="54"/>
      <c r="WOJ129" s="54"/>
      <c r="WOK129" s="54"/>
      <c r="WOL129" s="54"/>
      <c r="WOM129" s="54"/>
      <c r="WON129" s="54"/>
      <c r="WOO129" s="54"/>
      <c r="WOP129" s="54"/>
      <c r="WOQ129" s="54"/>
      <c r="WOR129" s="54"/>
      <c r="WOS129" s="54"/>
      <c r="WOT129" s="54"/>
      <c r="WOU129" s="54"/>
      <c r="WOV129" s="54"/>
      <c r="WOW129" s="54"/>
      <c r="WOX129" s="54"/>
      <c r="WOY129" s="54"/>
      <c r="WOZ129" s="54"/>
      <c r="WPA129" s="54"/>
      <c r="WPB129" s="54"/>
      <c r="WPC129" s="54"/>
      <c r="WPD129" s="54"/>
      <c r="WPE129" s="54"/>
      <c r="WPF129" s="54"/>
      <c r="WPG129" s="54"/>
      <c r="WPH129" s="54"/>
      <c r="WPI129" s="54"/>
      <c r="WPJ129" s="54"/>
      <c r="WPK129" s="54"/>
      <c r="WPL129" s="54"/>
      <c r="WPM129" s="54"/>
      <c r="WPN129" s="54"/>
      <c r="WPO129" s="54"/>
      <c r="WPP129" s="54"/>
      <c r="WPQ129" s="54"/>
      <c r="WPR129" s="54"/>
      <c r="WPS129" s="54"/>
      <c r="WPT129" s="54"/>
      <c r="WPU129" s="54"/>
      <c r="WPV129" s="54"/>
      <c r="WPW129" s="54"/>
      <c r="WPX129" s="54"/>
      <c r="WPY129" s="54"/>
      <c r="WPZ129" s="54"/>
      <c r="WQA129" s="54"/>
      <c r="WQB129" s="54"/>
      <c r="WQC129" s="54"/>
      <c r="WQD129" s="54"/>
      <c r="WQE129" s="54"/>
      <c r="WQF129" s="54"/>
      <c r="WQG129" s="54"/>
      <c r="WQH129" s="54"/>
      <c r="WQI129" s="54"/>
      <c r="WQJ129" s="54"/>
      <c r="WQK129" s="54"/>
      <c r="WQL129" s="54"/>
      <c r="WQM129" s="54"/>
      <c r="WQN129" s="54"/>
      <c r="WQO129" s="54"/>
      <c r="WQP129" s="54"/>
      <c r="WQQ129" s="54"/>
      <c r="WQR129" s="54"/>
      <c r="WQS129" s="54"/>
      <c r="WQT129" s="54"/>
      <c r="WQU129" s="54"/>
      <c r="WQV129" s="54"/>
      <c r="WQW129" s="54"/>
      <c r="WQX129" s="54"/>
      <c r="WQY129" s="54"/>
      <c r="WQZ129" s="54"/>
      <c r="WRA129" s="54"/>
      <c r="WRB129" s="54"/>
      <c r="WRC129" s="54"/>
      <c r="WRD129" s="54"/>
      <c r="WRE129" s="54"/>
      <c r="WRF129" s="54"/>
      <c r="WRG129" s="54"/>
      <c r="WRH129" s="54"/>
      <c r="WRI129" s="54"/>
      <c r="WRJ129" s="54"/>
      <c r="WRK129" s="54"/>
      <c r="WRL129" s="54"/>
      <c r="WRM129" s="54"/>
      <c r="WRN129" s="54"/>
      <c r="WRO129" s="54"/>
      <c r="WRP129" s="54"/>
      <c r="WRQ129" s="54"/>
      <c r="WRR129" s="54"/>
      <c r="WRS129" s="54"/>
      <c r="WRT129" s="54"/>
      <c r="WRU129" s="54"/>
      <c r="WRV129" s="54"/>
      <c r="WRW129" s="54"/>
      <c r="WRX129" s="54"/>
      <c r="WRY129" s="54"/>
      <c r="WRZ129" s="54"/>
      <c r="WSA129" s="54"/>
      <c r="WSB129" s="54"/>
      <c r="WSC129" s="54"/>
      <c r="WSD129" s="54"/>
      <c r="WSE129" s="54"/>
      <c r="WSF129" s="54"/>
      <c r="WSG129" s="54"/>
      <c r="WSH129" s="54"/>
      <c r="WSI129" s="54"/>
      <c r="WSJ129" s="54"/>
      <c r="WSK129" s="54"/>
      <c r="WSL129" s="54"/>
      <c r="WSM129" s="54"/>
      <c r="WSN129" s="54"/>
      <c r="WSO129" s="54"/>
      <c r="WSP129" s="54"/>
      <c r="WSQ129" s="54"/>
      <c r="WSR129" s="54"/>
      <c r="WSS129" s="54"/>
      <c r="WST129" s="54"/>
      <c r="WSU129" s="54"/>
      <c r="WSV129" s="54"/>
      <c r="WSW129" s="54"/>
      <c r="WSX129" s="54"/>
      <c r="WSY129" s="54"/>
      <c r="WSZ129" s="54"/>
      <c r="WTA129" s="54"/>
      <c r="WTB129" s="54"/>
      <c r="WTC129" s="54"/>
      <c r="WTD129" s="54"/>
      <c r="WTE129" s="54"/>
      <c r="WTF129" s="54"/>
      <c r="WTG129" s="54"/>
      <c r="WTH129" s="54"/>
      <c r="WTI129" s="54"/>
      <c r="WTJ129" s="54"/>
      <c r="WTK129" s="54"/>
      <c r="WTL129" s="54"/>
      <c r="WTM129" s="54"/>
      <c r="WTN129" s="54"/>
      <c r="WTO129" s="54"/>
      <c r="WTP129" s="54"/>
      <c r="WTQ129" s="54"/>
      <c r="WTR129" s="54"/>
      <c r="WTS129" s="54"/>
      <c r="WTT129" s="54"/>
      <c r="WTU129" s="54"/>
      <c r="WTV129" s="54"/>
      <c r="WTW129" s="54"/>
      <c r="WTX129" s="54"/>
      <c r="WTY129" s="54"/>
      <c r="WTZ129" s="54"/>
      <c r="WUA129" s="54"/>
      <c r="WUB129" s="54"/>
      <c r="WUC129" s="54"/>
      <c r="WUD129" s="54"/>
      <c r="WUE129" s="54"/>
      <c r="WUF129" s="54"/>
      <c r="WUG129" s="54"/>
      <c r="WUH129" s="54"/>
      <c r="WUI129" s="54"/>
      <c r="WUJ129" s="54"/>
      <c r="WUK129" s="54"/>
      <c r="WUL129" s="54"/>
      <c r="WUM129" s="54"/>
      <c r="WUN129" s="54"/>
      <c r="WUO129" s="54"/>
      <c r="WUP129" s="54"/>
      <c r="WUQ129" s="54"/>
      <c r="WUR129" s="54"/>
      <c r="WUS129" s="54"/>
      <c r="WUT129" s="54"/>
      <c r="WUU129" s="54"/>
      <c r="WUV129" s="54"/>
      <c r="WUW129" s="54"/>
      <c r="WUX129" s="54"/>
      <c r="WUY129" s="54"/>
      <c r="WUZ129" s="54"/>
      <c r="WVA129" s="54"/>
      <c r="WVB129" s="54"/>
      <c r="WVC129" s="54"/>
      <c r="WVD129" s="54"/>
      <c r="WVE129" s="54"/>
      <c r="WVF129" s="54"/>
      <c r="WVG129" s="54"/>
      <c r="WVH129" s="54"/>
      <c r="WVI129" s="54"/>
      <c r="WVJ129" s="54"/>
      <c r="WVK129" s="54"/>
      <c r="WVL129" s="54"/>
      <c r="WVM129" s="54"/>
      <c r="WVN129" s="54"/>
      <c r="WVO129" s="54"/>
      <c r="WVP129" s="54"/>
      <c r="WVQ129" s="54"/>
      <c r="WVR129" s="54"/>
      <c r="WVS129" s="54"/>
      <c r="WVT129" s="54"/>
      <c r="WVU129" s="54"/>
      <c r="WVV129" s="54"/>
      <c r="WVW129" s="54"/>
      <c r="WVX129" s="54"/>
      <c r="WVY129" s="54"/>
      <c r="WVZ129" s="54"/>
      <c r="WWA129" s="54"/>
      <c r="WWB129" s="54"/>
      <c r="WWC129" s="54"/>
      <c r="WWD129" s="54"/>
      <c r="WWE129" s="54"/>
      <c r="WWF129" s="54"/>
      <c r="WWG129" s="54"/>
      <c r="WWH129" s="54"/>
      <c r="WWI129" s="54"/>
      <c r="WWJ129" s="54"/>
      <c r="WWK129" s="54"/>
      <c r="WWL129" s="54"/>
      <c r="WWM129" s="54"/>
      <c r="WWN129" s="54"/>
      <c r="WWO129" s="54"/>
      <c r="WWP129" s="54"/>
      <c r="WWQ129" s="54"/>
      <c r="WWR129" s="54"/>
      <c r="WWS129" s="54"/>
      <c r="WWT129" s="54"/>
      <c r="WWU129" s="54"/>
      <c r="WWV129" s="54"/>
      <c r="WWW129" s="54"/>
      <c r="WWX129" s="54"/>
      <c r="WWY129" s="54"/>
      <c r="WWZ129" s="54"/>
      <c r="WXA129" s="54"/>
      <c r="WXB129" s="54"/>
      <c r="WXC129" s="54"/>
      <c r="WXD129" s="54"/>
      <c r="WXE129" s="54"/>
      <c r="WXF129" s="54"/>
      <c r="WXG129" s="54"/>
      <c r="WXH129" s="54"/>
      <c r="WXI129" s="54"/>
      <c r="WXJ129" s="54"/>
      <c r="WXK129" s="54"/>
      <c r="WXL129" s="54"/>
      <c r="WXM129" s="54"/>
      <c r="WXN129" s="54"/>
      <c r="WXO129" s="54"/>
      <c r="WXP129" s="54"/>
      <c r="WXQ129" s="54"/>
      <c r="WXR129" s="54"/>
      <c r="WXS129" s="54"/>
      <c r="WXT129" s="54"/>
      <c r="WXU129" s="54"/>
      <c r="WXV129" s="54"/>
      <c r="WXW129" s="54"/>
      <c r="WXX129" s="54"/>
      <c r="WXY129" s="54"/>
      <c r="WXZ129" s="54"/>
      <c r="WYA129" s="54"/>
      <c r="WYB129" s="54"/>
      <c r="WYC129" s="54"/>
      <c r="WYD129" s="54"/>
      <c r="WYE129" s="54"/>
      <c r="WYF129" s="54"/>
      <c r="WYG129" s="54"/>
      <c r="WYH129" s="54"/>
      <c r="WYI129" s="54"/>
      <c r="WYJ129" s="54"/>
      <c r="WYK129" s="54"/>
      <c r="WYL129" s="54"/>
      <c r="WYM129" s="54"/>
      <c r="WYN129" s="54"/>
      <c r="WYO129" s="54"/>
      <c r="WYP129" s="54"/>
      <c r="WYQ129" s="54"/>
      <c r="WYR129" s="54"/>
      <c r="WYS129" s="54"/>
      <c r="WYT129" s="54"/>
      <c r="WYU129" s="54"/>
      <c r="WYV129" s="54"/>
      <c r="WYW129" s="54"/>
      <c r="WYX129" s="54"/>
      <c r="WYY129" s="54"/>
      <c r="WYZ129" s="54"/>
      <c r="WZA129" s="54"/>
      <c r="WZB129" s="54"/>
      <c r="WZC129" s="54"/>
      <c r="WZD129" s="54"/>
      <c r="WZE129" s="54"/>
      <c r="WZF129" s="54"/>
      <c r="WZG129" s="54"/>
      <c r="WZH129" s="54"/>
      <c r="WZI129" s="54"/>
      <c r="WZJ129" s="54"/>
      <c r="WZK129" s="54"/>
      <c r="WZL129" s="54"/>
      <c r="WZM129" s="54"/>
      <c r="WZN129" s="54"/>
      <c r="WZO129" s="54"/>
      <c r="WZP129" s="54"/>
      <c r="WZQ129" s="54"/>
      <c r="WZR129" s="54"/>
      <c r="WZS129" s="54"/>
      <c r="WZT129" s="54"/>
      <c r="WZU129" s="54"/>
      <c r="WZV129" s="54"/>
      <c r="WZW129" s="54"/>
      <c r="WZX129" s="54"/>
      <c r="WZY129" s="54"/>
      <c r="WZZ129" s="54"/>
      <c r="XAA129" s="54"/>
      <c r="XAB129" s="54"/>
      <c r="XAC129" s="54"/>
      <c r="XAD129" s="54"/>
      <c r="XAE129" s="54"/>
      <c r="XAF129" s="54"/>
      <c r="XAG129" s="54"/>
      <c r="XAH129" s="54"/>
      <c r="XAI129" s="54"/>
      <c r="XAJ129" s="54"/>
      <c r="XAK129" s="54"/>
      <c r="XAL129" s="54"/>
      <c r="XAM129" s="54"/>
      <c r="XAN129" s="54"/>
      <c r="XAO129" s="54"/>
      <c r="XAP129" s="54"/>
      <c r="XAQ129" s="54"/>
      <c r="XAR129" s="54"/>
      <c r="XAS129" s="54"/>
      <c r="XAT129" s="54"/>
      <c r="XAU129" s="54"/>
      <c r="XAV129" s="54"/>
      <c r="XAW129" s="54"/>
      <c r="XAX129" s="54"/>
      <c r="XAY129" s="54"/>
      <c r="XAZ129" s="54"/>
      <c r="XBA129" s="54"/>
      <c r="XBB129" s="54"/>
      <c r="XBC129" s="54"/>
      <c r="XBD129" s="54"/>
      <c r="XBE129" s="54"/>
      <c r="XBF129" s="54"/>
      <c r="XBG129" s="54"/>
      <c r="XBH129" s="54"/>
      <c r="XBI129" s="54"/>
      <c r="XBJ129" s="54"/>
      <c r="XBK129" s="54"/>
      <c r="XBL129" s="54"/>
      <c r="XBM129" s="54"/>
      <c r="XBN129" s="54"/>
      <c r="XBO129" s="54"/>
      <c r="XBP129" s="54"/>
      <c r="XBQ129" s="54"/>
      <c r="XBR129" s="54"/>
      <c r="XBS129" s="54"/>
      <c r="XBT129" s="54"/>
      <c r="XBU129" s="54"/>
      <c r="XBV129" s="54"/>
      <c r="XBW129" s="54"/>
      <c r="XBX129" s="54"/>
      <c r="XBY129" s="54"/>
      <c r="XBZ129" s="54"/>
      <c r="XCA129" s="54"/>
      <c r="XCB129" s="54"/>
      <c r="XCC129" s="54"/>
      <c r="XCD129" s="54"/>
      <c r="XCE129" s="54"/>
      <c r="XCF129" s="54"/>
      <c r="XCG129" s="54"/>
      <c r="XCH129" s="54"/>
      <c r="XCI129" s="54"/>
      <c r="XCJ129" s="54"/>
      <c r="XCK129" s="54"/>
      <c r="XCL129" s="54"/>
      <c r="XCM129" s="54"/>
      <c r="XCN129" s="54"/>
      <c r="XCO129" s="54"/>
      <c r="XCP129" s="54"/>
      <c r="XCQ129" s="54"/>
      <c r="XCR129" s="54"/>
      <c r="XCS129" s="54"/>
      <c r="XCT129" s="54"/>
      <c r="XCU129" s="54"/>
      <c r="XCV129" s="54"/>
      <c r="XCW129" s="54"/>
      <c r="XCX129" s="54"/>
      <c r="XCY129" s="54"/>
      <c r="XCZ129" s="54"/>
      <c r="XDA129" s="54"/>
      <c r="XDB129" s="54"/>
      <c r="XDC129" s="54"/>
      <c r="XDD129" s="54"/>
      <c r="XDE129" s="54"/>
      <c r="XDF129" s="54"/>
      <c r="XDG129" s="54"/>
      <c r="XDH129" s="54"/>
      <c r="XDI129" s="54"/>
      <c r="XDJ129" s="54"/>
      <c r="XDK129" s="54"/>
      <c r="XDL129" s="54"/>
      <c r="XDM129" s="54"/>
      <c r="XDN129" s="54"/>
      <c r="XDO129" s="54"/>
      <c r="XDP129" s="54"/>
      <c r="XDQ129" s="54"/>
      <c r="XDR129" s="54"/>
      <c r="XDS129" s="54"/>
      <c r="XDT129" s="54"/>
      <c r="XDU129" s="54"/>
      <c r="XDV129" s="54"/>
      <c r="XDW129" s="54"/>
      <c r="XDX129" s="54"/>
      <c r="XDY129" s="54"/>
      <c r="XDZ129" s="54"/>
      <c r="XEA129" s="54"/>
      <c r="XEB129" s="54"/>
      <c r="XEC129" s="54"/>
      <c r="XED129" s="54"/>
      <c r="XEE129" s="54"/>
      <c r="XEF129" s="54"/>
      <c r="XEG129" s="54"/>
      <c r="XEH129" s="54"/>
      <c r="XEI129" s="54"/>
      <c r="XEJ129" s="54"/>
      <c r="XEK129" s="54"/>
      <c r="XEL129" s="54"/>
      <c r="XEM129" s="54"/>
      <c r="XEN129" s="54"/>
      <c r="XEO129" s="54"/>
    </row>
    <row r="130" spans="2:16369" ht="12.75" customHeight="1" x14ac:dyDescent="0.25">
      <c r="B130" s="95" t="s">
        <v>4455</v>
      </c>
      <c r="D130" s="1001">
        <f>(+' Verdad Verdadera 24-27'!C110+' Verdad Verdadera 24-27'!C111)/2</f>
        <v>103443198500</v>
      </c>
      <c r="W130" s="1001">
        <f>+' Verdad Verdadera 24-27'!V110+' Verdad Verdadera 24-27'!V111</f>
        <v>218472035232</v>
      </c>
      <c r="AA130" s="1001">
        <f>+' Verdad Verdadera 24-27'!Z110+' Verdad Verdadera 24-27'!Z111</f>
        <v>229395636993.60001</v>
      </c>
      <c r="AE130" s="1001">
        <f>+' Verdad Verdadera 24-27'!AD110+' Verdad Verdadera 24-27'!AD111</f>
        <v>240865418843.28003</v>
      </c>
      <c r="AI130" s="42">
        <f>SUBTOTAL(9,D130:AE130)</f>
        <v>792176289568.88</v>
      </c>
    </row>
    <row r="132" spans="2:16369" ht="153" x14ac:dyDescent="0.25">
      <c r="B132" s="95" t="s">
        <v>4456</v>
      </c>
      <c r="D132" s="95" t="s">
        <v>4457</v>
      </c>
    </row>
    <row r="133" spans="2:16369" x14ac:dyDescent="0.25">
      <c r="B133" s="1273"/>
      <c r="C133" s="41"/>
    </row>
    <row r="134" spans="2:16369" x14ac:dyDescent="0.25">
      <c r="B134" s="1273" t="s">
        <v>3252</v>
      </c>
      <c r="C134" s="41">
        <v>51886509235</v>
      </c>
    </row>
    <row r="135" spans="2:16369" x14ac:dyDescent="0.25">
      <c r="B135" s="1273" t="s">
        <v>3253</v>
      </c>
      <c r="C135" s="41">
        <v>5863258961.6000004</v>
      </c>
    </row>
    <row r="136" spans="2:16369" x14ac:dyDescent="0.25">
      <c r="B136" s="1273" t="s">
        <v>3254</v>
      </c>
      <c r="C136" s="41">
        <v>7000000000</v>
      </c>
    </row>
    <row r="137" spans="2:16369" x14ac:dyDescent="0.25">
      <c r="B137" s="1273" t="s">
        <v>3255</v>
      </c>
      <c r="C137" s="41">
        <v>2538098716</v>
      </c>
    </row>
    <row r="138" spans="2:16369" x14ac:dyDescent="0.25">
      <c r="B138" s="1273" t="s">
        <v>3256</v>
      </c>
      <c r="C138" s="41">
        <v>4117507362.6749997</v>
      </c>
    </row>
    <row r="139" spans="2:16369" x14ac:dyDescent="0.25">
      <c r="B139" s="1273" t="s">
        <v>3257</v>
      </c>
      <c r="C139" s="41">
        <v>4668913388</v>
      </c>
    </row>
    <row r="140" spans="2:16369" x14ac:dyDescent="0.25">
      <c r="B140" s="1273" t="s">
        <v>3258</v>
      </c>
      <c r="C140" s="41">
        <v>17129090475</v>
      </c>
    </row>
    <row r="141" spans="2:16369" x14ac:dyDescent="0.25">
      <c r="B141" s="1273" t="s">
        <v>3259</v>
      </c>
      <c r="C141" s="41">
        <v>93203378138.274994</v>
      </c>
    </row>
    <row r="142" spans="2:16369" x14ac:dyDescent="0.25">
      <c r="B142" s="1273" t="s">
        <v>3260</v>
      </c>
      <c r="C142" s="41">
        <v>8365020586.5060005</v>
      </c>
    </row>
    <row r="143" spans="2:16369" x14ac:dyDescent="0.25">
      <c r="B143" s="1273" t="s">
        <v>3261</v>
      </c>
      <c r="C143" s="41">
        <v>101568398724.78099</v>
      </c>
    </row>
    <row r="144" spans="2:16369" x14ac:dyDescent="0.25">
      <c r="B144" s="1273" t="s">
        <v>3262</v>
      </c>
      <c r="C144" s="41">
        <v>-28651776275.219009</v>
      </c>
    </row>
    <row r="145" spans="2:3" x14ac:dyDescent="0.25">
      <c r="B145" s="1273"/>
      <c r="C145" s="41">
        <v>28651776275.219002</v>
      </c>
    </row>
  </sheetData>
  <autoFilter ref="A6:XEO129" xr:uid="{753853A0-DA8D-4ABE-926C-5F28FCA617C6}">
    <filterColumn colId="3">
      <customFilters>
        <customFilter operator="notEqual" val=" "/>
      </customFilters>
    </filterColumn>
  </autoFilter>
  <mergeCells count="16">
    <mergeCell ref="A2:AI2"/>
    <mergeCell ref="A3:AI3"/>
    <mergeCell ref="A5:F5"/>
    <mergeCell ref="V5:Y5"/>
    <mergeCell ref="Z5:AC5"/>
    <mergeCell ref="AD5:AG5"/>
    <mergeCell ref="A4:AI4"/>
    <mergeCell ref="AI5:AI6"/>
    <mergeCell ref="B116:C116"/>
    <mergeCell ref="B119:C119"/>
    <mergeCell ref="A122:B122"/>
    <mergeCell ref="M123:P123"/>
    <mergeCell ref="G8:G9"/>
    <mergeCell ref="B82:C82"/>
    <mergeCell ref="B83:C83"/>
    <mergeCell ref="B93:C9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62</vt:i4>
      </vt:variant>
      <vt:variant>
        <vt:lpstr>Rangos con nombre</vt:lpstr>
      </vt:variant>
      <vt:variant>
        <vt:i4>5</vt:i4>
      </vt:variant>
    </vt:vector>
  </HeadingPairs>
  <TitlesOfParts>
    <vt:vector size="67" baseType="lpstr">
      <vt:lpstr>2015-2021</vt:lpstr>
      <vt:lpstr>MX6</vt:lpstr>
      <vt:lpstr>Gráficas</vt:lpstr>
      <vt:lpstr>Tablas Plan F</vt:lpstr>
      <vt:lpstr>Historico Plan Financiero 2023</vt:lpstr>
      <vt:lpstr>Historico Plan Financiero 2024</vt:lpstr>
      <vt:lpstr>F Y U 2024 Presupuesto</vt:lpstr>
      <vt:lpstr>F Y U 2024 Presupuesto OK RED</vt:lpstr>
      <vt:lpstr>FYU 2024-2027 inversion</vt:lpstr>
      <vt:lpstr> Verdad Verdadera 24-27</vt:lpstr>
      <vt:lpstr>FYU 2024-2027 definitivo</vt:lpstr>
      <vt:lpstr>F Y U 2024 Presupuesto OK R (2)</vt:lpstr>
      <vt:lpstr>Categorizacion</vt:lpstr>
      <vt:lpstr>Asamblea 2024-2027</vt:lpstr>
      <vt:lpstr>Capacidad de Endeudamiento PA</vt:lpstr>
      <vt:lpstr>F Y U 2024 Presupuesto 15.09</vt:lpstr>
      <vt:lpstr>CCPET Ingre 2024</vt:lpstr>
      <vt:lpstr>CCPET Ingre 2024 (2)</vt:lpstr>
      <vt:lpstr>Tablas</vt:lpstr>
      <vt:lpstr>350 C.P  2024</vt:lpstr>
      <vt:lpstr>Salud 2024 </vt:lpstr>
      <vt:lpstr>Vicios Salud</vt:lpstr>
      <vt:lpstr>Ingresos 2023</vt:lpstr>
      <vt:lpstr>Recaudo Julio Dic 2022</vt:lpstr>
      <vt:lpstr>Ingresos 2022</vt:lpstr>
      <vt:lpstr>F Y U 2023 Prespupuesto</vt:lpstr>
      <vt:lpstr>Historico Plan Finan 15-23</vt:lpstr>
      <vt:lpstr>INVERSION 2023</vt:lpstr>
      <vt:lpstr>350 C.P  INCREMENTO SALARIAL</vt:lpstr>
      <vt:lpstr>Plan Financiero Ingresos</vt:lpstr>
      <vt:lpstr>F y U 2022 Presupuesto</vt:lpstr>
      <vt:lpstr>Inversion Incremento Salarial</vt:lpstr>
      <vt:lpstr>F y U 2022 Incremento Salarial</vt:lpstr>
      <vt:lpstr>Inversion </vt:lpstr>
      <vt:lpstr>Salud 2024</vt:lpstr>
      <vt:lpstr>Historico Plan Financiero 2 (2)</vt:lpstr>
      <vt:lpstr>Salud 2023</vt:lpstr>
      <vt:lpstr>Tablas Anteproyecto</vt:lpstr>
      <vt:lpstr>Plan Financiero MFMP</vt:lpstr>
      <vt:lpstr>MFMP Plan Financiero</vt:lpstr>
      <vt:lpstr>MFMP Plan Financiero GASTOS</vt:lpstr>
      <vt:lpstr>Hoja1</vt:lpstr>
      <vt:lpstr>Superávit Primario MFMP</vt:lpstr>
      <vt:lpstr>MFMP Superávit Primario</vt:lpstr>
      <vt:lpstr>Capacidad de Endeudamiento MFMP</vt:lpstr>
      <vt:lpstr>MFMP Endeudamiento con incremen</vt:lpstr>
      <vt:lpstr>Techos Funcionamiento</vt:lpstr>
      <vt:lpstr>350 C.P</vt:lpstr>
      <vt:lpstr>Sicodis</vt:lpstr>
      <vt:lpstr>Historico Gastos 2015-2021</vt:lpstr>
      <vt:lpstr>IPC</vt:lpstr>
      <vt:lpstr>Crecimiento 2021</vt:lpstr>
      <vt:lpstr>LEY 617</vt:lpstr>
      <vt:lpstr>F y U 2021</vt:lpstr>
      <vt:lpstr>Historico mes a mes</vt:lpstr>
      <vt:lpstr>F y U 2022</vt:lpstr>
      <vt:lpstr>Asamblea</vt:lpstr>
      <vt:lpstr>Deuda Nueva</vt:lpstr>
      <vt:lpstr>Deuda 2022</vt:lpstr>
      <vt:lpstr>Monopolio 2019</vt:lpstr>
      <vt:lpstr>2019</vt:lpstr>
      <vt:lpstr>Calculos Ingresos</vt:lpstr>
      <vt:lpstr>'F y U 2021'!Títulos_a_imprimir</vt:lpstr>
      <vt:lpstr>'F y U 2022'!Títulos_a_imprimir</vt:lpstr>
      <vt:lpstr>'F y U 2022 Presupuesto'!Títulos_a_imprimir</vt:lpstr>
      <vt:lpstr>'Inversion '!Títulos_a_imprimir</vt:lpstr>
      <vt:lpstr>'LEY 617'!Títulos_a_imprimir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AUXHACIENDA24</dc:creator>
  <cp:keywords/>
  <dc:description/>
  <cp:lastModifiedBy>DIRHACIENDA08</cp:lastModifiedBy>
  <cp:revision/>
  <dcterms:created xsi:type="dcterms:W3CDTF">2021-06-30T11:31:16Z</dcterms:created>
  <dcterms:modified xsi:type="dcterms:W3CDTF">2024-03-19T16:27:22Z</dcterms:modified>
  <cp:category/>
  <cp:contentStatus/>
</cp:coreProperties>
</file>